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C6ED0516-49DA-D44E-8014-6792B60D2761}" xr6:coauthVersionLast="46" xr6:coauthVersionMax="46" xr10:uidLastSave="{00000000-0000-0000-0000-000000000000}"/>
  <bookViews>
    <workbookView xWindow="-52200" yWindow="-5940" windowWidth="26060" windowHeight="267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D4" i="2"/>
  <c r="D5" i="2" s="1"/>
  <c r="N19" i="1"/>
  <c r="N25" i="1"/>
  <c r="N21" i="1"/>
  <c r="N31" i="1"/>
  <c r="J49" i="1"/>
  <c r="K49" i="1"/>
  <c r="L49" i="1"/>
  <c r="M49" i="1"/>
  <c r="N49" i="1"/>
  <c r="F48" i="1"/>
  <c r="J48" i="1"/>
  <c r="I48" i="1"/>
  <c r="H48" i="1"/>
  <c r="G48" i="1"/>
  <c r="K48" i="1"/>
  <c r="L48" i="1"/>
  <c r="M48" i="1"/>
  <c r="N48" i="1"/>
  <c r="H26" i="2"/>
  <c r="J35" i="1"/>
  <c r="G45" i="2" s="1"/>
  <c r="H47" i="2"/>
  <c r="H46" i="2"/>
  <c r="H50" i="2" s="1"/>
  <c r="H43" i="2"/>
  <c r="H62" i="2"/>
  <c r="H63" i="2" s="1"/>
  <c r="H29" i="2"/>
  <c r="H13" i="2"/>
  <c r="I13" i="2" s="1"/>
  <c r="J13" i="2" s="1"/>
  <c r="K13" i="2" s="1"/>
  <c r="L13" i="2" s="1"/>
  <c r="M13" i="2" s="1"/>
  <c r="H11" i="2"/>
  <c r="H57" i="2" s="1"/>
  <c r="N57" i="1"/>
  <c r="N54" i="1"/>
  <c r="J37" i="1"/>
  <c r="G47" i="2" s="1"/>
  <c r="J32" i="1"/>
  <c r="G42" i="2" s="1"/>
  <c r="N35" i="1"/>
  <c r="N32" i="1"/>
  <c r="H42" i="2" s="1"/>
  <c r="N40" i="1"/>
  <c r="N14" i="1"/>
  <c r="N11" i="1"/>
  <c r="N28" i="1" s="1"/>
  <c r="N10" i="1"/>
  <c r="H20" i="2" s="1"/>
  <c r="I20" i="2" s="1"/>
  <c r="J20" i="2" s="1"/>
  <c r="K20" i="2" s="1"/>
  <c r="L20" i="2" s="1"/>
  <c r="M20" i="2" s="1"/>
  <c r="N9" i="1"/>
  <c r="H19" i="2" s="1"/>
  <c r="N7" i="1"/>
  <c r="G46" i="2"/>
  <c r="G43" i="2"/>
  <c r="M37" i="1"/>
  <c r="M32" i="1"/>
  <c r="F37" i="1"/>
  <c r="F40" i="1" s="1"/>
  <c r="F39" i="1"/>
  <c r="F31" i="1"/>
  <c r="N51" i="1"/>
  <c r="N6" i="1"/>
  <c r="N59" i="1" s="1"/>
  <c r="F26" i="2"/>
  <c r="F21" i="2"/>
  <c r="F20" i="2"/>
  <c r="F19" i="2"/>
  <c r="F11" i="2"/>
  <c r="C14" i="1"/>
  <c r="C7" i="1"/>
  <c r="D14" i="1"/>
  <c r="D7" i="1"/>
  <c r="E14" i="1"/>
  <c r="E7" i="1"/>
  <c r="F14" i="1"/>
  <c r="F7" i="1"/>
  <c r="G14" i="1"/>
  <c r="G7" i="1"/>
  <c r="H14" i="1"/>
  <c r="H7" i="1"/>
  <c r="I14" i="1"/>
  <c r="I7" i="1"/>
  <c r="J14" i="1"/>
  <c r="J7" i="1"/>
  <c r="G51" i="1"/>
  <c r="H51" i="1"/>
  <c r="I51" i="1"/>
  <c r="J51" i="1"/>
  <c r="K51" i="1"/>
  <c r="L51" i="1"/>
  <c r="M51" i="1"/>
  <c r="K14" i="1"/>
  <c r="K7" i="1"/>
  <c r="L14" i="1"/>
  <c r="L11" i="1"/>
  <c r="L7" i="1"/>
  <c r="M14" i="1"/>
  <c r="M11" i="1"/>
  <c r="M7" i="1"/>
  <c r="H17" i="2" l="1"/>
  <c r="N8" i="1"/>
  <c r="H24" i="2"/>
  <c r="N26" i="1"/>
  <c r="H21" i="2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N27" i="1"/>
  <c r="N39" i="1"/>
  <c r="H45" i="2"/>
  <c r="H49" i="2" s="1"/>
  <c r="H22" i="2"/>
  <c r="F24" i="2"/>
  <c r="H59" i="2"/>
  <c r="I62" i="2"/>
  <c r="J62" i="2" s="1"/>
  <c r="I19" i="2"/>
  <c r="J19" i="2" s="1"/>
  <c r="K19" i="2" s="1"/>
  <c r="L19" i="2" s="1"/>
  <c r="M19" i="2" s="1"/>
  <c r="N19" i="2" s="1"/>
  <c r="O19" i="2" s="1"/>
  <c r="P19" i="2" s="1"/>
  <c r="Q19" i="2" s="1"/>
  <c r="R19" i="2" s="1"/>
  <c r="H14" i="2"/>
  <c r="H16" i="2"/>
  <c r="H41" i="2"/>
  <c r="D6" i="2"/>
  <c r="F17" i="2"/>
  <c r="N12" i="1"/>
  <c r="N20" i="2"/>
  <c r="O20" i="2" s="1"/>
  <c r="P20" i="2" s="1"/>
  <c r="Q20" i="2" s="1"/>
  <c r="R20" i="2" s="1"/>
  <c r="G14" i="2"/>
  <c r="F14" i="2"/>
  <c r="E14" i="2"/>
  <c r="E60" i="2" s="1"/>
  <c r="D14" i="2"/>
  <c r="D60" i="2" s="1"/>
  <c r="C14" i="2"/>
  <c r="D63" i="2"/>
  <c r="E63" i="2"/>
  <c r="D59" i="2"/>
  <c r="E59" i="2"/>
  <c r="D57" i="2"/>
  <c r="E57" i="2"/>
  <c r="D24" i="2"/>
  <c r="D17" i="2"/>
  <c r="C24" i="2"/>
  <c r="C17" i="2"/>
  <c r="J22" i="2" l="1"/>
  <c r="I63" i="2"/>
  <c r="F60" i="2"/>
  <c r="J63" i="2"/>
  <c r="K62" i="2"/>
  <c r="H18" i="2"/>
  <c r="H23" i="2" s="1"/>
  <c r="H25" i="2" s="1"/>
  <c r="H65" i="2"/>
  <c r="I16" i="2" s="1"/>
  <c r="H60" i="2"/>
  <c r="I14" i="2"/>
  <c r="J14" i="2" s="1"/>
  <c r="K14" i="2" s="1"/>
  <c r="L14" i="2" s="1"/>
  <c r="M14" i="2" s="1"/>
  <c r="S19" i="2"/>
  <c r="T19" i="2" s="1"/>
  <c r="U19" i="2" s="1"/>
  <c r="V19" i="2" s="1"/>
  <c r="W19" i="2" s="1"/>
  <c r="G60" i="2"/>
  <c r="D22" i="2"/>
  <c r="D16" i="2"/>
  <c r="C22" i="2"/>
  <c r="C16" i="2"/>
  <c r="C18" i="2" l="1"/>
  <c r="C65" i="2"/>
  <c r="D18" i="2"/>
  <c r="D31" i="2" s="1"/>
  <c r="D65" i="2"/>
  <c r="I65" i="2"/>
  <c r="J16" i="2" s="1"/>
  <c r="J65" i="2" s="1"/>
  <c r="K16" i="2" s="1"/>
  <c r="K65" i="2" s="1"/>
  <c r="L62" i="2"/>
  <c r="K63" i="2"/>
  <c r="R38" i="2"/>
  <c r="S21" i="2"/>
  <c r="T21" i="2" s="1"/>
  <c r="U21" i="2" s="1"/>
  <c r="V21" i="2" s="1"/>
  <c r="W21" i="2" s="1"/>
  <c r="W38" i="2" s="1"/>
  <c r="R37" i="2"/>
  <c r="S20" i="2"/>
  <c r="T20" i="2" s="1"/>
  <c r="U20" i="2" s="1"/>
  <c r="V20" i="2" s="1"/>
  <c r="W20" i="2" s="1"/>
  <c r="W37" i="2" s="1"/>
  <c r="R22" i="2"/>
  <c r="R36" i="2"/>
  <c r="C23" i="2"/>
  <c r="C31" i="2"/>
  <c r="G24" i="2"/>
  <c r="G17" i="2"/>
  <c r="E24" i="2"/>
  <c r="E17" i="2"/>
  <c r="G16" i="2"/>
  <c r="G65" i="2" s="1"/>
  <c r="F63" i="2"/>
  <c r="G63" i="2"/>
  <c r="F59" i="2"/>
  <c r="G59" i="2"/>
  <c r="M62" i="2" l="1"/>
  <c r="M63" i="2" s="1"/>
  <c r="L63" i="2"/>
  <c r="L16" i="2"/>
  <c r="L65" i="2" s="1"/>
  <c r="M16" i="2" s="1"/>
  <c r="D23" i="2"/>
  <c r="W22" i="2"/>
  <c r="W36" i="2"/>
  <c r="D25" i="2"/>
  <c r="D32" i="2"/>
  <c r="C25" i="2"/>
  <c r="C32" i="2"/>
  <c r="M40" i="1"/>
  <c r="M31" i="1"/>
  <c r="M27" i="1"/>
  <c r="M26" i="1"/>
  <c r="M12" i="1"/>
  <c r="M6" i="1"/>
  <c r="M8" i="1" l="1"/>
  <c r="M59" i="1"/>
  <c r="M65" i="2"/>
  <c r="N16" i="2"/>
  <c r="O16" i="2" s="1"/>
  <c r="P16" i="2" s="1"/>
  <c r="Q16" i="2" s="1"/>
  <c r="R16" i="2" s="1"/>
  <c r="S16" i="2" s="1"/>
  <c r="T16" i="2" s="1"/>
  <c r="U16" i="2" s="1"/>
  <c r="V16" i="2" s="1"/>
  <c r="W16" i="2" s="1"/>
  <c r="D27" i="2"/>
  <c r="D33" i="2"/>
  <c r="C27" i="2"/>
  <c r="C33" i="2"/>
  <c r="M13" i="1"/>
  <c r="M21" i="1"/>
  <c r="M39" i="1"/>
  <c r="L27" i="1"/>
  <c r="L26" i="1"/>
  <c r="L6" i="1"/>
  <c r="L8" i="1" l="1"/>
  <c r="L21" i="1" s="1"/>
  <c r="L59" i="1"/>
  <c r="D28" i="2"/>
  <c r="C28" i="2"/>
  <c r="L12" i="1"/>
  <c r="M15" i="1"/>
  <c r="M22" i="1"/>
  <c r="G50" i="2"/>
  <c r="J40" i="1"/>
  <c r="J27" i="1"/>
  <c r="J26" i="1"/>
  <c r="J12" i="1"/>
  <c r="N29" i="1" s="1"/>
  <c r="J6" i="1"/>
  <c r="J59" i="1" l="1"/>
  <c r="W35" i="2"/>
  <c r="R35" i="2"/>
  <c r="J31" i="1"/>
  <c r="M17" i="1"/>
  <c r="M18" i="1" s="1"/>
  <c r="M23" i="1"/>
  <c r="J39" i="1"/>
  <c r="G41" i="2"/>
  <c r="L13" i="1"/>
  <c r="J8" i="1"/>
  <c r="J21" i="1" s="1"/>
  <c r="H36" i="2"/>
  <c r="N13" i="1" l="1"/>
  <c r="L22" i="1"/>
  <c r="L15" i="1"/>
  <c r="J13" i="1"/>
  <c r="G49" i="2"/>
  <c r="G18" i="2"/>
  <c r="N22" i="1" l="1"/>
  <c r="N15" i="1"/>
  <c r="J22" i="1"/>
  <c r="J15" i="1"/>
  <c r="L23" i="1"/>
  <c r="L17" i="1"/>
  <c r="L18" i="1" s="1"/>
  <c r="J17" i="1" l="1"/>
  <c r="J23" i="1"/>
  <c r="N23" i="1" l="1"/>
  <c r="N17" i="1"/>
  <c r="N18" i="1" s="1"/>
  <c r="J18" i="1"/>
  <c r="M28" i="1"/>
  <c r="I6" i="1"/>
  <c r="M25" i="1" s="1"/>
  <c r="K27" i="1"/>
  <c r="K26" i="1"/>
  <c r="K12" i="1"/>
  <c r="K6" i="1"/>
  <c r="K59" i="1" s="1"/>
  <c r="I8" i="1" l="1"/>
  <c r="I12" i="1"/>
  <c r="K8" i="1"/>
  <c r="I26" i="1"/>
  <c r="I27" i="1"/>
  <c r="L28" i="1"/>
  <c r="H27" i="1"/>
  <c r="H26" i="1"/>
  <c r="H6" i="1"/>
  <c r="G57" i="2"/>
  <c r="D12" i="1"/>
  <c r="E12" i="1"/>
  <c r="J28" i="1"/>
  <c r="F42" i="2"/>
  <c r="F6" i="1"/>
  <c r="E6" i="1"/>
  <c r="E8" i="1" s="1"/>
  <c r="E21" i="1" s="1"/>
  <c r="D6" i="1"/>
  <c r="D8" i="1" s="1"/>
  <c r="C12" i="1"/>
  <c r="G27" i="1"/>
  <c r="G26" i="1"/>
  <c r="C6" i="1"/>
  <c r="C8" i="1" s="1"/>
  <c r="C21" i="1" s="1"/>
  <c r="G6" i="1"/>
  <c r="G8" i="1" s="1"/>
  <c r="K28" i="1"/>
  <c r="F46" i="2"/>
  <c r="F45" i="2"/>
  <c r="F43" i="2"/>
  <c r="F47" i="2"/>
  <c r="I29" i="2"/>
  <c r="J29" i="2" s="1"/>
  <c r="K29" i="2" s="1"/>
  <c r="L29" i="2" s="1"/>
  <c r="M29" i="2" s="1"/>
  <c r="N29" i="2" s="1"/>
  <c r="O29" i="2" s="1"/>
  <c r="P29" i="2" s="1"/>
  <c r="Q29" i="2" s="1"/>
  <c r="F10" i="2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l="1"/>
  <c r="S10" i="2" s="1"/>
  <c r="T10" i="2" s="1"/>
  <c r="U10" i="2" s="1"/>
  <c r="V10" i="2" s="1"/>
  <c r="W10" i="2" s="1"/>
  <c r="R29" i="2"/>
  <c r="S29" i="2" s="1"/>
  <c r="T29" i="2" s="1"/>
  <c r="U29" i="2" s="1"/>
  <c r="V29" i="2" s="1"/>
  <c r="W29" i="2" s="1"/>
  <c r="G25" i="1"/>
  <c r="H8" i="1"/>
  <c r="H21" i="1" s="1"/>
  <c r="L25" i="1"/>
  <c r="F8" i="1"/>
  <c r="F21" i="1" s="1"/>
  <c r="J25" i="1"/>
  <c r="E16" i="2"/>
  <c r="E22" i="2"/>
  <c r="G12" i="1"/>
  <c r="K29" i="1" s="1"/>
  <c r="F12" i="1"/>
  <c r="K25" i="1"/>
  <c r="I13" i="1"/>
  <c r="I15" i="1" s="1"/>
  <c r="I17" i="1" s="1"/>
  <c r="M29" i="1"/>
  <c r="F36" i="2"/>
  <c r="F41" i="2"/>
  <c r="F37" i="2"/>
  <c r="K13" i="1"/>
  <c r="K21" i="1"/>
  <c r="D13" i="1"/>
  <c r="D15" i="1" s="1"/>
  <c r="D21" i="1"/>
  <c r="F57" i="2"/>
  <c r="F50" i="2"/>
  <c r="F49" i="2"/>
  <c r="I28" i="1"/>
  <c r="E13" i="1"/>
  <c r="F16" i="2"/>
  <c r="F65" i="2" s="1"/>
  <c r="C13" i="1"/>
  <c r="H25" i="1"/>
  <c r="H12" i="1"/>
  <c r="G28" i="1"/>
  <c r="D7" i="2"/>
  <c r="D8" i="2" s="1"/>
  <c r="G21" i="1"/>
  <c r="H28" i="1"/>
  <c r="I29" i="1"/>
  <c r="E18" i="2" l="1"/>
  <c r="E31" i="2" s="1"/>
  <c r="E65" i="2"/>
  <c r="F38" i="2"/>
  <c r="F13" i="1"/>
  <c r="F15" i="1" s="1"/>
  <c r="D22" i="1"/>
  <c r="G22" i="2"/>
  <c r="G23" i="2" s="1"/>
  <c r="G25" i="2" s="1"/>
  <c r="I18" i="1"/>
  <c r="G13" i="1"/>
  <c r="G15" i="1" s="1"/>
  <c r="G23" i="1" s="1"/>
  <c r="J29" i="1"/>
  <c r="G29" i="1"/>
  <c r="H29" i="1"/>
  <c r="L29" i="1"/>
  <c r="K22" i="1"/>
  <c r="K15" i="1"/>
  <c r="D17" i="1"/>
  <c r="D23" i="1"/>
  <c r="I25" i="1"/>
  <c r="E23" i="2"/>
  <c r="C22" i="1"/>
  <c r="C15" i="1"/>
  <c r="G37" i="2"/>
  <c r="F22" i="1"/>
  <c r="E15" i="1"/>
  <c r="E22" i="1"/>
  <c r="F35" i="2"/>
  <c r="F18" i="2"/>
  <c r="H13" i="1"/>
  <c r="F22" i="2"/>
  <c r="F39" i="2" s="1"/>
  <c r="G17" i="1" l="1"/>
  <c r="G22" i="1"/>
  <c r="K17" i="1"/>
  <c r="K23" i="1"/>
  <c r="G36" i="2"/>
  <c r="H15" i="1"/>
  <c r="H22" i="1"/>
  <c r="H37" i="2"/>
  <c r="E32" i="2"/>
  <c r="E25" i="2"/>
  <c r="E17" i="1"/>
  <c r="E23" i="1"/>
  <c r="I21" i="1"/>
  <c r="G38" i="2"/>
  <c r="F23" i="2"/>
  <c r="F31" i="2"/>
  <c r="C23" i="1"/>
  <c r="C17" i="1"/>
  <c r="F23" i="1"/>
  <c r="F17" i="1"/>
  <c r="D18" i="1"/>
  <c r="G39" i="2"/>
  <c r="E18" i="1" l="1"/>
  <c r="N42" i="1"/>
  <c r="L42" i="1"/>
  <c r="G18" i="1"/>
  <c r="J42" i="1"/>
  <c r="F42" i="1"/>
  <c r="G42" i="1"/>
  <c r="N43" i="1"/>
  <c r="N44" i="1"/>
  <c r="N46" i="1"/>
  <c r="N45" i="1"/>
  <c r="F18" i="1"/>
  <c r="M42" i="1"/>
  <c r="K18" i="1"/>
  <c r="I22" i="1"/>
  <c r="H38" i="2"/>
  <c r="I22" i="2"/>
  <c r="H23" i="1"/>
  <c r="H17" i="1"/>
  <c r="K42" i="1" s="1"/>
  <c r="E27" i="2"/>
  <c r="E33" i="2"/>
  <c r="I37" i="2"/>
  <c r="G35" i="2"/>
  <c r="C18" i="1"/>
  <c r="F32" i="2"/>
  <c r="F25" i="2"/>
  <c r="F33" i="2" s="1"/>
  <c r="H39" i="2"/>
  <c r="H42" i="1" l="1"/>
  <c r="I42" i="1"/>
  <c r="F46" i="1"/>
  <c r="F45" i="1"/>
  <c r="F44" i="1"/>
  <c r="F43" i="1"/>
  <c r="H18" i="1"/>
  <c r="M46" i="1"/>
  <c r="M44" i="1"/>
  <c r="M45" i="1"/>
  <c r="M43" i="1"/>
  <c r="I39" i="2"/>
  <c r="I36" i="2"/>
  <c r="G31" i="2"/>
  <c r="I18" i="2" s="1"/>
  <c r="I17" i="2" s="1"/>
  <c r="E28" i="2"/>
  <c r="I38" i="2"/>
  <c r="J37" i="2"/>
  <c r="H35" i="2"/>
  <c r="F27" i="2"/>
  <c r="J46" i="1" l="1"/>
  <c r="J44" i="1"/>
  <c r="J45" i="1"/>
  <c r="J43" i="1"/>
  <c r="J39" i="2"/>
  <c r="F55" i="2"/>
  <c r="F54" i="2"/>
  <c r="F52" i="2"/>
  <c r="J36" i="2"/>
  <c r="I35" i="2"/>
  <c r="I23" i="1"/>
  <c r="F28" i="2"/>
  <c r="F53" i="2"/>
  <c r="K37" i="2"/>
  <c r="G32" i="2"/>
  <c r="J38" i="2"/>
  <c r="H32" i="2" l="1"/>
  <c r="H31" i="2"/>
  <c r="I23" i="2" s="1"/>
  <c r="K22" i="2"/>
  <c r="K39" i="2" s="1"/>
  <c r="K36" i="2"/>
  <c r="G33" i="2"/>
  <c r="J35" i="2"/>
  <c r="L37" i="2"/>
  <c r="K38" i="2"/>
  <c r="I31" i="2" l="1"/>
  <c r="J18" i="2" s="1"/>
  <c r="J17" i="2" s="1"/>
  <c r="S36" i="2"/>
  <c r="G27" i="2"/>
  <c r="L36" i="2"/>
  <c r="K35" i="2"/>
  <c r="L38" i="2"/>
  <c r="L22" i="2"/>
  <c r="L39" i="2" s="1"/>
  <c r="M37" i="2"/>
  <c r="I32" i="2"/>
  <c r="J31" i="2" l="1"/>
  <c r="K18" i="2" s="1"/>
  <c r="K31" i="2" s="1"/>
  <c r="L18" i="2" s="1"/>
  <c r="L17" i="2" s="1"/>
  <c r="J23" i="2"/>
  <c r="J32" i="2" s="1"/>
  <c r="T36" i="2"/>
  <c r="G28" i="2"/>
  <c r="G52" i="2"/>
  <c r="G54" i="2"/>
  <c r="G53" i="2"/>
  <c r="G55" i="2"/>
  <c r="M36" i="2"/>
  <c r="N22" i="2"/>
  <c r="M38" i="2"/>
  <c r="L35" i="2"/>
  <c r="M22" i="2"/>
  <c r="M39" i="2" s="1"/>
  <c r="N37" i="2"/>
  <c r="K23" i="2" l="1"/>
  <c r="K32" i="2" s="1"/>
  <c r="K17" i="2"/>
  <c r="U36" i="2"/>
  <c r="N36" i="2"/>
  <c r="H33" i="2"/>
  <c r="L23" i="2"/>
  <c r="L31" i="2"/>
  <c r="M18" i="2" s="1"/>
  <c r="M35" i="2"/>
  <c r="N39" i="2"/>
  <c r="O37" i="2"/>
  <c r="N38" i="2"/>
  <c r="V36" i="2" l="1"/>
  <c r="H27" i="2"/>
  <c r="O36" i="2"/>
  <c r="N35" i="2"/>
  <c r="P37" i="2"/>
  <c r="M23" i="2"/>
  <c r="M31" i="2"/>
  <c r="N18" i="2" s="1"/>
  <c r="L32" i="2"/>
  <c r="M17" i="2"/>
  <c r="O38" i="2"/>
  <c r="O22" i="2"/>
  <c r="O39" i="2" s="1"/>
  <c r="H53" i="2" l="1"/>
  <c r="H28" i="2"/>
  <c r="H54" i="2"/>
  <c r="H55" i="2"/>
  <c r="H52" i="2"/>
  <c r="P36" i="2"/>
  <c r="N23" i="2"/>
  <c r="N31" i="2"/>
  <c r="O18" i="2" s="1"/>
  <c r="N17" i="2"/>
  <c r="P38" i="2"/>
  <c r="M32" i="2"/>
  <c r="P22" i="2"/>
  <c r="P39" i="2" s="1"/>
  <c r="Q37" i="2"/>
  <c r="Q22" i="2"/>
  <c r="R39" i="2" s="1"/>
  <c r="O35" i="2"/>
  <c r="S37" i="2" l="1"/>
  <c r="S22" i="2"/>
  <c r="Q36" i="2"/>
  <c r="O31" i="2"/>
  <c r="P18" i="2" s="1"/>
  <c r="P17" i="2" s="1"/>
  <c r="O23" i="2"/>
  <c r="O17" i="2"/>
  <c r="P35" i="2"/>
  <c r="Q39" i="2"/>
  <c r="I24" i="2"/>
  <c r="I25" i="2" s="1"/>
  <c r="Q38" i="2"/>
  <c r="N32" i="2"/>
  <c r="S39" i="2" l="1"/>
  <c r="T37" i="2"/>
  <c r="S38" i="2"/>
  <c r="I26" i="2"/>
  <c r="I33" i="2" s="1"/>
  <c r="O32" i="2"/>
  <c r="Q35" i="2"/>
  <c r="P23" i="2"/>
  <c r="P31" i="2"/>
  <c r="Q18" i="2" s="1"/>
  <c r="T22" i="2" l="1"/>
  <c r="T39" i="2" s="1"/>
  <c r="U22" i="2"/>
  <c r="T38" i="2"/>
  <c r="U37" i="2"/>
  <c r="S35" i="2"/>
  <c r="I27" i="2"/>
  <c r="Q23" i="2"/>
  <c r="Q31" i="2"/>
  <c r="R18" i="2" s="1"/>
  <c r="Q17" i="2"/>
  <c r="P32" i="2"/>
  <c r="R31" i="2" l="1"/>
  <c r="R23" i="2"/>
  <c r="R32" i="2" s="1"/>
  <c r="R17" i="2"/>
  <c r="U39" i="2"/>
  <c r="V37" i="2"/>
  <c r="U38" i="2"/>
  <c r="V38" i="2"/>
  <c r="S18" i="2"/>
  <c r="T35" i="2"/>
  <c r="I28" i="2"/>
  <c r="I41" i="2"/>
  <c r="J24" i="2" s="1"/>
  <c r="J25" i="2" s="1"/>
  <c r="Q32" i="2"/>
  <c r="V22" i="2" l="1"/>
  <c r="U35" i="2"/>
  <c r="S31" i="2"/>
  <c r="T18" i="2" s="1"/>
  <c r="S23" i="2"/>
  <c r="S17" i="2"/>
  <c r="J26" i="2"/>
  <c r="J33" i="2" s="1"/>
  <c r="V39" i="2" l="1"/>
  <c r="W39" i="2"/>
  <c r="S32" i="2"/>
  <c r="T31" i="2"/>
  <c r="U18" i="2" s="1"/>
  <c r="T23" i="2"/>
  <c r="T17" i="2"/>
  <c r="V35" i="2"/>
  <c r="J27" i="2"/>
  <c r="J41" i="2" l="1"/>
  <c r="K24" i="2" s="1"/>
  <c r="K25" i="2" s="1"/>
  <c r="T32" i="2"/>
  <c r="U17" i="2"/>
  <c r="U31" i="2"/>
  <c r="V18" i="2" s="1"/>
  <c r="U23" i="2"/>
  <c r="J28" i="2"/>
  <c r="U32" i="2" l="1"/>
  <c r="V31" i="2"/>
  <c r="W18" i="2" s="1"/>
  <c r="V23" i="2"/>
  <c r="V17" i="2"/>
  <c r="K26" i="2"/>
  <c r="K33" i="2" s="1"/>
  <c r="W31" i="2" l="1"/>
  <c r="W23" i="2"/>
  <c r="W32" i="2" s="1"/>
  <c r="W17" i="2"/>
  <c r="V32" i="2"/>
  <c r="K27" i="2"/>
  <c r="K28" i="2" l="1"/>
  <c r="K41" i="2"/>
  <c r="L24" i="2" s="1"/>
  <c r="L25" i="2" s="1"/>
  <c r="L26" i="2" l="1"/>
  <c r="L33" i="2" s="1"/>
  <c r="L27" i="2" l="1"/>
  <c r="L28" i="2" s="1"/>
  <c r="L41" i="2" l="1"/>
  <c r="M24" i="2"/>
  <c r="M25" i="2" s="1"/>
  <c r="M26" i="2" l="1"/>
  <c r="M33" i="2" s="1"/>
  <c r="M27" i="2" l="1"/>
  <c r="M41" i="2"/>
  <c r="M28" i="2" l="1"/>
  <c r="N24" i="2"/>
  <c r="N25" i="2" s="1"/>
  <c r="N26" i="2" l="1"/>
  <c r="N33" i="2" s="1"/>
  <c r="N27" i="2" l="1"/>
  <c r="N28" i="2" l="1"/>
  <c r="N41" i="2"/>
  <c r="O24" i="2" l="1"/>
  <c r="O25" i="2" s="1"/>
  <c r="O26" i="2" l="1"/>
  <c r="O33" i="2" s="1"/>
  <c r="O27" i="2" l="1"/>
  <c r="O41" i="2" s="1"/>
  <c r="O28" i="2" l="1"/>
  <c r="P24" i="2"/>
  <c r="P25" i="2" s="1"/>
  <c r="P26" i="2" l="1"/>
  <c r="P33" i="2" s="1"/>
  <c r="P27" i="2" l="1"/>
  <c r="P28" i="2" l="1"/>
  <c r="P41" i="2"/>
  <c r="Q24" i="2" s="1"/>
  <c r="Q25" i="2" s="1"/>
  <c r="Q26" i="2" l="1"/>
  <c r="Q33" i="2" s="1"/>
  <c r="Q27" i="2" l="1"/>
  <c r="Q28" i="2" l="1"/>
  <c r="Q41" i="2"/>
  <c r="R24" i="2" l="1"/>
  <c r="R25" i="2" s="1"/>
  <c r="R26" i="2" l="1"/>
  <c r="R33" i="2" s="1"/>
  <c r="R27" i="2"/>
  <c r="R28" i="2" l="1"/>
  <c r="R41" i="2"/>
  <c r="S24" i="2" s="1"/>
  <c r="S25" i="2" s="1"/>
  <c r="S26" i="2" s="1"/>
  <c r="S33" i="2" s="1"/>
  <c r="S27" i="2" l="1"/>
  <c r="S28" i="2" s="1"/>
  <c r="S41" i="2" l="1"/>
  <c r="T24" i="2" s="1"/>
  <c r="T25" i="2" s="1"/>
  <c r="T26" i="2" s="1"/>
  <c r="T33" i="2" s="1"/>
  <c r="T27" i="2" l="1"/>
  <c r="T28" i="2" l="1"/>
  <c r="T41" i="2"/>
  <c r="U24" i="2" l="1"/>
  <c r="U25" i="2" s="1"/>
  <c r="U26" i="2" l="1"/>
  <c r="U33" i="2" s="1"/>
  <c r="U27" i="2" l="1"/>
  <c r="U28" i="2" s="1"/>
  <c r="U41" i="2" l="1"/>
  <c r="V24" i="2" s="1"/>
  <c r="V25" i="2" s="1"/>
  <c r="V26" i="2" l="1"/>
  <c r="V33" i="2" s="1"/>
  <c r="V27" i="2" l="1"/>
  <c r="V28" i="2" l="1"/>
  <c r="V41" i="2"/>
  <c r="W24" i="2" l="1"/>
  <c r="W25" i="2" s="1"/>
  <c r="W26" i="2" l="1"/>
  <c r="W33" i="2" s="1"/>
  <c r="W27" i="2" l="1"/>
  <c r="X27" i="2" s="1"/>
  <c r="W28" i="2"/>
  <c r="Y27" i="2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GS27" i="2" s="1"/>
  <c r="W41" i="2"/>
  <c r="G7" i="2" l="1"/>
  <c r="G8" i="2" s="1"/>
  <c r="H8" i="2" s="1"/>
</calcChain>
</file>

<file path=xl/sharedStrings.xml><?xml version="1.0" encoding="utf-8"?>
<sst xmlns="http://schemas.openxmlformats.org/spreadsheetml/2006/main" count="126" uniqueCount="80">
  <si>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</si>
  <si>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</si>
  <si>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</si>
  <si>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</si>
  <si>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</si>
  <si>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</si>
  <si>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</si>
  <si>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</si>
  <si>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</si>
  <si>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</si>
  <si>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</si>
  <si>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</si>
  <si>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</si>
  <si>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</si>
  <si>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</si>
  <si>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</si>
  <si>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</si>
  <si>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</si>
  <si>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</si>
  <si>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</si>
  <si>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</si>
  <si>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</si>
  <si>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</si>
  <si>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</si>
  <si>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</si>
  <si>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</si>
  <si>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</si>
  <si>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</si>
  <si>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</si>
  <si>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</si>
  <si>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</si>
  <si>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</si>
  <si>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</si>
  <si>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</si>
  <si>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</si>
  <si>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</si>
  <si>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</si>
  <si>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</si>
  <si>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</si>
  <si>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</si>
  <si>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</si>
  <si>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</si>
  <si>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</si>
  <si>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</si>
  <si>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</si>
  <si>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</si>
  <si>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</si>
  <si>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</si>
  <si>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</si>
  <si>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</si>
  <si>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</si>
  <si>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</si>
  <si>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</si>
  <si>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Q120</t>
  </si>
  <si>
    <t>Q420</t>
  </si>
  <si>
    <t>Q220</t>
  </si>
  <si>
    <t>Q320</t>
  </si>
  <si>
    <t>Airbnb Inc (ABNB)</t>
  </si>
  <si>
    <t>Bookings</t>
  </si>
  <si>
    <t>Bookings y/y</t>
  </si>
  <si>
    <t>GBV</t>
  </si>
  <si>
    <t>GBV y/y</t>
  </si>
  <si>
    <t>Platform</t>
  </si>
  <si>
    <t>Platform y/y</t>
  </si>
  <si>
    <t>ARPB</t>
  </si>
  <si>
    <t>ARPB y/y</t>
  </si>
  <si>
    <t>Brian Chesky</t>
  </si>
  <si>
    <t>Joe Gebbia</t>
  </si>
  <si>
    <t>OE y/y</t>
  </si>
  <si>
    <t>R/ GBV</t>
  </si>
  <si>
    <t>R/GBV</t>
  </si>
  <si>
    <t>Q121</t>
  </si>
  <si>
    <t>Q221</t>
  </si>
  <si>
    <t>Q321</t>
  </si>
  <si>
    <t>Q412</t>
  </si>
  <si>
    <t>INVESTOR</t>
  </si>
  <si>
    <t>Net Income TTM</t>
  </si>
  <si>
    <t>Revenue TTM</t>
  </si>
  <si>
    <t>Revenue TTM y/y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</si>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</sst>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  <xf numFmtId="9" fontId="6" fillId="0" borderId="0" xfId="0" applyNumberFormat="1" applyFont="1" applyBorder="1"/>
    <xf numFmtId="0" fontId="4" fillId="0" borderId="0" xfId="4" applyBorder="1" applyAlignment="1">
      <alignment horizontal="left"/>
    </xf>
    <xf numFmtId="0" fontId="4" fillId="0" borderId="0" xfId="4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5" fillId="0" borderId="0" xfId="0" applyNumberFormat="1" applyFont="1" applyBorder="1" applyAlignment="1">
      <alignment horizontal="left"/>
    </xf>
    <xf numFmtId="4" fontId="6" fillId="0" borderId="0" xfId="0" applyNumberFormat="1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9" fontId="6" fillId="0" borderId="0" xfId="0" applyNumberFormat="1" applyFont="1" applyBorder="1" applyAlignment="1">
      <alignment horizontal="left"/>
    </xf>
    <xf numFmtId="3" fontId="6" fillId="0" borderId="1" xfId="0" applyNumberFormat="1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9" fontId="5" fillId="0" borderId="0" xfId="0" applyNumberFormat="1" applyFont="1" applyBorder="1" applyAlignment="1">
      <alignment horizontal="lef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0" xfId="0" applyNumberFormat="1" applyFont="1" applyBorder="1"/>
    <xf numFmtId="0" fontId="8" fillId="0" borderId="0" xfId="0" applyFont="1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185420</xdr:colOff>
      <xdr:row>9</xdr:row>
      <xdr:rowOff>20320</xdr:rowOff>
    </xdr:from>
    <xdr:to>
      <xdr:col>8</xdr:col>
      <xdr:colOff>185420</xdr:colOff>
      <xdr:row>65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6677660" y="1320800"/>
          <a:ext cx="0" cy="923544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165100</xdr:colOff>
      <xdr:row>1</xdr:row>
      <xdr:rowOff>152400</xdr:rowOff>
    </xdr:from>
    <xdr:to>
      <xdr:col>14</xdr:col>
      <xdr:colOff>165100</xdr:colOff>
      <xdr:row>60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1351260" y="152400"/>
          <a:ext cx="0" cy="89509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rian_Chesky" TargetMode="External"/><Relationship Id="rId2" Type="http://schemas.openxmlformats.org/officeDocument/2006/relationships/hyperlink" Target="https://en.wikipedia.org/wiki/Brian_Chesky" TargetMode="External"/><Relationship Id="rId1" Type="http://schemas.openxmlformats.org/officeDocument/2006/relationships/hyperlink" Target="https://investors.airbnb.com/home/default.aspx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en.wikipedia.org/wiki/Joe_Gebbi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559720&amp;owner=in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65"/>
  <sheetViews>
    <sheetView tabSelected="1" zoomScale="125" zoomScaleNormal="125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E37" sqref="E37"/>
    </sheetView>
  </sheetViews>
  <sheetFormatPr baseColWidth="10" defaultRowHeight="13" x14ac:dyDescent="0.15"/>
  <cols>
    <col min="1" max="1" width="9.83203125" style="2" bestFit="1" customWidth="1"/>
    <col min="2" max="2" width="20.33203125" style="2" bestFit="1" customWidth="1"/>
    <col min="3" max="16384" width="10.83203125" style="2"/>
  </cols>
  <sheetData>
    <row r="1" spans="1:118" x14ac:dyDescent="0.15">
      <c r="A1" s="63" t="s">
        <v>75</v>
      </c>
    </row>
    <row r="2" spans="1:118" x14ac:dyDescent="0.15">
      <c r="B2" s="1" t="s">
        <v>34</v>
      </c>
      <c r="C2" s="1" t="s">
        <v>57</v>
      </c>
    </row>
    <row r="3" spans="1:118" x14ac:dyDescent="0.15">
      <c r="B3" s="64" t="s">
        <v>66</v>
      </c>
      <c r="C3" s="2" t="s">
        <v>36</v>
      </c>
      <c r="D3" s="3">
        <v>206.35</v>
      </c>
      <c r="E3" s="61">
        <v>44253</v>
      </c>
      <c r="F3" s="5" t="s">
        <v>21</v>
      </c>
      <c r="G3" s="6">
        <v>5.0000000000000001E-4</v>
      </c>
      <c r="J3" s="15"/>
      <c r="M3" s="1"/>
    </row>
    <row r="4" spans="1:118" x14ac:dyDescent="0.15">
      <c r="C4" s="2" t="s">
        <v>13</v>
      </c>
      <c r="D4" s="7">
        <f>Reports!N19</f>
        <v>608.43474600000002</v>
      </c>
      <c r="E4" s="62" t="s">
        <v>54</v>
      </c>
      <c r="F4" s="5" t="s">
        <v>22</v>
      </c>
      <c r="G4" s="6">
        <v>0.02</v>
      </c>
      <c r="H4" s="4"/>
      <c r="J4" s="15"/>
    </row>
    <row r="5" spans="1:118" x14ac:dyDescent="0.15">
      <c r="B5" s="1" t="s">
        <v>35</v>
      </c>
      <c r="C5" s="2" t="s">
        <v>37</v>
      </c>
      <c r="D5" s="9">
        <f>D3*D4</f>
        <v>125550.50983710001</v>
      </c>
      <c r="E5" s="62"/>
      <c r="F5" s="5" t="s">
        <v>23</v>
      </c>
      <c r="G5" s="6">
        <v>7.0000000000000007E-2</v>
      </c>
      <c r="H5" s="4"/>
      <c r="J5" s="18"/>
      <c r="M5" s="8"/>
    </row>
    <row r="6" spans="1:118" x14ac:dyDescent="0.15">
      <c r="B6" s="64" t="s">
        <v>66</v>
      </c>
      <c r="C6" s="2" t="s">
        <v>18</v>
      </c>
      <c r="D6" s="7">
        <f>Reports!N31</f>
        <v>4576</v>
      </c>
      <c r="E6" s="62" t="s">
        <v>54</v>
      </c>
      <c r="F6" s="5" t="s">
        <v>24</v>
      </c>
      <c r="G6" s="10">
        <f>NPV(G5,I27:GS27)</f>
        <v>66853.851332445862</v>
      </c>
      <c r="H6" s="4"/>
      <c r="J6" s="18"/>
    </row>
    <row r="7" spans="1:118" x14ac:dyDescent="0.15">
      <c r="B7" s="64" t="s">
        <v>67</v>
      </c>
      <c r="C7" s="2" t="s">
        <v>38</v>
      </c>
      <c r="D7" s="9">
        <f>D5-D6</f>
        <v>120974.50983710001</v>
      </c>
      <c r="E7" s="62"/>
      <c r="F7" s="11" t="s">
        <v>25</v>
      </c>
      <c r="G7" s="12">
        <f>G6+D6</f>
        <v>71429.851332445862</v>
      </c>
      <c r="J7" s="18"/>
    </row>
    <row r="8" spans="1:118" x14ac:dyDescent="0.15">
      <c r="C8" s="4" t="s">
        <v>39</v>
      </c>
      <c r="D8" s="42">
        <f>D7/D4</f>
        <v>198.82906200281337</v>
      </c>
      <c r="E8" s="62"/>
      <c r="F8" s="13" t="s">
        <v>39</v>
      </c>
      <c r="G8" s="41">
        <f>G7/D4</f>
        <v>117.39936254798614</v>
      </c>
      <c r="H8" s="18">
        <f>G8/D3-1</f>
        <v>-0.43106681585662154</v>
      </c>
    </row>
    <row r="9" spans="1:118" x14ac:dyDescent="0.15">
      <c r="F9" s="5"/>
      <c r="G9" s="14"/>
    </row>
    <row r="10" spans="1:118" x14ac:dyDescent="0.15">
      <c r="C10" s="37">
        <v>2015</v>
      </c>
      <c r="D10" s="37">
        <v>2016</v>
      </c>
      <c r="E10" s="37">
        <v>2017</v>
      </c>
      <c r="F10" s="37">
        <f>E10+1</f>
        <v>2018</v>
      </c>
      <c r="G10" s="37">
        <f t="shared" ref="G10:W10" si="0">F10+1</f>
        <v>2019</v>
      </c>
      <c r="H10" s="37">
        <f t="shared" si="0"/>
        <v>2020</v>
      </c>
      <c r="I10" s="37">
        <f t="shared" si="0"/>
        <v>2021</v>
      </c>
      <c r="J10" s="37">
        <f t="shared" si="0"/>
        <v>2022</v>
      </c>
      <c r="K10" s="37">
        <f t="shared" si="0"/>
        <v>2023</v>
      </c>
      <c r="L10" s="37">
        <f t="shared" si="0"/>
        <v>2024</v>
      </c>
      <c r="M10" s="37">
        <f t="shared" si="0"/>
        <v>2025</v>
      </c>
      <c r="N10" s="37">
        <f t="shared" si="0"/>
        <v>2026</v>
      </c>
      <c r="O10" s="37">
        <f t="shared" si="0"/>
        <v>2027</v>
      </c>
      <c r="P10" s="37">
        <f t="shared" si="0"/>
        <v>2028</v>
      </c>
      <c r="Q10" s="37">
        <f t="shared" si="0"/>
        <v>2029</v>
      </c>
      <c r="R10" s="37">
        <f t="shared" si="0"/>
        <v>2030</v>
      </c>
      <c r="S10" s="37">
        <f t="shared" si="0"/>
        <v>2031</v>
      </c>
      <c r="T10" s="37">
        <f t="shared" si="0"/>
        <v>2032</v>
      </c>
      <c r="U10" s="37">
        <f t="shared" si="0"/>
        <v>2033</v>
      </c>
      <c r="V10" s="37">
        <f t="shared" si="0"/>
        <v>2034</v>
      </c>
      <c r="W10" s="37">
        <f t="shared" si="0"/>
        <v>2035</v>
      </c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  <c r="DN10" s="37"/>
    </row>
    <row r="11" spans="1:118" x14ac:dyDescent="0.15">
      <c r="B11" s="7" t="s">
        <v>62</v>
      </c>
      <c r="C11" s="36">
        <v>919</v>
      </c>
      <c r="D11" s="36">
        <v>1655.576</v>
      </c>
      <c r="E11" s="36">
        <v>2561.721</v>
      </c>
      <c r="F11" s="36">
        <f>SUM(Reports!C4:F4)</f>
        <v>3651.9850000000001</v>
      </c>
      <c r="G11" s="36">
        <v>4805.2389999999996</v>
      </c>
      <c r="H11" s="36">
        <f>SUM(Reports!K4:N4)</f>
        <v>3378.1990000000001</v>
      </c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</row>
    <row r="12" spans="1:118" x14ac:dyDescent="0.15">
      <c r="B12" s="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</row>
    <row r="13" spans="1:118" s="15" customFormat="1" x14ac:dyDescent="0.15">
      <c r="B13" s="15" t="s">
        <v>58</v>
      </c>
      <c r="C13" s="15">
        <v>72.400000000000006</v>
      </c>
      <c r="D13" s="15">
        <v>125.7</v>
      </c>
      <c r="E13" s="15">
        <v>185.8</v>
      </c>
      <c r="F13" s="15">
        <v>250.3</v>
      </c>
      <c r="G13" s="15">
        <v>326.89999999999998</v>
      </c>
      <c r="H13" s="15">
        <f>SUM(Reports!K53:N53)</f>
        <v>193.2</v>
      </c>
      <c r="I13" s="15">
        <f>H13*1.5</f>
        <v>289.79999999999995</v>
      </c>
      <c r="J13" s="15">
        <f>I13*1.3</f>
        <v>376.73999999999995</v>
      </c>
      <c r="K13" s="15">
        <f t="shared" ref="K13:M13" si="1">J13*1.3</f>
        <v>489.76199999999994</v>
      </c>
      <c r="L13" s="15">
        <f t="shared" si="1"/>
        <v>636.6905999999999</v>
      </c>
      <c r="M13" s="15">
        <f t="shared" si="1"/>
        <v>827.69777999999985</v>
      </c>
    </row>
    <row r="14" spans="1:118" x14ac:dyDescent="0.15">
      <c r="B14" s="7" t="s">
        <v>64</v>
      </c>
      <c r="C14" s="53">
        <f t="shared" ref="C14:H14" si="2">C11/C13</f>
        <v>12.693370165745856</v>
      </c>
      <c r="D14" s="53">
        <f t="shared" si="2"/>
        <v>13.17085123309467</v>
      </c>
      <c r="E14" s="53">
        <f t="shared" si="2"/>
        <v>13.787518837459633</v>
      </c>
      <c r="F14" s="53">
        <f t="shared" si="2"/>
        <v>14.590431482221334</v>
      </c>
      <c r="G14" s="53">
        <f t="shared" si="2"/>
        <v>14.699415723462833</v>
      </c>
      <c r="H14" s="53">
        <f t="shared" si="2"/>
        <v>17.485502070393377</v>
      </c>
      <c r="I14" s="36">
        <f>H14*1.15</f>
        <v>20.108327380952382</v>
      </c>
      <c r="J14" s="36">
        <f t="shared" ref="J14:M14" si="3">I14*1.15</f>
        <v>23.124576488095236</v>
      </c>
      <c r="K14" s="36">
        <f t="shared" si="3"/>
        <v>26.59326296130952</v>
      </c>
      <c r="L14" s="36">
        <f t="shared" si="3"/>
        <v>30.582252405505947</v>
      </c>
      <c r="M14" s="36">
        <f t="shared" si="3"/>
        <v>35.169590266331838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</row>
    <row r="15" spans="1:118" s="56" customFormat="1" x14ac:dyDescent="0.15">
      <c r="G15" s="46"/>
      <c r="H15" s="46"/>
      <c r="I15" s="46"/>
      <c r="J15" s="46"/>
    </row>
    <row r="16" spans="1:118" x14ac:dyDescent="0.15">
      <c r="B16" s="1" t="s">
        <v>0</v>
      </c>
      <c r="C16" s="23">
        <f t="shared" ref="C16:H16" si="4">SUM(C11:C11)</f>
        <v>919</v>
      </c>
      <c r="D16" s="23">
        <f t="shared" si="4"/>
        <v>1655.576</v>
      </c>
      <c r="E16" s="23">
        <f t="shared" si="4"/>
        <v>2561.721</v>
      </c>
      <c r="F16" s="23">
        <f t="shared" si="4"/>
        <v>3651.9850000000001</v>
      </c>
      <c r="G16" s="23">
        <f t="shared" si="4"/>
        <v>4805.2389999999996</v>
      </c>
      <c r="H16" s="23">
        <f t="shared" si="4"/>
        <v>3378.1990000000001</v>
      </c>
      <c r="I16" s="45">
        <f>I62*H65</f>
        <v>4391.6587</v>
      </c>
      <c r="J16" s="45">
        <f>J62*I65</f>
        <v>6587.4880499999999</v>
      </c>
      <c r="K16" s="45">
        <f t="shared" ref="K16:M16" si="5">K62*J65</f>
        <v>9551.8576725000003</v>
      </c>
      <c r="L16" s="45">
        <f t="shared" si="5"/>
        <v>13372.6007415</v>
      </c>
      <c r="M16" s="45">
        <f t="shared" si="5"/>
        <v>18053.011001024999</v>
      </c>
      <c r="N16" s="45">
        <f>M16*1.15</f>
        <v>20760.962651178746</v>
      </c>
      <c r="O16" s="45">
        <f t="shared" ref="O16:R16" si="6">N16*1.15</f>
        <v>23875.107048855556</v>
      </c>
      <c r="P16" s="45">
        <f t="shared" si="6"/>
        <v>27456.373106183888</v>
      </c>
      <c r="Q16" s="45">
        <f t="shared" si="6"/>
        <v>31574.829072111468</v>
      </c>
      <c r="R16" s="45">
        <f t="shared" si="6"/>
        <v>36311.053432928187</v>
      </c>
      <c r="S16" s="45">
        <f>R16*1.05</f>
        <v>38126.606104574596</v>
      </c>
      <c r="T16" s="45">
        <f t="shared" ref="T16:W16" si="7">S16*1.05</f>
        <v>40032.936409803326</v>
      </c>
      <c r="U16" s="45">
        <f t="shared" si="7"/>
        <v>42034.583230293494</v>
      </c>
      <c r="V16" s="45">
        <f t="shared" si="7"/>
        <v>44136.312391808169</v>
      </c>
      <c r="W16" s="45">
        <f t="shared" si="7"/>
        <v>46343.128011398578</v>
      </c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</row>
    <row r="17" spans="2:201" x14ac:dyDescent="0.15">
      <c r="B17" s="2" t="s">
        <v>1</v>
      </c>
      <c r="C17" s="36">
        <f>226+181</f>
        <v>407</v>
      </c>
      <c r="D17" s="36">
        <f>413+270</f>
        <v>683</v>
      </c>
      <c r="E17" s="36">
        <f>648+396</f>
        <v>1044</v>
      </c>
      <c r="F17" s="36">
        <f>SUM(Reports!C7:F7)</f>
        <v>1473</v>
      </c>
      <c r="G17" s="36">
        <f>1196+815</f>
        <v>2011</v>
      </c>
      <c r="H17" s="36">
        <f>SUM(Reports!K7:N7)</f>
        <v>1753.279</v>
      </c>
      <c r="I17" s="22">
        <f>I16-I18</f>
        <v>1837.916000785809</v>
      </c>
      <c r="J17" s="22">
        <f t="shared" ref="J17:Q17" si="8">J16-J18</f>
        <v>2756.8740011787136</v>
      </c>
      <c r="K17" s="22">
        <f t="shared" si="8"/>
        <v>3997.4673017091354</v>
      </c>
      <c r="L17" s="22">
        <f>L16-L18</f>
        <v>5596.4542223927892</v>
      </c>
      <c r="M17" s="22">
        <f t="shared" si="8"/>
        <v>7555.2132002302642</v>
      </c>
      <c r="N17" s="22">
        <f t="shared" si="8"/>
        <v>8688.4951802648029</v>
      </c>
      <c r="O17" s="22">
        <f t="shared" si="8"/>
        <v>9991.7694573045228</v>
      </c>
      <c r="P17" s="22">
        <f t="shared" si="8"/>
        <v>11490.534875900201</v>
      </c>
      <c r="Q17" s="22">
        <f t="shared" si="8"/>
        <v>13214.11510728523</v>
      </c>
      <c r="R17" s="22">
        <f t="shared" ref="R17" si="9">R16-R18</f>
        <v>15196.232373378014</v>
      </c>
      <c r="S17" s="22">
        <f t="shared" ref="S17:V17" si="10">S16-S18</f>
        <v>15956.043992046914</v>
      </c>
      <c r="T17" s="22">
        <f t="shared" si="10"/>
        <v>16753.84619164926</v>
      </c>
      <c r="U17" s="22">
        <f t="shared" si="10"/>
        <v>17591.538501231724</v>
      </c>
      <c r="V17" s="22">
        <f t="shared" si="10"/>
        <v>18471.115426293309</v>
      </c>
      <c r="W17" s="22">
        <f t="shared" ref="W17" si="11">W16-W18</f>
        <v>19394.671197607975</v>
      </c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</row>
    <row r="18" spans="2:201" x14ac:dyDescent="0.15">
      <c r="B18" s="2" t="s">
        <v>2</v>
      </c>
      <c r="C18" s="25">
        <f t="shared" ref="C18:H18" si="12">C16-C17</f>
        <v>512</v>
      </c>
      <c r="D18" s="25">
        <f t="shared" si="12"/>
        <v>972.57600000000002</v>
      </c>
      <c r="E18" s="25">
        <f t="shared" si="12"/>
        <v>1517.721</v>
      </c>
      <c r="F18" s="25">
        <f t="shared" si="12"/>
        <v>2178.9850000000001</v>
      </c>
      <c r="G18" s="25">
        <f t="shared" si="12"/>
        <v>2794.2389999999996</v>
      </c>
      <c r="H18" s="25">
        <f t="shared" si="12"/>
        <v>1624.92</v>
      </c>
      <c r="I18" s="22">
        <f>I16*G31</f>
        <v>2553.7426992141909</v>
      </c>
      <c r="J18" s="22">
        <f t="shared" ref="J18:W18" si="13">J16*I31</f>
        <v>3830.6140488212864</v>
      </c>
      <c r="K18" s="22">
        <f t="shared" si="13"/>
        <v>5554.3903707908648</v>
      </c>
      <c r="L18" s="22">
        <f>L16*K31</f>
        <v>7776.1465191072111</v>
      </c>
      <c r="M18" s="22">
        <f t="shared" si="13"/>
        <v>10497.797800794735</v>
      </c>
      <c r="N18" s="22">
        <f t="shared" si="13"/>
        <v>12072.467470913944</v>
      </c>
      <c r="O18" s="22">
        <f t="shared" si="13"/>
        <v>13883.337591551033</v>
      </c>
      <c r="P18" s="22">
        <f t="shared" si="13"/>
        <v>15965.838230283687</v>
      </c>
      <c r="Q18" s="22">
        <f t="shared" si="13"/>
        <v>18360.713964826238</v>
      </c>
      <c r="R18" s="22">
        <f t="shared" si="13"/>
        <v>21114.821059550173</v>
      </c>
      <c r="S18" s="22">
        <f t="shared" si="13"/>
        <v>22170.562112527681</v>
      </c>
      <c r="T18" s="22">
        <f t="shared" si="13"/>
        <v>23279.090218154066</v>
      </c>
      <c r="U18" s="22">
        <f t="shared" si="13"/>
        <v>24443.04472906177</v>
      </c>
      <c r="V18" s="22">
        <f t="shared" si="13"/>
        <v>25665.19696551486</v>
      </c>
      <c r="W18" s="22">
        <f t="shared" si="13"/>
        <v>26948.456813790603</v>
      </c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</row>
    <row r="19" spans="2:201" x14ac:dyDescent="0.15">
      <c r="B19" s="2" t="s">
        <v>3</v>
      </c>
      <c r="C19" s="36">
        <v>100</v>
      </c>
      <c r="D19" s="36">
        <v>228</v>
      </c>
      <c r="E19" s="36">
        <v>401</v>
      </c>
      <c r="F19" s="36">
        <f>SUM(Reports!C9:F9)</f>
        <v>579</v>
      </c>
      <c r="G19" s="36">
        <v>977</v>
      </c>
      <c r="H19" s="36">
        <f>SUM(Reports!K9:N9)</f>
        <v>938</v>
      </c>
      <c r="I19" s="22">
        <f>H19*1.3</f>
        <v>1219.4000000000001</v>
      </c>
      <c r="J19" s="22">
        <f t="shared" ref="J19:M19" si="14">I19*1.3</f>
        <v>1585.2200000000003</v>
      </c>
      <c r="K19" s="22">
        <f t="shared" si="14"/>
        <v>2060.7860000000005</v>
      </c>
      <c r="L19" s="22">
        <f t="shared" si="14"/>
        <v>2679.0218000000009</v>
      </c>
      <c r="M19" s="22">
        <f t="shared" si="14"/>
        <v>3482.7283400000015</v>
      </c>
      <c r="N19" s="22">
        <f>M19*1.15</f>
        <v>4005.1375910000015</v>
      </c>
      <c r="O19" s="22">
        <f t="shared" ref="O19:R19" si="15">N19*1.15</f>
        <v>4605.908229650001</v>
      </c>
      <c r="P19" s="22">
        <f t="shared" si="15"/>
        <v>5296.7944640975011</v>
      </c>
      <c r="Q19" s="22">
        <f t="shared" si="15"/>
        <v>6091.3136337121259</v>
      </c>
      <c r="R19" s="22">
        <f t="shared" si="15"/>
        <v>7005.0106787689447</v>
      </c>
      <c r="S19" s="22">
        <f>R19*1.05</f>
        <v>7355.2612127073926</v>
      </c>
      <c r="T19" s="22">
        <f t="shared" ref="T19:W19" si="16">S19*1.05</f>
        <v>7723.0242733427622</v>
      </c>
      <c r="U19" s="22">
        <f t="shared" si="16"/>
        <v>8109.1754870099003</v>
      </c>
      <c r="V19" s="22">
        <f t="shared" si="16"/>
        <v>8514.6342613603956</v>
      </c>
      <c r="W19" s="22">
        <f t="shared" si="16"/>
        <v>8940.3659744284159</v>
      </c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</row>
    <row r="20" spans="2:201" x14ac:dyDescent="0.15">
      <c r="B20" s="2" t="s">
        <v>4</v>
      </c>
      <c r="C20" s="36">
        <v>397</v>
      </c>
      <c r="D20" s="36">
        <v>663</v>
      </c>
      <c r="E20" s="36">
        <v>872</v>
      </c>
      <c r="F20" s="36">
        <f>SUM(Reports!C10:F10)</f>
        <v>1101</v>
      </c>
      <c r="G20" s="36">
        <v>1622</v>
      </c>
      <c r="H20" s="36">
        <f>SUM(Reports!K10:N10)</f>
        <v>752</v>
      </c>
      <c r="I20" s="22">
        <f>H20*1.4</f>
        <v>1052.8</v>
      </c>
      <c r="J20" s="22">
        <f t="shared" ref="J20:M20" si="17">I20*1.4</f>
        <v>1473.9199999999998</v>
      </c>
      <c r="K20" s="22">
        <f t="shared" si="17"/>
        <v>2063.4879999999998</v>
      </c>
      <c r="L20" s="22">
        <f t="shared" si="17"/>
        <v>2888.8831999999998</v>
      </c>
      <c r="M20" s="22">
        <f t="shared" si="17"/>
        <v>4044.4364799999994</v>
      </c>
      <c r="N20" s="22">
        <f>M20*1.2</f>
        <v>4853.3237759999993</v>
      </c>
      <c r="O20" s="22">
        <f t="shared" ref="O20:R20" si="18">N20*1.2</f>
        <v>5823.9885311999988</v>
      </c>
      <c r="P20" s="22">
        <f t="shared" si="18"/>
        <v>6988.7862374399983</v>
      </c>
      <c r="Q20" s="22">
        <f t="shared" si="18"/>
        <v>8386.5434849279973</v>
      </c>
      <c r="R20" s="22">
        <f t="shared" si="18"/>
        <v>10063.852181913597</v>
      </c>
      <c r="S20" s="22">
        <f>R20*0.95</f>
        <v>9560.6595728179163</v>
      </c>
      <c r="T20" s="22">
        <f t="shared" ref="T20:W20" si="19">S20*0.95</f>
        <v>9082.6265941770198</v>
      </c>
      <c r="U20" s="22">
        <f t="shared" si="19"/>
        <v>8628.4952644681689</v>
      </c>
      <c r="V20" s="22">
        <f t="shared" si="19"/>
        <v>8197.0705012447597</v>
      </c>
      <c r="W20" s="22">
        <f t="shared" si="19"/>
        <v>7787.2169761825216</v>
      </c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</row>
    <row r="21" spans="2:201" x14ac:dyDescent="0.15">
      <c r="B21" s="2" t="s">
        <v>5</v>
      </c>
      <c r="C21" s="36">
        <v>138</v>
      </c>
      <c r="D21" s="36">
        <v>214</v>
      </c>
      <c r="E21" s="36">
        <v>327</v>
      </c>
      <c r="F21" s="36">
        <f>SUM(Reports!C11:F11)</f>
        <v>480</v>
      </c>
      <c r="G21" s="36">
        <v>697</v>
      </c>
      <c r="H21" s="36">
        <f>SUM(Reports!K11:N11)</f>
        <v>773</v>
      </c>
      <c r="I21" s="22">
        <f>H21*1.1</f>
        <v>850.30000000000007</v>
      </c>
      <c r="J21" s="22">
        <f t="shared" ref="J21:M21" si="20">I21*1.1</f>
        <v>935.33000000000015</v>
      </c>
      <c r="K21" s="22">
        <f t="shared" si="20"/>
        <v>1028.8630000000003</v>
      </c>
      <c r="L21" s="22">
        <f t="shared" si="20"/>
        <v>1131.7493000000004</v>
      </c>
      <c r="M21" s="22">
        <f t="shared" si="20"/>
        <v>1244.9242300000005</v>
      </c>
      <c r="N21" s="22">
        <f>M21*1.05</f>
        <v>1307.1704415000006</v>
      </c>
      <c r="O21" s="22">
        <f t="shared" ref="O21:R21" si="21">N21*1.05</f>
        <v>1372.5289635750007</v>
      </c>
      <c r="P21" s="22">
        <f t="shared" si="21"/>
        <v>1441.1554117537507</v>
      </c>
      <c r="Q21" s="22">
        <f t="shared" si="21"/>
        <v>1513.2131823414384</v>
      </c>
      <c r="R21" s="22">
        <f t="shared" si="21"/>
        <v>1588.8738414585102</v>
      </c>
      <c r="S21" s="22">
        <f t="shared" ref="S21:W21" si="22">R21*0.95</f>
        <v>1509.4301493855846</v>
      </c>
      <c r="T21" s="22">
        <f t="shared" si="22"/>
        <v>1433.9586419163054</v>
      </c>
      <c r="U21" s="22">
        <f t="shared" si="22"/>
        <v>1362.2607098204901</v>
      </c>
      <c r="V21" s="22">
        <f t="shared" si="22"/>
        <v>1294.1476743294654</v>
      </c>
      <c r="W21" s="22">
        <f t="shared" si="22"/>
        <v>1229.4402906129922</v>
      </c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</row>
    <row r="22" spans="2:201" x14ac:dyDescent="0.15">
      <c r="B22" s="2" t="s">
        <v>6</v>
      </c>
      <c r="C22" s="25">
        <f t="shared" ref="C22:H22" si="23">SUM(C19:C21)</f>
        <v>635</v>
      </c>
      <c r="D22" s="25">
        <f t="shared" si="23"/>
        <v>1105</v>
      </c>
      <c r="E22" s="25">
        <f t="shared" si="23"/>
        <v>1600</v>
      </c>
      <c r="F22" s="25">
        <f t="shared" si="23"/>
        <v>2160</v>
      </c>
      <c r="G22" s="25">
        <f t="shared" si="23"/>
        <v>3296</v>
      </c>
      <c r="H22" s="25">
        <f t="shared" si="23"/>
        <v>2463</v>
      </c>
      <c r="I22" s="22">
        <f t="shared" ref="I22" si="24">SUM(I19:I21)</f>
        <v>3122.5</v>
      </c>
      <c r="J22" s="22">
        <f>SUM(J19:J21)</f>
        <v>3994.4700000000003</v>
      </c>
      <c r="K22" s="22">
        <f t="shared" ref="K22:Q22" si="25">SUM(K19:K21)</f>
        <v>5153.1370000000006</v>
      </c>
      <c r="L22" s="22">
        <f t="shared" si="25"/>
        <v>6699.6543000000011</v>
      </c>
      <c r="M22" s="22">
        <f t="shared" si="25"/>
        <v>8772.0890500000023</v>
      </c>
      <c r="N22" s="22">
        <f t="shared" si="25"/>
        <v>10165.6318085</v>
      </c>
      <c r="O22" s="22">
        <f t="shared" si="25"/>
        <v>11802.425724425</v>
      </c>
      <c r="P22" s="22">
        <f t="shared" si="25"/>
        <v>13726.73611329125</v>
      </c>
      <c r="Q22" s="22">
        <f t="shared" si="25"/>
        <v>15991.070300981562</v>
      </c>
      <c r="R22" s="22">
        <f t="shared" ref="R22" si="26">SUM(R19:R21)</f>
        <v>18657.73670214105</v>
      </c>
      <c r="S22" s="22">
        <f t="shared" ref="S22:V22" si="27">SUM(S19:S21)</f>
        <v>18425.350934910894</v>
      </c>
      <c r="T22" s="22">
        <f t="shared" si="27"/>
        <v>18239.60950943609</v>
      </c>
      <c r="U22" s="22">
        <f t="shared" si="27"/>
        <v>18099.931461298558</v>
      </c>
      <c r="V22" s="22">
        <f t="shared" si="27"/>
        <v>18005.852436934623</v>
      </c>
      <c r="W22" s="22">
        <f t="shared" ref="W22" si="28">SUM(W19:W21)</f>
        <v>17957.023241223927</v>
      </c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</row>
    <row r="23" spans="2:201" x14ac:dyDescent="0.15">
      <c r="B23" s="2" t="s">
        <v>7</v>
      </c>
      <c r="C23" s="25">
        <f t="shared" ref="C23:H23" si="29">C18-C22</f>
        <v>-123</v>
      </c>
      <c r="D23" s="25">
        <f t="shared" si="29"/>
        <v>-132.42399999999998</v>
      </c>
      <c r="E23" s="25">
        <f t="shared" si="29"/>
        <v>-82.278999999999996</v>
      </c>
      <c r="F23" s="25">
        <f t="shared" si="29"/>
        <v>18.985000000000127</v>
      </c>
      <c r="G23" s="25">
        <f t="shared" si="29"/>
        <v>-501.76100000000042</v>
      </c>
      <c r="H23" s="25">
        <f t="shared" si="29"/>
        <v>-838.07999999999993</v>
      </c>
      <c r="I23" s="22">
        <f t="shared" ref="I23" si="30">I18-I22</f>
        <v>-568.75730078580909</v>
      </c>
      <c r="J23" s="22">
        <f t="shared" ref="J23:Q23" si="31">J18-J22</f>
        <v>-163.85595117871389</v>
      </c>
      <c r="K23" s="22">
        <f t="shared" si="31"/>
        <v>401.25337079086421</v>
      </c>
      <c r="L23" s="22">
        <f t="shared" si="31"/>
        <v>1076.4922191072101</v>
      </c>
      <c r="M23" s="22">
        <f t="shared" si="31"/>
        <v>1725.7087507947326</v>
      </c>
      <c r="N23" s="22">
        <f t="shared" si="31"/>
        <v>1906.8356624139433</v>
      </c>
      <c r="O23" s="22">
        <f t="shared" si="31"/>
        <v>2080.911867126033</v>
      </c>
      <c r="P23" s="22">
        <f t="shared" si="31"/>
        <v>2239.102116992437</v>
      </c>
      <c r="Q23" s="22">
        <f t="shared" si="31"/>
        <v>2369.6436638446758</v>
      </c>
      <c r="R23" s="22">
        <f t="shared" ref="R23" si="32">R18-R22</f>
        <v>2457.0843574091232</v>
      </c>
      <c r="S23" s="22">
        <f t="shared" ref="S23:V23" si="33">S18-S22</f>
        <v>3745.2111776167876</v>
      </c>
      <c r="T23" s="22">
        <f t="shared" si="33"/>
        <v>5039.4807087179761</v>
      </c>
      <c r="U23" s="22">
        <f t="shared" si="33"/>
        <v>6343.1132677632122</v>
      </c>
      <c r="V23" s="22">
        <f t="shared" si="33"/>
        <v>7659.3445285802372</v>
      </c>
      <c r="W23" s="22">
        <f t="shared" ref="W23" si="34">W18-W22</f>
        <v>8991.4335725666751</v>
      </c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</row>
    <row r="24" spans="2:201" x14ac:dyDescent="0.15">
      <c r="B24" s="2" t="s">
        <v>8</v>
      </c>
      <c r="C24" s="36">
        <f>4-8-3</f>
        <v>-7</v>
      </c>
      <c r="D24" s="36">
        <f>12-12-3</f>
        <v>-3</v>
      </c>
      <c r="E24" s="36">
        <f>32-16+7</f>
        <v>23</v>
      </c>
      <c r="F24" s="36">
        <f>SUM(Reports!C14:F14)</f>
        <v>28</v>
      </c>
      <c r="G24" s="36">
        <f>86-10+14</f>
        <v>90</v>
      </c>
      <c r="H24" s="36">
        <f>SUM(Reports!K14:N14)</f>
        <v>-1088</v>
      </c>
      <c r="I24" s="22">
        <f t="shared" ref="I24:W24" si="35">H41*$G$4</f>
        <v>91.52</v>
      </c>
      <c r="J24" s="22">
        <f t="shared" si="35"/>
        <v>82.929728585855429</v>
      </c>
      <c r="K24" s="22">
        <f t="shared" si="35"/>
        <v>81.473056579183975</v>
      </c>
      <c r="L24" s="22">
        <f t="shared" si="35"/>
        <v>90.16213227184484</v>
      </c>
      <c r="M24" s="22">
        <f t="shared" si="35"/>
        <v>111.16191059666784</v>
      </c>
      <c r="N24" s="22">
        <f t="shared" si="35"/>
        <v>144.22558250171306</v>
      </c>
      <c r="O24" s="22">
        <f t="shared" si="35"/>
        <v>181.14468491019488</v>
      </c>
      <c r="P24" s="22">
        <f t="shared" si="35"/>
        <v>221.86170284684698</v>
      </c>
      <c r="Q24" s="22">
        <f t="shared" si="35"/>
        <v>266.15905160395408</v>
      </c>
      <c r="R24" s="22">
        <f t="shared" si="35"/>
        <v>313.6035004820294</v>
      </c>
      <c r="S24" s="22">
        <f t="shared" si="35"/>
        <v>363.47588192407011</v>
      </c>
      <c r="T24" s="22">
        <f t="shared" si="35"/>
        <v>437.43224899580559</v>
      </c>
      <c r="U24" s="22">
        <f t="shared" si="35"/>
        <v>536.01668223465367</v>
      </c>
      <c r="V24" s="22">
        <f t="shared" si="35"/>
        <v>659.84102133461522</v>
      </c>
      <c r="W24" s="22">
        <f t="shared" si="35"/>
        <v>809.58636123308258</v>
      </c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</row>
    <row r="25" spans="2:201" x14ac:dyDescent="0.15">
      <c r="B25" s="2" t="s">
        <v>9</v>
      </c>
      <c r="C25" s="25">
        <f t="shared" ref="C25:H25" si="36">C23+C24</f>
        <v>-130</v>
      </c>
      <c r="D25" s="25">
        <f t="shared" si="36"/>
        <v>-135.42399999999998</v>
      </c>
      <c r="E25" s="25">
        <f t="shared" si="36"/>
        <v>-59.278999999999996</v>
      </c>
      <c r="F25" s="25">
        <f t="shared" si="36"/>
        <v>46.985000000000127</v>
      </c>
      <c r="G25" s="25">
        <f t="shared" si="36"/>
        <v>-411.76100000000042</v>
      </c>
      <c r="H25" s="25">
        <f t="shared" si="36"/>
        <v>-1926.08</v>
      </c>
      <c r="I25" s="22">
        <f t="shared" ref="I25" si="37">I23+I24</f>
        <v>-477.23730078580911</v>
      </c>
      <c r="J25" s="22">
        <f t="shared" ref="J25" si="38">J23+J24</f>
        <v>-80.926222592858466</v>
      </c>
      <c r="K25" s="22">
        <f t="shared" ref="K25" si="39">K23+K24</f>
        <v>482.72642737004821</v>
      </c>
      <c r="L25" s="22">
        <f t="shared" ref="L25" si="40">L23+L24</f>
        <v>1166.654351379055</v>
      </c>
      <c r="M25" s="22">
        <f t="shared" ref="M25" si="41">M23+M24</f>
        <v>1836.8706613914005</v>
      </c>
      <c r="N25" s="22">
        <f t="shared" ref="N25" si="42">N23+N24</f>
        <v>2051.0612449156565</v>
      </c>
      <c r="O25" s="22">
        <f t="shared" ref="O25" si="43">O23+O24</f>
        <v>2262.0565520362279</v>
      </c>
      <c r="P25" s="22">
        <f t="shared" ref="P25" si="44">P23+P24</f>
        <v>2460.963819839284</v>
      </c>
      <c r="Q25" s="22">
        <f t="shared" ref="Q25" si="45">Q23+Q24</f>
        <v>2635.8027154486299</v>
      </c>
      <c r="R25" s="22">
        <f t="shared" ref="R25" si="46">R23+R24</f>
        <v>2770.6878578911528</v>
      </c>
      <c r="S25" s="22">
        <f t="shared" ref="S25:V25" si="47">S23+S24</f>
        <v>4108.6870595408582</v>
      </c>
      <c r="T25" s="22">
        <f t="shared" si="47"/>
        <v>5476.9129577137819</v>
      </c>
      <c r="U25" s="22">
        <f t="shared" si="47"/>
        <v>6879.1299499978659</v>
      </c>
      <c r="V25" s="22">
        <f t="shared" si="47"/>
        <v>8319.1855499148533</v>
      </c>
      <c r="W25" s="22">
        <f t="shared" ref="W25" si="48">W23+W24</f>
        <v>9801.0199337997583</v>
      </c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</row>
    <row r="26" spans="2:201" x14ac:dyDescent="0.15">
      <c r="B26" s="2" t="s">
        <v>10</v>
      </c>
      <c r="C26" s="36">
        <v>5</v>
      </c>
      <c r="D26" s="36">
        <v>11</v>
      </c>
      <c r="E26" s="36">
        <v>11</v>
      </c>
      <c r="F26" s="36">
        <f>SUM(Reports!C16:F16)</f>
        <v>64</v>
      </c>
      <c r="G26" s="36">
        <v>263</v>
      </c>
      <c r="H26" s="36">
        <f>SUM(Reports!K16:N16)</f>
        <v>-97</v>
      </c>
      <c r="I26" s="22">
        <f t="shared" ref="I26:Q26" si="49">I25*0.1</f>
        <v>-47.723730078580914</v>
      </c>
      <c r="J26" s="22">
        <f t="shared" si="49"/>
        <v>-8.0926222592858466</v>
      </c>
      <c r="K26" s="22">
        <f t="shared" si="49"/>
        <v>48.272642737004823</v>
      </c>
      <c r="L26" s="22">
        <f t="shared" si="49"/>
        <v>116.6654351379055</v>
      </c>
      <c r="M26" s="22">
        <f t="shared" si="49"/>
        <v>183.68706613914006</v>
      </c>
      <c r="N26" s="22">
        <f t="shared" si="49"/>
        <v>205.10612449156565</v>
      </c>
      <c r="O26" s="22">
        <f t="shared" si="49"/>
        <v>226.2056552036228</v>
      </c>
      <c r="P26" s="22">
        <f t="shared" si="49"/>
        <v>246.09638198392841</v>
      </c>
      <c r="Q26" s="22">
        <f t="shared" si="49"/>
        <v>263.58027154486302</v>
      </c>
      <c r="R26" s="22">
        <f t="shared" ref="R26" si="50">R25*0.1</f>
        <v>277.06878578911528</v>
      </c>
      <c r="S26" s="22">
        <f t="shared" ref="S26:V26" si="51">S25*0.1</f>
        <v>410.86870595408584</v>
      </c>
      <c r="T26" s="22">
        <f t="shared" si="51"/>
        <v>547.69129577137824</v>
      </c>
      <c r="U26" s="22">
        <f t="shared" si="51"/>
        <v>687.91299499978663</v>
      </c>
      <c r="V26" s="22">
        <f t="shared" si="51"/>
        <v>831.91855499148539</v>
      </c>
      <c r="W26" s="22">
        <f t="shared" ref="W26" si="52">W25*0.1</f>
        <v>980.10199337997585</v>
      </c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</row>
    <row r="27" spans="2:201" s="1" customFormat="1" x14ac:dyDescent="0.15">
      <c r="B27" s="1" t="s">
        <v>11</v>
      </c>
      <c r="C27" s="23">
        <f>C25-C26</f>
        <v>-135</v>
      </c>
      <c r="D27" s="23">
        <f>D25-D26</f>
        <v>-146.42399999999998</v>
      </c>
      <c r="E27" s="23">
        <f>E25-E26</f>
        <v>-70.278999999999996</v>
      </c>
      <c r="F27" s="23">
        <f>F25-F26</f>
        <v>-17.014999999999873</v>
      </c>
      <c r="G27" s="23">
        <f t="shared" ref="G27:I27" si="53">G25-G26</f>
        <v>-674.76100000000042</v>
      </c>
      <c r="H27" s="23">
        <f>H25-H26</f>
        <v>-1829.08</v>
      </c>
      <c r="I27" s="23">
        <f t="shared" si="53"/>
        <v>-429.51357070722821</v>
      </c>
      <c r="J27" s="23">
        <f t="shared" ref="J27:Q27" si="54">J25-J26</f>
        <v>-72.833600333572619</v>
      </c>
      <c r="K27" s="23">
        <f t="shared" si="54"/>
        <v>434.45378463304337</v>
      </c>
      <c r="L27" s="23">
        <f t="shared" si="54"/>
        <v>1049.9889162411496</v>
      </c>
      <c r="M27" s="23">
        <f t="shared" si="54"/>
        <v>1653.1835952522604</v>
      </c>
      <c r="N27" s="23">
        <f t="shared" si="54"/>
        <v>1845.9551204240909</v>
      </c>
      <c r="O27" s="23">
        <f t="shared" si="54"/>
        <v>2035.850896832605</v>
      </c>
      <c r="P27" s="23">
        <f t="shared" si="54"/>
        <v>2214.8674378553555</v>
      </c>
      <c r="Q27" s="23">
        <f t="shared" si="54"/>
        <v>2372.2224439037668</v>
      </c>
      <c r="R27" s="23">
        <f t="shared" ref="R27" si="55">R25-R26</f>
        <v>2493.6190721020375</v>
      </c>
      <c r="S27" s="23">
        <f t="shared" ref="S27:V27" si="56">S25-S26</f>
        <v>3697.8183535867724</v>
      </c>
      <c r="T27" s="23">
        <f t="shared" si="56"/>
        <v>4929.2216619424034</v>
      </c>
      <c r="U27" s="23">
        <f t="shared" si="56"/>
        <v>6191.216954998079</v>
      </c>
      <c r="V27" s="23">
        <f t="shared" si="56"/>
        <v>7487.2669949233677</v>
      </c>
      <c r="W27" s="23">
        <f t="shared" ref="W27" si="57">W25-W26</f>
        <v>8820.9179404197821</v>
      </c>
      <c r="X27" s="23">
        <f>W27*($G$3+1)</f>
        <v>8825.3283993899913</v>
      </c>
      <c r="Y27" s="23">
        <f t="shared" ref="Y27:BB27" si="58">X27*($G$3+1)</f>
        <v>8829.7410635896849</v>
      </c>
      <c r="Z27" s="23">
        <f t="shared" si="58"/>
        <v>8834.1559341214797</v>
      </c>
      <c r="AA27" s="23">
        <f t="shared" si="58"/>
        <v>8838.5730120885401</v>
      </c>
      <c r="AB27" s="23">
        <f t="shared" si="58"/>
        <v>8842.9922985945832</v>
      </c>
      <c r="AC27" s="23">
        <f t="shared" si="58"/>
        <v>8847.4137947438794</v>
      </c>
      <c r="AD27" s="23">
        <f t="shared" si="58"/>
        <v>8851.8375016412501</v>
      </c>
      <c r="AE27" s="23">
        <f t="shared" si="58"/>
        <v>8856.2634203920697</v>
      </c>
      <c r="AF27" s="23">
        <f t="shared" si="58"/>
        <v>8860.6915521022656</v>
      </c>
      <c r="AG27" s="23">
        <f t="shared" si="58"/>
        <v>8865.1218978783163</v>
      </c>
      <c r="AH27" s="23">
        <f t="shared" si="58"/>
        <v>8869.5544588272551</v>
      </c>
      <c r="AI27" s="23">
        <f t="shared" si="58"/>
        <v>8873.9892360566682</v>
      </c>
      <c r="AJ27" s="23">
        <f t="shared" si="58"/>
        <v>8878.4262306746969</v>
      </c>
      <c r="AK27" s="23">
        <f t="shared" si="58"/>
        <v>8882.8654437900332</v>
      </c>
      <c r="AL27" s="23">
        <f t="shared" si="58"/>
        <v>8887.3068765119278</v>
      </c>
      <c r="AM27" s="23">
        <f t="shared" si="58"/>
        <v>8891.7505299501827</v>
      </c>
      <c r="AN27" s="23">
        <f t="shared" si="58"/>
        <v>8896.1964052151579</v>
      </c>
      <c r="AO27" s="23">
        <f t="shared" si="58"/>
        <v>8900.644503417765</v>
      </c>
      <c r="AP27" s="23">
        <f t="shared" si="58"/>
        <v>8905.0948256694737</v>
      </c>
      <c r="AQ27" s="23">
        <f t="shared" si="58"/>
        <v>8909.5473730823087</v>
      </c>
      <c r="AR27" s="23">
        <f t="shared" si="58"/>
        <v>8914.0021467688493</v>
      </c>
      <c r="AS27" s="23">
        <f t="shared" si="58"/>
        <v>8918.4591478422335</v>
      </c>
      <c r="AT27" s="23">
        <f t="shared" si="58"/>
        <v>8922.9183774161538</v>
      </c>
      <c r="AU27" s="23">
        <f t="shared" si="58"/>
        <v>8927.3798366048613</v>
      </c>
      <c r="AV27" s="23">
        <f t="shared" si="58"/>
        <v>8931.8435265231637</v>
      </c>
      <c r="AW27" s="23">
        <f t="shared" si="58"/>
        <v>8936.3094482864253</v>
      </c>
      <c r="AX27" s="23">
        <f t="shared" si="58"/>
        <v>8940.7776030105688</v>
      </c>
      <c r="AY27" s="23">
        <f t="shared" si="58"/>
        <v>8945.2479918120735</v>
      </c>
      <c r="AZ27" s="23">
        <f t="shared" si="58"/>
        <v>8949.7206158079789</v>
      </c>
      <c r="BA27" s="23">
        <f t="shared" si="58"/>
        <v>8954.1954761158831</v>
      </c>
      <c r="BB27" s="23">
        <f t="shared" si="58"/>
        <v>8958.6725738539408</v>
      </c>
      <c r="BC27" s="23">
        <f t="shared" ref="BC27:CH27" si="59">BB27*($G$3+1)</f>
        <v>8963.1519101408667</v>
      </c>
      <c r="BD27" s="23">
        <f t="shared" si="59"/>
        <v>8967.633486095936</v>
      </c>
      <c r="BE27" s="23">
        <f t="shared" si="59"/>
        <v>8972.117302838984</v>
      </c>
      <c r="BF27" s="23">
        <f t="shared" si="59"/>
        <v>8976.6033614904027</v>
      </c>
      <c r="BG27" s="23">
        <f t="shared" si="59"/>
        <v>8981.091663171148</v>
      </c>
      <c r="BH27" s="23">
        <f t="shared" si="59"/>
        <v>8985.5822090027323</v>
      </c>
      <c r="BI27" s="23">
        <f t="shared" si="59"/>
        <v>8990.0750001072338</v>
      </c>
      <c r="BJ27" s="23">
        <f t="shared" si="59"/>
        <v>8994.5700376072873</v>
      </c>
      <c r="BK27" s="23">
        <f t="shared" si="59"/>
        <v>8999.0673226260897</v>
      </c>
      <c r="BL27" s="23">
        <f t="shared" si="59"/>
        <v>9003.5668562874016</v>
      </c>
      <c r="BM27" s="23">
        <f t="shared" si="59"/>
        <v>9008.0686397155441</v>
      </c>
      <c r="BN27" s="23">
        <f t="shared" si="59"/>
        <v>9012.5726740354021</v>
      </c>
      <c r="BO27" s="23">
        <f t="shared" si="59"/>
        <v>9017.0789603724188</v>
      </c>
      <c r="BP27" s="23">
        <f t="shared" si="59"/>
        <v>9021.5874998526051</v>
      </c>
      <c r="BQ27" s="23">
        <f t="shared" si="59"/>
        <v>9026.0982936025302</v>
      </c>
      <c r="BR27" s="23">
        <f t="shared" si="59"/>
        <v>9030.611342749331</v>
      </c>
      <c r="BS27" s="23">
        <f t="shared" si="59"/>
        <v>9035.1266484207044</v>
      </c>
      <c r="BT27" s="23">
        <f t="shared" si="59"/>
        <v>9039.6442117449151</v>
      </c>
      <c r="BU27" s="23">
        <f t="shared" si="59"/>
        <v>9044.1640338507877</v>
      </c>
      <c r="BV27" s="23">
        <f t="shared" si="59"/>
        <v>9048.6861158677129</v>
      </c>
      <c r="BW27" s="23">
        <f t="shared" si="59"/>
        <v>9053.2104589256469</v>
      </c>
      <c r="BX27" s="23">
        <f t="shared" si="59"/>
        <v>9057.7370641551097</v>
      </c>
      <c r="BY27" s="23">
        <f t="shared" si="59"/>
        <v>9062.2659326871872</v>
      </c>
      <c r="BZ27" s="23">
        <f t="shared" si="59"/>
        <v>9066.7970656535308</v>
      </c>
      <c r="CA27" s="23">
        <f t="shared" si="59"/>
        <v>9071.3304641863579</v>
      </c>
      <c r="CB27" s="23">
        <f t="shared" si="59"/>
        <v>9075.8661294184512</v>
      </c>
      <c r="CC27" s="23">
        <f t="shared" si="59"/>
        <v>9080.4040624831596</v>
      </c>
      <c r="CD27" s="23">
        <f t="shared" si="59"/>
        <v>9084.9442645144009</v>
      </c>
      <c r="CE27" s="23">
        <f t="shared" si="59"/>
        <v>9089.4867366466569</v>
      </c>
      <c r="CF27" s="23">
        <f t="shared" si="59"/>
        <v>9094.031480014979</v>
      </c>
      <c r="CG27" s="23">
        <f t="shared" si="59"/>
        <v>9098.5784957549859</v>
      </c>
      <c r="CH27" s="23">
        <f t="shared" si="59"/>
        <v>9103.1277850028637</v>
      </c>
      <c r="CI27" s="23">
        <f t="shared" ref="CI27:DN27" si="60">CH27*($G$3+1)</f>
        <v>9107.6793488953645</v>
      </c>
      <c r="CJ27" s="23">
        <f t="shared" si="60"/>
        <v>9112.2331885698113</v>
      </c>
      <c r="CK27" s="23">
        <f t="shared" si="60"/>
        <v>9116.7893051640949</v>
      </c>
      <c r="CL27" s="23">
        <f t="shared" si="60"/>
        <v>9121.347699816677</v>
      </c>
      <c r="CM27" s="23">
        <f t="shared" si="60"/>
        <v>9125.9083736665852</v>
      </c>
      <c r="CN27" s="23">
        <f t="shared" si="60"/>
        <v>9130.4713278534182</v>
      </c>
      <c r="CO27" s="23">
        <f t="shared" si="60"/>
        <v>9135.0365635173439</v>
      </c>
      <c r="CP27" s="23">
        <f t="shared" si="60"/>
        <v>9139.6040817991016</v>
      </c>
      <c r="CQ27" s="23">
        <f t="shared" si="60"/>
        <v>9144.1738838399997</v>
      </c>
      <c r="CR27" s="23">
        <f t="shared" si="60"/>
        <v>9148.7459707819198</v>
      </c>
      <c r="CS27" s="23">
        <f t="shared" si="60"/>
        <v>9153.320343767311</v>
      </c>
      <c r="CT27" s="23">
        <f t="shared" si="60"/>
        <v>9157.8970039391934</v>
      </c>
      <c r="CU27" s="23">
        <f t="shared" si="60"/>
        <v>9162.475952441162</v>
      </c>
      <c r="CV27" s="23">
        <f t="shared" si="60"/>
        <v>9167.0571904173812</v>
      </c>
      <c r="CW27" s="23">
        <f t="shared" si="60"/>
        <v>9171.6407190125901</v>
      </c>
      <c r="CX27" s="23">
        <f t="shared" si="60"/>
        <v>9176.2265393720954</v>
      </c>
      <c r="CY27" s="23">
        <f t="shared" si="60"/>
        <v>9180.8146526417804</v>
      </c>
      <c r="CZ27" s="23">
        <f t="shared" si="60"/>
        <v>9185.4050599681013</v>
      </c>
      <c r="DA27" s="23">
        <f t="shared" si="60"/>
        <v>9189.9977624980856</v>
      </c>
      <c r="DB27" s="23">
        <f t="shared" si="60"/>
        <v>9194.5927613793338</v>
      </c>
      <c r="DC27" s="23">
        <f t="shared" si="60"/>
        <v>9199.1900577600227</v>
      </c>
      <c r="DD27" s="23">
        <f t="shared" si="60"/>
        <v>9203.7896527889025</v>
      </c>
      <c r="DE27" s="23">
        <f t="shared" si="60"/>
        <v>9208.3915476152961</v>
      </c>
      <c r="DF27" s="23">
        <f t="shared" si="60"/>
        <v>9212.9957433891032</v>
      </c>
      <c r="DG27" s="23">
        <f t="shared" si="60"/>
        <v>9217.6022412607963</v>
      </c>
      <c r="DH27" s="23">
        <f t="shared" si="60"/>
        <v>9222.2110423814265</v>
      </c>
      <c r="DI27" s="23">
        <f t="shared" si="60"/>
        <v>9226.8221479026161</v>
      </c>
      <c r="DJ27" s="23">
        <f t="shared" si="60"/>
        <v>9231.4355589765673</v>
      </c>
      <c r="DK27" s="23">
        <f t="shared" si="60"/>
        <v>9236.0512767560558</v>
      </c>
      <c r="DL27" s="23">
        <f t="shared" si="60"/>
        <v>9240.6693023944335</v>
      </c>
      <c r="DM27" s="23">
        <f t="shared" si="60"/>
        <v>9245.289637045631</v>
      </c>
      <c r="DN27" s="23">
        <f t="shared" si="60"/>
        <v>9249.9122818641536</v>
      </c>
      <c r="DO27" s="23">
        <f t="shared" ref="DO27:ET27" si="61">DN27*($G$3+1)</f>
        <v>9254.5372380050849</v>
      </c>
      <c r="DP27" s="23">
        <f t="shared" si="61"/>
        <v>9259.1645066240872</v>
      </c>
      <c r="DQ27" s="23">
        <f t="shared" si="61"/>
        <v>9263.7940888773992</v>
      </c>
      <c r="DR27" s="23">
        <f t="shared" si="61"/>
        <v>9268.4259859218382</v>
      </c>
      <c r="DS27" s="23">
        <f t="shared" si="61"/>
        <v>9273.0601989147981</v>
      </c>
      <c r="DT27" s="23">
        <f t="shared" si="61"/>
        <v>9277.6967290142547</v>
      </c>
      <c r="DU27" s="23">
        <f t="shared" si="61"/>
        <v>9282.3355773787607</v>
      </c>
      <c r="DV27" s="23">
        <f t="shared" si="61"/>
        <v>9286.9767451674488</v>
      </c>
      <c r="DW27" s="23">
        <f t="shared" si="61"/>
        <v>9291.6202335400321</v>
      </c>
      <c r="DX27" s="23">
        <f t="shared" si="61"/>
        <v>9296.2660436568021</v>
      </c>
      <c r="DY27" s="23">
        <f t="shared" si="61"/>
        <v>9300.9141766786306</v>
      </c>
      <c r="DZ27" s="23">
        <f t="shared" si="61"/>
        <v>9305.5646337669696</v>
      </c>
      <c r="EA27" s="23">
        <f t="shared" si="61"/>
        <v>9310.2174160838531</v>
      </c>
      <c r="EB27" s="23">
        <f t="shared" si="61"/>
        <v>9314.8725247918937</v>
      </c>
      <c r="EC27" s="23">
        <f t="shared" si="61"/>
        <v>9319.5299610542897</v>
      </c>
      <c r="ED27" s="23">
        <f t="shared" si="61"/>
        <v>9324.189726034816</v>
      </c>
      <c r="EE27" s="23">
        <f t="shared" si="61"/>
        <v>9328.851820897833</v>
      </c>
      <c r="EF27" s="23">
        <f t="shared" si="61"/>
        <v>9333.5162468082817</v>
      </c>
      <c r="EG27" s="23">
        <f t="shared" si="61"/>
        <v>9338.183004931685</v>
      </c>
      <c r="EH27" s="23">
        <f t="shared" si="61"/>
        <v>9342.8520964341496</v>
      </c>
      <c r="EI27" s="23">
        <f t="shared" si="61"/>
        <v>9347.5235224823664</v>
      </c>
      <c r="EJ27" s="23">
        <f t="shared" si="61"/>
        <v>9352.1972842436062</v>
      </c>
      <c r="EK27" s="23">
        <f t="shared" si="61"/>
        <v>9356.8733828857276</v>
      </c>
      <c r="EL27" s="23">
        <f t="shared" si="61"/>
        <v>9361.5518195771692</v>
      </c>
      <c r="EM27" s="23">
        <f t="shared" si="61"/>
        <v>9366.2325954869575</v>
      </c>
      <c r="EN27" s="23">
        <f t="shared" si="61"/>
        <v>9370.9157117847008</v>
      </c>
      <c r="EO27" s="23">
        <f t="shared" si="61"/>
        <v>9375.6011696405931</v>
      </c>
      <c r="EP27" s="23">
        <f t="shared" si="61"/>
        <v>9380.2889702254124</v>
      </c>
      <c r="EQ27" s="23">
        <f t="shared" si="61"/>
        <v>9384.9791147105243</v>
      </c>
      <c r="ER27" s="23">
        <f t="shared" si="61"/>
        <v>9389.6716042678781</v>
      </c>
      <c r="ES27" s="23">
        <f t="shared" si="61"/>
        <v>9394.3664400700109</v>
      </c>
      <c r="ET27" s="23">
        <f t="shared" si="61"/>
        <v>9399.0636232900451</v>
      </c>
      <c r="EU27" s="23">
        <f t="shared" ref="EU27:FZ27" si="62">ET27*($G$3+1)</f>
        <v>9403.7631551016893</v>
      </c>
      <c r="EV27" s="23">
        <f t="shared" si="62"/>
        <v>9408.4650366792393</v>
      </c>
      <c r="EW27" s="23">
        <f t="shared" si="62"/>
        <v>9413.1692691975786</v>
      </c>
      <c r="EX27" s="23">
        <f t="shared" si="62"/>
        <v>9417.8758538321763</v>
      </c>
      <c r="EY27" s="23">
        <f t="shared" si="62"/>
        <v>9422.5847917590927</v>
      </c>
      <c r="EZ27" s="23">
        <f t="shared" si="62"/>
        <v>9427.296084154972</v>
      </c>
      <c r="FA27" s="23">
        <f t="shared" si="62"/>
        <v>9432.0097321970497</v>
      </c>
      <c r="FB27" s="23">
        <f t="shared" si="62"/>
        <v>9436.7257370631469</v>
      </c>
      <c r="FC27" s="23">
        <f t="shared" si="62"/>
        <v>9441.4440999316776</v>
      </c>
      <c r="FD27" s="23">
        <f t="shared" si="62"/>
        <v>9446.1648219816434</v>
      </c>
      <c r="FE27" s="23">
        <f t="shared" si="62"/>
        <v>9450.8879043926336</v>
      </c>
      <c r="FF27" s="23">
        <f t="shared" si="62"/>
        <v>9455.6133483448302</v>
      </c>
      <c r="FG27" s="23">
        <f t="shared" si="62"/>
        <v>9460.3411550190012</v>
      </c>
      <c r="FH27" s="23">
        <f t="shared" si="62"/>
        <v>9465.0713255965111</v>
      </c>
      <c r="FI27" s="23">
        <f t="shared" si="62"/>
        <v>9469.8038612593082</v>
      </c>
      <c r="FJ27" s="23">
        <f t="shared" si="62"/>
        <v>9474.5387631899375</v>
      </c>
      <c r="FK27" s="23">
        <f t="shared" si="62"/>
        <v>9479.2760325715317</v>
      </c>
      <c r="FL27" s="23">
        <f t="shared" si="62"/>
        <v>9484.0156705878162</v>
      </c>
      <c r="FM27" s="23">
        <f t="shared" si="62"/>
        <v>9488.7576784231096</v>
      </c>
      <c r="FN27" s="23">
        <f t="shared" si="62"/>
        <v>9493.5020572623198</v>
      </c>
      <c r="FO27" s="23">
        <f t="shared" si="62"/>
        <v>9498.2488082909513</v>
      </c>
      <c r="FP27" s="23">
        <f t="shared" si="62"/>
        <v>9502.9979326950961</v>
      </c>
      <c r="FQ27" s="23">
        <f t="shared" si="62"/>
        <v>9507.7494316614429</v>
      </c>
      <c r="FR27" s="23">
        <f t="shared" si="62"/>
        <v>9512.5033063772735</v>
      </c>
      <c r="FS27" s="23">
        <f t="shared" si="62"/>
        <v>9517.2595580304624</v>
      </c>
      <c r="FT27" s="23">
        <f t="shared" si="62"/>
        <v>9522.0181878094772</v>
      </c>
      <c r="FU27" s="23">
        <f t="shared" si="62"/>
        <v>9526.7791969033806</v>
      </c>
      <c r="FV27" s="23">
        <f t="shared" si="62"/>
        <v>9531.5425865018315</v>
      </c>
      <c r="FW27" s="23">
        <f t="shared" si="62"/>
        <v>9536.308357795082</v>
      </c>
      <c r="FX27" s="23">
        <f t="shared" si="62"/>
        <v>9541.076511973979</v>
      </c>
      <c r="FY27" s="23">
        <f t="shared" si="62"/>
        <v>9545.847050229966</v>
      </c>
      <c r="FZ27" s="23">
        <f t="shared" si="62"/>
        <v>9550.6199737550796</v>
      </c>
      <c r="GA27" s="23">
        <f t="shared" ref="GA27:GS27" si="63">FZ27*($G$3+1)</f>
        <v>9555.3952837419565</v>
      </c>
      <c r="GB27" s="23">
        <f t="shared" si="63"/>
        <v>9560.1729813838265</v>
      </c>
      <c r="GC27" s="23">
        <f t="shared" si="63"/>
        <v>9564.9530678745177</v>
      </c>
      <c r="GD27" s="23">
        <f t="shared" si="63"/>
        <v>9569.7355444084551</v>
      </c>
      <c r="GE27" s="23">
        <f t="shared" si="63"/>
        <v>9574.5204121806582</v>
      </c>
      <c r="GF27" s="23">
        <f t="shared" si="63"/>
        <v>9579.3076723867489</v>
      </c>
      <c r="GG27" s="23">
        <f t="shared" si="63"/>
        <v>9584.0973262229418</v>
      </c>
      <c r="GH27" s="23">
        <f t="shared" si="63"/>
        <v>9588.8893748860519</v>
      </c>
      <c r="GI27" s="23">
        <f t="shared" si="63"/>
        <v>9593.6838195734945</v>
      </c>
      <c r="GJ27" s="23">
        <f t="shared" si="63"/>
        <v>9598.4806614832814</v>
      </c>
      <c r="GK27" s="23">
        <f t="shared" si="63"/>
        <v>9603.2799018140231</v>
      </c>
      <c r="GL27" s="23">
        <f t="shared" si="63"/>
        <v>9608.0815417649301</v>
      </c>
      <c r="GM27" s="23">
        <f t="shared" si="63"/>
        <v>9612.8855825358114</v>
      </c>
      <c r="GN27" s="23">
        <f t="shared" si="63"/>
        <v>9617.6920253270782</v>
      </c>
      <c r="GO27" s="23">
        <f t="shared" si="63"/>
        <v>9622.5008713397419</v>
      </c>
      <c r="GP27" s="23">
        <f t="shared" si="63"/>
        <v>9627.3121217754106</v>
      </c>
      <c r="GQ27" s="23">
        <f t="shared" si="63"/>
        <v>9632.1257778362979</v>
      </c>
      <c r="GR27" s="23">
        <f t="shared" si="63"/>
        <v>9636.941840725216</v>
      </c>
      <c r="GS27" s="23">
        <f t="shared" si="63"/>
        <v>9641.7603116455775</v>
      </c>
    </row>
    <row r="28" spans="2:201" x14ac:dyDescent="0.15">
      <c r="B28" s="2" t="s">
        <v>12</v>
      </c>
      <c r="C28" s="27">
        <f t="shared" ref="C28:D28" si="64">C27/C29</f>
        <v>-0.54319835189596344</v>
      </c>
      <c r="D28" s="27">
        <f t="shared" si="64"/>
        <v>-0.58256413520911576</v>
      </c>
      <c r="E28" s="27">
        <f t="shared" ref="E28:H28" si="65">E27/E29</f>
        <v>-0.27559743692305277</v>
      </c>
      <c r="F28" s="27">
        <f t="shared" si="65"/>
        <v>-6.638031257071024E-2</v>
      </c>
      <c r="G28" s="27">
        <f t="shared" si="65"/>
        <v>-2.5896966487050785</v>
      </c>
      <c r="H28" s="27">
        <f t="shared" si="65"/>
        <v>-3.0062056975293121</v>
      </c>
      <c r="I28" s="47">
        <f t="shared" ref="I28" si="66">I27/I29</f>
        <v>-0.70593202234250474</v>
      </c>
      <c r="J28" s="47">
        <f t="shared" ref="J28:Q28" si="67">J27/J29</f>
        <v>-0.11970651053773418</v>
      </c>
      <c r="K28" s="47">
        <f t="shared" si="67"/>
        <v>0.71405156837154626</v>
      </c>
      <c r="L28" s="47">
        <f t="shared" si="67"/>
        <v>1.7257214896815731</v>
      </c>
      <c r="M28" s="47">
        <f t="shared" si="67"/>
        <v>2.7171091166648464</v>
      </c>
      <c r="N28" s="47">
        <f t="shared" si="67"/>
        <v>3.0339409978799776</v>
      </c>
      <c r="O28" s="47">
        <f t="shared" si="67"/>
        <v>3.3460464087838351</v>
      </c>
      <c r="P28" s="47">
        <f t="shared" si="67"/>
        <v>3.6402711258954885</v>
      </c>
      <c r="Q28" s="47">
        <f t="shared" si="67"/>
        <v>3.8988937753791051</v>
      </c>
      <c r="R28" s="47">
        <f t="shared" ref="R28" si="68">R27/R29</f>
        <v>4.0984166149216561</v>
      </c>
      <c r="S28" s="47">
        <f t="shared" ref="S28:V28" si="69">S27/S29</f>
        <v>6.0775923431348087</v>
      </c>
      <c r="T28" s="47">
        <f t="shared" si="69"/>
        <v>8.1014795659654908</v>
      </c>
      <c r="U28" s="47">
        <f t="shared" si="69"/>
        <v>10.175646600889685</v>
      </c>
      <c r="V28" s="47">
        <f t="shared" si="69"/>
        <v>12.305784710926696</v>
      </c>
      <c r="W28" s="47">
        <f t="shared" ref="W28" si="70">W27/W29</f>
        <v>14.497722226435409</v>
      </c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</row>
    <row r="29" spans="2:201" s="15" customFormat="1" x14ac:dyDescent="0.15">
      <c r="B29" s="15" t="s">
        <v>13</v>
      </c>
      <c r="C29" s="22">
        <v>248.52799999999999</v>
      </c>
      <c r="D29" s="22">
        <v>251.34399999999999</v>
      </c>
      <c r="E29" s="22">
        <v>255.006</v>
      </c>
      <c r="F29" s="22">
        <v>256.32600000000002</v>
      </c>
      <c r="G29" s="22">
        <v>260.55599999999998</v>
      </c>
      <c r="H29" s="22">
        <f>Reports!N19</f>
        <v>608.43474600000002</v>
      </c>
      <c r="I29" s="22">
        <f t="shared" ref="I29" si="71">H29</f>
        <v>608.43474600000002</v>
      </c>
      <c r="J29" s="22">
        <f t="shared" ref="J29" si="72">I29</f>
        <v>608.43474600000002</v>
      </c>
      <c r="K29" s="22">
        <f t="shared" ref="K29" si="73">J29</f>
        <v>608.43474600000002</v>
      </c>
      <c r="L29" s="22">
        <f t="shared" ref="L29" si="74">K29</f>
        <v>608.43474600000002</v>
      </c>
      <c r="M29" s="22">
        <f t="shared" ref="M29" si="75">L29</f>
        <v>608.43474600000002</v>
      </c>
      <c r="N29" s="22">
        <f t="shared" ref="N29" si="76">M29</f>
        <v>608.43474600000002</v>
      </c>
      <c r="O29" s="22">
        <f t="shared" ref="O29" si="77">N29</f>
        <v>608.43474600000002</v>
      </c>
      <c r="P29" s="22">
        <f t="shared" ref="P29" si="78">O29</f>
        <v>608.43474600000002</v>
      </c>
      <c r="Q29" s="22">
        <f t="shared" ref="Q29:W29" si="79">P29</f>
        <v>608.43474600000002</v>
      </c>
      <c r="R29" s="22">
        <f t="shared" si="79"/>
        <v>608.43474600000002</v>
      </c>
      <c r="S29" s="22">
        <f t="shared" si="79"/>
        <v>608.43474600000002</v>
      </c>
      <c r="T29" s="22">
        <f t="shared" si="79"/>
        <v>608.43474600000002</v>
      </c>
      <c r="U29" s="22">
        <f t="shared" si="79"/>
        <v>608.43474600000002</v>
      </c>
      <c r="V29" s="22">
        <f t="shared" si="79"/>
        <v>608.43474600000002</v>
      </c>
      <c r="W29" s="22">
        <f t="shared" si="79"/>
        <v>608.43474600000002</v>
      </c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</row>
    <row r="30" spans="2:201" x14ac:dyDescent="0.15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  <c r="CN30" s="37"/>
      <c r="CO30" s="37"/>
      <c r="CP30" s="37"/>
      <c r="CQ30" s="37"/>
      <c r="CR30" s="37"/>
      <c r="CS30" s="37"/>
      <c r="CT30" s="37"/>
      <c r="CU30" s="37"/>
      <c r="CV30" s="37"/>
      <c r="CW30" s="37"/>
      <c r="CX30" s="37"/>
      <c r="CY30" s="37"/>
      <c r="CZ30" s="37"/>
      <c r="DA30" s="37"/>
      <c r="DB30" s="37"/>
      <c r="DC30" s="37"/>
      <c r="DD30" s="37"/>
      <c r="DE30" s="37"/>
      <c r="DF30" s="37"/>
      <c r="DG30" s="37"/>
      <c r="DH30" s="37"/>
      <c r="DI30" s="37"/>
      <c r="DJ30" s="37"/>
      <c r="DK30" s="37"/>
      <c r="DL30" s="37"/>
      <c r="DM30" s="37"/>
      <c r="DN30" s="37"/>
    </row>
    <row r="31" spans="2:201" x14ac:dyDescent="0.15">
      <c r="B31" s="2" t="s">
        <v>15</v>
      </c>
      <c r="C31" s="32">
        <f t="shared" ref="C31:D31" si="80">IFERROR(C18/C16,0)</f>
        <v>0.5571273122959739</v>
      </c>
      <c r="D31" s="32">
        <f t="shared" si="80"/>
        <v>0.58745475894794319</v>
      </c>
      <c r="E31" s="32">
        <f t="shared" ref="E31:Q31" si="81">IFERROR(E18/E16,0)</f>
        <v>0.59246147414179762</v>
      </c>
      <c r="F31" s="32">
        <f>IFERROR(F18/F16,0)</f>
        <v>0.59665770806835183</v>
      </c>
      <c r="G31" s="32">
        <f t="shared" si="81"/>
        <v>0.58149844367782744</v>
      </c>
      <c r="H31" s="32">
        <f t="shared" si="81"/>
        <v>0.48100185927472006</v>
      </c>
      <c r="I31" s="32">
        <f>IFERROR(I18/I16,0)</f>
        <v>0.58149844367782744</v>
      </c>
      <c r="J31" s="32">
        <f t="shared" si="81"/>
        <v>0.58149844367782744</v>
      </c>
      <c r="K31" s="32">
        <f t="shared" si="81"/>
        <v>0.58149844367782744</v>
      </c>
      <c r="L31" s="32">
        <f t="shared" si="81"/>
        <v>0.58149844367782744</v>
      </c>
      <c r="M31" s="32">
        <f t="shared" si="81"/>
        <v>0.58149844367782744</v>
      </c>
      <c r="N31" s="32">
        <f t="shared" si="81"/>
        <v>0.58149844367782744</v>
      </c>
      <c r="O31" s="32">
        <f t="shared" si="81"/>
        <v>0.58149844367782744</v>
      </c>
      <c r="P31" s="32">
        <f t="shared" si="81"/>
        <v>0.58149844367782744</v>
      </c>
      <c r="Q31" s="32">
        <f t="shared" si="81"/>
        <v>0.58149844367782744</v>
      </c>
      <c r="R31" s="32">
        <f t="shared" ref="R31" si="82">IFERROR(R18/R16,0)</f>
        <v>0.58149844367782744</v>
      </c>
      <c r="S31" s="32">
        <f t="shared" ref="S31:V31" si="83">IFERROR(S18/S16,0)</f>
        <v>0.58149844367782744</v>
      </c>
      <c r="T31" s="32">
        <f t="shared" si="83"/>
        <v>0.58149844367782744</v>
      </c>
      <c r="U31" s="32">
        <f t="shared" si="83"/>
        <v>0.58149844367782744</v>
      </c>
      <c r="V31" s="32">
        <f t="shared" si="83"/>
        <v>0.58149844367782744</v>
      </c>
      <c r="W31" s="32">
        <f t="shared" ref="W31" si="84">IFERROR(W18/W16,0)</f>
        <v>0.58149844367782744</v>
      </c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</row>
    <row r="32" spans="2:201" x14ac:dyDescent="0.15">
      <c r="B32" s="2" t="s">
        <v>16</v>
      </c>
      <c r="C32" s="34">
        <f t="shared" ref="C32:D32" si="85">IFERROR(C23/C16,0)</f>
        <v>-0.13384113166485309</v>
      </c>
      <c r="D32" s="34">
        <f t="shared" si="85"/>
        <v>-7.9986663251943715E-2</v>
      </c>
      <c r="E32" s="34">
        <f t="shared" ref="E32:Q32" si="86">IFERROR(E23/E16,0)</f>
        <v>-3.2118642115983746E-2</v>
      </c>
      <c r="F32" s="34">
        <f>IFERROR(F23/F16,0)</f>
        <v>5.1985427103342779E-3</v>
      </c>
      <c r="G32" s="34">
        <f t="shared" si="86"/>
        <v>-0.10441957205458469</v>
      </c>
      <c r="H32" s="34">
        <f>IFERROR(H23/H16,0)</f>
        <v>-0.24808485231331839</v>
      </c>
      <c r="I32" s="34">
        <f t="shared" si="86"/>
        <v>-0.12950853871814061</v>
      </c>
      <c r="J32" s="34">
        <f t="shared" si="86"/>
        <v>-2.4873813802017281E-2</v>
      </c>
      <c r="K32" s="34">
        <f t="shared" si="86"/>
        <v>4.200788836564024E-2</v>
      </c>
      <c r="L32" s="34">
        <f t="shared" si="86"/>
        <v>8.0499839927656455E-2</v>
      </c>
      <c r="M32" s="34">
        <f t="shared" si="86"/>
        <v>9.5591187015659149E-2</v>
      </c>
      <c r="N32" s="34">
        <f t="shared" si="86"/>
        <v>9.1847169827921196E-2</v>
      </c>
      <c r="O32" s="34">
        <f t="shared" si="86"/>
        <v>8.7158221442436665E-2</v>
      </c>
      <c r="P32" s="34">
        <f t="shared" si="86"/>
        <v>8.1551270749891325E-2</v>
      </c>
      <c r="Q32" s="34">
        <f t="shared" si="86"/>
        <v>7.5048503300930561E-2</v>
      </c>
      <c r="R32" s="34">
        <f t="shared" ref="R32" si="87">IFERROR(R23/R16,0)</f>
        <v>6.7667669348886184E-2</v>
      </c>
      <c r="S32" s="34">
        <f t="shared" ref="S32:V32" si="88">IFERROR(S23/S16,0)</f>
        <v>9.8230909075524064E-2</v>
      </c>
      <c r="T32" s="34">
        <f t="shared" si="88"/>
        <v>0.12588336406629169</v>
      </c>
      <c r="U32" s="34">
        <f t="shared" si="88"/>
        <v>0.15090225191508158</v>
      </c>
      <c r="V32" s="34">
        <f t="shared" si="88"/>
        <v>0.17353838854017706</v>
      </c>
      <c r="W32" s="34">
        <f t="shared" ref="W32" si="89">IFERROR(W23/W16,0)</f>
        <v>0.19401870262954926</v>
      </c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</row>
    <row r="33" spans="2:118" x14ac:dyDescent="0.15">
      <c r="B33" s="2" t="s">
        <v>17</v>
      </c>
      <c r="C33" s="34">
        <f t="shared" ref="C33:D33" si="90">IFERROR(C26/C25,0)</f>
        <v>-3.8461538461538464E-2</v>
      </c>
      <c r="D33" s="34">
        <f t="shared" si="90"/>
        <v>-8.1226370510396995E-2</v>
      </c>
      <c r="E33" s="34">
        <f t="shared" ref="E33:Q33" si="91">IFERROR(E26/E25,0)</f>
        <v>-0.18556318426424198</v>
      </c>
      <c r="F33" s="34">
        <f>IFERROR(F26/F25,0)</f>
        <v>1.3621368521868644</v>
      </c>
      <c r="G33" s="34">
        <f t="shared" si="91"/>
        <v>-0.63872003419459278</v>
      </c>
      <c r="H33" s="34">
        <f t="shared" si="91"/>
        <v>5.0361355706928061E-2</v>
      </c>
      <c r="I33" s="34">
        <f t="shared" si="91"/>
        <v>0.1</v>
      </c>
      <c r="J33" s="34">
        <f t="shared" si="91"/>
        <v>0.1</v>
      </c>
      <c r="K33" s="34">
        <f t="shared" si="91"/>
        <v>0.1</v>
      </c>
      <c r="L33" s="34">
        <f t="shared" si="91"/>
        <v>0.1</v>
      </c>
      <c r="M33" s="34">
        <f t="shared" si="91"/>
        <v>0.1</v>
      </c>
      <c r="N33" s="34">
        <f t="shared" si="91"/>
        <v>0.1</v>
      </c>
      <c r="O33" s="34">
        <f t="shared" si="91"/>
        <v>0.1</v>
      </c>
      <c r="P33" s="34">
        <f t="shared" si="91"/>
        <v>0.1</v>
      </c>
      <c r="Q33" s="34">
        <f t="shared" si="91"/>
        <v>0.10000000000000002</v>
      </c>
      <c r="R33" s="34">
        <f t="shared" ref="R33" si="92">IFERROR(R26/R25,0)</f>
        <v>0.1</v>
      </c>
      <c r="S33" s="34">
        <f t="shared" ref="S33:V33" si="93">IFERROR(S26/S25,0)</f>
        <v>0.1</v>
      </c>
      <c r="T33" s="34">
        <f t="shared" si="93"/>
        <v>0.1</v>
      </c>
      <c r="U33" s="34">
        <f t="shared" si="93"/>
        <v>0.1</v>
      </c>
      <c r="V33" s="34">
        <f t="shared" si="93"/>
        <v>0.1</v>
      </c>
      <c r="W33" s="34">
        <f t="shared" ref="W33" si="94">IFERROR(W26/W25,0)</f>
        <v>0.1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</row>
    <row r="34" spans="2:118" x14ac:dyDescent="0.15"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7"/>
      <c r="CX34" s="37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</row>
    <row r="35" spans="2:118" x14ac:dyDescent="0.15">
      <c r="B35" s="1" t="s">
        <v>14</v>
      </c>
      <c r="C35" s="48"/>
      <c r="D35" s="48"/>
      <c r="E35" s="48"/>
      <c r="F35" s="48">
        <f t="shared" ref="F35:W35" si="95">F16/E16-1</f>
        <v>0.42559825991979605</v>
      </c>
      <c r="G35" s="48">
        <f>G16/F16-1</f>
        <v>0.31578826309527552</v>
      </c>
      <c r="H35" s="48">
        <f t="shared" si="95"/>
        <v>-0.29697586321929037</v>
      </c>
      <c r="I35" s="48">
        <f t="shared" si="95"/>
        <v>0.30000000000000004</v>
      </c>
      <c r="J35" s="48">
        <f t="shared" si="95"/>
        <v>0.5</v>
      </c>
      <c r="K35" s="48">
        <f t="shared" si="95"/>
        <v>0.44999999999999996</v>
      </c>
      <c r="L35" s="48">
        <f t="shared" si="95"/>
        <v>0.39999999999999991</v>
      </c>
      <c r="M35" s="48">
        <f t="shared" si="95"/>
        <v>0.34999999999999987</v>
      </c>
      <c r="N35" s="48">
        <f t="shared" si="95"/>
        <v>0.14999999999999991</v>
      </c>
      <c r="O35" s="48">
        <f t="shared" si="95"/>
        <v>0.14999999999999991</v>
      </c>
      <c r="P35" s="48">
        <f t="shared" si="95"/>
        <v>0.14999999999999991</v>
      </c>
      <c r="Q35" s="48">
        <f t="shared" si="95"/>
        <v>0.14999999999999991</v>
      </c>
      <c r="R35" s="48">
        <f t="shared" si="95"/>
        <v>0.14999999999999991</v>
      </c>
      <c r="S35" s="48">
        <f t="shared" si="95"/>
        <v>5.0000000000000044E-2</v>
      </c>
      <c r="T35" s="48">
        <f t="shared" si="95"/>
        <v>5.0000000000000044E-2</v>
      </c>
      <c r="U35" s="48">
        <f t="shared" si="95"/>
        <v>5.0000000000000044E-2</v>
      </c>
      <c r="V35" s="48">
        <f t="shared" si="95"/>
        <v>5.0000000000000044E-2</v>
      </c>
      <c r="W35" s="48">
        <f t="shared" si="95"/>
        <v>5.0000000000000044E-2</v>
      </c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7"/>
      <c r="CN35" s="37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</row>
    <row r="36" spans="2:118" x14ac:dyDescent="0.15">
      <c r="B36" s="2" t="s">
        <v>30</v>
      </c>
      <c r="C36" s="34"/>
      <c r="D36" s="34"/>
      <c r="E36" s="34"/>
      <c r="F36" s="34">
        <f t="shared" ref="F36:W36" si="96">F19/E19-1</f>
        <v>0.44389027431421457</v>
      </c>
      <c r="G36" s="34">
        <f t="shared" si="96"/>
        <v>0.68739205526770286</v>
      </c>
      <c r="H36" s="34">
        <f t="shared" si="96"/>
        <v>-3.9918116683725691E-2</v>
      </c>
      <c r="I36" s="34">
        <f t="shared" si="96"/>
        <v>0.30000000000000004</v>
      </c>
      <c r="J36" s="34">
        <f t="shared" si="96"/>
        <v>0.30000000000000004</v>
      </c>
      <c r="K36" s="34">
        <f t="shared" si="96"/>
        <v>0.30000000000000004</v>
      </c>
      <c r="L36" s="34">
        <f t="shared" si="96"/>
        <v>0.30000000000000004</v>
      </c>
      <c r="M36" s="34">
        <f t="shared" si="96"/>
        <v>0.30000000000000004</v>
      </c>
      <c r="N36" s="34">
        <f t="shared" si="96"/>
        <v>0.14999999999999991</v>
      </c>
      <c r="O36" s="34">
        <f t="shared" si="96"/>
        <v>0.14999999999999991</v>
      </c>
      <c r="P36" s="34">
        <f t="shared" si="96"/>
        <v>0.14999999999999991</v>
      </c>
      <c r="Q36" s="34">
        <f t="shared" si="96"/>
        <v>0.14999999999999991</v>
      </c>
      <c r="R36" s="34">
        <f t="shared" si="96"/>
        <v>0.14999999999999991</v>
      </c>
      <c r="S36" s="34">
        <f t="shared" si="96"/>
        <v>5.0000000000000044E-2</v>
      </c>
      <c r="T36" s="34">
        <f t="shared" si="96"/>
        <v>5.0000000000000044E-2</v>
      </c>
      <c r="U36" s="34">
        <f t="shared" si="96"/>
        <v>5.0000000000000044E-2</v>
      </c>
      <c r="V36" s="34">
        <f t="shared" si="96"/>
        <v>5.0000000000000044E-2</v>
      </c>
      <c r="W36" s="34">
        <f t="shared" si="96"/>
        <v>5.0000000000000044E-2</v>
      </c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  <c r="CT36" s="37"/>
      <c r="CU36" s="37"/>
      <c r="CV36" s="37"/>
      <c r="CW36" s="37"/>
      <c r="CX36" s="37"/>
      <c r="CY36" s="37"/>
      <c r="CZ36" s="37"/>
      <c r="DA36" s="37"/>
      <c r="DB36" s="37"/>
      <c r="DC36" s="37"/>
      <c r="DD36" s="37"/>
      <c r="DE36" s="37"/>
      <c r="DF36" s="37"/>
      <c r="DG36" s="37"/>
      <c r="DH36" s="37"/>
      <c r="DI36" s="37"/>
      <c r="DJ36" s="37"/>
      <c r="DK36" s="37"/>
      <c r="DL36" s="37"/>
      <c r="DM36" s="37"/>
      <c r="DN36" s="37"/>
    </row>
    <row r="37" spans="2:118" x14ac:dyDescent="0.15">
      <c r="B37" s="2" t="s">
        <v>31</v>
      </c>
      <c r="C37" s="34"/>
      <c r="D37" s="34"/>
      <c r="E37" s="34"/>
      <c r="F37" s="34">
        <f t="shared" ref="F37:W37" si="97">F20/E20-1</f>
        <v>0.26261467889908263</v>
      </c>
      <c r="G37" s="34">
        <f t="shared" si="97"/>
        <v>0.4732061762034514</v>
      </c>
      <c r="H37" s="34">
        <f t="shared" si="97"/>
        <v>-0.53637484586929718</v>
      </c>
      <c r="I37" s="34">
        <f t="shared" si="97"/>
        <v>0.39999999999999991</v>
      </c>
      <c r="J37" s="34">
        <f t="shared" si="97"/>
        <v>0.39999999999999991</v>
      </c>
      <c r="K37" s="34">
        <f t="shared" si="97"/>
        <v>0.40000000000000013</v>
      </c>
      <c r="L37" s="34">
        <f t="shared" si="97"/>
        <v>0.39999999999999991</v>
      </c>
      <c r="M37" s="34">
        <f t="shared" si="97"/>
        <v>0.39999999999999991</v>
      </c>
      <c r="N37" s="34">
        <f t="shared" si="97"/>
        <v>0.19999999999999996</v>
      </c>
      <c r="O37" s="34">
        <f t="shared" si="97"/>
        <v>0.19999999999999996</v>
      </c>
      <c r="P37" s="34">
        <f t="shared" si="97"/>
        <v>0.19999999999999996</v>
      </c>
      <c r="Q37" s="34">
        <f t="shared" si="97"/>
        <v>0.19999999999999996</v>
      </c>
      <c r="R37" s="34">
        <f t="shared" si="97"/>
        <v>0.19999999999999996</v>
      </c>
      <c r="S37" s="34">
        <f t="shared" si="97"/>
        <v>-5.0000000000000044E-2</v>
      </c>
      <c r="T37" s="34">
        <f t="shared" si="97"/>
        <v>-5.0000000000000044E-2</v>
      </c>
      <c r="U37" s="34">
        <f t="shared" si="97"/>
        <v>-5.0000000000000044E-2</v>
      </c>
      <c r="V37" s="34">
        <f t="shared" si="97"/>
        <v>-5.0000000000000044E-2</v>
      </c>
      <c r="W37" s="34">
        <f t="shared" si="97"/>
        <v>-5.0000000000000044E-2</v>
      </c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7"/>
      <c r="CN37" s="37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</row>
    <row r="38" spans="2:118" x14ac:dyDescent="0.15">
      <c r="B38" s="2" t="s">
        <v>32</v>
      </c>
      <c r="C38" s="34"/>
      <c r="D38" s="34"/>
      <c r="E38" s="34"/>
      <c r="F38" s="34">
        <f t="shared" ref="F38:W38" si="98">F21/E21-1</f>
        <v>0.46788990825688082</v>
      </c>
      <c r="G38" s="34">
        <f t="shared" si="98"/>
        <v>0.45208333333333339</v>
      </c>
      <c r="H38" s="34">
        <f t="shared" si="98"/>
        <v>0.10903873744619808</v>
      </c>
      <c r="I38" s="34">
        <f t="shared" si="98"/>
        <v>0.10000000000000009</v>
      </c>
      <c r="J38" s="34">
        <f t="shared" si="98"/>
        <v>0.10000000000000009</v>
      </c>
      <c r="K38" s="34">
        <f t="shared" si="98"/>
        <v>0.10000000000000009</v>
      </c>
      <c r="L38" s="34">
        <f t="shared" si="98"/>
        <v>0.10000000000000009</v>
      </c>
      <c r="M38" s="34">
        <f t="shared" si="98"/>
        <v>0.10000000000000009</v>
      </c>
      <c r="N38" s="34">
        <f t="shared" si="98"/>
        <v>5.0000000000000044E-2</v>
      </c>
      <c r="O38" s="34">
        <f t="shared" si="98"/>
        <v>5.0000000000000044E-2</v>
      </c>
      <c r="P38" s="34">
        <f t="shared" si="98"/>
        <v>5.0000000000000044E-2</v>
      </c>
      <c r="Q38" s="34">
        <f t="shared" si="98"/>
        <v>5.0000000000000044E-2</v>
      </c>
      <c r="R38" s="34">
        <f t="shared" si="98"/>
        <v>5.0000000000000044E-2</v>
      </c>
      <c r="S38" s="34">
        <f t="shared" si="98"/>
        <v>-5.0000000000000044E-2</v>
      </c>
      <c r="T38" s="34">
        <f t="shared" si="98"/>
        <v>-5.0000000000000044E-2</v>
      </c>
      <c r="U38" s="34">
        <f t="shared" si="98"/>
        <v>-5.0000000000000044E-2</v>
      </c>
      <c r="V38" s="34">
        <f t="shared" si="98"/>
        <v>-5.0000000000000155E-2</v>
      </c>
      <c r="W38" s="34">
        <f t="shared" si="98"/>
        <v>-5.0000000000000044E-2</v>
      </c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37"/>
      <c r="CD38" s="37"/>
      <c r="CE38" s="37"/>
      <c r="CF38" s="37"/>
      <c r="CG38" s="37"/>
      <c r="CH38" s="37"/>
      <c r="CI38" s="37"/>
      <c r="CJ38" s="37"/>
      <c r="CK38" s="37"/>
      <c r="CL38" s="37"/>
      <c r="CM38" s="37"/>
      <c r="CN38" s="37"/>
      <c r="CO38" s="37"/>
      <c r="CP38" s="37"/>
      <c r="CQ38" s="37"/>
      <c r="CR38" s="37"/>
      <c r="CS38" s="37"/>
      <c r="CT38" s="37"/>
      <c r="CU38" s="37"/>
      <c r="CV38" s="37"/>
      <c r="CW38" s="37"/>
      <c r="CX38" s="37"/>
      <c r="CY38" s="37"/>
      <c r="CZ38" s="37"/>
      <c r="DA38" s="37"/>
      <c r="DB38" s="37"/>
      <c r="DC38" s="37"/>
      <c r="DD38" s="37"/>
      <c r="DE38" s="37"/>
      <c r="DF38" s="37"/>
      <c r="DG38" s="37"/>
      <c r="DH38" s="37"/>
      <c r="DI38" s="37"/>
      <c r="DJ38" s="37"/>
      <c r="DK38" s="37"/>
      <c r="DL38" s="37"/>
      <c r="DM38" s="37"/>
      <c r="DN38" s="37"/>
    </row>
    <row r="39" spans="2:118" x14ac:dyDescent="0.15">
      <c r="B39" s="5" t="s">
        <v>68</v>
      </c>
      <c r="C39" s="43"/>
      <c r="D39" s="43"/>
      <c r="E39" s="43"/>
      <c r="F39" s="43">
        <f>F22/E22-1</f>
        <v>0.35000000000000009</v>
      </c>
      <c r="G39" s="43">
        <f t="shared" ref="G39:W39" si="99">G22/F22-1</f>
        <v>0.52592592592592591</v>
      </c>
      <c r="H39" s="43">
        <f t="shared" si="99"/>
        <v>-0.25273058252427183</v>
      </c>
      <c r="I39" s="43">
        <f t="shared" si="99"/>
        <v>0.26776289078359716</v>
      </c>
      <c r="J39" s="43">
        <f t="shared" si="99"/>
        <v>0.27925380304243408</v>
      </c>
      <c r="K39" s="43">
        <f t="shared" si="99"/>
        <v>0.29006776869021422</v>
      </c>
      <c r="L39" s="43">
        <f t="shared" si="99"/>
        <v>0.30011181538546339</v>
      </c>
      <c r="M39" s="43">
        <f>M22/L22-1</f>
        <v>0.30933458014393378</v>
      </c>
      <c r="N39" s="43">
        <f t="shared" si="99"/>
        <v>0.15886099087195182</v>
      </c>
      <c r="O39" s="43">
        <f t="shared" si="99"/>
        <v>0.16101251223326751</v>
      </c>
      <c r="P39" s="43">
        <f t="shared" si="99"/>
        <v>0.16304363474060324</v>
      </c>
      <c r="Q39" s="43">
        <f t="shared" si="99"/>
        <v>0.16495794550153953</v>
      </c>
      <c r="R39" s="43">
        <f t="shared" si="99"/>
        <v>0.16675971970405268</v>
      </c>
      <c r="S39" s="43">
        <f t="shared" si="99"/>
        <v>-1.2455195983309686E-2</v>
      </c>
      <c r="T39" s="43">
        <f t="shared" si="99"/>
        <v>-1.0080753746886661E-2</v>
      </c>
      <c r="U39" s="43">
        <f t="shared" si="99"/>
        <v>-7.6579516718968677E-3</v>
      </c>
      <c r="V39" s="43">
        <f t="shared" si="99"/>
        <v>-5.197755834882356E-3</v>
      </c>
      <c r="W39" s="43">
        <f t="shared" si="99"/>
        <v>-2.7118513761966723E-3</v>
      </c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7"/>
      <c r="CN39" s="37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</row>
    <row r="40" spans="2:118" x14ac:dyDescent="0.15"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</row>
    <row r="41" spans="2:118" x14ac:dyDescent="0.15">
      <c r="B41" s="1" t="s">
        <v>18</v>
      </c>
      <c r="C41" s="43"/>
      <c r="D41" s="43"/>
      <c r="E41" s="43"/>
      <c r="F41" s="23">
        <f>F42-F43</f>
        <v>2888</v>
      </c>
      <c r="G41" s="23">
        <f>G42-G43</f>
        <v>3075</v>
      </c>
      <c r="H41" s="23">
        <f>H42-H43</f>
        <v>4576</v>
      </c>
      <c r="I41" s="49">
        <f>H41+I27</f>
        <v>4146.4864292927714</v>
      </c>
      <c r="J41" s="49">
        <f t="shared" ref="J41:W41" si="100">I41+J27</f>
        <v>4073.6528289591988</v>
      </c>
      <c r="K41" s="49">
        <f t="shared" si="100"/>
        <v>4508.106613592242</v>
      </c>
      <c r="L41" s="49">
        <f t="shared" si="100"/>
        <v>5558.095529833392</v>
      </c>
      <c r="M41" s="49">
        <f t="shared" si="100"/>
        <v>7211.2791250856526</v>
      </c>
      <c r="N41" s="49">
        <f t="shared" si="100"/>
        <v>9057.2342455097441</v>
      </c>
      <c r="O41" s="49">
        <f t="shared" si="100"/>
        <v>11093.085142342348</v>
      </c>
      <c r="P41" s="49">
        <f t="shared" si="100"/>
        <v>13307.952580197703</v>
      </c>
      <c r="Q41" s="49">
        <f t="shared" si="100"/>
        <v>15680.175024101471</v>
      </c>
      <c r="R41" s="49">
        <f t="shared" si="100"/>
        <v>18173.794096203506</v>
      </c>
      <c r="S41" s="49">
        <f t="shared" si="100"/>
        <v>21871.612449790278</v>
      </c>
      <c r="T41" s="49">
        <f t="shared" si="100"/>
        <v>26800.834111732682</v>
      </c>
      <c r="U41" s="49">
        <f t="shared" si="100"/>
        <v>32992.051066730761</v>
      </c>
      <c r="V41" s="49">
        <f t="shared" si="100"/>
        <v>40479.318061654129</v>
      </c>
      <c r="W41" s="49">
        <f t="shared" si="100"/>
        <v>49300.236002073914</v>
      </c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</row>
    <row r="42" spans="2:118" x14ac:dyDescent="0.15">
      <c r="B42" s="2" t="s">
        <v>19</v>
      </c>
      <c r="C42" s="43"/>
      <c r="D42" s="43"/>
      <c r="E42" s="43"/>
      <c r="F42" s="50">
        <f>Reports!F32</f>
        <v>2888</v>
      </c>
      <c r="G42" s="50">
        <f>Reports!J32</f>
        <v>3075</v>
      </c>
      <c r="H42" s="50">
        <f>Reports!N32</f>
        <v>6392</v>
      </c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7"/>
      <c r="CS42" s="37"/>
      <c r="CT42" s="37"/>
      <c r="CU42" s="37"/>
      <c r="CV42" s="37"/>
      <c r="CW42" s="37"/>
      <c r="CX42" s="37"/>
      <c r="CY42" s="37"/>
      <c r="CZ42" s="37"/>
      <c r="DA42" s="37"/>
      <c r="DB42" s="37"/>
      <c r="DC42" s="37"/>
      <c r="DD42" s="37"/>
      <c r="DE42" s="37"/>
      <c r="DF42" s="37"/>
      <c r="DG42" s="37"/>
      <c r="DH42" s="37"/>
      <c r="DI42" s="37"/>
      <c r="DJ42" s="37"/>
      <c r="DK42" s="37"/>
      <c r="DL42" s="37"/>
      <c r="DM42" s="37"/>
      <c r="DN42" s="37"/>
    </row>
    <row r="43" spans="2:118" x14ac:dyDescent="0.15">
      <c r="B43" s="2" t="s">
        <v>20</v>
      </c>
      <c r="C43" s="43"/>
      <c r="D43" s="43"/>
      <c r="E43" s="43"/>
      <c r="F43" s="50">
        <f>Reports!F33</f>
        <v>0</v>
      </c>
      <c r="G43" s="50">
        <f>Reports!J33</f>
        <v>0</v>
      </c>
      <c r="H43" s="50">
        <f>Reports!N33</f>
        <v>1816</v>
      </c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</row>
    <row r="44" spans="2:118" x14ac:dyDescent="0.15">
      <c r="C44" s="43"/>
      <c r="D44" s="43"/>
      <c r="E44" s="43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  <c r="DN44" s="37"/>
    </row>
    <row r="45" spans="2:118" x14ac:dyDescent="0.15">
      <c r="B45" s="2" t="s">
        <v>44</v>
      </c>
      <c r="C45" s="43"/>
      <c r="D45" s="43"/>
      <c r="E45" s="43"/>
      <c r="F45" s="50">
        <f>Reports!F35</f>
        <v>0</v>
      </c>
      <c r="G45" s="50">
        <f>Reports!J35</f>
        <v>755</v>
      </c>
      <c r="H45" s="50">
        <f>Reports!N35</f>
        <v>732</v>
      </c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</row>
    <row r="46" spans="2:118" x14ac:dyDescent="0.15">
      <c r="B46" s="2" t="s">
        <v>45</v>
      </c>
      <c r="C46" s="43"/>
      <c r="D46" s="43"/>
      <c r="E46" s="43"/>
      <c r="F46" s="50">
        <f>Reports!F36</f>
        <v>6613</v>
      </c>
      <c r="G46" s="50">
        <f>Reports!J36</f>
        <v>8310</v>
      </c>
      <c r="H46" s="50">
        <f>Reports!N36</f>
        <v>10491</v>
      </c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</row>
    <row r="47" spans="2:118" x14ac:dyDescent="0.15">
      <c r="B47" s="2" t="s">
        <v>46</v>
      </c>
      <c r="C47" s="43"/>
      <c r="D47" s="43"/>
      <c r="E47" s="43"/>
      <c r="F47" s="50">
        <f>Reports!F37</f>
        <v>7390</v>
      </c>
      <c r="G47" s="50">
        <f>Reports!J37</f>
        <v>9118</v>
      </c>
      <c r="H47" s="50">
        <f>Reports!N37</f>
        <v>7590</v>
      </c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</row>
    <row r="48" spans="2:118" x14ac:dyDescent="0.15">
      <c r="C48" s="43"/>
      <c r="D48" s="43"/>
      <c r="E48" s="43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  <c r="DN48" s="37"/>
    </row>
    <row r="49" spans="2:118" x14ac:dyDescent="0.15">
      <c r="B49" s="2" t="s">
        <v>47</v>
      </c>
      <c r="C49" s="43"/>
      <c r="D49" s="43"/>
      <c r="E49" s="43"/>
      <c r="F49" s="53">
        <f>F46-F45-F42</f>
        <v>3725</v>
      </c>
      <c r="G49" s="53">
        <f>G46-G45-G42</f>
        <v>4480</v>
      </c>
      <c r="H49" s="53">
        <f>H46-H45-H42</f>
        <v>3367</v>
      </c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</row>
    <row r="50" spans="2:118" x14ac:dyDescent="0.15">
      <c r="B50" s="2" t="s">
        <v>48</v>
      </c>
      <c r="C50" s="43"/>
      <c r="D50" s="43"/>
      <c r="E50" s="43"/>
      <c r="F50" s="53">
        <f>F46-F47</f>
        <v>-777</v>
      </c>
      <c r="G50" s="53">
        <f>G46-G47</f>
        <v>-808</v>
      </c>
      <c r="H50" s="53">
        <f>H46-H47</f>
        <v>2901</v>
      </c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</row>
    <row r="51" spans="2:118" x14ac:dyDescent="0.15"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</row>
    <row r="52" spans="2:118" x14ac:dyDescent="0.15">
      <c r="B52" s="17" t="s">
        <v>49</v>
      </c>
      <c r="C52" s="54"/>
      <c r="D52" s="54"/>
      <c r="E52" s="54"/>
      <c r="F52" s="54">
        <f>F27/F50</f>
        <v>2.1898326898326735E-2</v>
      </c>
      <c r="G52" s="54">
        <f>G27/G50</f>
        <v>0.83510024752475298</v>
      </c>
      <c r="H52" s="54">
        <f>H27/H50</f>
        <v>-0.63049982764563939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  <c r="CN52" s="37"/>
      <c r="CO52" s="37"/>
      <c r="CP52" s="37"/>
      <c r="CQ52" s="37"/>
      <c r="CR52" s="37"/>
      <c r="CS52" s="37"/>
      <c r="CT52" s="37"/>
      <c r="CU52" s="37"/>
      <c r="CV52" s="37"/>
      <c r="CW52" s="37"/>
      <c r="CX52" s="37"/>
      <c r="CY52" s="37"/>
      <c r="CZ52" s="37"/>
      <c r="DA52" s="37"/>
      <c r="DB52" s="37"/>
      <c r="DC52" s="37"/>
      <c r="DD52" s="37"/>
      <c r="DE52" s="37"/>
      <c r="DF52" s="37"/>
      <c r="DG52" s="37"/>
      <c r="DH52" s="37"/>
      <c r="DI52" s="37"/>
      <c r="DJ52" s="37"/>
      <c r="DK52" s="37"/>
      <c r="DL52" s="37"/>
      <c r="DM52" s="37"/>
      <c r="DN52" s="37"/>
    </row>
    <row r="53" spans="2:118" x14ac:dyDescent="0.15">
      <c r="B53" s="17" t="s">
        <v>50</v>
      </c>
      <c r="C53" s="54"/>
      <c r="D53" s="54"/>
      <c r="E53" s="54"/>
      <c r="F53" s="54">
        <f>F27/F46</f>
        <v>-2.5729623468924651E-3</v>
      </c>
      <c r="G53" s="54">
        <f>G27/G46</f>
        <v>-8.1198676293622193E-2</v>
      </c>
      <c r="H53" s="54">
        <f>H27/H46</f>
        <v>-0.17434753598322369</v>
      </c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  <c r="CN53" s="37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</row>
    <row r="54" spans="2:118" x14ac:dyDescent="0.15">
      <c r="B54" s="17" t="s">
        <v>51</v>
      </c>
      <c r="C54" s="54"/>
      <c r="D54" s="54"/>
      <c r="E54" s="54"/>
      <c r="F54" s="54">
        <f>F27/(F50-F45)</f>
        <v>2.1898326898326735E-2</v>
      </c>
      <c r="G54" s="54">
        <f>G27/(G50-G45)</f>
        <v>0.43170889315419092</v>
      </c>
      <c r="H54" s="54">
        <f>H27/(H50-H45)</f>
        <v>-0.84328261871830335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  <c r="CN54" s="37"/>
      <c r="CO54" s="37"/>
      <c r="CP54" s="37"/>
      <c r="CQ54" s="37"/>
      <c r="CR54" s="37"/>
      <c r="CS54" s="37"/>
      <c r="CT54" s="37"/>
      <c r="CU54" s="37"/>
      <c r="CV54" s="37"/>
      <c r="CW54" s="37"/>
      <c r="CX54" s="37"/>
      <c r="CY54" s="37"/>
      <c r="CZ54" s="37"/>
      <c r="DA54" s="37"/>
      <c r="DB54" s="37"/>
      <c r="DC54" s="37"/>
      <c r="DD54" s="37"/>
      <c r="DE54" s="37"/>
      <c r="DF54" s="37"/>
      <c r="DG54" s="37"/>
      <c r="DH54" s="37"/>
      <c r="DI54" s="37"/>
      <c r="DJ54" s="37"/>
      <c r="DK54" s="37"/>
      <c r="DL54" s="37"/>
      <c r="DM54" s="37"/>
      <c r="DN54" s="37"/>
    </row>
    <row r="55" spans="2:118" x14ac:dyDescent="0.15">
      <c r="B55" s="17" t="s">
        <v>52</v>
      </c>
      <c r="C55" s="54"/>
      <c r="D55" s="54"/>
      <c r="E55" s="54"/>
      <c r="F55" s="54">
        <f>F27/F49</f>
        <v>-4.5677852348992949E-3</v>
      </c>
      <c r="G55" s="54">
        <f>G27/G49</f>
        <v>-0.15061629464285722</v>
      </c>
      <c r="H55" s="54">
        <f>H27/H49</f>
        <v>-0.54323730323730324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  <c r="CN55" s="37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</row>
    <row r="56" spans="2:118" x14ac:dyDescent="0.15"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  <c r="CN56" s="37"/>
      <c r="CO56" s="37"/>
      <c r="CP56" s="37"/>
      <c r="CQ56" s="37"/>
      <c r="CR56" s="37"/>
      <c r="CS56" s="37"/>
      <c r="CT56" s="37"/>
      <c r="CU56" s="37"/>
      <c r="CV56" s="37"/>
      <c r="CW56" s="37"/>
      <c r="CX56" s="37"/>
      <c r="CY56" s="37"/>
      <c r="CZ56" s="37"/>
      <c r="DA56" s="37"/>
      <c r="DB56" s="37"/>
      <c r="DC56" s="37"/>
      <c r="DD56" s="37"/>
      <c r="DE56" s="37"/>
      <c r="DF56" s="37"/>
      <c r="DG56" s="37"/>
      <c r="DH56" s="37"/>
      <c r="DI56" s="37"/>
      <c r="DJ56" s="37"/>
      <c r="DK56" s="37"/>
      <c r="DL56" s="37"/>
      <c r="DM56" s="37"/>
      <c r="DN56" s="37"/>
    </row>
    <row r="57" spans="2:118" x14ac:dyDescent="0.15">
      <c r="B57" s="5" t="s">
        <v>63</v>
      </c>
      <c r="C57" s="54"/>
      <c r="D57" s="54">
        <f>D11/C11-1</f>
        <v>0.8014972796517954</v>
      </c>
      <c r="E57" s="54">
        <f>E11/D11-1</f>
        <v>0.54732914707630465</v>
      </c>
      <c r="F57" s="54">
        <f>F11/E11-1</f>
        <v>0.42559825991979605</v>
      </c>
      <c r="G57" s="54">
        <f>G11/F11-1</f>
        <v>0.31578826309527552</v>
      </c>
      <c r="H57" s="54">
        <f t="shared" ref="H57" si="101">H11/G11-1</f>
        <v>-0.29697586321929037</v>
      </c>
      <c r="I57" s="54"/>
      <c r="J57" s="54"/>
      <c r="K57" s="54"/>
      <c r="L57" s="54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  <c r="CN57" s="37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</row>
    <row r="59" spans="2:118" x14ac:dyDescent="0.15">
      <c r="B59" s="2" t="s">
        <v>59</v>
      </c>
      <c r="D59" s="18">
        <f t="shared" ref="D59:H60" si="102">D13/C13-1</f>
        <v>0.73618784530386727</v>
      </c>
      <c r="E59" s="18">
        <f t="shared" si="102"/>
        <v>0.47812251392203664</v>
      </c>
      <c r="F59" s="18">
        <f t="shared" si="102"/>
        <v>0.34714747039827776</v>
      </c>
      <c r="G59" s="18">
        <f t="shared" si="102"/>
        <v>0.30603276068717533</v>
      </c>
      <c r="H59" s="18">
        <f t="shared" si="102"/>
        <v>-0.4089935760171306</v>
      </c>
      <c r="I59" s="18"/>
      <c r="J59" s="18"/>
      <c r="K59" s="18"/>
      <c r="L59" s="18"/>
    </row>
    <row r="60" spans="2:118" x14ac:dyDescent="0.15">
      <c r="B60" s="2" t="s">
        <v>65</v>
      </c>
      <c r="D60" s="18">
        <f t="shared" si="102"/>
        <v>3.7616571573508173E-2</v>
      </c>
      <c r="E60" s="18">
        <f t="shared" si="102"/>
        <v>4.6820633947747492E-2</v>
      </c>
      <c r="F60" s="18">
        <f t="shared" si="102"/>
        <v>5.8234745078298511E-2</v>
      </c>
      <c r="G60" s="18">
        <f t="shared" si="102"/>
        <v>7.4695694486004438E-3</v>
      </c>
      <c r="H60" s="18">
        <f t="shared" si="102"/>
        <v>0.1895372169441718</v>
      </c>
      <c r="I60" s="18"/>
      <c r="J60" s="18"/>
      <c r="K60" s="18"/>
      <c r="L60" s="18"/>
    </row>
    <row r="62" spans="2:118" s="15" customFormat="1" x14ac:dyDescent="0.15">
      <c r="B62" s="15" t="s">
        <v>60</v>
      </c>
      <c r="C62" s="15">
        <v>8057.7</v>
      </c>
      <c r="D62" s="15">
        <v>13924.8</v>
      </c>
      <c r="E62" s="15">
        <v>20975.3</v>
      </c>
      <c r="F62" s="15">
        <v>29440.7</v>
      </c>
      <c r="G62" s="15">
        <v>37962.6</v>
      </c>
      <c r="H62" s="15">
        <f>SUM(Reports!K56:N56)</f>
        <v>23900</v>
      </c>
      <c r="I62" s="15">
        <f>H62*1.3</f>
        <v>31070</v>
      </c>
      <c r="J62" s="15">
        <f>I62*1.5</f>
        <v>46605</v>
      </c>
      <c r="K62" s="15">
        <f>J62*1.45</f>
        <v>67577.25</v>
      </c>
      <c r="L62" s="15">
        <f>K62*1.4</f>
        <v>94608.15</v>
      </c>
      <c r="M62" s="15">
        <f>L62*1.35</f>
        <v>127721.0025</v>
      </c>
    </row>
    <row r="63" spans="2:118" x14ac:dyDescent="0.15">
      <c r="B63" s="2" t="s">
        <v>61</v>
      </c>
      <c r="D63" s="18">
        <f>D62/C62-1</f>
        <v>0.72813582039539804</v>
      </c>
      <c r="E63" s="18">
        <f>E62/D62-1</f>
        <v>0.50632684131908534</v>
      </c>
      <c r="F63" s="18">
        <f>F62/E62-1</f>
        <v>0.40358898323265935</v>
      </c>
      <c r="G63" s="18">
        <f>G62/F62-1</f>
        <v>0.28945982941981674</v>
      </c>
      <c r="H63" s="18">
        <f>H62/G62-1</f>
        <v>-0.3704330051155611</v>
      </c>
      <c r="I63" s="18">
        <f t="shared" ref="I63:M63" si="103">I62/H62-1</f>
        <v>0.30000000000000004</v>
      </c>
      <c r="J63" s="18">
        <f t="shared" si="103"/>
        <v>0.5</v>
      </c>
      <c r="K63" s="18">
        <f t="shared" si="103"/>
        <v>0.44999999999999996</v>
      </c>
      <c r="L63" s="18">
        <f t="shared" si="103"/>
        <v>0.39999999999999991</v>
      </c>
      <c r="M63" s="18">
        <f t="shared" si="103"/>
        <v>0.35000000000000009</v>
      </c>
    </row>
    <row r="65" spans="2:13" s="18" customFormat="1" x14ac:dyDescent="0.15">
      <c r="B65" s="18" t="s">
        <v>69</v>
      </c>
      <c r="C65" s="18">
        <f t="shared" ref="C65:H65" si="104">C16/C62</f>
        <v>0.11405239708601711</v>
      </c>
      <c r="D65" s="18">
        <f t="shared" si="104"/>
        <v>0.11889405951970586</v>
      </c>
      <c r="E65" s="18">
        <f t="shared" si="104"/>
        <v>0.12213036285535844</v>
      </c>
      <c r="F65" s="18">
        <f t="shared" si="104"/>
        <v>0.12404545408227385</v>
      </c>
      <c r="G65" s="18">
        <f t="shared" si="104"/>
        <v>0.12657823752851491</v>
      </c>
      <c r="H65" s="18">
        <f t="shared" si="104"/>
        <v>0.14134723849372385</v>
      </c>
      <c r="I65" s="18">
        <f t="shared" ref="I65:M65" si="105">I16/I62</f>
        <v>0.14134723849372385</v>
      </c>
      <c r="J65" s="18">
        <f t="shared" si="105"/>
        <v>0.14134723849372385</v>
      </c>
      <c r="K65" s="18">
        <f t="shared" si="105"/>
        <v>0.14134723849372385</v>
      </c>
      <c r="L65" s="18">
        <f t="shared" si="105"/>
        <v>0.14134723849372385</v>
      </c>
      <c r="M65" s="18">
        <f t="shared" si="105"/>
        <v>0.14134723849372385</v>
      </c>
    </row>
  </sheetData>
  <hyperlinks>
    <hyperlink ref="A1" r:id="rId1" display="Investor Relations" xr:uid="{00000000-0004-0000-0000-000000000000}"/>
    <hyperlink ref="B3" r:id="rId2" xr:uid="{606FB931-DDDA-0844-8613-7FFB04EE7E4D}"/>
    <hyperlink ref="B6" r:id="rId3" xr:uid="{A829725C-CA8B-8146-B4EA-1D513093D185}"/>
    <hyperlink ref="B7" r:id="rId4" xr:uid="{34D0BF07-1AEB-874D-9377-D889FE649DDC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9"/>
  <sheetViews>
    <sheetView zoomScale="125" zoomScaleNormal="125" workbookViewId="0">
      <pane xSplit="2" ySplit="3" topLeftCell="D4" activePane="bottomRight" state="frozen"/>
      <selection pane="topRight" activeCell="B1" sqref="B1"/>
      <selection pane="bottomLeft" activeCell="A3" sqref="A3"/>
      <selection pane="bottomRight" activeCell="E26" sqref="E26"/>
    </sheetView>
  </sheetViews>
  <sheetFormatPr baseColWidth="10" defaultRowHeight="13" x14ac:dyDescent="0.15"/>
  <cols>
    <col min="1" max="1" width="7.1640625" style="5" bestFit="1" customWidth="1"/>
    <col min="2" max="2" width="17.1640625" style="73" bestFit="1" customWidth="1"/>
    <col min="3" max="3" width="10.83203125" style="20"/>
    <col min="4" max="6" width="10.83203125" style="19"/>
    <col min="7" max="7" width="10.83203125" style="20"/>
    <col min="8" max="10" width="10.83203125" style="19"/>
    <col min="11" max="11" width="10.83203125" style="20"/>
    <col min="12" max="14" width="10.83203125" style="19"/>
    <col min="15" max="16384" width="10.83203125" style="5"/>
  </cols>
  <sheetData>
    <row r="1" spans="1:18" x14ac:dyDescent="0.15">
      <c r="A1" s="66" t="s">
        <v>33</v>
      </c>
    </row>
    <row r="2" spans="1:18" s="19" customFormat="1" x14ac:dyDescent="0.15">
      <c r="C2" s="21" t="s">
        <v>26</v>
      </c>
      <c r="D2" s="22" t="s">
        <v>27</v>
      </c>
      <c r="E2" s="22" t="s">
        <v>28</v>
      </c>
      <c r="F2" s="22" t="s">
        <v>29</v>
      </c>
      <c r="G2" s="21" t="s">
        <v>40</v>
      </c>
      <c r="H2" s="22" t="s">
        <v>41</v>
      </c>
      <c r="I2" s="22" t="s">
        <v>42</v>
      </c>
      <c r="J2" s="22" t="s">
        <v>43</v>
      </c>
      <c r="K2" s="21" t="s">
        <v>53</v>
      </c>
      <c r="L2" s="22" t="s">
        <v>55</v>
      </c>
      <c r="M2" s="22" t="s">
        <v>56</v>
      </c>
      <c r="N2" s="22" t="s">
        <v>54</v>
      </c>
      <c r="O2" s="19" t="s">
        <v>71</v>
      </c>
      <c r="P2" s="19" t="s">
        <v>72</v>
      </c>
      <c r="Q2" s="19" t="s">
        <v>73</v>
      </c>
      <c r="R2" s="19" t="s">
        <v>74</v>
      </c>
    </row>
    <row r="3" spans="1:18" s="19" customFormat="1" x14ac:dyDescent="0.15">
      <c r="B3" s="67"/>
      <c r="C3" s="58">
        <v>43190</v>
      </c>
      <c r="D3" s="57">
        <v>43281</v>
      </c>
      <c r="E3" s="57">
        <v>43373</v>
      </c>
      <c r="F3" s="57">
        <v>43465</v>
      </c>
      <c r="G3" s="58">
        <v>43555</v>
      </c>
      <c r="H3" s="57">
        <v>43646</v>
      </c>
      <c r="I3" s="57">
        <v>43738</v>
      </c>
      <c r="J3" s="57">
        <v>43830</v>
      </c>
      <c r="K3" s="58">
        <v>43921</v>
      </c>
      <c r="L3" s="57">
        <v>44012</v>
      </c>
      <c r="M3" s="57">
        <v>44104</v>
      </c>
      <c r="N3" s="57">
        <v>44196</v>
      </c>
    </row>
    <row r="4" spans="1:18" s="7" customFormat="1" x14ac:dyDescent="0.15">
      <c r="B4" s="68" t="s">
        <v>62</v>
      </c>
      <c r="C4" s="21">
        <v>642.84</v>
      </c>
      <c r="D4" s="22">
        <v>903.43100000000004</v>
      </c>
      <c r="E4" s="22">
        <v>1265.127</v>
      </c>
      <c r="F4" s="22">
        <v>840.58699999999999</v>
      </c>
      <c r="G4" s="21">
        <v>839.00400000000002</v>
      </c>
      <c r="H4" s="22">
        <v>1213.6780000000001</v>
      </c>
      <c r="I4" s="22">
        <v>1645.761</v>
      </c>
      <c r="J4" s="22">
        <v>1106.796</v>
      </c>
      <c r="K4" s="21">
        <v>841.83</v>
      </c>
      <c r="L4" s="22">
        <v>334.774</v>
      </c>
      <c r="M4" s="22">
        <v>1342.3309999999999</v>
      </c>
      <c r="N4" s="22">
        <v>859.26400000000001</v>
      </c>
    </row>
    <row r="5" spans="1:18" s="38" customFormat="1" x14ac:dyDescent="0.15">
      <c r="B5" s="69"/>
      <c r="C5" s="39"/>
      <c r="G5" s="39"/>
      <c r="K5" s="39"/>
    </row>
    <row r="6" spans="1:18" s="16" customFormat="1" x14ac:dyDescent="0.15">
      <c r="B6" s="70" t="s">
        <v>0</v>
      </c>
      <c r="C6" s="24">
        <f t="shared" ref="C6:N6" si="0">SUM(C4:C4)</f>
        <v>642.84</v>
      </c>
      <c r="D6" s="23">
        <f t="shared" si="0"/>
        <v>903.43100000000004</v>
      </c>
      <c r="E6" s="23">
        <f t="shared" si="0"/>
        <v>1265.127</v>
      </c>
      <c r="F6" s="23">
        <f t="shared" si="0"/>
        <v>840.58699999999999</v>
      </c>
      <c r="G6" s="24">
        <f t="shared" si="0"/>
        <v>839.00400000000002</v>
      </c>
      <c r="H6" s="23">
        <f t="shared" si="0"/>
        <v>1213.6780000000001</v>
      </c>
      <c r="I6" s="23">
        <f t="shared" si="0"/>
        <v>1645.761</v>
      </c>
      <c r="J6" s="23">
        <f t="shared" si="0"/>
        <v>1106.796</v>
      </c>
      <c r="K6" s="24">
        <f t="shared" si="0"/>
        <v>841.83</v>
      </c>
      <c r="L6" s="23">
        <f t="shared" si="0"/>
        <v>334.774</v>
      </c>
      <c r="M6" s="23">
        <f t="shared" si="0"/>
        <v>1342.3309999999999</v>
      </c>
      <c r="N6" s="23">
        <f t="shared" si="0"/>
        <v>859.26400000000001</v>
      </c>
    </row>
    <row r="7" spans="1:18" s="7" customFormat="1" x14ac:dyDescent="0.15">
      <c r="B7" s="68" t="s">
        <v>1</v>
      </c>
      <c r="C7" s="21">
        <f>203+128</f>
        <v>331</v>
      </c>
      <c r="D7" s="22">
        <f>218+154</f>
        <v>372</v>
      </c>
      <c r="E7" s="22">
        <f>227+170</f>
        <v>397</v>
      </c>
      <c r="F7" s="22">
        <f>216+157</f>
        <v>373</v>
      </c>
      <c r="G7" s="21">
        <f>281+167</f>
        <v>448</v>
      </c>
      <c r="H7" s="22">
        <f>313+211</f>
        <v>524</v>
      </c>
      <c r="I7" s="50">
        <f>309+223</f>
        <v>532</v>
      </c>
      <c r="J7" s="50">
        <f>294+214</f>
        <v>508</v>
      </c>
      <c r="K7" s="21">
        <f>278+222</f>
        <v>500</v>
      </c>
      <c r="L7" s="50">
        <f>161+160</f>
        <v>321</v>
      </c>
      <c r="M7" s="50">
        <f>227+166</f>
        <v>393</v>
      </c>
      <c r="N7" s="50">
        <f>209.747+329.532</f>
        <v>539.279</v>
      </c>
    </row>
    <row r="8" spans="1:18" s="7" customFormat="1" x14ac:dyDescent="0.15">
      <c r="B8" s="68" t="s">
        <v>2</v>
      </c>
      <c r="C8" s="26">
        <f>C6-C7</f>
        <v>311.84000000000003</v>
      </c>
      <c r="D8" s="25">
        <f>D6-D7</f>
        <v>531.43100000000004</v>
      </c>
      <c r="E8" s="25">
        <f t="shared" ref="E8:G8" si="1">E6-E7</f>
        <v>868.12699999999995</v>
      </c>
      <c r="F8" s="25">
        <f t="shared" si="1"/>
        <v>467.58699999999999</v>
      </c>
      <c r="G8" s="26">
        <f t="shared" si="1"/>
        <v>391.00400000000002</v>
      </c>
      <c r="H8" s="25">
        <f t="shared" ref="H8:N8" si="2">H6-H7</f>
        <v>689.67800000000011</v>
      </c>
      <c r="I8" s="25">
        <f t="shared" si="2"/>
        <v>1113.761</v>
      </c>
      <c r="J8" s="25">
        <f t="shared" si="2"/>
        <v>598.79600000000005</v>
      </c>
      <c r="K8" s="26">
        <f t="shared" ref="K8" si="3">K6-K7</f>
        <v>341.83000000000004</v>
      </c>
      <c r="L8" s="25">
        <f t="shared" si="2"/>
        <v>13.774000000000001</v>
      </c>
      <c r="M8" s="25">
        <f t="shared" si="2"/>
        <v>949.3309999999999</v>
      </c>
      <c r="N8" s="25">
        <f t="shared" si="2"/>
        <v>319.98500000000001</v>
      </c>
    </row>
    <row r="9" spans="1:18" s="7" customFormat="1" x14ac:dyDescent="0.15">
      <c r="B9" s="68" t="s">
        <v>3</v>
      </c>
      <c r="C9" s="21">
        <v>123</v>
      </c>
      <c r="D9" s="22">
        <v>154</v>
      </c>
      <c r="E9" s="22">
        <v>142</v>
      </c>
      <c r="F9" s="22">
        <v>160</v>
      </c>
      <c r="G9" s="21">
        <v>185</v>
      </c>
      <c r="H9" s="22">
        <v>232</v>
      </c>
      <c r="I9" s="50">
        <v>276</v>
      </c>
      <c r="J9" s="50">
        <v>283</v>
      </c>
      <c r="K9" s="21">
        <v>259</v>
      </c>
      <c r="L9" s="50">
        <v>218</v>
      </c>
      <c r="M9" s="50">
        <v>214</v>
      </c>
      <c r="N9" s="50">
        <f>2062-1815</f>
        <v>247</v>
      </c>
    </row>
    <row r="10" spans="1:18" s="7" customFormat="1" x14ac:dyDescent="0.15">
      <c r="B10" s="68" t="s">
        <v>4</v>
      </c>
      <c r="C10" s="21">
        <v>232</v>
      </c>
      <c r="D10" s="22">
        <v>264</v>
      </c>
      <c r="E10" s="22">
        <v>306</v>
      </c>
      <c r="F10" s="22">
        <v>299</v>
      </c>
      <c r="G10" s="21">
        <v>367</v>
      </c>
      <c r="H10" s="22">
        <v>388</v>
      </c>
      <c r="I10" s="50">
        <v>430</v>
      </c>
      <c r="J10" s="50">
        <v>437</v>
      </c>
      <c r="K10" s="21">
        <v>317</v>
      </c>
      <c r="L10" s="50">
        <v>115</v>
      </c>
      <c r="M10" s="50">
        <v>113</v>
      </c>
      <c r="N10" s="50">
        <f>630-423</f>
        <v>207</v>
      </c>
    </row>
    <row r="11" spans="1:18" s="7" customFormat="1" x14ac:dyDescent="0.15">
      <c r="B11" s="68" t="s">
        <v>5</v>
      </c>
      <c r="C11" s="21">
        <v>93</v>
      </c>
      <c r="D11" s="22">
        <v>102</v>
      </c>
      <c r="E11" s="22">
        <v>98</v>
      </c>
      <c r="F11" s="22">
        <v>187</v>
      </c>
      <c r="G11" s="21">
        <v>146</v>
      </c>
      <c r="H11" s="22">
        <v>169</v>
      </c>
      <c r="I11" s="50">
        <v>175</v>
      </c>
      <c r="J11" s="50">
        <v>207</v>
      </c>
      <c r="K11" s="21">
        <v>92</v>
      </c>
      <c r="L11" s="50">
        <f>150+114</f>
        <v>264</v>
      </c>
      <c r="M11" s="50">
        <f>180+23</f>
        <v>203</v>
      </c>
      <c r="N11" s="50">
        <f>714+14-512-2</f>
        <v>214</v>
      </c>
    </row>
    <row r="12" spans="1:18" s="7" customFormat="1" x14ac:dyDescent="0.15">
      <c r="B12" s="68" t="s">
        <v>6</v>
      </c>
      <c r="C12" s="26">
        <f t="shared" ref="C12" si="4">SUM(C9:C11)</f>
        <v>448</v>
      </c>
      <c r="D12" s="25">
        <f t="shared" ref="D12:E12" si="5">SUM(D9:D11)</f>
        <v>520</v>
      </c>
      <c r="E12" s="25">
        <f t="shared" si="5"/>
        <v>546</v>
      </c>
      <c r="F12" s="25">
        <f t="shared" ref="F12:H12" si="6">SUM(F9:F11)</f>
        <v>646</v>
      </c>
      <c r="G12" s="26">
        <f t="shared" si="6"/>
        <v>698</v>
      </c>
      <c r="H12" s="25">
        <f t="shared" si="6"/>
        <v>789</v>
      </c>
      <c r="I12" s="25">
        <f t="shared" ref="I12:J12" si="7">SUM(I9:I11)</f>
        <v>881</v>
      </c>
      <c r="J12" s="25">
        <f t="shared" si="7"/>
        <v>927</v>
      </c>
      <c r="K12" s="26">
        <f t="shared" ref="K12:M12" si="8">SUM(K9:K11)</f>
        <v>668</v>
      </c>
      <c r="L12" s="25">
        <f t="shared" si="8"/>
        <v>597</v>
      </c>
      <c r="M12" s="25">
        <f t="shared" si="8"/>
        <v>530</v>
      </c>
      <c r="N12" s="25">
        <f t="shared" ref="N12" si="9">SUM(N9:N11)</f>
        <v>668</v>
      </c>
    </row>
    <row r="13" spans="1:18" s="7" customFormat="1" x14ac:dyDescent="0.15">
      <c r="B13" s="68" t="s">
        <v>7</v>
      </c>
      <c r="C13" s="26">
        <f t="shared" ref="C13:E13" si="10">C8-C12</f>
        <v>-136.15999999999997</v>
      </c>
      <c r="D13" s="25">
        <f t="shared" si="10"/>
        <v>11.43100000000004</v>
      </c>
      <c r="E13" s="25">
        <f t="shared" si="10"/>
        <v>322.12699999999995</v>
      </c>
      <c r="F13" s="25">
        <f t="shared" ref="F13:H13" si="11">F8-F12</f>
        <v>-178.41300000000001</v>
      </c>
      <c r="G13" s="26">
        <f t="shared" si="11"/>
        <v>-306.99599999999998</v>
      </c>
      <c r="H13" s="25">
        <f t="shared" si="11"/>
        <v>-99.321999999999889</v>
      </c>
      <c r="I13" s="25">
        <f t="shared" ref="I13:J13" si="12">I8-I12</f>
        <v>232.76099999999997</v>
      </c>
      <c r="J13" s="25">
        <f t="shared" si="12"/>
        <v>-328.20399999999995</v>
      </c>
      <c r="K13" s="26">
        <f t="shared" ref="K13:M13" si="13">K8-K12</f>
        <v>-326.16999999999996</v>
      </c>
      <c r="L13" s="25">
        <f t="shared" si="13"/>
        <v>-583.226</v>
      </c>
      <c r="M13" s="25">
        <f t="shared" si="13"/>
        <v>419.3309999999999</v>
      </c>
      <c r="N13" s="25">
        <f t="shared" ref="N13" si="14">N8-N12</f>
        <v>-348.01499999999999</v>
      </c>
    </row>
    <row r="14" spans="1:18" s="7" customFormat="1" x14ac:dyDescent="0.15">
      <c r="B14" s="68" t="s">
        <v>8</v>
      </c>
      <c r="C14" s="21">
        <f>10-5-2</f>
        <v>3</v>
      </c>
      <c r="D14" s="22">
        <f>16-6+0</f>
        <v>10</v>
      </c>
      <c r="E14" s="22">
        <f>20-5-6</f>
        <v>9</v>
      </c>
      <c r="F14" s="22">
        <f>21-10-5</f>
        <v>6</v>
      </c>
      <c r="G14" s="21">
        <f>22-2+7</f>
        <v>27</v>
      </c>
      <c r="H14" s="22">
        <f>24-2+6</f>
        <v>28</v>
      </c>
      <c r="I14" s="50">
        <f>22-3+29</f>
        <v>48</v>
      </c>
      <c r="J14" s="50">
        <f>17-3-28</f>
        <v>-14</v>
      </c>
      <c r="K14" s="21">
        <f>17+2-47</f>
        <v>-28</v>
      </c>
      <c r="L14" s="50">
        <f>6-49-13</f>
        <v>-56</v>
      </c>
      <c r="M14" s="50">
        <f>4-60-56</f>
        <v>-112</v>
      </c>
      <c r="N14" s="50">
        <f>3-64-831</f>
        <v>-892</v>
      </c>
    </row>
    <row r="15" spans="1:18" s="7" customFormat="1" x14ac:dyDescent="0.15">
      <c r="B15" s="68" t="s">
        <v>9</v>
      </c>
      <c r="C15" s="26">
        <f t="shared" ref="C15" si="15">C13+C14</f>
        <v>-133.15999999999997</v>
      </c>
      <c r="D15" s="25">
        <f t="shared" ref="D15" si="16">D13+D14</f>
        <v>21.43100000000004</v>
      </c>
      <c r="E15" s="25">
        <f t="shared" ref="E15:I15" si="17">E13+E14</f>
        <v>331.12699999999995</v>
      </c>
      <c r="F15" s="25">
        <f t="shared" si="17"/>
        <v>-172.41300000000001</v>
      </c>
      <c r="G15" s="26">
        <f t="shared" si="17"/>
        <v>-279.99599999999998</v>
      </c>
      <c r="H15" s="25">
        <f t="shared" si="17"/>
        <v>-71.321999999999889</v>
      </c>
      <c r="I15" s="25">
        <f t="shared" si="17"/>
        <v>280.76099999999997</v>
      </c>
      <c r="J15" s="25">
        <f t="shared" ref="J15" si="18">J13+J14</f>
        <v>-342.20399999999995</v>
      </c>
      <c r="K15" s="26">
        <f t="shared" ref="K15:N15" si="19">K13+K14</f>
        <v>-354.16999999999996</v>
      </c>
      <c r="L15" s="25">
        <f t="shared" si="19"/>
        <v>-639.226</v>
      </c>
      <c r="M15" s="25">
        <f t="shared" si="19"/>
        <v>307.3309999999999</v>
      </c>
      <c r="N15" s="25">
        <f t="shared" si="19"/>
        <v>-1240.0149999999999</v>
      </c>
    </row>
    <row r="16" spans="1:18" s="7" customFormat="1" x14ac:dyDescent="0.15">
      <c r="B16" s="68" t="s">
        <v>10</v>
      </c>
      <c r="C16" s="21">
        <v>14</v>
      </c>
      <c r="D16" s="22">
        <v>12</v>
      </c>
      <c r="E16" s="22">
        <v>-8</v>
      </c>
      <c r="F16" s="22">
        <v>46</v>
      </c>
      <c r="G16" s="21">
        <v>13</v>
      </c>
      <c r="H16" s="22">
        <v>225</v>
      </c>
      <c r="I16" s="22">
        <v>15</v>
      </c>
      <c r="J16" s="22">
        <v>10</v>
      </c>
      <c r="K16" s="21">
        <v>-16</v>
      </c>
      <c r="L16" s="22">
        <v>-64</v>
      </c>
      <c r="M16" s="22">
        <v>88</v>
      </c>
      <c r="N16" s="22">
        <v>-105</v>
      </c>
    </row>
    <row r="17" spans="2:14" s="16" customFormat="1" x14ac:dyDescent="0.15">
      <c r="B17" s="70" t="s">
        <v>11</v>
      </c>
      <c r="C17" s="24">
        <f t="shared" ref="C17:N17" si="20">C15-C16</f>
        <v>-147.15999999999997</v>
      </c>
      <c r="D17" s="23">
        <f t="shared" si="20"/>
        <v>9.43100000000004</v>
      </c>
      <c r="E17" s="23">
        <f t="shared" si="20"/>
        <v>339.12699999999995</v>
      </c>
      <c r="F17" s="23">
        <f t="shared" si="20"/>
        <v>-218.41300000000001</v>
      </c>
      <c r="G17" s="24">
        <f t="shared" si="20"/>
        <v>-292.99599999999998</v>
      </c>
      <c r="H17" s="23">
        <f t="shared" si="20"/>
        <v>-296.32199999999989</v>
      </c>
      <c r="I17" s="23">
        <f t="shared" si="20"/>
        <v>265.76099999999997</v>
      </c>
      <c r="J17" s="23">
        <f t="shared" si="20"/>
        <v>-352.20399999999995</v>
      </c>
      <c r="K17" s="24">
        <f t="shared" si="20"/>
        <v>-338.16999999999996</v>
      </c>
      <c r="L17" s="23">
        <f t="shared" si="20"/>
        <v>-575.226</v>
      </c>
      <c r="M17" s="23">
        <f t="shared" si="20"/>
        <v>219.3309999999999</v>
      </c>
      <c r="N17" s="23">
        <f t="shared" si="20"/>
        <v>-1135.0149999999999</v>
      </c>
    </row>
    <row r="18" spans="2:14" s="3" customFormat="1" x14ac:dyDescent="0.15">
      <c r="B18" s="71" t="s">
        <v>12</v>
      </c>
      <c r="C18" s="60">
        <f t="shared" ref="C18:H18" si="21">IFERROR(C17/C19,0)</f>
        <v>0</v>
      </c>
      <c r="D18" s="59">
        <f t="shared" si="21"/>
        <v>0</v>
      </c>
      <c r="E18" s="59">
        <f t="shared" si="21"/>
        <v>0</v>
      </c>
      <c r="F18" s="59">
        <f t="shared" si="21"/>
        <v>0</v>
      </c>
      <c r="G18" s="60">
        <f t="shared" si="21"/>
        <v>0</v>
      </c>
      <c r="H18" s="59">
        <f t="shared" si="21"/>
        <v>0</v>
      </c>
      <c r="I18" s="59">
        <f t="shared" ref="I18:J18" si="22">IFERROR(I17/I19,0)</f>
        <v>0</v>
      </c>
      <c r="J18" s="59">
        <f t="shared" si="22"/>
        <v>0</v>
      </c>
      <c r="K18" s="60">
        <f t="shared" ref="K18:M18" si="23">IFERROR(K17/K19,0)</f>
        <v>0</v>
      </c>
      <c r="L18" s="59">
        <f t="shared" si="23"/>
        <v>0</v>
      </c>
      <c r="M18" s="59">
        <f t="shared" si="23"/>
        <v>0.41309551836819236</v>
      </c>
      <c r="N18" s="59">
        <f t="shared" ref="N18" si="24">IFERROR(N17/N19,0)</f>
        <v>-1.865467098093704</v>
      </c>
    </row>
    <row r="19" spans="2:14" s="7" customFormat="1" x14ac:dyDescent="0.15">
      <c r="B19" s="68" t="s">
        <v>13</v>
      </c>
      <c r="C19" s="21"/>
      <c r="D19" s="22"/>
      <c r="E19" s="22"/>
      <c r="F19" s="22"/>
      <c r="G19" s="21"/>
      <c r="H19" s="22"/>
      <c r="I19" s="50"/>
      <c r="J19" s="50"/>
      <c r="K19" s="21"/>
      <c r="L19" s="50"/>
      <c r="M19" s="50">
        <v>530.94500000000005</v>
      </c>
      <c r="N19" s="50">
        <f>120.784864+478.449882+9.2</f>
        <v>608.43474600000002</v>
      </c>
    </row>
    <row r="20" spans="2:14" s="40" customFormat="1" x14ac:dyDescent="0.15">
      <c r="B20" s="72"/>
      <c r="C20" s="55"/>
      <c r="F20" s="38"/>
      <c r="G20" s="55"/>
      <c r="K20" s="55"/>
    </row>
    <row r="21" spans="2:14" x14ac:dyDescent="0.15">
      <c r="B21" s="73" t="s">
        <v>15</v>
      </c>
      <c r="C21" s="33">
        <f t="shared" ref="C21:N21" si="25">IFERROR(C8/C6,0)</f>
        <v>0.48509738037458777</v>
      </c>
      <c r="D21" s="32">
        <f t="shared" si="25"/>
        <v>0.58823640100904218</v>
      </c>
      <c r="E21" s="32">
        <f t="shared" si="25"/>
        <v>0.68619751218652358</v>
      </c>
      <c r="F21" s="32">
        <f t="shared" si="25"/>
        <v>0.55626246896513987</v>
      </c>
      <c r="G21" s="33">
        <f t="shared" si="25"/>
        <v>0.46603353500102501</v>
      </c>
      <c r="H21" s="32">
        <f t="shared" si="25"/>
        <v>0.56825451231710555</v>
      </c>
      <c r="I21" s="32">
        <f t="shared" si="25"/>
        <v>0.6767452868308339</v>
      </c>
      <c r="J21" s="32">
        <f t="shared" si="25"/>
        <v>0.54101749554570133</v>
      </c>
      <c r="K21" s="33">
        <f t="shared" si="25"/>
        <v>0.40605585450744214</v>
      </c>
      <c r="L21" s="32">
        <f t="shared" si="25"/>
        <v>4.114417487618513E-2</v>
      </c>
      <c r="M21" s="32">
        <f t="shared" si="25"/>
        <v>0.70722571407499335</v>
      </c>
      <c r="N21" s="32">
        <f>IFERROR(N8/N6,0)</f>
        <v>0.37239428161775662</v>
      </c>
    </row>
    <row r="22" spans="2:14" x14ac:dyDescent="0.15">
      <c r="B22" s="73" t="s">
        <v>16</v>
      </c>
      <c r="C22" s="35">
        <f t="shared" ref="C22:N22" si="26">IFERROR(C13/C6,0)</f>
        <v>-0.21181009271358342</v>
      </c>
      <c r="D22" s="34">
        <f t="shared" si="26"/>
        <v>1.2652875537810901E-2</v>
      </c>
      <c r="E22" s="34">
        <f t="shared" si="26"/>
        <v>0.25462028713322848</v>
      </c>
      <c r="F22" s="34">
        <f t="shared" si="26"/>
        <v>-0.21224810757244642</v>
      </c>
      <c r="G22" s="35">
        <f t="shared" si="26"/>
        <v>-0.3659052876982708</v>
      </c>
      <c r="H22" s="34">
        <f t="shared" si="26"/>
        <v>-8.1835544518397696E-2</v>
      </c>
      <c r="I22" s="34">
        <f t="shared" si="26"/>
        <v>0.1414306208495644</v>
      </c>
      <c r="J22" s="34">
        <f t="shared" si="26"/>
        <v>-0.29653522419669021</v>
      </c>
      <c r="K22" s="35">
        <f t="shared" si="26"/>
        <v>-0.38745352387061516</v>
      </c>
      <c r="L22" s="34">
        <f t="shared" si="26"/>
        <v>-1.742148434466237</v>
      </c>
      <c r="M22" s="34">
        <f t="shared" si="26"/>
        <v>0.31239016308198198</v>
      </c>
      <c r="N22" s="34">
        <f t="shared" si="26"/>
        <v>-0.4050152223298078</v>
      </c>
    </row>
    <row r="23" spans="2:14" x14ac:dyDescent="0.15">
      <c r="B23" s="73" t="s">
        <v>17</v>
      </c>
      <c r="C23" s="35">
        <f t="shared" ref="C23:N23" si="27">IFERROR(C16/C15,0)</f>
        <v>-0.10513667768098531</v>
      </c>
      <c r="D23" s="34">
        <f t="shared" si="27"/>
        <v>0.55993654052540609</v>
      </c>
      <c r="E23" s="34">
        <f t="shared" si="27"/>
        <v>-2.4159914473902765E-2</v>
      </c>
      <c r="F23" s="34">
        <f t="shared" si="27"/>
        <v>-0.26680122728564548</v>
      </c>
      <c r="G23" s="35">
        <f t="shared" si="27"/>
        <v>-4.642923470335291E-2</v>
      </c>
      <c r="H23" s="34">
        <f t="shared" si="27"/>
        <v>-3.1547068225792931</v>
      </c>
      <c r="I23" s="34">
        <f t="shared" si="27"/>
        <v>5.3426223727654487E-2</v>
      </c>
      <c r="J23" s="34">
        <f t="shared" si="27"/>
        <v>-2.9222335215251725E-2</v>
      </c>
      <c r="K23" s="35">
        <f t="shared" si="27"/>
        <v>4.5176045401925637E-2</v>
      </c>
      <c r="L23" s="34">
        <f t="shared" si="27"/>
        <v>0.10012108393588497</v>
      </c>
      <c r="M23" s="34">
        <f t="shared" si="27"/>
        <v>0.28633623031845151</v>
      </c>
      <c r="N23" s="34">
        <f t="shared" si="27"/>
        <v>8.4676395043608355E-2</v>
      </c>
    </row>
    <row r="24" spans="2:14" s="40" customFormat="1" x14ac:dyDescent="0.15">
      <c r="B24" s="72"/>
      <c r="C24" s="55"/>
      <c r="F24" s="38"/>
      <c r="G24" s="55"/>
      <c r="K24" s="55"/>
    </row>
    <row r="25" spans="2:14" s="11" customFormat="1" x14ac:dyDescent="0.15">
      <c r="B25" s="74" t="s">
        <v>14</v>
      </c>
      <c r="C25" s="29"/>
      <c r="D25" s="28"/>
      <c r="E25" s="28"/>
      <c r="F25" s="28"/>
      <c r="G25" s="29">
        <f t="shared" ref="G25:N25" si="28">IFERROR((G6/C6)-1,0)</f>
        <v>0.30515213739033031</v>
      </c>
      <c r="H25" s="28">
        <f t="shared" si="28"/>
        <v>0.3434097346670637</v>
      </c>
      <c r="I25" s="28">
        <f t="shared" si="28"/>
        <v>0.30086623714457117</v>
      </c>
      <c r="J25" s="28">
        <f t="shared" si="28"/>
        <v>0.31669416729023903</v>
      </c>
      <c r="K25" s="29">
        <f t="shared" si="28"/>
        <v>3.3682795314444736E-3</v>
      </c>
      <c r="L25" s="28">
        <f t="shared" si="28"/>
        <v>-0.7241657177603944</v>
      </c>
      <c r="M25" s="28">
        <f t="shared" si="28"/>
        <v>-0.18437063461827086</v>
      </c>
      <c r="N25" s="28">
        <f>IFERROR((N6/J6)-1,0)</f>
        <v>-0.22364735687516035</v>
      </c>
    </row>
    <row r="26" spans="2:14" s="11" customFormat="1" x14ac:dyDescent="0.15">
      <c r="B26" s="73" t="s">
        <v>30</v>
      </c>
      <c r="C26" s="31"/>
      <c r="D26" s="30"/>
      <c r="E26" s="30"/>
      <c r="F26" s="30"/>
      <c r="G26" s="31">
        <f t="shared" ref="G26:N29" si="29">G9/C9-1</f>
        <v>0.50406504065040658</v>
      </c>
      <c r="H26" s="30">
        <f t="shared" si="29"/>
        <v>0.50649350649350655</v>
      </c>
      <c r="I26" s="30">
        <f t="shared" si="29"/>
        <v>0.94366197183098599</v>
      </c>
      <c r="J26" s="30">
        <f t="shared" si="29"/>
        <v>0.76875000000000004</v>
      </c>
      <c r="K26" s="31">
        <f t="shared" si="29"/>
        <v>0.39999999999999991</v>
      </c>
      <c r="L26" s="30">
        <f t="shared" si="29"/>
        <v>-6.0344827586206851E-2</v>
      </c>
      <c r="M26" s="30">
        <f t="shared" si="29"/>
        <v>-0.22463768115942029</v>
      </c>
      <c r="N26" s="30">
        <f t="shared" si="29"/>
        <v>-0.12720848056537104</v>
      </c>
    </row>
    <row r="27" spans="2:14" s="11" customFormat="1" x14ac:dyDescent="0.15">
      <c r="B27" s="73" t="s">
        <v>31</v>
      </c>
      <c r="C27" s="31"/>
      <c r="D27" s="30"/>
      <c r="E27" s="30"/>
      <c r="F27" s="30"/>
      <c r="G27" s="31">
        <f t="shared" si="29"/>
        <v>0.5818965517241379</v>
      </c>
      <c r="H27" s="30">
        <f t="shared" si="29"/>
        <v>0.46969696969696972</v>
      </c>
      <c r="I27" s="30">
        <f t="shared" si="29"/>
        <v>0.40522875816993453</v>
      </c>
      <c r="J27" s="30">
        <f t="shared" si="29"/>
        <v>0.46153846153846145</v>
      </c>
      <c r="K27" s="31">
        <f t="shared" si="29"/>
        <v>-0.13623978201634879</v>
      </c>
      <c r="L27" s="30">
        <f t="shared" si="29"/>
        <v>-0.70360824742268036</v>
      </c>
      <c r="M27" s="30">
        <f t="shared" si="29"/>
        <v>-0.73720930232558146</v>
      </c>
      <c r="N27" s="30">
        <f t="shared" si="29"/>
        <v>-0.52631578947368429</v>
      </c>
    </row>
    <row r="28" spans="2:14" s="11" customFormat="1" x14ac:dyDescent="0.15">
      <c r="B28" s="73" t="s">
        <v>32</v>
      </c>
      <c r="C28" s="31"/>
      <c r="D28" s="30"/>
      <c r="E28" s="30"/>
      <c r="F28" s="30"/>
      <c r="G28" s="31">
        <f t="shared" si="29"/>
        <v>0.56989247311827951</v>
      </c>
      <c r="H28" s="30">
        <f t="shared" si="29"/>
        <v>0.65686274509803932</v>
      </c>
      <c r="I28" s="30">
        <f t="shared" si="29"/>
        <v>0.78571428571428581</v>
      </c>
      <c r="J28" s="30">
        <f t="shared" si="29"/>
        <v>0.10695187165775399</v>
      </c>
      <c r="K28" s="31">
        <f t="shared" si="29"/>
        <v>-0.36986301369863017</v>
      </c>
      <c r="L28" s="30">
        <f t="shared" si="29"/>
        <v>0.56213017751479288</v>
      </c>
      <c r="M28" s="30">
        <f t="shared" si="29"/>
        <v>0.15999999999999992</v>
      </c>
      <c r="N28" s="30">
        <f t="shared" si="29"/>
        <v>3.3816425120772875E-2</v>
      </c>
    </row>
    <row r="29" spans="2:14" x14ac:dyDescent="0.15">
      <c r="B29" s="73" t="s">
        <v>68</v>
      </c>
      <c r="C29" s="33"/>
      <c r="D29" s="32"/>
      <c r="E29" s="32"/>
      <c r="F29" s="32"/>
      <c r="G29" s="33">
        <f t="shared" si="29"/>
        <v>0.55803571428571419</v>
      </c>
      <c r="H29" s="32">
        <f t="shared" si="29"/>
        <v>0.51730769230769225</v>
      </c>
      <c r="I29" s="32">
        <f t="shared" si="29"/>
        <v>0.61355311355311359</v>
      </c>
      <c r="J29" s="32">
        <f t="shared" si="29"/>
        <v>0.43498452012383892</v>
      </c>
      <c r="K29" s="33">
        <f t="shared" si="29"/>
        <v>-4.2979942693409767E-2</v>
      </c>
      <c r="L29" s="32">
        <f t="shared" si="29"/>
        <v>-0.24334600760456271</v>
      </c>
      <c r="M29" s="32">
        <f t="shared" si="29"/>
        <v>-0.398410896708286</v>
      </c>
      <c r="N29" s="32">
        <f t="shared" si="29"/>
        <v>-0.2793959007551241</v>
      </c>
    </row>
    <row r="30" spans="2:14" x14ac:dyDescent="0.15">
      <c r="C30" s="44"/>
      <c r="D30" s="43"/>
      <c r="E30" s="43"/>
      <c r="F30" s="43"/>
      <c r="H30" s="43"/>
    </row>
    <row r="31" spans="2:14" s="16" customFormat="1" x14ac:dyDescent="0.15">
      <c r="B31" s="70" t="s">
        <v>18</v>
      </c>
      <c r="C31" s="44"/>
      <c r="D31" s="43"/>
      <c r="E31" s="43"/>
      <c r="F31" s="23">
        <f t="shared" ref="F31" si="30">F32-F33</f>
        <v>2888</v>
      </c>
      <c r="G31" s="20"/>
      <c r="H31" s="43"/>
      <c r="I31" s="19"/>
      <c r="J31" s="23">
        <f t="shared" ref="J31" si="31">J32-J33</f>
        <v>3075</v>
      </c>
      <c r="K31" s="20"/>
      <c r="L31" s="19"/>
      <c r="M31" s="23">
        <f t="shared" ref="M31:N31" si="32">M32-M33</f>
        <v>4551</v>
      </c>
      <c r="N31" s="23">
        <f>N32-N33</f>
        <v>4576</v>
      </c>
    </row>
    <row r="32" spans="2:14" s="7" customFormat="1" x14ac:dyDescent="0.15">
      <c r="B32" s="68" t="s">
        <v>19</v>
      </c>
      <c r="C32" s="21"/>
      <c r="D32" s="22"/>
      <c r="E32" s="22"/>
      <c r="F32" s="22">
        <v>2888</v>
      </c>
      <c r="G32" s="21"/>
      <c r="H32" s="22"/>
      <c r="I32" s="22"/>
      <c r="J32" s="22">
        <f>2014+1061</f>
        <v>3075</v>
      </c>
      <c r="K32" s="21"/>
      <c r="L32" s="22"/>
      <c r="M32" s="22">
        <f>4495+56</f>
        <v>4551</v>
      </c>
      <c r="N32" s="22">
        <f>5481+911</f>
        <v>6392</v>
      </c>
    </row>
    <row r="33" spans="2:14" s="7" customFormat="1" x14ac:dyDescent="0.15">
      <c r="B33" s="68" t="s">
        <v>20</v>
      </c>
      <c r="C33" s="21"/>
      <c r="D33" s="22"/>
      <c r="E33" s="22"/>
      <c r="F33" s="22">
        <v>0</v>
      </c>
      <c r="G33" s="21"/>
      <c r="H33" s="22"/>
      <c r="I33" s="22"/>
      <c r="J33" s="22">
        <v>0</v>
      </c>
      <c r="K33" s="21"/>
      <c r="L33" s="22"/>
      <c r="M33" s="22">
        <v>0</v>
      </c>
      <c r="N33" s="22">
        <v>1816</v>
      </c>
    </row>
    <row r="34" spans="2:14" s="7" customFormat="1" x14ac:dyDescent="0.15">
      <c r="B34" s="68"/>
      <c r="C34" s="21"/>
      <c r="D34" s="22"/>
      <c r="E34" s="22"/>
      <c r="F34" s="22"/>
      <c r="G34" s="21"/>
      <c r="H34" s="22"/>
      <c r="I34" s="22"/>
      <c r="J34" s="22"/>
      <c r="K34" s="21"/>
      <c r="L34" s="22"/>
      <c r="M34" s="22"/>
      <c r="N34" s="22"/>
    </row>
    <row r="35" spans="2:14" s="7" customFormat="1" x14ac:dyDescent="0.15">
      <c r="B35" s="75" t="s">
        <v>44</v>
      </c>
      <c r="C35" s="21"/>
      <c r="D35" s="22"/>
      <c r="E35" s="22"/>
      <c r="F35" s="22">
        <v>0</v>
      </c>
      <c r="G35" s="21"/>
      <c r="H35" s="22"/>
      <c r="I35" s="22"/>
      <c r="J35" s="22">
        <f>103+652</f>
        <v>755</v>
      </c>
      <c r="K35" s="21"/>
      <c r="L35" s="22"/>
      <c r="M35" s="22">
        <v>0</v>
      </c>
      <c r="N35" s="22">
        <f>76+656</f>
        <v>732</v>
      </c>
    </row>
    <row r="36" spans="2:14" s="7" customFormat="1" x14ac:dyDescent="0.15">
      <c r="B36" s="75" t="s">
        <v>45</v>
      </c>
      <c r="C36" s="21"/>
      <c r="D36" s="22"/>
      <c r="E36" s="22"/>
      <c r="F36" s="22">
        <v>6613</v>
      </c>
      <c r="G36" s="21"/>
      <c r="H36" s="22"/>
      <c r="I36" s="22"/>
      <c r="J36" s="22">
        <v>8310</v>
      </c>
      <c r="K36" s="21"/>
      <c r="L36" s="22"/>
      <c r="M36" s="22">
        <v>8728</v>
      </c>
      <c r="N36" s="22">
        <v>10491</v>
      </c>
    </row>
    <row r="37" spans="2:14" s="7" customFormat="1" x14ac:dyDescent="0.15">
      <c r="B37" s="75" t="s">
        <v>46</v>
      </c>
      <c r="C37" s="21"/>
      <c r="D37" s="22"/>
      <c r="E37" s="22"/>
      <c r="F37" s="22">
        <f>3899+3232+259</f>
        <v>7390</v>
      </c>
      <c r="G37" s="21"/>
      <c r="H37" s="22"/>
      <c r="I37" s="22"/>
      <c r="J37" s="22">
        <f>5886+3232</f>
        <v>9118</v>
      </c>
      <c r="K37" s="21"/>
      <c r="L37" s="22"/>
      <c r="M37" s="22">
        <f>6873+3232+744</f>
        <v>10849</v>
      </c>
      <c r="N37" s="22">
        <v>7590</v>
      </c>
    </row>
    <row r="38" spans="2:14" s="7" customFormat="1" x14ac:dyDescent="0.15">
      <c r="B38" s="68"/>
      <c r="C38" s="21"/>
      <c r="D38" s="22"/>
      <c r="E38" s="22"/>
      <c r="F38" s="22"/>
      <c r="G38" s="21"/>
      <c r="H38" s="22"/>
      <c r="I38" s="22"/>
      <c r="J38" s="22"/>
      <c r="K38" s="21"/>
      <c r="L38" s="22"/>
      <c r="M38" s="22"/>
      <c r="N38" s="22"/>
    </row>
    <row r="39" spans="2:14" s="7" customFormat="1" x14ac:dyDescent="0.15">
      <c r="B39" s="75" t="s">
        <v>47</v>
      </c>
      <c r="C39" s="44"/>
      <c r="D39" s="43"/>
      <c r="E39" s="43"/>
      <c r="F39" s="25">
        <f t="shared" ref="F39" si="33">F36-F32-F35</f>
        <v>3725</v>
      </c>
      <c r="G39" s="20"/>
      <c r="H39" s="43"/>
      <c r="I39" s="19"/>
      <c r="J39" s="25">
        <f t="shared" ref="J39" si="34">J36-J32-J35</f>
        <v>4480</v>
      </c>
      <c r="K39" s="79"/>
      <c r="L39" s="19"/>
      <c r="M39" s="25">
        <f t="shared" ref="M39:N39" si="35">M36-M32-M35</f>
        <v>4177</v>
      </c>
      <c r="N39" s="25">
        <f t="shared" si="35"/>
        <v>3367</v>
      </c>
    </row>
    <row r="40" spans="2:14" s="7" customFormat="1" x14ac:dyDescent="0.15">
      <c r="B40" s="75" t="s">
        <v>48</v>
      </c>
      <c r="C40" s="44"/>
      <c r="D40" s="43"/>
      <c r="E40" s="43"/>
      <c r="F40" s="25">
        <f>F36-F37</f>
        <v>-777</v>
      </c>
      <c r="G40" s="20"/>
      <c r="H40" s="43"/>
      <c r="I40" s="19"/>
      <c r="J40" s="25">
        <f>J36-J37</f>
        <v>-808</v>
      </c>
      <c r="K40" s="20"/>
      <c r="L40" s="19"/>
      <c r="M40" s="25">
        <f>M36-M37</f>
        <v>-2121</v>
      </c>
      <c r="N40" s="25">
        <f>N36-N37</f>
        <v>2901</v>
      </c>
    </row>
    <row r="41" spans="2:14" s="7" customFormat="1" x14ac:dyDescent="0.15">
      <c r="B41" s="68"/>
      <c r="C41" s="44"/>
      <c r="D41" s="43"/>
      <c r="E41" s="43"/>
      <c r="F41" s="22"/>
      <c r="G41" s="20"/>
      <c r="H41" s="43"/>
      <c r="I41" s="19"/>
      <c r="J41" s="22"/>
      <c r="K41" s="20"/>
      <c r="L41" s="19"/>
      <c r="M41" s="22"/>
      <c r="N41" s="22"/>
    </row>
    <row r="42" spans="2:14" s="16" customFormat="1" x14ac:dyDescent="0.15">
      <c r="B42" s="76" t="s">
        <v>76</v>
      </c>
      <c r="C42" s="44"/>
      <c r="D42" s="43"/>
      <c r="E42" s="43"/>
      <c r="F42" s="23">
        <f>SUM(C17:F17)</f>
        <v>-17.014999999999986</v>
      </c>
      <c r="G42" s="24">
        <f>SUM(D17:G17)</f>
        <v>-162.851</v>
      </c>
      <c r="H42" s="23">
        <f>SUM(E17:H17)</f>
        <v>-468.60399999999993</v>
      </c>
      <c r="I42" s="23">
        <f>SUM(F17:I17)</f>
        <v>-541.96999999999991</v>
      </c>
      <c r="J42" s="23">
        <f>SUM(G17:J17)</f>
        <v>-675.76099999999985</v>
      </c>
      <c r="K42" s="24">
        <f>SUM(H17:K17)</f>
        <v>-720.93499999999983</v>
      </c>
      <c r="L42" s="23">
        <f>SUM(I17:L17)</f>
        <v>-999.83899999999994</v>
      </c>
      <c r="M42" s="23">
        <f>SUM(J17:M17)</f>
        <v>-1046.269</v>
      </c>
      <c r="N42" s="23">
        <f>SUM(K17:N17)</f>
        <v>-1829.08</v>
      </c>
    </row>
    <row r="43" spans="2:14" x14ac:dyDescent="0.15">
      <c r="B43" s="77" t="s">
        <v>49</v>
      </c>
      <c r="C43" s="44"/>
      <c r="D43" s="43"/>
      <c r="E43" s="43"/>
      <c r="F43" s="32">
        <f t="shared" ref="F43" si="36">F42/F40</f>
        <v>2.1898326898326881E-2</v>
      </c>
      <c r="H43" s="43"/>
      <c r="J43" s="32">
        <f t="shared" ref="J43" si="37">J42/J40</f>
        <v>0.83633787128712855</v>
      </c>
      <c r="M43" s="32">
        <f t="shared" ref="M43:N43" si="38">M42/M40</f>
        <v>0.49329042904290427</v>
      </c>
      <c r="N43" s="32">
        <f t="shared" si="38"/>
        <v>-0.63049982764563939</v>
      </c>
    </row>
    <row r="44" spans="2:14" x14ac:dyDescent="0.15">
      <c r="B44" s="77" t="s">
        <v>50</v>
      </c>
      <c r="C44" s="44"/>
      <c r="D44" s="43"/>
      <c r="E44" s="43"/>
      <c r="F44" s="32">
        <f t="shared" ref="F44" si="39">F42/F36</f>
        <v>-2.5729623468924824E-3</v>
      </c>
      <c r="H44" s="43"/>
      <c r="J44" s="32">
        <f t="shared" ref="J44" si="40">J42/J36</f>
        <v>-8.1319013237063767E-2</v>
      </c>
      <c r="M44" s="32">
        <f t="shared" ref="M44:N44" si="41">M42/M36</f>
        <v>-0.119875</v>
      </c>
      <c r="N44" s="32">
        <f t="shared" si="41"/>
        <v>-0.17434753598322369</v>
      </c>
    </row>
    <row r="45" spans="2:14" x14ac:dyDescent="0.15">
      <c r="B45" s="77" t="s">
        <v>51</v>
      </c>
      <c r="C45" s="44"/>
      <c r="D45" s="43"/>
      <c r="E45" s="43"/>
      <c r="F45" s="32">
        <f t="shared" ref="F45" si="42">F42/(F40-F35)</f>
        <v>2.1898326898326881E-2</v>
      </c>
      <c r="H45" s="43"/>
      <c r="J45" s="32">
        <f t="shared" ref="J45" si="43">J42/(J40-J35)</f>
        <v>0.43234868841970558</v>
      </c>
      <c r="M45" s="32">
        <f t="shared" ref="M45:N45" si="44">M42/(M40-M35)</f>
        <v>0.49329042904290427</v>
      </c>
      <c r="N45" s="32">
        <f t="shared" si="44"/>
        <v>-0.84328261871830335</v>
      </c>
    </row>
    <row r="46" spans="2:14" x14ac:dyDescent="0.15">
      <c r="B46" s="77" t="s">
        <v>52</v>
      </c>
      <c r="C46" s="44"/>
      <c r="D46" s="43"/>
      <c r="E46" s="43"/>
      <c r="F46" s="32">
        <f t="shared" ref="F46" si="45">F42/F39</f>
        <v>-4.5677852348993252E-3</v>
      </c>
      <c r="H46" s="43"/>
      <c r="J46" s="32">
        <f t="shared" ref="J46" si="46">J42/J39</f>
        <v>-0.1508395089285714</v>
      </c>
      <c r="M46" s="32">
        <f t="shared" ref="M46:N46" si="47">M42/M39</f>
        <v>-0.25048336126406512</v>
      </c>
      <c r="N46" s="32">
        <f t="shared" si="47"/>
        <v>-0.54323730323730324</v>
      </c>
    </row>
    <row r="48" spans="2:14" s="11" customFormat="1" x14ac:dyDescent="0.15">
      <c r="B48" s="74" t="s">
        <v>77</v>
      </c>
      <c r="C48" s="80"/>
      <c r="D48" s="81"/>
      <c r="E48" s="81"/>
      <c r="F48" s="23">
        <f>SUM(C6:F6)</f>
        <v>3651.9850000000001</v>
      </c>
      <c r="G48" s="24">
        <f>SUM(D6:G6)</f>
        <v>3848.1489999999999</v>
      </c>
      <c r="H48" s="23">
        <f>SUM(E6:H6)</f>
        <v>4158.3959999999997</v>
      </c>
      <c r="I48" s="23">
        <f>SUM(F6:I6)</f>
        <v>4539.0300000000007</v>
      </c>
      <c r="J48" s="23">
        <f>SUM(G6:J6)</f>
        <v>4805.2390000000005</v>
      </c>
      <c r="K48" s="24">
        <f>SUM(H6:K6)</f>
        <v>4808.0650000000005</v>
      </c>
      <c r="L48" s="23">
        <f>SUM(I6:L6)</f>
        <v>3929.1609999999996</v>
      </c>
      <c r="M48" s="23">
        <f>SUM(J6:M6)</f>
        <v>3625.7309999999998</v>
      </c>
      <c r="N48" s="23">
        <f>SUM(K6:N6)</f>
        <v>3378.1990000000001</v>
      </c>
    </row>
    <row r="49" spans="2:14" s="85" customFormat="1" x14ac:dyDescent="0.15">
      <c r="B49" s="82" t="s">
        <v>78</v>
      </c>
      <c r="C49" s="83"/>
      <c r="D49" s="84"/>
      <c r="E49" s="84"/>
      <c r="F49" s="84"/>
      <c r="G49" s="83"/>
      <c r="H49" s="84"/>
      <c r="I49" s="84"/>
      <c r="J49" s="84">
        <f>J48/F48-1</f>
        <v>0.31578826309527575</v>
      </c>
      <c r="K49" s="83">
        <f>K48/G48-1</f>
        <v>0.24944876094974511</v>
      </c>
      <c r="L49" s="84">
        <f>L48/H48-1</f>
        <v>-5.5125822552734349E-2</v>
      </c>
      <c r="M49" s="84">
        <f>M48/I48-1</f>
        <v>-0.20121017045492118</v>
      </c>
      <c r="N49" s="84">
        <f>N48/J48-1</f>
        <v>-0.29697586321929048</v>
      </c>
    </row>
    <row r="51" spans="2:14" s="65" customFormat="1" x14ac:dyDescent="0.15">
      <c r="B51" s="78" t="s">
        <v>63</v>
      </c>
      <c r="C51" s="33"/>
      <c r="D51" s="32"/>
      <c r="E51" s="32"/>
      <c r="F51" s="32"/>
      <c r="G51" s="33">
        <f t="shared" ref="G51:N51" si="48">G4/C4-1</f>
        <v>0.30515213739033031</v>
      </c>
      <c r="H51" s="32">
        <f t="shared" si="48"/>
        <v>0.3434097346670637</v>
      </c>
      <c r="I51" s="32">
        <f t="shared" si="48"/>
        <v>0.30086623714457117</v>
      </c>
      <c r="J51" s="32">
        <f t="shared" si="48"/>
        <v>0.31669416729023903</v>
      </c>
      <c r="K51" s="33">
        <f t="shared" si="48"/>
        <v>3.3682795314444736E-3</v>
      </c>
      <c r="L51" s="32">
        <f t="shared" si="48"/>
        <v>-0.7241657177603944</v>
      </c>
      <c r="M51" s="32">
        <f t="shared" si="48"/>
        <v>-0.18437063461827086</v>
      </c>
      <c r="N51" s="32">
        <f t="shared" si="48"/>
        <v>-0.22364735687516035</v>
      </c>
    </row>
    <row r="52" spans="2:14" s="65" customFormat="1" x14ac:dyDescent="0.15">
      <c r="B52" s="78"/>
      <c r="C52" s="33"/>
      <c r="D52" s="32"/>
      <c r="E52" s="32"/>
      <c r="F52" s="32"/>
      <c r="G52" s="33"/>
      <c r="H52" s="32"/>
      <c r="I52" s="32"/>
      <c r="J52" s="32"/>
      <c r="K52" s="33"/>
      <c r="L52" s="32"/>
      <c r="M52" s="32"/>
      <c r="N52" s="32"/>
    </row>
    <row r="53" spans="2:14" s="7" customFormat="1" x14ac:dyDescent="0.15">
      <c r="B53" s="68" t="s">
        <v>58</v>
      </c>
      <c r="C53" s="21"/>
      <c r="D53" s="22"/>
      <c r="E53" s="22"/>
      <c r="F53" s="22"/>
      <c r="G53" s="21"/>
      <c r="H53" s="22"/>
      <c r="I53" s="22"/>
      <c r="J53" s="22">
        <v>75.8</v>
      </c>
      <c r="K53" s="21">
        <v>57.1</v>
      </c>
      <c r="L53" s="22">
        <v>28</v>
      </c>
      <c r="M53" s="22">
        <v>61.8</v>
      </c>
      <c r="N53" s="22">
        <v>46.3</v>
      </c>
    </row>
    <row r="54" spans="2:14" s="65" customFormat="1" x14ac:dyDescent="0.15">
      <c r="B54" s="78" t="s">
        <v>59</v>
      </c>
      <c r="C54" s="33"/>
      <c r="D54" s="32"/>
      <c r="E54" s="32"/>
      <c r="F54" s="32"/>
      <c r="G54" s="33"/>
      <c r="H54" s="32"/>
      <c r="I54" s="32"/>
      <c r="J54" s="32"/>
      <c r="K54" s="33"/>
      <c r="L54" s="32"/>
      <c r="M54" s="32"/>
      <c r="N54" s="32">
        <f>N53/J53-1</f>
        <v>-0.3891820580474934</v>
      </c>
    </row>
    <row r="55" spans="2:14" x14ac:dyDescent="0.15">
      <c r="C55" s="33"/>
      <c r="D55" s="32"/>
      <c r="E55" s="32"/>
      <c r="F55" s="32"/>
      <c r="G55" s="33"/>
      <c r="H55" s="32"/>
      <c r="I55" s="32"/>
      <c r="J55" s="32"/>
      <c r="K55" s="33"/>
      <c r="L55" s="32"/>
      <c r="M55" s="32"/>
      <c r="N55" s="32"/>
    </row>
    <row r="56" spans="2:14" s="7" customFormat="1" x14ac:dyDescent="0.15">
      <c r="B56" s="68" t="s">
        <v>60</v>
      </c>
      <c r="C56" s="21"/>
      <c r="D56" s="22"/>
      <c r="E56" s="22"/>
      <c r="F56" s="22"/>
      <c r="G56" s="21"/>
      <c r="H56" s="22"/>
      <c r="I56" s="22"/>
      <c r="J56" s="22">
        <v>8538.4</v>
      </c>
      <c r="K56" s="21">
        <v>6800</v>
      </c>
      <c r="L56" s="22">
        <v>3200</v>
      </c>
      <c r="M56" s="22">
        <v>8000</v>
      </c>
      <c r="N56" s="22">
        <v>5900</v>
      </c>
    </row>
    <row r="57" spans="2:14" x14ac:dyDescent="0.15">
      <c r="B57" s="73" t="s">
        <v>61</v>
      </c>
      <c r="N57" s="32">
        <f>N56/J56-1</f>
        <v>-0.3090040288578656</v>
      </c>
    </row>
    <row r="59" spans="2:14" x14ac:dyDescent="0.15">
      <c r="B59" s="73" t="s">
        <v>70</v>
      </c>
      <c r="J59" s="32">
        <f>J6/J56</f>
        <v>0.12962569099597115</v>
      </c>
      <c r="K59" s="33">
        <f>K6/K56</f>
        <v>0.12379852941176471</v>
      </c>
      <c r="L59" s="32">
        <f>L6/L56</f>
        <v>0.104616875</v>
      </c>
      <c r="M59" s="32">
        <f>M6/M56</f>
        <v>0.16779137499999999</v>
      </c>
      <c r="N59" s="32">
        <f>N6/N56</f>
        <v>0.14563796610169491</v>
      </c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zoomScale="120" zoomScaleNormal="120" workbookViewId="0">
      <selection activeCell="B6" sqref="B6"/>
    </sheetView>
  </sheetViews>
  <sheetFormatPr baseColWidth="10" defaultRowHeight="13" x14ac:dyDescent="0.15"/>
  <cols>
    <col min="1" max="1" width="10.83203125" style="2"/>
    <col min="2" max="2" width="12.5" style="2" bestFit="1" customWidth="1"/>
    <col min="3" max="16384" width="10.83203125" style="2"/>
  </cols>
  <sheetData>
    <row r="4" spans="2:2" x14ac:dyDescent="0.15">
      <c r="B4" s="86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2021-02-28T12:37:03Z</dcterms:modified>
</cp:coreProperties>
</file>