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ichaelsjoeberg/Dropbox/_PROJECTS/_investing/stocks/"/>
    </mc:Choice>
  </mc:AlternateContent>
  <xr:revisionPtr revIDLastSave="0" documentId="13_ncr:1_{AEB6AE9A-7942-E04D-93DB-F2EFF209DF9D}" xr6:coauthVersionLast="46" xr6:coauthVersionMax="46" xr10:uidLastSave="{00000000-0000-0000-0000-000000000000}"/>
  <bookViews>
    <workbookView xWindow="0" yWindow="460" windowWidth="18160" windowHeight="20320" tabRatio="500" xr2:uid="{00000000-000D-0000-FFFF-FFFF00000000}"/>
  </bookViews>
  <sheets>
    <sheet name="Main" sheetId="2" r:id="rId1"/>
    <sheet name="Reports" sheetId="1" r:id="rId2"/>
    <sheet name="Products" sheetId="3"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3" i="2" l="1"/>
  <c r="K22" i="2"/>
  <c r="K21" i="2"/>
  <c r="Q31" i="2"/>
  <c r="R31" i="2" s="1"/>
  <c r="S31" i="2" s="1"/>
  <c r="T31" i="2" s="1"/>
  <c r="U31" i="2" s="1"/>
  <c r="Q18" i="2"/>
  <c r="Q10" i="2"/>
  <c r="R10" i="2" s="1"/>
  <c r="S10" i="2" s="1"/>
  <c r="T10" i="2" s="1"/>
  <c r="U10" i="2" s="1"/>
  <c r="K18" i="2"/>
  <c r="G18" i="2"/>
  <c r="G13" i="2"/>
  <c r="G12" i="2"/>
  <c r="G11" i="2"/>
  <c r="Y10" i="1"/>
  <c r="Y26" i="1" s="1"/>
  <c r="Y3" i="1"/>
  <c r="Y5" i="1"/>
  <c r="Y52" i="1"/>
  <c r="Y4" i="1"/>
  <c r="Y53" i="1" s="1"/>
  <c r="Y54" i="1"/>
  <c r="F60" i="2"/>
  <c r="F48" i="2"/>
  <c r="F47" i="2"/>
  <c r="F46" i="2"/>
  <c r="F44" i="2"/>
  <c r="F43" i="2"/>
  <c r="F42" i="2" s="1"/>
  <c r="F31" i="2"/>
  <c r="F28" i="2"/>
  <c r="F26" i="2"/>
  <c r="F23" i="2"/>
  <c r="F22" i="2"/>
  <c r="F21" i="2"/>
  <c r="F24" i="2" s="1"/>
  <c r="F19" i="2"/>
  <c r="F13" i="2"/>
  <c r="F12" i="2"/>
  <c r="F11" i="2"/>
  <c r="F58" i="2" s="1"/>
  <c r="C5" i="2"/>
  <c r="C3" i="2"/>
  <c r="C4" i="2" s="1"/>
  <c r="R33" i="1"/>
  <c r="R32" i="1"/>
  <c r="R31" i="1"/>
  <c r="R29" i="1"/>
  <c r="R28" i="1"/>
  <c r="R27" i="1"/>
  <c r="R26" i="1"/>
  <c r="U33" i="1"/>
  <c r="U32" i="1"/>
  <c r="U31" i="1"/>
  <c r="U29" i="1"/>
  <c r="U28" i="1"/>
  <c r="U27" i="1"/>
  <c r="U26" i="1"/>
  <c r="U23" i="1"/>
  <c r="U22" i="1"/>
  <c r="U19" i="1"/>
  <c r="U18" i="1"/>
  <c r="U16" i="1"/>
  <c r="U17" i="1" s="1"/>
  <c r="U15" i="1"/>
  <c r="U12" i="1"/>
  <c r="U11" i="1"/>
  <c r="U10" i="1"/>
  <c r="V39" i="1"/>
  <c r="V37" i="1"/>
  <c r="V54" i="1"/>
  <c r="V53" i="1"/>
  <c r="V52" i="1"/>
  <c r="V46" i="1"/>
  <c r="V44" i="1"/>
  <c r="V43" i="1"/>
  <c r="V35" i="1"/>
  <c r="S33" i="1"/>
  <c r="S32" i="1"/>
  <c r="S31" i="1"/>
  <c r="S29" i="1"/>
  <c r="S28" i="1"/>
  <c r="S27" i="1"/>
  <c r="S26" i="1"/>
  <c r="R22" i="1"/>
  <c r="R23" i="1" s="1"/>
  <c r="R19" i="1"/>
  <c r="R18" i="1"/>
  <c r="R17" i="1"/>
  <c r="R16" i="1"/>
  <c r="R12" i="1"/>
  <c r="R11" i="1"/>
  <c r="V33" i="1"/>
  <c r="V32" i="1"/>
  <c r="V31" i="1"/>
  <c r="V29" i="1"/>
  <c r="V28" i="1"/>
  <c r="V27" i="1"/>
  <c r="V26" i="1"/>
  <c r="V23" i="1"/>
  <c r="V22" i="1"/>
  <c r="V19" i="1"/>
  <c r="V18" i="1"/>
  <c r="V16" i="1"/>
  <c r="V17" i="1" s="1"/>
  <c r="V15" i="1"/>
  <c r="V12" i="1"/>
  <c r="V11" i="1"/>
  <c r="R10" i="1"/>
  <c r="V10" i="1"/>
  <c r="W39" i="1"/>
  <c r="W43" i="1" s="1"/>
  <c r="W37" i="1"/>
  <c r="W54" i="1"/>
  <c r="W53" i="1"/>
  <c r="W52" i="1"/>
  <c r="W46" i="1"/>
  <c r="W44" i="1"/>
  <c r="W35" i="1"/>
  <c r="S21" i="1"/>
  <c r="S20" i="1"/>
  <c r="S22" i="1" s="1"/>
  <c r="S23" i="1" s="1"/>
  <c r="S19" i="1"/>
  <c r="S18" i="1"/>
  <c r="S16" i="1"/>
  <c r="S17" i="1" s="1"/>
  <c r="S12" i="1"/>
  <c r="S11" i="1"/>
  <c r="W33" i="1"/>
  <c r="W32" i="1"/>
  <c r="W31" i="1"/>
  <c r="W29" i="1"/>
  <c r="W28" i="1"/>
  <c r="W27" i="1"/>
  <c r="W26" i="1"/>
  <c r="W22" i="1"/>
  <c r="W23" i="1" s="1"/>
  <c r="W19" i="1"/>
  <c r="W18" i="1"/>
  <c r="W16" i="1"/>
  <c r="W17" i="1" s="1"/>
  <c r="W12" i="1"/>
  <c r="W11" i="1"/>
  <c r="X10" i="1"/>
  <c r="X26" i="1" s="1"/>
  <c r="W10" i="1"/>
  <c r="S10" i="1"/>
  <c r="T10" i="1"/>
  <c r="X53" i="1"/>
  <c r="X39" i="1"/>
  <c r="U39" i="1"/>
  <c r="U37" i="1"/>
  <c r="X54" i="1"/>
  <c r="X52" i="1"/>
  <c r="X44" i="1"/>
  <c r="X43" i="1"/>
  <c r="X35" i="1"/>
  <c r="U54" i="1"/>
  <c r="U52" i="1"/>
  <c r="U44" i="1"/>
  <c r="U43" i="1"/>
  <c r="U35" i="1"/>
  <c r="T29" i="1"/>
  <c r="T28" i="1"/>
  <c r="T27" i="1"/>
  <c r="T26" i="1"/>
  <c r="T18" i="1"/>
  <c r="T16" i="1"/>
  <c r="T12" i="1"/>
  <c r="T31" i="1" s="1"/>
  <c r="T11" i="1"/>
  <c r="X31" i="1"/>
  <c r="X29" i="1"/>
  <c r="X28" i="1"/>
  <c r="X27" i="1"/>
  <c r="X18" i="1"/>
  <c r="X16" i="1"/>
  <c r="X15" i="1"/>
  <c r="X12" i="1"/>
  <c r="X11" i="1"/>
  <c r="E48" i="2"/>
  <c r="E47" i="2"/>
  <c r="D31" i="2"/>
  <c r="C31" i="2"/>
  <c r="B31" i="2"/>
  <c r="E31" i="2"/>
  <c r="G31" i="2" s="1"/>
  <c r="H31" i="2" s="1"/>
  <c r="I31" i="2" s="1"/>
  <c r="J31" i="2" s="1"/>
  <c r="K31" i="2" s="1"/>
  <c r="L31" i="2" s="1"/>
  <c r="M31" i="2" s="1"/>
  <c r="N31" i="2" s="1"/>
  <c r="O31" i="2" s="1"/>
  <c r="P31" i="2" s="1"/>
  <c r="E28" i="2"/>
  <c r="E22" i="2"/>
  <c r="E21" i="2"/>
  <c r="E13" i="2"/>
  <c r="E11" i="2"/>
  <c r="D48" i="2"/>
  <c r="D47" i="2"/>
  <c r="D51" i="2" s="1"/>
  <c r="D46" i="2"/>
  <c r="D44" i="2"/>
  <c r="D43" i="2"/>
  <c r="D42" i="2" s="1"/>
  <c r="C44" i="2"/>
  <c r="B44" i="2"/>
  <c r="D21" i="2"/>
  <c r="D19" i="2"/>
  <c r="D13" i="2"/>
  <c r="D11" i="2"/>
  <c r="M35" i="1"/>
  <c r="M18" i="1"/>
  <c r="M15" i="1"/>
  <c r="M11" i="1"/>
  <c r="M10" i="1"/>
  <c r="M12" i="1" s="1"/>
  <c r="M16" i="1"/>
  <c r="N39" i="1"/>
  <c r="N43" i="1" s="1"/>
  <c r="N37" i="1"/>
  <c r="N36" i="1"/>
  <c r="N35" i="1" s="1"/>
  <c r="J15" i="1"/>
  <c r="N29" i="1" s="1"/>
  <c r="N18" i="1"/>
  <c r="E26" i="2" s="1"/>
  <c r="N15" i="1"/>
  <c r="E23" i="2" s="1"/>
  <c r="N11" i="1"/>
  <c r="N54" i="1"/>
  <c r="N52" i="1"/>
  <c r="N10" i="1"/>
  <c r="N12" i="1" s="1"/>
  <c r="N16" i="1"/>
  <c r="N44" i="1"/>
  <c r="N28" i="1"/>
  <c r="N27" i="1"/>
  <c r="J10" i="1"/>
  <c r="J12" i="1" s="1"/>
  <c r="O39" i="1"/>
  <c r="O43" i="1" s="1"/>
  <c r="O37" i="1"/>
  <c r="O36" i="1"/>
  <c r="O18" i="1"/>
  <c r="O15" i="1"/>
  <c r="O29" i="1" s="1"/>
  <c r="O11" i="1"/>
  <c r="E19" i="2" s="1"/>
  <c r="O10" i="1"/>
  <c r="O54" i="1"/>
  <c r="O52" i="1"/>
  <c r="O44" i="1"/>
  <c r="O35" i="1"/>
  <c r="O28" i="1"/>
  <c r="O27" i="1"/>
  <c r="K10" i="1"/>
  <c r="O26" i="1"/>
  <c r="P39" i="1"/>
  <c r="P43" i="1" s="1"/>
  <c r="P37" i="1"/>
  <c r="P36" i="1"/>
  <c r="P18" i="1"/>
  <c r="P15" i="1"/>
  <c r="P29" i="1" s="1"/>
  <c r="P11" i="1"/>
  <c r="P10" i="1"/>
  <c r="P12" i="1" s="1"/>
  <c r="P54" i="1"/>
  <c r="P52" i="1"/>
  <c r="P44" i="1"/>
  <c r="P35" i="1"/>
  <c r="P28" i="1"/>
  <c r="P27" i="1"/>
  <c r="L10" i="1"/>
  <c r="L35" i="1"/>
  <c r="L12" i="1"/>
  <c r="L31" i="1" s="1"/>
  <c r="L16" i="1"/>
  <c r="L17" i="1"/>
  <c r="L32" i="1" s="1"/>
  <c r="L19" i="1"/>
  <c r="L33" i="1" s="1"/>
  <c r="K12" i="1"/>
  <c r="K16" i="1"/>
  <c r="K17" i="1" s="1"/>
  <c r="M44" i="1"/>
  <c r="M43" i="1"/>
  <c r="M54" i="1"/>
  <c r="M52" i="1"/>
  <c r="M39" i="1"/>
  <c r="M37" i="1"/>
  <c r="M36" i="1"/>
  <c r="Q54" i="1"/>
  <c r="Q52" i="1"/>
  <c r="Q44" i="1"/>
  <c r="Q39" i="1"/>
  <c r="E46" i="2" s="1"/>
  <c r="Q37" i="1"/>
  <c r="E44" i="2" s="1"/>
  <c r="Q36" i="1"/>
  <c r="E43" i="2" s="1"/>
  <c r="Q27" i="1"/>
  <c r="Q18" i="1"/>
  <c r="Q11" i="1"/>
  <c r="Q10" i="1"/>
  <c r="Q26" i="1" s="1"/>
  <c r="Q16" i="1"/>
  <c r="Q29" i="1"/>
  <c r="Q28" i="1"/>
  <c r="B10" i="1"/>
  <c r="J11" i="1"/>
  <c r="K11" i="1"/>
  <c r="L11" i="1"/>
  <c r="L36" i="1"/>
  <c r="L15" i="1"/>
  <c r="L29" i="1" s="1"/>
  <c r="L18" i="1"/>
  <c r="D22" i="2"/>
  <c r="K15" i="1"/>
  <c r="J18" i="1"/>
  <c r="K18" i="1"/>
  <c r="D26" i="2" s="1"/>
  <c r="I10" i="1"/>
  <c r="I12" i="1" s="1"/>
  <c r="M26" i="1"/>
  <c r="F36" i="1"/>
  <c r="F35" i="1" s="1"/>
  <c r="B18" i="1"/>
  <c r="B15" i="1"/>
  <c r="B11" i="1"/>
  <c r="G36" i="1"/>
  <c r="C18" i="1"/>
  <c r="C15" i="1"/>
  <c r="C5" i="1"/>
  <c r="C10" i="1" s="1"/>
  <c r="C12" i="1" s="1"/>
  <c r="C11" i="1"/>
  <c r="H36" i="1"/>
  <c r="D18" i="1"/>
  <c r="B26" i="2" s="1"/>
  <c r="D11" i="1"/>
  <c r="E36" i="1"/>
  <c r="B43" i="2" s="1"/>
  <c r="E18" i="1"/>
  <c r="E15" i="1"/>
  <c r="E16" i="1" s="1"/>
  <c r="E11" i="1"/>
  <c r="I18" i="1"/>
  <c r="I11" i="1"/>
  <c r="J36" i="1"/>
  <c r="F18" i="1"/>
  <c r="F15" i="1"/>
  <c r="F16" i="1" s="1"/>
  <c r="F11" i="1"/>
  <c r="C19" i="2" s="1"/>
  <c r="K36" i="1"/>
  <c r="G18" i="1"/>
  <c r="C26" i="2" s="1"/>
  <c r="G15" i="1"/>
  <c r="G11" i="1"/>
  <c r="I36" i="1"/>
  <c r="I35" i="1" s="1"/>
  <c r="H18" i="1"/>
  <c r="H11" i="1"/>
  <c r="E10" i="1"/>
  <c r="I26" i="1" s="1"/>
  <c r="I16" i="1"/>
  <c r="B12" i="1"/>
  <c r="B16" i="1"/>
  <c r="B17" i="1"/>
  <c r="B19" i="1" s="1"/>
  <c r="F10" i="1"/>
  <c r="F26" i="1" s="1"/>
  <c r="C16" i="1"/>
  <c r="D10" i="1"/>
  <c r="D12" i="1" s="1"/>
  <c r="D16" i="1"/>
  <c r="H10" i="1"/>
  <c r="L26" i="1" s="1"/>
  <c r="H16" i="1"/>
  <c r="G10" i="1"/>
  <c r="G26" i="1" s="1"/>
  <c r="G16" i="1"/>
  <c r="C21" i="2"/>
  <c r="C22" i="2"/>
  <c r="B22" i="2"/>
  <c r="B21" i="2"/>
  <c r="J29" i="1"/>
  <c r="I27" i="1"/>
  <c r="J27" i="1"/>
  <c r="G29" i="1"/>
  <c r="H29" i="1"/>
  <c r="I29" i="1"/>
  <c r="K29" i="1"/>
  <c r="M29" i="1"/>
  <c r="G28" i="1"/>
  <c r="H28" i="1"/>
  <c r="I28" i="1"/>
  <c r="J28" i="1"/>
  <c r="K28" i="1"/>
  <c r="L28" i="1"/>
  <c r="M28" i="1"/>
  <c r="F29" i="1"/>
  <c r="F28" i="1"/>
  <c r="K27" i="1"/>
  <c r="L27" i="1"/>
  <c r="M27" i="1"/>
  <c r="G27" i="1"/>
  <c r="H27" i="1"/>
  <c r="F27" i="1"/>
  <c r="C11" i="2"/>
  <c r="C13" i="2"/>
  <c r="B11" i="2"/>
  <c r="B32" i="1"/>
  <c r="B31" i="1"/>
  <c r="C28" i="2"/>
  <c r="B13" i="2"/>
  <c r="B18" i="2"/>
  <c r="B19" i="2"/>
  <c r="B28" i="2"/>
  <c r="E10" i="2"/>
  <c r="F10" i="2"/>
  <c r="G10" i="2" s="1"/>
  <c r="H10" i="2" s="1"/>
  <c r="I10" i="2" s="1"/>
  <c r="J10" i="2" s="1"/>
  <c r="K10" i="2" s="1"/>
  <c r="L10" i="2" s="1"/>
  <c r="M10" i="2" s="1"/>
  <c r="N10" i="2" s="1"/>
  <c r="O10" i="2" s="1"/>
  <c r="P10" i="2" s="1"/>
  <c r="G35" i="1"/>
  <c r="H35" i="1"/>
  <c r="J35" i="1"/>
  <c r="K35" i="1"/>
  <c r="K26" i="1"/>
  <c r="J26" i="1"/>
  <c r="K31" i="1"/>
  <c r="R18" i="2" l="1"/>
  <c r="Q33" i="2"/>
  <c r="Q20" i="2"/>
  <c r="Q19" i="2" s="1"/>
  <c r="G59" i="2"/>
  <c r="H11" i="2"/>
  <c r="H12" i="2"/>
  <c r="I12" i="2" s="1"/>
  <c r="G60" i="2"/>
  <c r="H13" i="2"/>
  <c r="E51" i="2"/>
  <c r="F51" i="2"/>
  <c r="J12" i="2"/>
  <c r="I59" i="2"/>
  <c r="I11" i="2"/>
  <c r="F18" i="2"/>
  <c r="F20" i="2" s="1"/>
  <c r="F25" i="2" s="1"/>
  <c r="F27" i="2" s="1"/>
  <c r="F50" i="2"/>
  <c r="H59" i="2"/>
  <c r="E24" i="2"/>
  <c r="H58" i="2"/>
  <c r="V47" i="1"/>
  <c r="V49" i="1"/>
  <c r="V50" i="1"/>
  <c r="V48" i="1"/>
  <c r="W47" i="1"/>
  <c r="W48" i="1"/>
  <c r="W49" i="1"/>
  <c r="W50" i="1"/>
  <c r="X17" i="1"/>
  <c r="T17" i="1"/>
  <c r="C34" i="2"/>
  <c r="E58" i="2"/>
  <c r="D60" i="2"/>
  <c r="E42" i="2"/>
  <c r="Q12" i="1"/>
  <c r="G22" i="2"/>
  <c r="G35" i="2" s="1"/>
  <c r="F35" i="2"/>
  <c r="B20" i="2"/>
  <c r="B38" i="2" s="1"/>
  <c r="E18" i="2"/>
  <c r="E20" i="2" s="1"/>
  <c r="C35" i="2"/>
  <c r="D58" i="2"/>
  <c r="D50" i="2"/>
  <c r="E34" i="2"/>
  <c r="D34" i="2"/>
  <c r="B42" i="2"/>
  <c r="E35" i="2"/>
  <c r="D35" i="2"/>
  <c r="I31" i="1"/>
  <c r="I17" i="1"/>
  <c r="P31" i="1"/>
  <c r="P17" i="1"/>
  <c r="B33" i="1"/>
  <c r="B22" i="1"/>
  <c r="B23" i="1" s="1"/>
  <c r="K19" i="1"/>
  <c r="K32" i="1"/>
  <c r="M31" i="1"/>
  <c r="M17" i="1"/>
  <c r="N31" i="1"/>
  <c r="N17" i="1"/>
  <c r="J31" i="1"/>
  <c r="C17" i="1"/>
  <c r="C31" i="1"/>
  <c r="E50" i="2"/>
  <c r="D31" i="1"/>
  <c r="D17" i="1"/>
  <c r="H12" i="1"/>
  <c r="F12" i="1"/>
  <c r="E12" i="1"/>
  <c r="O12" i="1"/>
  <c r="E35" i="1"/>
  <c r="Q35" i="1"/>
  <c r="C6" i="2" s="1"/>
  <c r="C7" i="2" s="1"/>
  <c r="L22" i="1"/>
  <c r="D18" i="2"/>
  <c r="C18" i="2"/>
  <c r="Q43" i="1"/>
  <c r="E60" i="2"/>
  <c r="C43" i="2"/>
  <c r="C42" i="2" s="1"/>
  <c r="H26" i="1"/>
  <c r="N26" i="1"/>
  <c r="B23" i="2"/>
  <c r="B24" i="2" s="1"/>
  <c r="G12" i="1"/>
  <c r="P26" i="1"/>
  <c r="D23" i="2"/>
  <c r="J16" i="1"/>
  <c r="J17" i="1" s="1"/>
  <c r="O16" i="1"/>
  <c r="P16" i="1"/>
  <c r="C23" i="2"/>
  <c r="C24" i="2" s="1"/>
  <c r="Q38" i="2" l="1"/>
  <c r="R20" i="2"/>
  <c r="R33" i="2"/>
  <c r="R19" i="2"/>
  <c r="S18" i="2"/>
  <c r="I13" i="2"/>
  <c r="J13" i="2" s="1"/>
  <c r="K13" i="2" s="1"/>
  <c r="H60" i="2"/>
  <c r="H18" i="2"/>
  <c r="I18" i="2"/>
  <c r="J11" i="2"/>
  <c r="K12" i="2"/>
  <c r="K59" i="2" s="1"/>
  <c r="J59" i="2"/>
  <c r="X19" i="1"/>
  <c r="X32" i="1"/>
  <c r="T32" i="1"/>
  <c r="T19" i="1"/>
  <c r="H22" i="2"/>
  <c r="H35" i="2" s="1"/>
  <c r="B25" i="2"/>
  <c r="B39" i="2" s="1"/>
  <c r="Q17" i="1"/>
  <c r="Q31" i="1"/>
  <c r="G21" i="2"/>
  <c r="F34" i="2"/>
  <c r="J32" i="1"/>
  <c r="J19" i="1"/>
  <c r="F36" i="2"/>
  <c r="G23" i="2"/>
  <c r="C32" i="1"/>
  <c r="C19" i="1"/>
  <c r="G31" i="1"/>
  <c r="G17" i="1"/>
  <c r="D36" i="2"/>
  <c r="D24" i="2"/>
  <c r="E36" i="2"/>
  <c r="E17" i="1"/>
  <c r="E31" i="1"/>
  <c r="H17" i="1"/>
  <c r="H31" i="1"/>
  <c r="N32" i="1"/>
  <c r="N19" i="1"/>
  <c r="F33" i="2"/>
  <c r="D32" i="1"/>
  <c r="D19" i="1"/>
  <c r="C36" i="2"/>
  <c r="K22" i="1"/>
  <c r="K33" i="1"/>
  <c r="O31" i="1"/>
  <c r="O17" i="1"/>
  <c r="F17" i="1"/>
  <c r="F31" i="1"/>
  <c r="P19" i="1"/>
  <c r="P32" i="1"/>
  <c r="E38" i="2"/>
  <c r="E25" i="2"/>
  <c r="M19" i="1"/>
  <c r="M32" i="1"/>
  <c r="I32" i="1"/>
  <c r="I19" i="1"/>
  <c r="G58" i="2"/>
  <c r="C33" i="2"/>
  <c r="C20" i="2"/>
  <c r="D20" i="2"/>
  <c r="D33" i="2"/>
  <c r="E33" i="2"/>
  <c r="L23" i="1"/>
  <c r="S33" i="2" l="1"/>
  <c r="T18" i="2"/>
  <c r="R38" i="2"/>
  <c r="S20" i="2" s="1"/>
  <c r="K11" i="2"/>
  <c r="J18" i="2"/>
  <c r="I22" i="2"/>
  <c r="I35" i="2" s="1"/>
  <c r="X22" i="1"/>
  <c r="X33" i="1"/>
  <c r="T33" i="1"/>
  <c r="T22" i="1"/>
  <c r="Q32" i="1"/>
  <c r="Q19" i="1"/>
  <c r="H21" i="2"/>
  <c r="G34" i="2"/>
  <c r="E19" i="1"/>
  <c r="E32" i="1"/>
  <c r="H19" i="1"/>
  <c r="H32" i="1"/>
  <c r="P22" i="1"/>
  <c r="P23" i="1" s="1"/>
  <c r="P33" i="1"/>
  <c r="O32" i="1"/>
  <c r="O19" i="1"/>
  <c r="K23" i="1"/>
  <c r="D33" i="1"/>
  <c r="D22" i="1"/>
  <c r="D23" i="1" s="1"/>
  <c r="G32" i="1"/>
  <c r="G19" i="1"/>
  <c r="I33" i="1"/>
  <c r="I22" i="1"/>
  <c r="I23" i="1" s="1"/>
  <c r="J33" i="1"/>
  <c r="J22" i="1"/>
  <c r="F19" i="1"/>
  <c r="F32" i="1"/>
  <c r="D25" i="2"/>
  <c r="D38" i="2"/>
  <c r="C38" i="2"/>
  <c r="C25" i="2"/>
  <c r="G33" i="2"/>
  <c r="I58" i="2"/>
  <c r="I60" i="2"/>
  <c r="F38" i="2"/>
  <c r="G20" i="2" s="1"/>
  <c r="G19" i="2" s="1"/>
  <c r="C33" i="1"/>
  <c r="C22" i="1"/>
  <c r="C23" i="1" s="1"/>
  <c r="B27" i="2"/>
  <c r="M20" i="1"/>
  <c r="G36" i="2"/>
  <c r="H23" i="2"/>
  <c r="G24" i="2"/>
  <c r="E39" i="2"/>
  <c r="E27" i="2"/>
  <c r="N33" i="1"/>
  <c r="N22" i="1"/>
  <c r="S38" i="2" l="1"/>
  <c r="S19" i="2"/>
  <c r="T20" i="2"/>
  <c r="T33" i="2"/>
  <c r="T19" i="2"/>
  <c r="U18" i="2"/>
  <c r="J22" i="2"/>
  <c r="X23" i="1"/>
  <c r="X46" i="1"/>
  <c r="T23" i="1"/>
  <c r="U46" i="1"/>
  <c r="Q22" i="1"/>
  <c r="Q23" i="1" s="1"/>
  <c r="Q33" i="1"/>
  <c r="I21" i="2"/>
  <c r="H34" i="2"/>
  <c r="D28" i="2"/>
  <c r="M33" i="1"/>
  <c r="M22" i="1"/>
  <c r="B29" i="2"/>
  <c r="B30" i="2" s="1"/>
  <c r="B40" i="2"/>
  <c r="G38" i="2"/>
  <c r="H20" i="2" s="1"/>
  <c r="H19" i="2" s="1"/>
  <c r="G25" i="2"/>
  <c r="C39" i="2"/>
  <c r="C27" i="2"/>
  <c r="O22" i="1"/>
  <c r="O23" i="1" s="1"/>
  <c r="O33" i="1"/>
  <c r="J23" i="1"/>
  <c r="M46" i="1"/>
  <c r="Q46" i="1"/>
  <c r="N23" i="1"/>
  <c r="E29" i="2"/>
  <c r="E40" i="2"/>
  <c r="G22" i="1"/>
  <c r="G23" i="1" s="1"/>
  <c r="G33" i="1"/>
  <c r="H36" i="2"/>
  <c r="I23" i="2"/>
  <c r="H24" i="2"/>
  <c r="D39" i="2"/>
  <c r="D27" i="2"/>
  <c r="F22" i="1"/>
  <c r="F23" i="1" s="1"/>
  <c r="F33" i="1"/>
  <c r="F39" i="2"/>
  <c r="H22" i="1"/>
  <c r="H23" i="1" s="1"/>
  <c r="H33" i="1"/>
  <c r="H33" i="2"/>
  <c r="E22" i="1"/>
  <c r="E23" i="1" s="1"/>
  <c r="E33" i="1"/>
  <c r="T38" i="2" l="1"/>
  <c r="U20" i="2"/>
  <c r="U33" i="2"/>
  <c r="U19" i="2"/>
  <c r="J35" i="2"/>
  <c r="J60" i="2"/>
  <c r="K60" i="2"/>
  <c r="K58" i="2"/>
  <c r="J58" i="2"/>
  <c r="D29" i="2"/>
  <c r="D30" i="2" s="1"/>
  <c r="X48" i="1"/>
  <c r="X47" i="1"/>
  <c r="X50" i="1"/>
  <c r="X49" i="1"/>
  <c r="U49" i="1"/>
  <c r="U47" i="1"/>
  <c r="U50" i="1"/>
  <c r="U48" i="1"/>
  <c r="J21" i="2"/>
  <c r="I34" i="2"/>
  <c r="F40" i="2"/>
  <c r="I36" i="2"/>
  <c r="J23" i="2"/>
  <c r="I24" i="2"/>
  <c r="I33" i="2"/>
  <c r="Q50" i="1"/>
  <c r="Q49" i="1"/>
  <c r="Q48" i="1"/>
  <c r="Q47" i="1"/>
  <c r="P46" i="1"/>
  <c r="M23" i="1"/>
  <c r="O46" i="1"/>
  <c r="N46" i="1"/>
  <c r="M50" i="1"/>
  <c r="M49" i="1"/>
  <c r="M48" i="1"/>
  <c r="M47" i="1"/>
  <c r="C29" i="2"/>
  <c r="C30" i="2" s="1"/>
  <c r="C40" i="2"/>
  <c r="H25" i="2"/>
  <c r="H38" i="2"/>
  <c r="I20" i="2" s="1"/>
  <c r="G39" i="2"/>
  <c r="E30" i="2"/>
  <c r="E56" i="2"/>
  <c r="E55" i="2"/>
  <c r="E54" i="2"/>
  <c r="E53" i="2"/>
  <c r="D40" i="2"/>
  <c r="L22" i="2"/>
  <c r="K35" i="2"/>
  <c r="U38" i="2" l="1"/>
  <c r="D53" i="2"/>
  <c r="D56" i="2"/>
  <c r="D54" i="2"/>
  <c r="D55" i="2"/>
  <c r="F29" i="2"/>
  <c r="J34" i="2"/>
  <c r="I38" i="2"/>
  <c r="J20" i="2" s="1"/>
  <c r="I25" i="2"/>
  <c r="I19" i="2"/>
  <c r="H39" i="2"/>
  <c r="M22" i="2"/>
  <c r="L35" i="2"/>
  <c r="O50" i="1"/>
  <c r="O49" i="1"/>
  <c r="O48" i="1"/>
  <c r="O47" i="1"/>
  <c r="J36" i="2"/>
  <c r="J24" i="2"/>
  <c r="N50" i="1"/>
  <c r="N49" i="1"/>
  <c r="N48" i="1"/>
  <c r="N47" i="1"/>
  <c r="P50" i="1"/>
  <c r="P49" i="1"/>
  <c r="P48" i="1"/>
  <c r="P47" i="1"/>
  <c r="J33" i="2"/>
  <c r="F54" i="2" l="1"/>
  <c r="F30" i="2"/>
  <c r="F55" i="2"/>
  <c r="F53" i="2"/>
  <c r="F56" i="2"/>
  <c r="K34" i="2"/>
  <c r="L21" i="2"/>
  <c r="K36" i="2"/>
  <c r="L23" i="2"/>
  <c r="K24" i="2"/>
  <c r="N22" i="2"/>
  <c r="M35" i="2"/>
  <c r="I39" i="2"/>
  <c r="J38" i="2"/>
  <c r="K20" i="2" s="1"/>
  <c r="K19" i="2" s="1"/>
  <c r="J25" i="2"/>
  <c r="J19" i="2"/>
  <c r="K33" i="2"/>
  <c r="L18" i="2"/>
  <c r="G26" i="2"/>
  <c r="G27" i="2" s="1"/>
  <c r="L34" i="2" l="1"/>
  <c r="M21" i="2"/>
  <c r="O22" i="2"/>
  <c r="N35" i="2"/>
  <c r="M23" i="2"/>
  <c r="L36" i="2"/>
  <c r="L24" i="2"/>
  <c r="K25" i="2"/>
  <c r="K38" i="2"/>
  <c r="L20" i="2" s="1"/>
  <c r="J39" i="2"/>
  <c r="G28" i="2"/>
  <c r="G40" i="2" s="1"/>
  <c r="L33" i="2"/>
  <c r="M18" i="2"/>
  <c r="N21" i="2" l="1"/>
  <c r="M34" i="2"/>
  <c r="L38" i="2"/>
  <c r="M20" i="2" s="1"/>
  <c r="L25" i="2"/>
  <c r="L19" i="2"/>
  <c r="G29" i="2"/>
  <c r="G42" i="2" s="1"/>
  <c r="K39" i="2"/>
  <c r="N23" i="2"/>
  <c r="M36" i="2"/>
  <c r="M24" i="2"/>
  <c r="M33" i="2"/>
  <c r="N18" i="2"/>
  <c r="P22" i="2"/>
  <c r="O35" i="2"/>
  <c r="P35" i="2" l="1"/>
  <c r="Q22" i="2"/>
  <c r="N34" i="2"/>
  <c r="O21" i="2"/>
  <c r="O23" i="2"/>
  <c r="N36" i="2"/>
  <c r="N24" i="2"/>
  <c r="L39" i="2"/>
  <c r="M38" i="2"/>
  <c r="N20" i="2" s="1"/>
  <c r="M25" i="2"/>
  <c r="M19" i="2"/>
  <c r="N33" i="2"/>
  <c r="O18" i="2"/>
  <c r="G30" i="2"/>
  <c r="R22" i="2" l="1"/>
  <c r="Q35" i="2"/>
  <c r="O34" i="2"/>
  <c r="P21" i="2"/>
  <c r="N25" i="2"/>
  <c r="N38" i="2"/>
  <c r="O20" i="2" s="1"/>
  <c r="N19" i="2"/>
  <c r="O33" i="2"/>
  <c r="P18" i="2"/>
  <c r="M39" i="2"/>
  <c r="H26" i="2"/>
  <c r="H27" i="2" s="1"/>
  <c r="P23" i="2"/>
  <c r="Q23" i="2" s="1"/>
  <c r="O36" i="2"/>
  <c r="O24" i="2"/>
  <c r="R23" i="2" l="1"/>
  <c r="Q36" i="2"/>
  <c r="P34" i="2"/>
  <c r="Q21" i="2"/>
  <c r="R35" i="2"/>
  <c r="S22" i="2"/>
  <c r="H28" i="2"/>
  <c r="H40" i="2" s="1"/>
  <c r="P36" i="2"/>
  <c r="P24" i="2"/>
  <c r="O25" i="2"/>
  <c r="O38" i="2"/>
  <c r="P20" i="2" s="1"/>
  <c r="P19" i="2" s="1"/>
  <c r="P33" i="2"/>
  <c r="O19" i="2"/>
  <c r="N39" i="2"/>
  <c r="T22" i="2" l="1"/>
  <c r="S35" i="2"/>
  <c r="Q34" i="2"/>
  <c r="Q24" i="2"/>
  <c r="Q25" i="2" s="1"/>
  <c r="R21" i="2"/>
  <c r="S23" i="2"/>
  <c r="R36" i="2"/>
  <c r="H29" i="2"/>
  <c r="P38" i="2"/>
  <c r="P25" i="2"/>
  <c r="O39" i="2"/>
  <c r="R24" i="2" l="1"/>
  <c r="R25" i="2" s="1"/>
  <c r="R39" i="2" s="1"/>
  <c r="S21" i="2"/>
  <c r="R34" i="2"/>
  <c r="T23" i="2"/>
  <c r="S36" i="2"/>
  <c r="Q39" i="2"/>
  <c r="U22" i="2"/>
  <c r="U35" i="2" s="1"/>
  <c r="T35" i="2"/>
  <c r="H42" i="2"/>
  <c r="H30" i="2"/>
  <c r="P39" i="2"/>
  <c r="I26" i="2"/>
  <c r="I27" i="2" s="1"/>
  <c r="S24" i="2" l="1"/>
  <c r="S25" i="2" s="1"/>
  <c r="S39" i="2" s="1"/>
  <c r="S34" i="2"/>
  <c r="T21" i="2"/>
  <c r="T36" i="2"/>
  <c r="U23" i="2"/>
  <c r="U36" i="2" s="1"/>
  <c r="I28" i="2"/>
  <c r="I40" i="2" s="1"/>
  <c r="U21" i="2" l="1"/>
  <c r="T34" i="2"/>
  <c r="T24" i="2"/>
  <c r="T25" i="2" s="1"/>
  <c r="T39" i="2" s="1"/>
  <c r="I29" i="2"/>
  <c r="U34" i="2" l="1"/>
  <c r="U24" i="2"/>
  <c r="U25" i="2" s="1"/>
  <c r="U39" i="2" s="1"/>
  <c r="I30" i="2"/>
  <c r="I42" i="2"/>
  <c r="J26" i="2" s="1"/>
  <c r="J27" i="2" s="1"/>
  <c r="J28" i="2" l="1"/>
  <c r="J40" i="2" s="1"/>
  <c r="J29" i="2" l="1"/>
  <c r="J30" i="2" l="1"/>
  <c r="J42" i="2"/>
  <c r="K26" i="2" s="1"/>
  <c r="K27" i="2" s="1"/>
  <c r="K28" i="2" l="1"/>
  <c r="K40" i="2" s="1"/>
  <c r="K29" i="2" l="1"/>
  <c r="K30" i="2" s="1"/>
  <c r="K42" i="2" l="1"/>
  <c r="L26" i="2" s="1"/>
  <c r="L27" i="2" s="1"/>
  <c r="L28" i="2" l="1"/>
  <c r="L40" i="2" s="1"/>
  <c r="L29" i="2" l="1"/>
  <c r="L30" i="2"/>
  <c r="L42" i="2"/>
  <c r="M26" i="2" l="1"/>
  <c r="M27" i="2" s="1"/>
  <c r="M28" i="2" l="1"/>
  <c r="M40" i="2" s="1"/>
  <c r="M29" i="2"/>
  <c r="M30" i="2" l="1"/>
  <c r="M42" i="2"/>
  <c r="N26" i="2" l="1"/>
  <c r="N27" i="2" s="1"/>
  <c r="N28" i="2" l="1"/>
  <c r="N40" i="2" s="1"/>
  <c r="N29" i="2" l="1"/>
  <c r="N30" i="2" s="1"/>
  <c r="N42" i="2" l="1"/>
  <c r="O26" i="2"/>
  <c r="O27" i="2" s="1"/>
  <c r="O28" i="2" l="1"/>
  <c r="O40" i="2" s="1"/>
  <c r="O29" i="2"/>
  <c r="O30" i="2" l="1"/>
  <c r="O42" i="2"/>
  <c r="P26" i="2" l="1"/>
  <c r="P27" i="2" s="1"/>
  <c r="P28" i="2" l="1"/>
  <c r="P40" i="2" s="1"/>
  <c r="P29" i="2" l="1"/>
  <c r="P30" i="2" l="1"/>
  <c r="P42" i="2"/>
  <c r="Q26" i="2" l="1"/>
  <c r="Q27" i="2" s="1"/>
  <c r="Q28" i="2" l="1"/>
  <c r="Q40" i="2" s="1"/>
  <c r="Q29" i="2"/>
  <c r="Q30" i="2" l="1"/>
  <c r="Q42" i="2"/>
  <c r="R26" i="2" l="1"/>
  <c r="R27" i="2" s="1"/>
  <c r="R28" i="2" l="1"/>
  <c r="R40" i="2" s="1"/>
  <c r="R29" i="2" l="1"/>
  <c r="R30" i="2" l="1"/>
  <c r="R42" i="2"/>
  <c r="S26" i="2" l="1"/>
  <c r="S27" i="2" s="1"/>
  <c r="S28" i="2" l="1"/>
  <c r="S40" i="2" s="1"/>
  <c r="S29" i="2"/>
  <c r="S30" i="2" l="1"/>
  <c r="S42" i="2"/>
  <c r="T26" i="2" l="1"/>
  <c r="T27" i="2" s="1"/>
  <c r="T28" i="2" l="1"/>
  <c r="T40" i="2" s="1"/>
  <c r="T29" i="2"/>
  <c r="T30" i="2" l="1"/>
  <c r="T42" i="2"/>
  <c r="U26" i="2" l="1"/>
  <c r="U27" i="2" s="1"/>
  <c r="U28" i="2" l="1"/>
  <c r="U40" i="2" s="1"/>
  <c r="U29" i="2"/>
  <c r="U30" i="2" l="1"/>
  <c r="V29" i="2"/>
  <c r="W29" i="2" s="1"/>
  <c r="X29" i="2" s="1"/>
  <c r="Y29" i="2" s="1"/>
  <c r="Z29" i="2" s="1"/>
  <c r="AA29" i="2" s="1"/>
  <c r="AB29" i="2" s="1"/>
  <c r="AC29" i="2" s="1"/>
  <c r="AD29" i="2" s="1"/>
  <c r="AE29" i="2" s="1"/>
  <c r="AF29" i="2" s="1"/>
  <c r="AG29" i="2" s="1"/>
  <c r="AH29" i="2" s="1"/>
  <c r="AI29" i="2" s="1"/>
  <c r="AJ29" i="2" s="1"/>
  <c r="AK29" i="2" s="1"/>
  <c r="AL29" i="2" s="1"/>
  <c r="AM29" i="2" s="1"/>
  <c r="AN29" i="2" s="1"/>
  <c r="AO29" i="2" s="1"/>
  <c r="AP29" i="2" s="1"/>
  <c r="AQ29" i="2" s="1"/>
  <c r="AR29" i="2" s="1"/>
  <c r="AS29" i="2" s="1"/>
  <c r="AT29" i="2" s="1"/>
  <c r="AU29" i="2" s="1"/>
  <c r="AV29" i="2" s="1"/>
  <c r="AW29" i="2" s="1"/>
  <c r="AX29" i="2" s="1"/>
  <c r="AY29" i="2" s="1"/>
  <c r="AZ29" i="2" s="1"/>
  <c r="BA29" i="2" s="1"/>
  <c r="BB29" i="2" s="1"/>
  <c r="BC29" i="2" s="1"/>
  <c r="BD29" i="2" s="1"/>
  <c r="BE29" i="2" s="1"/>
  <c r="BF29" i="2" s="1"/>
  <c r="BG29" i="2" s="1"/>
  <c r="BH29" i="2" s="1"/>
  <c r="BI29" i="2" s="1"/>
  <c r="BJ29" i="2" s="1"/>
  <c r="BK29" i="2" s="1"/>
  <c r="BL29" i="2" s="1"/>
  <c r="BM29" i="2" s="1"/>
  <c r="BN29" i="2" s="1"/>
  <c r="BO29" i="2" s="1"/>
  <c r="BP29" i="2" s="1"/>
  <c r="BQ29" i="2" s="1"/>
  <c r="BR29" i="2" s="1"/>
  <c r="BS29" i="2" s="1"/>
  <c r="BT29" i="2" s="1"/>
  <c r="BU29" i="2" s="1"/>
  <c r="BV29" i="2" s="1"/>
  <c r="BW29" i="2" s="1"/>
  <c r="BX29" i="2" s="1"/>
  <c r="BY29" i="2" s="1"/>
  <c r="BZ29" i="2" s="1"/>
  <c r="CA29" i="2" s="1"/>
  <c r="CB29" i="2" s="1"/>
  <c r="CC29" i="2" s="1"/>
  <c r="CD29" i="2" s="1"/>
  <c r="CE29" i="2" s="1"/>
  <c r="CF29" i="2" s="1"/>
  <c r="CG29" i="2" s="1"/>
  <c r="CH29" i="2" s="1"/>
  <c r="CI29" i="2" s="1"/>
  <c r="CJ29" i="2" s="1"/>
  <c r="CK29" i="2" s="1"/>
  <c r="CL29" i="2" s="1"/>
  <c r="CM29" i="2" s="1"/>
  <c r="CN29" i="2" s="1"/>
  <c r="CO29" i="2" s="1"/>
  <c r="CP29" i="2" s="1"/>
  <c r="CQ29" i="2" s="1"/>
  <c r="CR29" i="2" s="1"/>
  <c r="CS29" i="2" s="1"/>
  <c r="CT29" i="2" s="1"/>
  <c r="CU29" i="2" s="1"/>
  <c r="CV29" i="2" s="1"/>
  <c r="CW29" i="2" s="1"/>
  <c r="CX29" i="2" s="1"/>
  <c r="CY29" i="2" s="1"/>
  <c r="CZ29" i="2" s="1"/>
  <c r="DA29" i="2" s="1"/>
  <c r="DB29" i="2" s="1"/>
  <c r="DC29" i="2" s="1"/>
  <c r="DD29" i="2" s="1"/>
  <c r="DE29" i="2" s="1"/>
  <c r="DF29" i="2" s="1"/>
  <c r="DG29" i="2" s="1"/>
  <c r="DH29" i="2" s="1"/>
  <c r="DI29" i="2" s="1"/>
  <c r="DJ29" i="2" s="1"/>
  <c r="DK29" i="2" s="1"/>
  <c r="DL29" i="2" s="1"/>
  <c r="DM29" i="2" s="1"/>
  <c r="DN29" i="2" s="1"/>
  <c r="DO29" i="2" s="1"/>
  <c r="DP29" i="2" s="1"/>
  <c r="DQ29" i="2" s="1"/>
  <c r="DR29" i="2" s="1"/>
  <c r="F5" i="2" s="1"/>
  <c r="F6" i="2" s="1"/>
  <c r="F7" i="2" s="1"/>
  <c r="G7" i="2" s="1"/>
  <c r="U42" i="2"/>
</calcChain>
</file>

<file path=xl/sharedStrings.xml><?xml version="1.0" encoding="utf-8"?>
<sst xmlns="http://schemas.openxmlformats.org/spreadsheetml/2006/main" count="178" uniqueCount="129">
  <si>
    <t>Revenue</t>
  </si>
  <si>
    <t>COGS</t>
  </si>
  <si>
    <t>Gross Profit</t>
  </si>
  <si>
    <t>R&amp;D</t>
  </si>
  <si>
    <t>S&amp;M</t>
  </si>
  <si>
    <t>G&amp;A</t>
  </si>
  <si>
    <t>Operating Expenses</t>
  </si>
  <si>
    <t>Operating Income</t>
  </si>
  <si>
    <t>Interest Income</t>
  </si>
  <si>
    <t>Pretax Income</t>
  </si>
  <si>
    <t>Taxes</t>
  </si>
  <si>
    <t>Net Income</t>
  </si>
  <si>
    <t>EPS</t>
  </si>
  <si>
    <t>Shares</t>
  </si>
  <si>
    <t>Revenue y/y</t>
  </si>
  <si>
    <t>Gross Margin</t>
  </si>
  <si>
    <t>Operating Margin</t>
  </si>
  <si>
    <t>Tax Rate</t>
  </si>
  <si>
    <t>Q116</t>
  </si>
  <si>
    <t>Q216</t>
  </si>
  <si>
    <t>Q316</t>
  </si>
  <si>
    <t>Q416</t>
  </si>
  <si>
    <t>Net Cash</t>
  </si>
  <si>
    <t>Cash</t>
  </si>
  <si>
    <t>Debt</t>
  </si>
  <si>
    <t>Maturity</t>
  </si>
  <si>
    <t>ROIC</t>
  </si>
  <si>
    <t>Discount</t>
  </si>
  <si>
    <t>NPV</t>
  </si>
  <si>
    <t>Value</t>
  </si>
  <si>
    <t>Q118</t>
  </si>
  <si>
    <t>Q218</t>
  </si>
  <si>
    <t>Q318</t>
  </si>
  <si>
    <t>Q418</t>
  </si>
  <si>
    <t>Q115</t>
  </si>
  <si>
    <t>Q215</t>
  </si>
  <si>
    <t>Q315</t>
  </si>
  <si>
    <t>Q415</t>
  </si>
  <si>
    <t>R&amp;D y/y</t>
  </si>
  <si>
    <t>S&amp;M y/y</t>
  </si>
  <si>
    <t>G&amp;A y/y</t>
  </si>
  <si>
    <t>3/11/2017</t>
  </si>
  <si>
    <t>30/9/2016</t>
  </si>
  <si>
    <t>License</t>
  </si>
  <si>
    <t>4/8/2017</t>
  </si>
  <si>
    <t>30/6/2016</t>
  </si>
  <si>
    <t>5/5/2017</t>
  </si>
  <si>
    <t>31/3/2016</t>
  </si>
  <si>
    <t>31/12/2016</t>
  </si>
  <si>
    <t>31/12/2015</t>
  </si>
  <si>
    <t>30/9/2015</t>
  </si>
  <si>
    <t>30/6/2015</t>
  </si>
  <si>
    <t>31/3/2015</t>
  </si>
  <si>
    <t>DAU</t>
  </si>
  <si>
    <t>ARPU</t>
  </si>
  <si>
    <t>Intangibles</t>
  </si>
  <si>
    <t>Total assets</t>
  </si>
  <si>
    <t>Total liabilities</t>
  </si>
  <si>
    <t>TWC</t>
  </si>
  <si>
    <t>Equity</t>
  </si>
  <si>
    <t>ROE</t>
  </si>
  <si>
    <t>ROA</t>
  </si>
  <si>
    <t>ROTB</t>
  </si>
  <si>
    <t>ROTWC</t>
  </si>
  <si>
    <t>DAU y/y</t>
  </si>
  <si>
    <t>ARPU y/y</t>
  </si>
  <si>
    <t>License y/y</t>
  </si>
  <si>
    <t>Services</t>
  </si>
  <si>
    <t>Services y/y</t>
  </si>
  <si>
    <t>Vmware Inc (VMW)</t>
  </si>
  <si>
    <t>EDGAR</t>
  </si>
  <si>
    <t>NI 12M</t>
  </si>
  <si>
    <t>2/2/2018</t>
  </si>
  <si>
    <t>1/2/2019</t>
  </si>
  <si>
    <t>Q119</t>
  </si>
  <si>
    <t>Q219</t>
  </si>
  <si>
    <t>Q319</t>
  </si>
  <si>
    <t>Q419</t>
  </si>
  <si>
    <t>Tax anomaly</t>
  </si>
  <si>
    <t>2/11/2018</t>
  </si>
  <si>
    <t>3/8/2018</t>
  </si>
  <si>
    <t>4/5/2018</t>
  </si>
  <si>
    <t>Software-Defined Data Center</t>
  </si>
  <si>
    <t>We were the first company to articulate a vision for SDDC, whereby increasingly infrastructure is virtualized and delivered as a service, enabling data center management to be entirely automated by software, from one unified platform. Traditional data centers are collections of technology silos where each application type has its own vertical stack consisting of a CPU and operating system, storage pool, networking and security, and management systems. Over time, costs to maintain the data center infrastructure have been increasing because the data center environment has become more heterogeneous, leading to higher complexity. The increasing complexity of the data center demands constantly increasing resources to manage and maintain the IT infrastructure. SDDC is designed to transform and modernize the data center into an on-demand service that addresses application requirements by abstracting, pooling and automating the services that are required from the underlying hardware. SDDC dramatically simplifies data center operations and lower costs.</t>
  </si>
  <si>
    <t>Compute</t>
  </si>
  <si>
    <t>vSphere, our flagship data center platform, provides the fundamental compute layer for VMware environments. A “hypervisor” is a layer of software that resides between the operating system and system hardware to enable compute virtualization. Users deploy the vSphere hypervisor when they purchase vSphere, Cloud Foundation or suite versions that include vSphere, such as VMware vCloud Suite and vSphere with Operations Management (“vSOM”).</t>
  </si>
  <si>
    <t>Storage and Availability</t>
  </si>
  <si>
    <t>We provide many storage and availability products to offer cost-effective, holistic data storage and protection options to all applications running on the vSphere platform. These products serve as hyper-converged infrastructure solutions designed to enable customers to deploy a broad range of hardware solutions.</t>
  </si>
  <si>
    <t>Network and Security</t>
  </si>
  <si>
    <t>Our network virtualization solution, VMware NSX (“NSX”), abstracts physical networks and greatly simplifies the provisioning and consumption of networking resources. In addition, our security services are built-in, do not require purpose-built hardware and can scale with the network. AppDefense and Network Insight further broaden our network and security portfolio. AppDefense is a data center endpoint security product that protects applications running in virtualized environments. Network Insight delivers intelligent operations for software defined networking and security across virtual, physical and multi-cloud environments.</t>
  </si>
  <si>
    <t>Cloud Management and Automation</t>
  </si>
  <si>
    <t xml:space="preserve">Our cloud management and automation products move beyond core compute infrastructure to manage and automate overarching IT processes involved in provisioning IT services and resources to users from initial infrastructure deployment to retirement. These IT processes manage virtualized and non-virtualized infrastructure resources and private and public cloud infrastructures, including hybrid cloud services. </t>
  </si>
  <si>
    <t>Software-Defined Data Center Suites</t>
  </si>
  <si>
    <t xml:space="preserve">Our SDDC products are available separately or our compute and management and automation products may be acquired as part of a broader offering. </t>
  </si>
  <si>
    <t>Software-Defined Data Center Platform—On Premise</t>
  </si>
  <si>
    <t>During fiscal 2016, we introduced VMware Cloud Foundation, a unified platform that brings together our compute, storage and networking technologies into a natively integrated stack that delivers enterprise-ready cloud infrastructure for private and public clouds. The combined offering includes lifecycle management capabilities to span the full stack. SDDC products can also be delivered through our VMware vCloud NFV, which is a fully integrated, modular, multi-tenant network functions virtualization (“NFV”) platform. It provides the compute, storage, networking and operations management and service assurance capabilities to enable operators to provide virtualized network services and drive NFV deployments with an architecture that will support 5G and Internet of Things (“IoT”) services in the future.</t>
  </si>
  <si>
    <t>Hybrid Cloud Computing</t>
  </si>
  <si>
    <t>Our cross-cloud architecture enables consistent deployment models, security policies, visibility and governance for all applications, running on-premises and off-premises, regardless of the underlying cloud, hardware platform or hypervisor. It builds on our private and hybrid cloud capabilities by offering customers the freedom to innovate in multiple clouds, and is delivered through Cloud Foundation, the VMware vRealize cloud management platform and a new set of VMware Cloud Services that we are developing. Our overarching cloud strategy contains three key components: (i) continue to expand beyond compute virtualization in the private cloud, (ii) extend the private cloud into the public cloud and (iii) connect and secure endpoints across a range of public clouds. Our cloud strategy is designed to provide organizations with solutions that work across all clouds and all devices.</t>
  </si>
  <si>
    <t>VMware Cloud Provider Program Services</t>
  </si>
  <si>
    <t>We currently enable our customers to utilize off-premises, vSphere-based hybrid cloud computing capacity through our VMware Cloud Provider Program (“VCPP”) offering (previously referred to as VMware vCloud Air Network). Our VCPP offering, a key component of our strategic priority to integrate with public clouds, is a global ecosystem of over 4,000 cloud providers in more than 100 countries providing VMware-based cloud services. Our VCPP offering is directed at hosting and cloud computing vendors, enabling organizations to choose between running applications in virtual machines on their own private clouds inside their data center or on public clouds hosted by a service provider.</t>
  </si>
  <si>
    <t>Hybrid VMware Cloud Foundation</t>
  </si>
  <si>
    <t>VMware Cloud Foundation can be used for on-premises private clouds and also can be extended to hybrid cloud environments using VMware Cloud on AWS or VCPP. VMware Cloud on AWS, which became available in fiscal 2018, is an on-demand service that enables customers to run applications across vSphere-based cloud environments and provides access to a broad range of AWS services. This hybrid offering, a strategic alliance with AWS, integrates vSphere, vSAN and NSX along with VMware vCenter management and is optimized to run on dedicated, elastic, bare-metal AWS infrastructure. VMware Cloud on AWS is currently available in certain geographies, and we expect to continue expanding into additional regions in fiscal 2019.</t>
  </si>
  <si>
    <t>VMware Cloud Services</t>
  </si>
  <si>
    <t>VMware Cloud Services are new SaaS offerings that enable visibility into cloud usage and costs, enhance consistent networking and security policies and automate the deployment, management and migration of applications and data across vSphere and non-vSphere private and public clouds. VMware Cloud Services include discovery and analytics, compliance and security, networking and deployment and migration. VMware Cloud Services enable our customers to run, manage, connect and secure their applications across private and public clouds, including AWS, Azure, Google Cloud Platform and IBM Cloud, as well as all devices in a common operating environment, regardless whether the underlying infrastructure is VMware-based.</t>
  </si>
  <si>
    <t>End-User Computing</t>
  </si>
  <si>
    <t>Our EUC portfolio offers a digital workspace to enable our customers to securely deliver access to applications and data for their end users from any device of the user’s choice and from any location. Our EUC solutions are designed to optimize simplicity and choice for end users, while providing security and control to corporate IT organizations. IT organizations are able to enhance their enterprise security for corporate applications, data and endpoints utilizing our EUC solutions.</t>
  </si>
  <si>
    <t>Investor Relations</t>
  </si>
  <si>
    <t>CEO</t>
  </si>
  <si>
    <t>Founder</t>
  </si>
  <si>
    <t>Price</t>
  </si>
  <si>
    <t>Expected return on invested capital (innovation grade)</t>
  </si>
  <si>
    <t>Market Cap</t>
  </si>
  <si>
    <t>EV</t>
  </si>
  <si>
    <t>per share</t>
  </si>
  <si>
    <t>Diane Greene</t>
  </si>
  <si>
    <t>Mendel Rosenblum</t>
  </si>
  <si>
    <t>Q120</t>
  </si>
  <si>
    <t>Q220</t>
  </si>
  <si>
    <t>Q320</t>
  </si>
  <si>
    <t>Q420</t>
  </si>
  <si>
    <t>Q121</t>
  </si>
  <si>
    <t>Q222</t>
  </si>
  <si>
    <t>Q321</t>
  </si>
  <si>
    <t>Q421</t>
  </si>
  <si>
    <t>Subscription</t>
  </si>
  <si>
    <t>Subscription y/y</t>
  </si>
  <si>
    <t/>
  </si>
  <si>
    <t>Risk-free interest rate + market premium (opportunity cost)</t>
  </si>
  <si>
    <t>Net present value on future net income (terminal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</si>
</sst>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Arial"/>
      <family val="2"/>
    </font>
    <font>
      <b/>
      <sz val="10"/>
      <color theme="1"/>
      <name val="Arial"/>
      <family val="2"/>
    </font>
    <font>
      <u/>
      <sz val="10"/>
      <color theme="10"/>
      <name val="Arial"/>
      <family val="2"/>
    </font>
    <font>
      <i/>
      <sz val="10"/>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top/>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62">
    <xf numFmtId="0" fontId="0" fillId="0" borderId="0" xfId="0"/>
    <xf numFmtId="0" fontId="5" fillId="0" borderId="0" xfId="0" applyFont="1"/>
    <xf numFmtId="0" fontId="6" fillId="0" borderId="0" xfId="0" applyFont="1"/>
    <xf numFmtId="0" fontId="5" fillId="0" borderId="0" xfId="0" applyFont="1" applyBorder="1"/>
    <xf numFmtId="10" fontId="5" fillId="0" borderId="0" xfId="0" applyNumberFormat="1" applyFont="1"/>
    <xf numFmtId="0" fontId="7" fillId="0" borderId="0" xfId="4" applyFont="1"/>
    <xf numFmtId="164" fontId="5" fillId="2" borderId="0" xfId="0" applyNumberFormat="1" applyFont="1" applyFill="1"/>
    <xf numFmtId="3" fontId="5" fillId="0" borderId="0" xfId="0" applyNumberFormat="1" applyFont="1"/>
    <xf numFmtId="0" fontId="6" fillId="0" borderId="0" xfId="0" applyFont="1" applyBorder="1"/>
    <xf numFmtId="3" fontId="5" fillId="0" borderId="0" xfId="0" applyNumberFormat="1" applyFont="1" applyBorder="1"/>
    <xf numFmtId="3" fontId="5" fillId="0" borderId="0" xfId="0" applyNumberFormat="1" applyFont="1" applyFill="1" applyBorder="1"/>
    <xf numFmtId="3" fontId="5" fillId="2" borderId="0" xfId="0" applyNumberFormat="1" applyFont="1" applyFill="1" applyBorder="1"/>
    <xf numFmtId="9" fontId="5" fillId="0" borderId="0" xfId="0" applyNumberFormat="1" applyFont="1" applyBorder="1"/>
    <xf numFmtId="0" fontId="5" fillId="0" borderId="0" xfId="0" applyFont="1" applyFill="1" applyBorder="1"/>
    <xf numFmtId="9" fontId="5" fillId="0" borderId="0" xfId="0" applyNumberFormat="1" applyFont="1"/>
    <xf numFmtId="0" fontId="5" fillId="0" borderId="0" xfId="0" applyFont="1" applyAlignment="1">
      <alignment horizontal="right"/>
    </xf>
    <xf numFmtId="3" fontId="5" fillId="0" borderId="0" xfId="0" applyNumberFormat="1" applyFont="1" applyAlignment="1">
      <alignment horizontal="right"/>
    </xf>
    <xf numFmtId="3" fontId="5" fillId="0" borderId="1" xfId="0" applyNumberFormat="1" applyFont="1" applyBorder="1" applyAlignment="1">
      <alignment horizontal="right"/>
    </xf>
    <xf numFmtId="3" fontId="5" fillId="0" borderId="0" xfId="0" applyNumberFormat="1" applyFont="1" applyBorder="1" applyAlignment="1">
      <alignment horizontal="right"/>
    </xf>
    <xf numFmtId="0" fontId="5" fillId="0" borderId="1" xfId="0" applyFont="1" applyBorder="1" applyAlignment="1">
      <alignment horizontal="right"/>
    </xf>
    <xf numFmtId="0" fontId="5" fillId="0" borderId="0" xfId="0" applyFont="1" applyBorder="1" applyAlignment="1">
      <alignment horizontal="right"/>
    </xf>
    <xf numFmtId="3" fontId="6" fillId="0" borderId="0" xfId="0" applyNumberFormat="1" applyFont="1" applyBorder="1" applyAlignment="1">
      <alignment horizontal="right"/>
    </xf>
    <xf numFmtId="3" fontId="6" fillId="0" borderId="1" xfId="0" applyNumberFormat="1" applyFont="1" applyBorder="1" applyAlignment="1">
      <alignment horizontal="right"/>
    </xf>
    <xf numFmtId="3" fontId="6" fillId="0" borderId="0" xfId="0" applyNumberFormat="1" applyFont="1" applyAlignment="1">
      <alignment horizontal="right"/>
    </xf>
    <xf numFmtId="0" fontId="6" fillId="0" borderId="0" xfId="0" applyFont="1" applyAlignment="1">
      <alignment horizontal="right"/>
    </xf>
    <xf numFmtId="2" fontId="5" fillId="0" borderId="0" xfId="0" applyNumberFormat="1" applyFont="1" applyBorder="1" applyAlignment="1">
      <alignment horizontal="right"/>
    </xf>
    <xf numFmtId="9" fontId="6" fillId="0" borderId="0" xfId="1" applyNumberFormat="1" applyFont="1" applyBorder="1" applyAlignment="1">
      <alignment horizontal="right"/>
    </xf>
    <xf numFmtId="9" fontId="6" fillId="0" borderId="1" xfId="1" applyNumberFormat="1" applyFont="1" applyBorder="1" applyAlignment="1">
      <alignment horizontal="right"/>
    </xf>
    <xf numFmtId="9" fontId="5" fillId="0" borderId="0" xfId="1" applyNumberFormat="1" applyFont="1" applyBorder="1" applyAlignment="1">
      <alignment horizontal="right"/>
    </xf>
    <xf numFmtId="9" fontId="5" fillId="0" borderId="1" xfId="1" applyNumberFormat="1" applyFont="1" applyBorder="1" applyAlignment="1">
      <alignment horizontal="right"/>
    </xf>
    <xf numFmtId="9" fontId="5" fillId="0" borderId="0" xfId="0" applyNumberFormat="1" applyFont="1" applyBorder="1" applyAlignment="1">
      <alignment horizontal="right"/>
    </xf>
    <xf numFmtId="9" fontId="5" fillId="0" borderId="1" xfId="0" applyNumberFormat="1" applyFont="1" applyBorder="1" applyAlignment="1">
      <alignment horizontal="right"/>
    </xf>
    <xf numFmtId="9" fontId="5" fillId="0" borderId="0" xfId="0" applyNumberFormat="1" applyFont="1" applyAlignment="1">
      <alignment horizontal="right"/>
    </xf>
    <xf numFmtId="9" fontId="5" fillId="0" borderId="0" xfId="1" applyFont="1" applyBorder="1" applyAlignment="1">
      <alignment horizontal="right"/>
    </xf>
    <xf numFmtId="9" fontId="5" fillId="0" borderId="1" xfId="1" applyFont="1" applyBorder="1" applyAlignment="1">
      <alignment horizontal="right"/>
    </xf>
    <xf numFmtId="9" fontId="5" fillId="0" borderId="0" xfId="1" applyFont="1" applyAlignment="1">
      <alignment horizontal="right"/>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0" xfId="0" applyNumberFormat="1" applyFont="1" applyFill="1" applyAlignment="1">
      <alignment horizontal="right"/>
    </xf>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3" fontId="5" fillId="2" borderId="0" xfId="0" applyNumberFormat="1" applyFont="1" applyFill="1" applyAlignment="1">
      <alignment horizontal="right"/>
    </xf>
    <xf numFmtId="2" fontId="5" fillId="2" borderId="0" xfId="0" applyNumberFormat="1" applyFont="1" applyFill="1" applyBorder="1" applyAlignment="1">
      <alignment horizontal="right"/>
    </xf>
    <xf numFmtId="2" fontId="5" fillId="2" borderId="1" xfId="0" applyNumberFormat="1" applyFont="1" applyFill="1" applyBorder="1" applyAlignment="1">
      <alignment horizontal="right"/>
    </xf>
    <xf numFmtId="2" fontId="5" fillId="2" borderId="0" xfId="0" applyNumberFormat="1" applyFont="1" applyFill="1" applyAlignment="1">
      <alignment horizontal="right"/>
    </xf>
    <xf numFmtId="0" fontId="8" fillId="0" borderId="0" xfId="0" applyFont="1"/>
    <xf numFmtId="3" fontId="6" fillId="0" borderId="0" xfId="0" applyNumberFormat="1" applyFont="1" applyFill="1" applyBorder="1"/>
    <xf numFmtId="0" fontId="6" fillId="0" borderId="1" xfId="0" applyFont="1" applyBorder="1" applyAlignment="1">
      <alignment horizontal="right"/>
    </xf>
    <xf numFmtId="4" fontId="5" fillId="0" borderId="0" xfId="0" applyNumberFormat="1" applyFont="1" applyBorder="1"/>
    <xf numFmtId="164" fontId="6" fillId="2" borderId="0" xfId="0" applyNumberFormat="1" applyFont="1" applyFill="1"/>
    <xf numFmtId="4" fontId="5" fillId="2" borderId="0" xfId="0" applyNumberFormat="1" applyFont="1" applyFill="1" applyBorder="1"/>
    <xf numFmtId="0" fontId="8" fillId="0" borderId="0" xfId="0" applyFont="1" applyBorder="1"/>
    <xf numFmtId="4" fontId="5" fillId="2" borderId="0" xfId="0" applyNumberFormat="1" applyFont="1" applyFill="1"/>
    <xf numFmtId="0" fontId="6" fillId="0" borderId="0" xfId="0" applyFont="1" applyBorder="1" applyAlignment="1">
      <alignment horizontal="right"/>
    </xf>
    <xf numFmtId="9" fontId="6" fillId="0" borderId="0" xfId="1" applyFont="1" applyBorder="1" applyAlignment="1">
      <alignment horizontal="right"/>
    </xf>
    <xf numFmtId="14" fontId="5" fillId="0" borderId="0" xfId="0" applyNumberFormat="1" applyFont="1" applyAlignment="1">
      <alignment horizontal="right"/>
    </xf>
    <xf numFmtId="3" fontId="6" fillId="0" borderId="0" xfId="0" applyNumberFormat="1" applyFont="1"/>
    <xf numFmtId="3" fontId="8" fillId="0" borderId="0" xfId="0" applyNumberFormat="1" applyFont="1"/>
    <xf numFmtId="0" fontId="5" fillId="0" borderId="0" xfId="0" quotePrefix="1" applyFont="1" applyAlignment="1">
      <alignment horizontal="right"/>
    </xf>
    <xf numFmtId="14" fontId="5" fillId="0" borderId="1" xfId="0" applyNumberFormat="1" applyFont="1" applyBorder="1" applyAlignment="1">
      <alignment horizontal="right"/>
    </xf>
    <xf numFmtId="0" fontId="5" fillId="0" borderId="1" xfId="0" quotePrefix="1" applyFont="1" applyBorder="1" applyAlignment="1">
      <alignment horizontal="right"/>
    </xf>
    <xf numFmtId="14" fontId="5" fillId="0" borderId="0" xfId="0" applyNumberFormat="1" applyFont="1" applyAlignment="1">
      <alignment horizontal="left"/>
    </xf>
  </cellXfs>
  <cellStyles count="5">
    <cellStyle name="Followed Hyperlink" xfId="3" builtinId="9" hidden="1"/>
    <cellStyle name="Hyperlink" xfId="2" builtinId="8" hidden="1"/>
    <cellStyle name="Hyperlink" xfId="4" builtinId="8"/>
    <cellStyle name="Normal" xfId="0" builtinId="0"/>
    <cellStyle name="Per 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211666</xdr:colOff>
      <xdr:row>9</xdr:row>
      <xdr:rowOff>12700</xdr:rowOff>
    </xdr:from>
    <xdr:to>
      <xdr:col>6</xdr:col>
      <xdr:colOff>211666</xdr:colOff>
      <xdr:row>64</xdr:row>
      <xdr:rowOff>0</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5651499" y="1536700"/>
          <a:ext cx="0" cy="8961967"/>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24</xdr:col>
      <xdr:colOff>251883</xdr:colOff>
      <xdr:row>1</xdr:row>
      <xdr:rowOff>12700</xdr:rowOff>
    </xdr:from>
    <xdr:to>
      <xdr:col>24</xdr:col>
      <xdr:colOff>251883</xdr:colOff>
      <xdr:row>58</xdr:row>
      <xdr:rowOff>12700</xdr:rowOff>
    </xdr:to>
    <xdr:cxnSp macro="">
      <xdr:nvCxnSpPr>
        <xdr:cNvPr id="4" name="Straight Connector 3">
          <a:extLst>
            <a:ext uri="{FF2B5EF4-FFF2-40B4-BE49-F238E27FC236}">
              <a16:creationId xmlns:a16="http://schemas.microsoft.com/office/drawing/2014/main" id="{00000000-0008-0000-0100-000004000000}"/>
            </a:ext>
          </a:extLst>
        </xdr:cNvPr>
        <xdr:cNvCxnSpPr/>
      </xdr:nvCxnSpPr>
      <xdr:spPr>
        <a:xfrm>
          <a:off x="20952883" y="182033"/>
          <a:ext cx="0" cy="9313334"/>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ndel_Rosenblum" TargetMode="External"/><Relationship Id="rId2" Type="http://schemas.openxmlformats.org/officeDocument/2006/relationships/hyperlink" Target="https://en.wikipedia.org/wiki/Diane_Greene" TargetMode="External"/><Relationship Id="rId1" Type="http://schemas.openxmlformats.org/officeDocument/2006/relationships/hyperlink" Target="https://ir.vmware.com/overview/default.asp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ec.gov/cgi-bin/browse-edgar?company=vmware&amp;owner=exclude&amp;action=getcompa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63"/>
  <sheetViews>
    <sheetView tabSelected="1" zoomScale="120" zoomScaleNormal="120" workbookViewId="0">
      <pane xSplit="1" ySplit="10" topLeftCell="B13" activePane="bottomRight" state="frozen"/>
      <selection pane="topRight" activeCell="B1" sqref="B1"/>
      <selection pane="bottomLeft" activeCell="A11" sqref="A11"/>
      <selection pane="bottomRight" activeCell="A4" sqref="A4"/>
    </sheetView>
  </sheetViews>
  <sheetFormatPr baseColWidth="10" defaultRowHeight="13" x14ac:dyDescent="0.15"/>
  <cols>
    <col min="1" max="1" width="17.1640625" style="1" bestFit="1" customWidth="1"/>
    <col min="2" max="16384" width="10.83203125" style="1"/>
  </cols>
  <sheetData>
    <row r="1" spans="1:122" x14ac:dyDescent="0.15">
      <c r="A1" s="5" t="s">
        <v>106</v>
      </c>
      <c r="B1" s="2" t="s">
        <v>69</v>
      </c>
    </row>
    <row r="2" spans="1:122" x14ac:dyDescent="0.15">
      <c r="B2" s="1" t="s">
        <v>109</v>
      </c>
      <c r="C2" s="48">
        <v>137.85</v>
      </c>
      <c r="D2" s="61">
        <v>44225</v>
      </c>
      <c r="E2" s="3" t="s">
        <v>25</v>
      </c>
      <c r="F2" s="4">
        <v>-0.02</v>
      </c>
      <c r="I2" s="7"/>
    </row>
    <row r="3" spans="1:122" x14ac:dyDescent="0.15">
      <c r="A3" s="2" t="s">
        <v>107</v>
      </c>
      <c r="B3" s="1" t="s">
        <v>13</v>
      </c>
      <c r="C3" s="9">
        <f>Reports!X24</f>
        <v>423.4</v>
      </c>
      <c r="D3" s="1" t="s">
        <v>122</v>
      </c>
      <c r="E3" s="3" t="s">
        <v>26</v>
      </c>
      <c r="F3" s="4">
        <v>0.02</v>
      </c>
      <c r="G3" s="45" t="s">
        <v>110</v>
      </c>
      <c r="I3" s="7"/>
    </row>
    <row r="4" spans="1:122" x14ac:dyDescent="0.15">
      <c r="A4" s="5"/>
      <c r="B4" s="1" t="s">
        <v>111</v>
      </c>
      <c r="C4" s="11">
        <f>C2*C3</f>
        <v>58365.689999999995</v>
      </c>
      <c r="E4" s="3" t="s">
        <v>27</v>
      </c>
      <c r="F4" s="4">
        <v>0.06</v>
      </c>
      <c r="G4" s="45" t="s">
        <v>127</v>
      </c>
      <c r="I4" s="14"/>
    </row>
    <row r="5" spans="1:122" x14ac:dyDescent="0.15">
      <c r="B5" s="1" t="s">
        <v>22</v>
      </c>
      <c r="C5" s="9">
        <f>Reports!X35</f>
        <v>-817</v>
      </c>
      <c r="D5" s="1" t="s">
        <v>122</v>
      </c>
      <c r="E5" s="3" t="s">
        <v>28</v>
      </c>
      <c r="F5" s="6">
        <f>NPV(F4,G29:DR29)</f>
        <v>93947.642492019062</v>
      </c>
      <c r="G5" s="45" t="s">
        <v>128</v>
      </c>
      <c r="I5" s="14"/>
    </row>
    <row r="6" spans="1:122" x14ac:dyDescent="0.15">
      <c r="A6" s="2" t="s">
        <v>108</v>
      </c>
      <c r="B6" s="1" t="s">
        <v>112</v>
      </c>
      <c r="C6" s="11">
        <f>C4-C5</f>
        <v>59182.689999999995</v>
      </c>
      <c r="E6" s="8" t="s">
        <v>29</v>
      </c>
      <c r="F6" s="49">
        <f>F5+C5</f>
        <v>93130.642492019062</v>
      </c>
      <c r="I6" s="14"/>
    </row>
    <row r="7" spans="1:122" x14ac:dyDescent="0.15">
      <c r="A7" s="5" t="s">
        <v>114</v>
      </c>
      <c r="B7" s="45" t="s">
        <v>113</v>
      </c>
      <c r="C7" s="50">
        <f>C6/C3</f>
        <v>139.77961738308926</v>
      </c>
      <c r="E7" s="51" t="s">
        <v>113</v>
      </c>
      <c r="F7" s="52">
        <f>F6/C3</f>
        <v>219.95900446863266</v>
      </c>
      <c r="G7" s="14">
        <f>F7/C2-1</f>
        <v>0.59564022102744052</v>
      </c>
    </row>
    <row r="8" spans="1:122" x14ac:dyDescent="0.15">
      <c r="A8" s="5" t="s">
        <v>115</v>
      </c>
    </row>
    <row r="10" spans="1:122" x14ac:dyDescent="0.15">
      <c r="B10" s="15">
        <v>2015</v>
      </c>
      <c r="C10" s="15">
        <v>2016</v>
      </c>
      <c r="D10" s="15">
        <v>2018</v>
      </c>
      <c r="E10" s="15">
        <f>D10+1</f>
        <v>2019</v>
      </c>
      <c r="F10" s="15">
        <f t="shared" ref="F10:O10" si="0">E10+1</f>
        <v>2020</v>
      </c>
      <c r="G10" s="15">
        <f t="shared" si="0"/>
        <v>2021</v>
      </c>
      <c r="H10" s="15">
        <f t="shared" si="0"/>
        <v>2022</v>
      </c>
      <c r="I10" s="15">
        <f t="shared" si="0"/>
        <v>2023</v>
      </c>
      <c r="J10" s="15">
        <f t="shared" si="0"/>
        <v>2024</v>
      </c>
      <c r="K10" s="15">
        <f t="shared" si="0"/>
        <v>2025</v>
      </c>
      <c r="L10" s="15">
        <f t="shared" si="0"/>
        <v>2026</v>
      </c>
      <c r="M10" s="15">
        <f t="shared" si="0"/>
        <v>2027</v>
      </c>
      <c r="N10" s="15">
        <f t="shared" si="0"/>
        <v>2028</v>
      </c>
      <c r="O10" s="15">
        <f t="shared" si="0"/>
        <v>2029</v>
      </c>
      <c r="P10" s="15">
        <f>O10+1</f>
        <v>2030</v>
      </c>
      <c r="Q10" s="15">
        <f t="shared" ref="Q10:U10" si="1">P10+1</f>
        <v>2031</v>
      </c>
      <c r="R10" s="15">
        <f t="shared" si="1"/>
        <v>2032</v>
      </c>
      <c r="S10" s="15">
        <f t="shared" si="1"/>
        <v>2033</v>
      </c>
      <c r="T10" s="15">
        <f t="shared" si="1"/>
        <v>2034</v>
      </c>
      <c r="U10" s="15">
        <f t="shared" si="1"/>
        <v>2035</v>
      </c>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row>
    <row r="11" spans="1:122" s="7" customFormat="1" x14ac:dyDescent="0.15">
      <c r="A11" s="7" t="s">
        <v>43</v>
      </c>
      <c r="B11" s="18">
        <f>SUM(Reports!B3:E3)</f>
        <v>2720</v>
      </c>
      <c r="C11" s="18">
        <f>SUM(Reports!F3:I3)</f>
        <v>2794</v>
      </c>
      <c r="D11" s="16">
        <f>SUM(Reports!J3:M3)</f>
        <v>3250</v>
      </c>
      <c r="E11" s="16">
        <f>SUM(Reports!N3:Q3)</f>
        <v>3789</v>
      </c>
      <c r="F11" s="16">
        <f>SUM(Reports!R3:U3)</f>
        <v>3181</v>
      </c>
      <c r="G11" s="16">
        <f>SUM(Reports!V3:Y3)</f>
        <v>2896.9</v>
      </c>
      <c r="H11" s="16">
        <f>G11*0.85</f>
        <v>2462.3650000000002</v>
      </c>
      <c r="I11" s="16">
        <f t="shared" ref="I11:K11" si="2">H11*0.85</f>
        <v>2093.0102500000003</v>
      </c>
      <c r="J11" s="16">
        <f t="shared" si="2"/>
        <v>1779.0587125000002</v>
      </c>
      <c r="K11" s="16">
        <f t="shared" si="2"/>
        <v>1512.1999056250002</v>
      </c>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row>
    <row r="12" spans="1:122" s="7" customFormat="1" x14ac:dyDescent="0.15">
      <c r="A12" s="7" t="s">
        <v>124</v>
      </c>
      <c r="B12" s="18"/>
      <c r="C12" s="18"/>
      <c r="D12" s="16"/>
      <c r="E12" s="16"/>
      <c r="F12" s="16">
        <f>SUM(Reports!R4:U4)</f>
        <v>1876</v>
      </c>
      <c r="G12" s="16">
        <f>SUM(Reports!V4:Y4)</f>
        <v>2657.4</v>
      </c>
      <c r="H12" s="16">
        <f>G12*1.4</f>
        <v>3720.3599999999997</v>
      </c>
      <c r="I12" s="16">
        <f t="shared" ref="I12:K12" si="3">H12*1.4</f>
        <v>5208.503999999999</v>
      </c>
      <c r="J12" s="16">
        <f t="shared" si="3"/>
        <v>7291.9055999999982</v>
      </c>
      <c r="K12" s="16">
        <f t="shared" si="3"/>
        <v>10208.667839999996</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row>
    <row r="13" spans="1:122" s="7" customFormat="1" x14ac:dyDescent="0.15">
      <c r="A13" s="7" t="s">
        <v>67</v>
      </c>
      <c r="B13" s="18">
        <f>SUM(Reports!B5:E5)</f>
        <v>3852</v>
      </c>
      <c r="C13" s="18">
        <f>SUM(Reports!F5:I5)</f>
        <v>4298</v>
      </c>
      <c r="D13" s="16">
        <f>SUM(Reports!J5:M5)</f>
        <v>4694</v>
      </c>
      <c r="E13" s="16">
        <f>SUM(Reports!N5:Q5)</f>
        <v>5184</v>
      </c>
      <c r="F13" s="16">
        <f>SUM(Reports!R5:U5)</f>
        <v>5754</v>
      </c>
      <c r="G13" s="16">
        <f>SUM(Reports!V5:Y5)</f>
        <v>6133.15</v>
      </c>
      <c r="H13" s="16">
        <f>G13*1.05</f>
        <v>6439.8074999999999</v>
      </c>
      <c r="I13" s="16">
        <f t="shared" ref="I13:K13" si="4">H13*1.05</f>
        <v>6761.7978750000002</v>
      </c>
      <c r="J13" s="16">
        <f t="shared" si="4"/>
        <v>7099.8877687500008</v>
      </c>
      <c r="K13" s="16">
        <f t="shared" si="4"/>
        <v>7454.8821571875014</v>
      </c>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row>
    <row r="14" spans="1:122" x14ac:dyDescent="0.15">
      <c r="B14" s="18"/>
      <c r="C14" s="18"/>
      <c r="D14" s="16"/>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row>
    <row r="15" spans="1:122" x14ac:dyDescent="0.15">
      <c r="A15" s="1" t="s">
        <v>53</v>
      </c>
      <c r="B15" s="18"/>
      <c r="C15" s="18"/>
      <c r="D15" s="16"/>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row>
    <row r="16" spans="1:122" x14ac:dyDescent="0.15">
      <c r="A16" s="1" t="s">
        <v>54</v>
      </c>
      <c r="B16" s="18"/>
      <c r="C16" s="18"/>
      <c r="D16" s="16"/>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row>
    <row r="17" spans="1:122" s="7" customFormat="1" x14ac:dyDescent="0.15">
      <c r="B17" s="16"/>
      <c r="C17" s="16"/>
      <c r="D17" s="16"/>
      <c r="E17" s="16"/>
      <c r="F17" s="16">
        <v>10030</v>
      </c>
      <c r="G17" s="16">
        <v>11700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row>
    <row r="18" spans="1:122" x14ac:dyDescent="0.15">
      <c r="A18" s="2" t="s">
        <v>0</v>
      </c>
      <c r="B18" s="36">
        <f t="shared" ref="B18:K18" si="5">SUM(B11:B13)</f>
        <v>6572</v>
      </c>
      <c r="C18" s="36">
        <f t="shared" si="5"/>
        <v>7092</v>
      </c>
      <c r="D18" s="36">
        <f t="shared" si="5"/>
        <v>7944</v>
      </c>
      <c r="E18" s="36">
        <f t="shared" si="5"/>
        <v>8973</v>
      </c>
      <c r="F18" s="36">
        <f t="shared" si="5"/>
        <v>10811</v>
      </c>
      <c r="G18" s="21">
        <f t="shared" si="5"/>
        <v>11687.45</v>
      </c>
      <c r="H18" s="21">
        <f t="shared" si="5"/>
        <v>12622.532500000001</v>
      </c>
      <c r="I18" s="21">
        <f t="shared" si="5"/>
        <v>14063.312125</v>
      </c>
      <c r="J18" s="21">
        <f t="shared" si="5"/>
        <v>16170.852081249999</v>
      </c>
      <c r="K18" s="21">
        <f t="shared" si="5"/>
        <v>19175.749902812498</v>
      </c>
      <c r="L18" s="21">
        <f t="shared" ref="L18:O18" si="6">K18*1.05</f>
        <v>20134.537397953125</v>
      </c>
      <c r="M18" s="21">
        <f t="shared" si="6"/>
        <v>21141.264267850784</v>
      </c>
      <c r="N18" s="21">
        <f t="shared" si="6"/>
        <v>22198.327481243323</v>
      </c>
      <c r="O18" s="21">
        <f t="shared" si="6"/>
        <v>23308.243855305489</v>
      </c>
      <c r="P18" s="21">
        <f>O18*1.05</f>
        <v>24473.656048070763</v>
      </c>
      <c r="Q18" s="21">
        <f t="shared" ref="Q18:U18" si="7">P18*1.05</f>
        <v>25697.338850474302</v>
      </c>
      <c r="R18" s="21">
        <f t="shared" si="7"/>
        <v>26982.205792998018</v>
      </c>
      <c r="S18" s="21">
        <f t="shared" si="7"/>
        <v>28331.316082647922</v>
      </c>
      <c r="T18" s="21">
        <f t="shared" si="7"/>
        <v>29747.88188678032</v>
      </c>
      <c r="U18" s="21">
        <f t="shared" si="7"/>
        <v>31235.275981119339</v>
      </c>
      <c r="V18" s="21"/>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row>
    <row r="19" spans="1:122" x14ac:dyDescent="0.15">
      <c r="A19" s="1" t="s">
        <v>1</v>
      </c>
      <c r="B19" s="18">
        <f>SUM(Reports!B11:E11)</f>
        <v>1017</v>
      </c>
      <c r="C19" s="18">
        <f>SUM(Reports!F11:I11)</f>
        <v>1053</v>
      </c>
      <c r="D19" s="16">
        <f>SUM(Reports!J11:M11)</f>
        <v>1141</v>
      </c>
      <c r="E19" s="16">
        <f>SUM(Reports!N11:Q11)</f>
        <v>1259</v>
      </c>
      <c r="F19" s="16">
        <f>SUM(Reports!R11:U11)</f>
        <v>1799</v>
      </c>
      <c r="G19" s="18">
        <f t="shared" ref="G19" si="8">G18-G20</f>
        <v>1944.8453010822304</v>
      </c>
      <c r="H19" s="18">
        <f t="shared" ref="H19:O19" si="9">H18-H20</f>
        <v>2100.4473191656634</v>
      </c>
      <c r="I19" s="18">
        <f t="shared" si="9"/>
        <v>2340.1996589469036</v>
      </c>
      <c r="J19" s="18">
        <f t="shared" si="9"/>
        <v>2690.9039768910116</v>
      </c>
      <c r="K19" s="18">
        <f t="shared" si="9"/>
        <v>3190.9327606289571</v>
      </c>
      <c r="L19" s="18">
        <f t="shared" si="9"/>
        <v>3350.4793986604054</v>
      </c>
      <c r="M19" s="18">
        <f t="shared" si="9"/>
        <v>3518.003368593425</v>
      </c>
      <c r="N19" s="18">
        <f t="shared" si="9"/>
        <v>3693.9035370230959</v>
      </c>
      <c r="O19" s="18">
        <f t="shared" si="9"/>
        <v>3878.598713874253</v>
      </c>
      <c r="P19" s="18">
        <f>P18-P20</f>
        <v>4072.5286495679684</v>
      </c>
      <c r="Q19" s="18">
        <f t="shared" ref="Q19:U19" si="10">Q18-Q20</f>
        <v>4276.1550820463672</v>
      </c>
      <c r="R19" s="18">
        <f t="shared" si="10"/>
        <v>4489.9628361486866</v>
      </c>
      <c r="S19" s="18">
        <f t="shared" si="10"/>
        <v>4714.4609779561215</v>
      </c>
      <c r="T19" s="18">
        <f t="shared" si="10"/>
        <v>4950.1840268539272</v>
      </c>
      <c r="U19" s="18">
        <f t="shared" si="10"/>
        <v>5197.6932281966256</v>
      </c>
      <c r="V19" s="18"/>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row>
    <row r="20" spans="1:122" x14ac:dyDescent="0.15">
      <c r="A20" s="1" t="s">
        <v>2</v>
      </c>
      <c r="B20" s="39">
        <f>B18-B19</f>
        <v>5555</v>
      </c>
      <c r="C20" s="39">
        <f>C18-C19</f>
        <v>6039</v>
      </c>
      <c r="D20" s="39">
        <f>D18-D19</f>
        <v>6803</v>
      </c>
      <c r="E20" s="39">
        <f>E18-E19</f>
        <v>7714</v>
      </c>
      <c r="F20" s="39">
        <f>F18-F19</f>
        <v>9012</v>
      </c>
      <c r="G20" s="18">
        <f t="shared" ref="G20" si="11">G18*F38</f>
        <v>9742.6046989177703</v>
      </c>
      <c r="H20" s="18">
        <f t="shared" ref="H20:O20" si="12">H18*G38</f>
        <v>10522.085180834338</v>
      </c>
      <c r="I20" s="18">
        <f t="shared" si="12"/>
        <v>11723.112466053097</v>
      </c>
      <c r="J20" s="18">
        <f t="shared" si="12"/>
        <v>13479.948104358988</v>
      </c>
      <c r="K20" s="18">
        <f t="shared" si="12"/>
        <v>15984.817142183541</v>
      </c>
      <c r="L20" s="18">
        <f t="shared" si="12"/>
        <v>16784.05799929272</v>
      </c>
      <c r="M20" s="18">
        <f t="shared" si="12"/>
        <v>17623.260899257359</v>
      </c>
      <c r="N20" s="18">
        <f t="shared" si="12"/>
        <v>18504.423944220227</v>
      </c>
      <c r="O20" s="18">
        <f t="shared" si="12"/>
        <v>19429.645141431236</v>
      </c>
      <c r="P20" s="18">
        <f>P18*O38</f>
        <v>20401.127398502795</v>
      </c>
      <c r="Q20" s="18">
        <f t="shared" ref="Q20:U20" si="13">Q18*P38</f>
        <v>21421.183768427934</v>
      </c>
      <c r="R20" s="18">
        <f t="shared" si="13"/>
        <v>22492.242956849332</v>
      </c>
      <c r="S20" s="18">
        <f t="shared" si="13"/>
        <v>23616.8551046918</v>
      </c>
      <c r="T20" s="18">
        <f t="shared" si="13"/>
        <v>24797.697859926393</v>
      </c>
      <c r="U20" s="18">
        <f t="shared" si="13"/>
        <v>26037.582752922714</v>
      </c>
      <c r="V20" s="18"/>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row>
    <row r="21" spans="1:122" x14ac:dyDescent="0.15">
      <c r="A21" s="1" t="s">
        <v>3</v>
      </c>
      <c r="B21" s="18">
        <f>SUM(Reports!B13:E13)</f>
        <v>1300</v>
      </c>
      <c r="C21" s="18">
        <f>SUM(Reports!F13:I13)</f>
        <v>1503</v>
      </c>
      <c r="D21" s="16">
        <f>SUM(Reports!J13:M13)</f>
        <v>1755</v>
      </c>
      <c r="E21" s="16">
        <f>SUM(Reports!N13:Q13)</f>
        <v>1975</v>
      </c>
      <c r="F21" s="16">
        <f>SUM(Reports!R13:U13)</f>
        <v>2522</v>
      </c>
      <c r="G21" s="18">
        <f t="shared" ref="G21:K21" si="14">F21*1.15</f>
        <v>2900.2999999999997</v>
      </c>
      <c r="H21" s="18">
        <f t="shared" si="14"/>
        <v>3335.3449999999993</v>
      </c>
      <c r="I21" s="18">
        <f t="shared" si="14"/>
        <v>3835.646749999999</v>
      </c>
      <c r="J21" s="18">
        <f t="shared" si="14"/>
        <v>4410.9937624999984</v>
      </c>
      <c r="K21" s="18">
        <f t="shared" si="14"/>
        <v>5072.6428268749978</v>
      </c>
      <c r="L21" s="18">
        <f t="shared" ref="L21:O21" si="15">K21*1.05</f>
        <v>5326.2749682187477</v>
      </c>
      <c r="M21" s="18">
        <f t="shared" si="15"/>
        <v>5592.5887166296852</v>
      </c>
      <c r="N21" s="18">
        <f t="shared" si="15"/>
        <v>5872.2181524611697</v>
      </c>
      <c r="O21" s="18">
        <f t="shared" si="15"/>
        <v>6165.8290600842283</v>
      </c>
      <c r="P21" s="18">
        <f>O21*1.05</f>
        <v>6474.12051308844</v>
      </c>
      <c r="Q21" s="18">
        <f t="shared" ref="Q21:U21" si="16">P21*1.05</f>
        <v>6797.8265387428619</v>
      </c>
      <c r="R21" s="18">
        <f t="shared" si="16"/>
        <v>7137.7178656800052</v>
      </c>
      <c r="S21" s="18">
        <f t="shared" si="16"/>
        <v>7494.6037589640055</v>
      </c>
      <c r="T21" s="18">
        <f t="shared" si="16"/>
        <v>7869.3339469122056</v>
      </c>
      <c r="U21" s="18">
        <f t="shared" si="16"/>
        <v>8262.8006442578171</v>
      </c>
      <c r="V21" s="18"/>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row>
    <row r="22" spans="1:122" x14ac:dyDescent="0.15">
      <c r="A22" s="1" t="s">
        <v>4</v>
      </c>
      <c r="B22" s="18">
        <f>SUM(Reports!B14:E14)</f>
        <v>2269</v>
      </c>
      <c r="C22" s="18">
        <f>SUM(Reports!F14:I14)</f>
        <v>2355</v>
      </c>
      <c r="D22" s="16">
        <f>SUM(Reports!J14:M14)</f>
        <v>2545</v>
      </c>
      <c r="E22" s="16">
        <f>SUM(Reports!N14:Q14)</f>
        <v>2916</v>
      </c>
      <c r="F22" s="16">
        <f>SUM(Reports!R14:U14)</f>
        <v>3677</v>
      </c>
      <c r="G22" s="18">
        <f t="shared" ref="G22:K22" si="17">F22*1.1</f>
        <v>4044.7000000000003</v>
      </c>
      <c r="H22" s="18">
        <f t="shared" si="17"/>
        <v>4449.170000000001</v>
      </c>
      <c r="I22" s="18">
        <f t="shared" si="17"/>
        <v>4894.0870000000014</v>
      </c>
      <c r="J22" s="18">
        <f t="shared" si="17"/>
        <v>5383.4957000000022</v>
      </c>
      <c r="K22" s="18">
        <f t="shared" si="17"/>
        <v>5921.8452700000025</v>
      </c>
      <c r="L22" s="18">
        <f t="shared" ref="L22:O22" si="18">K22*0.98</f>
        <v>5803.4083646000026</v>
      </c>
      <c r="M22" s="18">
        <f t="shared" si="18"/>
        <v>5687.3401973080026</v>
      </c>
      <c r="N22" s="18">
        <f t="shared" si="18"/>
        <v>5573.5933933618426</v>
      </c>
      <c r="O22" s="18">
        <f t="shared" si="18"/>
        <v>5462.1215254946055</v>
      </c>
      <c r="P22" s="18">
        <f>O22*0.98</f>
        <v>5352.8790949847134</v>
      </c>
      <c r="Q22" s="18">
        <f t="shared" ref="Q22:U22" si="19">P22*0.98</f>
        <v>5245.8215130850194</v>
      </c>
      <c r="R22" s="18">
        <f t="shared" si="19"/>
        <v>5140.9050828233194</v>
      </c>
      <c r="S22" s="18">
        <f t="shared" si="19"/>
        <v>5038.0869811668526</v>
      </c>
      <c r="T22" s="18">
        <f t="shared" si="19"/>
        <v>4937.3252415435154</v>
      </c>
      <c r="U22" s="18">
        <f t="shared" si="19"/>
        <v>4838.578736712645</v>
      </c>
      <c r="V22" s="18"/>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row>
    <row r="23" spans="1:122" x14ac:dyDescent="0.15">
      <c r="A23" s="1" t="s">
        <v>5</v>
      </c>
      <c r="B23" s="18">
        <f>SUM(Reports!B15:E15)</f>
        <v>789</v>
      </c>
      <c r="C23" s="18">
        <f>SUM(Reports!F15:I15)</f>
        <v>742</v>
      </c>
      <c r="D23" s="16">
        <f>SUM(Reports!J15:M15)</f>
        <v>759</v>
      </c>
      <c r="E23" s="16">
        <f>SUM(Reports!N15:Q15)</f>
        <v>773</v>
      </c>
      <c r="F23" s="16">
        <f>SUM(Reports!R15:U15)</f>
        <v>1372</v>
      </c>
      <c r="G23" s="18">
        <f t="shared" ref="G23" si="20">F23*1.02</f>
        <v>1399.44</v>
      </c>
      <c r="H23" s="18">
        <f t="shared" ref="H23" si="21">G23*1.02</f>
        <v>1427.4288000000001</v>
      </c>
      <c r="I23" s="18">
        <f t="shared" ref="I23" si="22">H23*1.02</f>
        <v>1455.9773760000003</v>
      </c>
      <c r="J23" s="18">
        <f t="shared" ref="J23:K23" si="23">I23*1.02</f>
        <v>1485.0969235200002</v>
      </c>
      <c r="K23" s="18">
        <f t="shared" si="23"/>
        <v>1514.7988619904004</v>
      </c>
      <c r="L23" s="18">
        <f t="shared" ref="L23:O23" si="24">K23*0.98</f>
        <v>1484.5028847505923</v>
      </c>
      <c r="M23" s="18">
        <f t="shared" si="24"/>
        <v>1454.8128270555806</v>
      </c>
      <c r="N23" s="18">
        <f t="shared" si="24"/>
        <v>1425.7165705144689</v>
      </c>
      <c r="O23" s="18">
        <f t="shared" si="24"/>
        <v>1397.2022391041794</v>
      </c>
      <c r="P23" s="18">
        <f>O23*0.98</f>
        <v>1369.2581943220957</v>
      </c>
      <c r="Q23" s="18">
        <f t="shared" ref="Q23:U23" si="25">P23*0.98</f>
        <v>1341.8730304356538</v>
      </c>
      <c r="R23" s="18">
        <f t="shared" si="25"/>
        <v>1315.0355698269407</v>
      </c>
      <c r="S23" s="18">
        <f t="shared" si="25"/>
        <v>1288.7348584304018</v>
      </c>
      <c r="T23" s="18">
        <f t="shared" si="25"/>
        <v>1262.9601612617937</v>
      </c>
      <c r="U23" s="18">
        <f t="shared" si="25"/>
        <v>1237.7009580365577</v>
      </c>
      <c r="V23" s="18"/>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row>
    <row r="24" spans="1:122" x14ac:dyDescent="0.15">
      <c r="A24" s="1" t="s">
        <v>6</v>
      </c>
      <c r="B24" s="39">
        <f>SUM(B21:B23)</f>
        <v>4358</v>
      </c>
      <c r="C24" s="39">
        <f>SUM(C21:C23)</f>
        <v>4600</v>
      </c>
      <c r="D24" s="39">
        <f>SUM(D21:D23)</f>
        <v>5059</v>
      </c>
      <c r="E24" s="39">
        <f>SUM(E21:E23)</f>
        <v>5664</v>
      </c>
      <c r="F24" s="39">
        <f>SUM(F21:F23)</f>
        <v>7571</v>
      </c>
      <c r="G24" s="18">
        <f t="shared" ref="G24" si="26">SUM(G21:G23)</f>
        <v>8344.44</v>
      </c>
      <c r="H24" s="18">
        <f t="shared" ref="H24:O24" si="27">SUM(H21:H23)</f>
        <v>9211.9438000000009</v>
      </c>
      <c r="I24" s="18">
        <f t="shared" si="27"/>
        <v>10185.711126</v>
      </c>
      <c r="J24" s="18">
        <f t="shared" si="27"/>
        <v>11279.586386020002</v>
      </c>
      <c r="K24" s="18">
        <f t="shared" si="27"/>
        <v>12509.286958865401</v>
      </c>
      <c r="L24" s="18">
        <f t="shared" si="27"/>
        <v>12614.186217569342</v>
      </c>
      <c r="M24" s="18">
        <f t="shared" si="27"/>
        <v>12734.74174099327</v>
      </c>
      <c r="N24" s="18">
        <f t="shared" si="27"/>
        <v>12871.528116337482</v>
      </c>
      <c r="O24" s="18">
        <f t="shared" si="27"/>
        <v>13025.152824683013</v>
      </c>
      <c r="P24" s="18">
        <f>SUM(P21:P23)</f>
        <v>13196.25780239525</v>
      </c>
      <c r="Q24" s="18">
        <f t="shared" ref="Q24:U24" si="28">SUM(Q21:Q23)</f>
        <v>13385.521082263534</v>
      </c>
      <c r="R24" s="18">
        <f t="shared" si="28"/>
        <v>13593.658518330267</v>
      </c>
      <c r="S24" s="18">
        <f t="shared" si="28"/>
        <v>13821.42559856126</v>
      </c>
      <c r="T24" s="18">
        <f t="shared" si="28"/>
        <v>14069.619349717514</v>
      </c>
      <c r="U24" s="18">
        <f t="shared" si="28"/>
        <v>14339.08033900702</v>
      </c>
      <c r="V24" s="18"/>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row>
    <row r="25" spans="1:122" x14ac:dyDescent="0.15">
      <c r="A25" s="1" t="s">
        <v>7</v>
      </c>
      <c r="B25" s="39">
        <f>B20-B24</f>
        <v>1197</v>
      </c>
      <c r="C25" s="39">
        <f>C20-C24</f>
        <v>1439</v>
      </c>
      <c r="D25" s="39">
        <f>D20-D24</f>
        <v>1744</v>
      </c>
      <c r="E25" s="39">
        <f>E20-E24</f>
        <v>2050</v>
      </c>
      <c r="F25" s="39">
        <f>F20-F24</f>
        <v>1441</v>
      </c>
      <c r="G25" s="18">
        <f t="shared" ref="G25" si="29">G20-G24</f>
        <v>1398.1646989177698</v>
      </c>
      <c r="H25" s="18">
        <f t="shared" ref="H25:O25" si="30">H20-H24</f>
        <v>1310.1413808343368</v>
      </c>
      <c r="I25" s="18">
        <f t="shared" si="30"/>
        <v>1537.4013400530966</v>
      </c>
      <c r="J25" s="18">
        <f t="shared" si="30"/>
        <v>2200.3617183389852</v>
      </c>
      <c r="K25" s="18">
        <f t="shared" si="30"/>
        <v>3475.5301833181402</v>
      </c>
      <c r="L25" s="18">
        <f t="shared" si="30"/>
        <v>4169.8717817233774</v>
      </c>
      <c r="M25" s="18">
        <f t="shared" si="30"/>
        <v>4888.5191582640891</v>
      </c>
      <c r="N25" s="18">
        <f t="shared" si="30"/>
        <v>5632.8958278827449</v>
      </c>
      <c r="O25" s="18">
        <f t="shared" si="30"/>
        <v>6404.4923167482229</v>
      </c>
      <c r="P25" s="18">
        <f>P20-P24</f>
        <v>7204.8695961075446</v>
      </c>
      <c r="Q25" s="18">
        <f t="shared" ref="Q25:U25" si="31">Q20-Q24</f>
        <v>8035.6626861643999</v>
      </c>
      <c r="R25" s="18">
        <f t="shared" si="31"/>
        <v>8898.5844385190649</v>
      </c>
      <c r="S25" s="18">
        <f t="shared" si="31"/>
        <v>9795.4295061305402</v>
      </c>
      <c r="T25" s="18">
        <f t="shared" si="31"/>
        <v>10728.078510208879</v>
      </c>
      <c r="U25" s="18">
        <f t="shared" si="31"/>
        <v>11698.502413915694</v>
      </c>
      <c r="V25" s="18"/>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row>
    <row r="26" spans="1:122" x14ac:dyDescent="0.15">
      <c r="A26" s="1" t="s">
        <v>8</v>
      </c>
      <c r="B26" s="18">
        <f>SUM(Reports!B18:E18)</f>
        <v>16</v>
      </c>
      <c r="C26" s="18">
        <f>SUM(Reports!F18:I18)</f>
        <v>34</v>
      </c>
      <c r="D26" s="16">
        <f>SUM(Reports!J18:M18)</f>
        <v>112</v>
      </c>
      <c r="E26" s="16">
        <f>SUM(Reports!N18:Q18)</f>
        <v>833</v>
      </c>
      <c r="F26" s="16">
        <f>SUM(Reports!R18:U18)</f>
        <v>-4</v>
      </c>
      <c r="G26" s="18">
        <f t="shared" ref="G26:O26" si="32">F42*($F$3)</f>
        <v>-51.26</v>
      </c>
      <c r="H26" s="18">
        <f t="shared" si="32"/>
        <v>-29.709524817315682</v>
      </c>
      <c r="I26" s="18">
        <f t="shared" si="32"/>
        <v>-9.2226151210433454</v>
      </c>
      <c r="J26" s="18">
        <f t="shared" si="32"/>
        <v>15.228244477869508</v>
      </c>
      <c r="K26" s="18">
        <f t="shared" si="32"/>
        <v>50.677683882939185</v>
      </c>
      <c r="L26" s="18">
        <f t="shared" si="32"/>
        <v>107.09700975815646</v>
      </c>
      <c r="M26" s="18">
        <f t="shared" si="32"/>
        <v>175.528510421861</v>
      </c>
      <c r="N26" s="18">
        <f t="shared" si="32"/>
        <v>256.5532731208362</v>
      </c>
      <c r="O26" s="18">
        <f t="shared" si="32"/>
        <v>350.7844587368935</v>
      </c>
      <c r="P26" s="18">
        <f>O42*($F$3)</f>
        <v>458.86888714465539</v>
      </c>
      <c r="Q26" s="18">
        <f t="shared" ref="Q26:U26" si="33">P42*($F$3)</f>
        <v>581.48870287669058</v>
      </c>
      <c r="R26" s="18">
        <f t="shared" si="33"/>
        <v>719.36312510134803</v>
      </c>
      <c r="S26" s="18">
        <f t="shared" si="33"/>
        <v>873.25028611927451</v>
      </c>
      <c r="T26" s="18">
        <f t="shared" si="33"/>
        <v>1043.9491627952716</v>
      </c>
      <c r="U26" s="18">
        <f t="shared" si="33"/>
        <v>1232.3016055633379</v>
      </c>
      <c r="V26" s="18"/>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row>
    <row r="27" spans="1:122" x14ac:dyDescent="0.15">
      <c r="A27" s="1" t="s">
        <v>9</v>
      </c>
      <c r="B27" s="39">
        <f>SUM(Reports!B19:E19)</f>
        <v>1213</v>
      </c>
      <c r="C27" s="39">
        <f>C25+C26</f>
        <v>1473</v>
      </c>
      <c r="D27" s="39">
        <f>D25+D26</f>
        <v>1856</v>
      </c>
      <c r="E27" s="39">
        <f>E25+E26</f>
        <v>2883</v>
      </c>
      <c r="F27" s="39">
        <f>F25+F26</f>
        <v>1437</v>
      </c>
      <c r="G27" s="18">
        <f t="shared" ref="G27" si="34">G25+G26</f>
        <v>1346.9046989177698</v>
      </c>
      <c r="H27" s="18">
        <f t="shared" ref="H27:O27" si="35">H25+H26</f>
        <v>1280.4318560170211</v>
      </c>
      <c r="I27" s="18">
        <f t="shared" si="35"/>
        <v>1528.1787249320532</v>
      </c>
      <c r="J27" s="18">
        <f t="shared" si="35"/>
        <v>2215.5899628168545</v>
      </c>
      <c r="K27" s="18">
        <f t="shared" si="35"/>
        <v>3526.2078672010794</v>
      </c>
      <c r="L27" s="18">
        <f t="shared" si="35"/>
        <v>4276.968791481534</v>
      </c>
      <c r="M27" s="18">
        <f t="shared" si="35"/>
        <v>5064.0476686859502</v>
      </c>
      <c r="N27" s="18">
        <f t="shared" si="35"/>
        <v>5889.4491010035808</v>
      </c>
      <c r="O27" s="18">
        <f t="shared" si="35"/>
        <v>6755.2767754851166</v>
      </c>
      <c r="P27" s="18">
        <f>P25+P26</f>
        <v>7663.7384832522002</v>
      </c>
      <c r="Q27" s="18">
        <f t="shared" ref="Q27:U27" si="36">Q25+Q26</f>
        <v>8617.1513890410897</v>
      </c>
      <c r="R27" s="18">
        <f t="shared" si="36"/>
        <v>9617.9475636204133</v>
      </c>
      <c r="S27" s="18">
        <f t="shared" si="36"/>
        <v>10668.679792249815</v>
      </c>
      <c r="T27" s="18">
        <f t="shared" si="36"/>
        <v>11772.027673004151</v>
      </c>
      <c r="U27" s="18">
        <f t="shared" si="36"/>
        <v>12930.804019479032</v>
      </c>
      <c r="V27" s="18"/>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row>
    <row r="28" spans="1:122" x14ac:dyDescent="0.15">
      <c r="A28" s="1" t="s">
        <v>10</v>
      </c>
      <c r="B28" s="18">
        <f>SUM(Reports!B20:E20)</f>
        <v>215.5</v>
      </c>
      <c r="C28" s="18">
        <f>SUM(Reports!F20:I20)</f>
        <v>287</v>
      </c>
      <c r="D28" s="16">
        <f>SUM(Reports!J20:M20)</f>
        <v>273.40983606557376</v>
      </c>
      <c r="E28" s="16">
        <f>SUM(Reports!N20:Q20)</f>
        <v>461</v>
      </c>
      <c r="F28" s="16">
        <f>SUM(Reports!R20:U20)</f>
        <v>-46.661590524534688</v>
      </c>
      <c r="G28" s="18">
        <f t="shared" ref="G28:O28" si="37">G27*0.2</f>
        <v>269.38093978355397</v>
      </c>
      <c r="H28" s="18">
        <f t="shared" si="37"/>
        <v>256.08637120340421</v>
      </c>
      <c r="I28" s="18">
        <f t="shared" si="37"/>
        <v>305.63574498641066</v>
      </c>
      <c r="J28" s="18">
        <f t="shared" si="37"/>
        <v>443.11799256337093</v>
      </c>
      <c r="K28" s="18">
        <f t="shared" si="37"/>
        <v>705.24157344021592</v>
      </c>
      <c r="L28" s="18">
        <f t="shared" si="37"/>
        <v>855.39375829630683</v>
      </c>
      <c r="M28" s="18">
        <f t="shared" si="37"/>
        <v>1012.8095337371901</v>
      </c>
      <c r="N28" s="18">
        <f t="shared" si="37"/>
        <v>1177.8898202007163</v>
      </c>
      <c r="O28" s="18">
        <f t="shared" si="37"/>
        <v>1351.0553550970235</v>
      </c>
      <c r="P28" s="18">
        <f>P27*0.2</f>
        <v>1532.74769665044</v>
      </c>
      <c r="Q28" s="18">
        <f t="shared" ref="Q28:U28" si="38">Q27*0.2</f>
        <v>1723.4302778082181</v>
      </c>
      <c r="R28" s="18">
        <f t="shared" si="38"/>
        <v>1923.5895127240829</v>
      </c>
      <c r="S28" s="18">
        <f t="shared" si="38"/>
        <v>2133.7359584499632</v>
      </c>
      <c r="T28" s="18">
        <f t="shared" si="38"/>
        <v>2354.4055346008304</v>
      </c>
      <c r="U28" s="18">
        <f t="shared" si="38"/>
        <v>2586.1608038958066</v>
      </c>
      <c r="V28" s="18"/>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row>
    <row r="29" spans="1:122" s="2" customFormat="1" x14ac:dyDescent="0.15">
      <c r="A29" s="2" t="s">
        <v>11</v>
      </c>
      <c r="B29" s="36">
        <f>B27-B28</f>
        <v>997.5</v>
      </c>
      <c r="C29" s="36">
        <f>C27-C28</f>
        <v>1186</v>
      </c>
      <c r="D29" s="36">
        <f>D27-D28</f>
        <v>1582.5901639344263</v>
      </c>
      <c r="E29" s="36">
        <f t="shared" ref="E29" si="39">E27-E28</f>
        <v>2422</v>
      </c>
      <c r="F29" s="36">
        <f t="shared" ref="F29:G29" si="40">F27-F28</f>
        <v>1483.6615905245346</v>
      </c>
      <c r="G29" s="36">
        <f t="shared" si="40"/>
        <v>1077.5237591342159</v>
      </c>
      <c r="H29" s="36">
        <f t="shared" ref="H29:O29" si="41">H27-H28</f>
        <v>1024.3454848136168</v>
      </c>
      <c r="I29" s="36">
        <f t="shared" si="41"/>
        <v>1222.5429799456426</v>
      </c>
      <c r="J29" s="36">
        <f t="shared" si="41"/>
        <v>1772.4719702534835</v>
      </c>
      <c r="K29" s="36">
        <f t="shared" si="41"/>
        <v>2820.9662937608637</v>
      </c>
      <c r="L29" s="36">
        <f t="shared" si="41"/>
        <v>3421.5750331852273</v>
      </c>
      <c r="M29" s="36">
        <f t="shared" si="41"/>
        <v>4051.23813494876</v>
      </c>
      <c r="N29" s="36">
        <f t="shared" si="41"/>
        <v>4711.559280802865</v>
      </c>
      <c r="O29" s="36">
        <f t="shared" si="41"/>
        <v>5404.2214203880931</v>
      </c>
      <c r="P29" s="36">
        <f>P27-P28</f>
        <v>6130.9907866017602</v>
      </c>
      <c r="Q29" s="36">
        <f t="shared" ref="Q29:U29" si="42">Q27-Q28</f>
        <v>6893.7211112328714</v>
      </c>
      <c r="R29" s="36">
        <f t="shared" si="42"/>
        <v>7694.3580508963305</v>
      </c>
      <c r="S29" s="36">
        <f t="shared" si="42"/>
        <v>8534.9438337998527</v>
      </c>
      <c r="T29" s="36">
        <f t="shared" si="42"/>
        <v>9417.6221384033215</v>
      </c>
      <c r="U29" s="36">
        <f t="shared" si="42"/>
        <v>10344.643215583226</v>
      </c>
      <c r="V29" s="36">
        <f t="shared" ref="V29:CC29" si="43">U29*($F$2+1)</f>
        <v>10137.750351271561</v>
      </c>
      <c r="W29" s="36">
        <f t="shared" si="43"/>
        <v>9934.9953442461301</v>
      </c>
      <c r="X29" s="36">
        <f t="shared" si="43"/>
        <v>9736.2954373612065</v>
      </c>
      <c r="Y29" s="36">
        <f t="shared" si="43"/>
        <v>9541.5695286139817</v>
      </c>
      <c r="Z29" s="36">
        <f t="shared" si="43"/>
        <v>9350.7381380417028</v>
      </c>
      <c r="AA29" s="36">
        <f t="shared" si="43"/>
        <v>9163.7233752808679</v>
      </c>
      <c r="AB29" s="36">
        <f t="shared" si="43"/>
        <v>8980.4489077752496</v>
      </c>
      <c r="AC29" s="36">
        <f t="shared" si="43"/>
        <v>8800.839929619744</v>
      </c>
      <c r="AD29" s="36">
        <f t="shared" si="43"/>
        <v>8624.8231310273495</v>
      </c>
      <c r="AE29" s="36">
        <f t="shared" si="43"/>
        <v>8452.3266684068021</v>
      </c>
      <c r="AF29" s="36">
        <f t="shared" si="43"/>
        <v>8283.2801350386653</v>
      </c>
      <c r="AG29" s="36">
        <f t="shared" si="43"/>
        <v>8117.6145323378914</v>
      </c>
      <c r="AH29" s="36">
        <f t="shared" si="43"/>
        <v>7955.2622416911336</v>
      </c>
      <c r="AI29" s="36">
        <f t="shared" si="43"/>
        <v>7796.1569968573103</v>
      </c>
      <c r="AJ29" s="36">
        <f t="shared" si="43"/>
        <v>7640.2338569201638</v>
      </c>
      <c r="AK29" s="36">
        <f t="shared" si="43"/>
        <v>7487.4291797817605</v>
      </c>
      <c r="AL29" s="36">
        <f t="shared" si="43"/>
        <v>7337.6805961861255</v>
      </c>
      <c r="AM29" s="36">
        <f t="shared" si="43"/>
        <v>7190.9269842624026</v>
      </c>
      <c r="AN29" s="36">
        <f t="shared" si="43"/>
        <v>7047.1084445771548</v>
      </c>
      <c r="AO29" s="36">
        <f t="shared" si="43"/>
        <v>6906.1662756856113</v>
      </c>
      <c r="AP29" s="36">
        <f t="shared" si="43"/>
        <v>6768.0429501718991</v>
      </c>
      <c r="AQ29" s="36">
        <f t="shared" si="43"/>
        <v>6632.6820911684608</v>
      </c>
      <c r="AR29" s="36">
        <f t="shared" si="43"/>
        <v>6500.0284493450918</v>
      </c>
      <c r="AS29" s="36">
        <f t="shared" si="43"/>
        <v>6370.0278803581896</v>
      </c>
      <c r="AT29" s="36">
        <f t="shared" si="43"/>
        <v>6242.6273227510255</v>
      </c>
      <c r="AU29" s="36">
        <f t="shared" si="43"/>
        <v>6117.7747762960053</v>
      </c>
      <c r="AV29" s="36">
        <f t="shared" si="43"/>
        <v>5995.4192807700847</v>
      </c>
      <c r="AW29" s="36">
        <f t="shared" si="43"/>
        <v>5875.5108951546827</v>
      </c>
      <c r="AX29" s="36">
        <f t="shared" si="43"/>
        <v>5758.000677251589</v>
      </c>
      <c r="AY29" s="36">
        <f t="shared" si="43"/>
        <v>5642.8406637065573</v>
      </c>
      <c r="AZ29" s="36">
        <f t="shared" si="43"/>
        <v>5529.9838504324262</v>
      </c>
      <c r="BA29" s="36">
        <f t="shared" si="43"/>
        <v>5419.3841734237776</v>
      </c>
      <c r="BB29" s="36">
        <f t="shared" si="43"/>
        <v>5310.9964899553015</v>
      </c>
      <c r="BC29" s="36">
        <f t="shared" si="43"/>
        <v>5204.776560156195</v>
      </c>
      <c r="BD29" s="36">
        <f t="shared" si="43"/>
        <v>5100.6810289530713</v>
      </c>
      <c r="BE29" s="36">
        <f t="shared" si="43"/>
        <v>4998.6674083740099</v>
      </c>
      <c r="BF29" s="36">
        <f t="shared" si="43"/>
        <v>4898.6940602065297</v>
      </c>
      <c r="BG29" s="36">
        <f t="shared" si="43"/>
        <v>4800.7201790023992</v>
      </c>
      <c r="BH29" s="36">
        <f t="shared" si="43"/>
        <v>4704.7057754223515</v>
      </c>
      <c r="BI29" s="36">
        <f t="shared" si="43"/>
        <v>4610.6116599139041</v>
      </c>
      <c r="BJ29" s="36">
        <f t="shared" si="43"/>
        <v>4518.3994267156259</v>
      </c>
      <c r="BK29" s="36">
        <f t="shared" si="43"/>
        <v>4428.0314381813132</v>
      </c>
      <c r="BL29" s="36">
        <f t="shared" si="43"/>
        <v>4339.4708094176867</v>
      </c>
      <c r="BM29" s="36">
        <f t="shared" si="43"/>
        <v>4252.6813932293326</v>
      </c>
      <c r="BN29" s="36">
        <f t="shared" si="43"/>
        <v>4167.6277653647458</v>
      </c>
      <c r="BO29" s="36">
        <f t="shared" si="43"/>
        <v>4084.2752100574507</v>
      </c>
      <c r="BP29" s="36">
        <f t="shared" si="43"/>
        <v>4002.5897058563019</v>
      </c>
      <c r="BQ29" s="36">
        <f t="shared" si="43"/>
        <v>3922.5379117391758</v>
      </c>
      <c r="BR29" s="36">
        <f t="shared" si="43"/>
        <v>3844.0871535043921</v>
      </c>
      <c r="BS29" s="36">
        <f t="shared" si="43"/>
        <v>3767.2054104343042</v>
      </c>
      <c r="BT29" s="36">
        <f t="shared" si="43"/>
        <v>3691.8613022256181</v>
      </c>
      <c r="BU29" s="36">
        <f t="shared" si="43"/>
        <v>3618.0240761811056</v>
      </c>
      <c r="BV29" s="36">
        <f t="shared" si="43"/>
        <v>3545.6635946574834</v>
      </c>
      <c r="BW29" s="36">
        <f t="shared" si="43"/>
        <v>3474.7503227643338</v>
      </c>
      <c r="BX29" s="36">
        <f t="shared" si="43"/>
        <v>3405.255316309047</v>
      </c>
      <c r="BY29" s="36">
        <f t="shared" si="43"/>
        <v>3337.1502099828658</v>
      </c>
      <c r="BZ29" s="36">
        <f t="shared" si="43"/>
        <v>3270.4072057832086</v>
      </c>
      <c r="CA29" s="36">
        <f t="shared" si="43"/>
        <v>3204.9990616675445</v>
      </c>
      <c r="CB29" s="36">
        <f t="shared" si="43"/>
        <v>3140.8990804341934</v>
      </c>
      <c r="CC29" s="36">
        <f t="shared" si="43"/>
        <v>3078.0810988255093</v>
      </c>
      <c r="CD29" s="36">
        <f t="shared" ref="CD29:DR29" si="44">CC29*($F$2+1)</f>
        <v>3016.5194768489991</v>
      </c>
      <c r="CE29" s="36">
        <f t="shared" si="44"/>
        <v>2956.1890873120192</v>
      </c>
      <c r="CF29" s="36">
        <f t="shared" si="44"/>
        <v>2897.0653055657785</v>
      </c>
      <c r="CG29" s="36">
        <f t="shared" si="44"/>
        <v>2839.123999454463</v>
      </c>
      <c r="CH29" s="36">
        <f t="shared" si="44"/>
        <v>2782.3415194653739</v>
      </c>
      <c r="CI29" s="36">
        <f t="shared" si="44"/>
        <v>2726.6946890760664</v>
      </c>
      <c r="CJ29" s="36">
        <f t="shared" si="44"/>
        <v>2672.1607952945451</v>
      </c>
      <c r="CK29" s="36">
        <f t="shared" si="44"/>
        <v>2618.717579388654</v>
      </c>
      <c r="CL29" s="36">
        <f t="shared" si="44"/>
        <v>2566.3432278008809</v>
      </c>
      <c r="CM29" s="36">
        <f t="shared" si="44"/>
        <v>2515.016363244863</v>
      </c>
      <c r="CN29" s="36">
        <f t="shared" si="44"/>
        <v>2464.7160359799659</v>
      </c>
      <c r="CO29" s="36">
        <f t="shared" si="44"/>
        <v>2415.4217152603665</v>
      </c>
      <c r="CP29" s="36">
        <f t="shared" si="44"/>
        <v>2367.1132809551591</v>
      </c>
      <c r="CQ29" s="36">
        <f t="shared" si="44"/>
        <v>2319.7710153360558</v>
      </c>
      <c r="CR29" s="36">
        <f t="shared" si="44"/>
        <v>2273.3755950293348</v>
      </c>
      <c r="CS29" s="36">
        <f t="shared" si="44"/>
        <v>2227.9080831287479</v>
      </c>
      <c r="CT29" s="36">
        <f t="shared" si="44"/>
        <v>2183.3499214661729</v>
      </c>
      <c r="CU29" s="36">
        <f t="shared" si="44"/>
        <v>2139.6829230368494</v>
      </c>
      <c r="CV29" s="36">
        <f t="shared" si="44"/>
        <v>2096.8892645761125</v>
      </c>
      <c r="CW29" s="36">
        <f t="shared" si="44"/>
        <v>2054.9514792845903</v>
      </c>
      <c r="CX29" s="36">
        <f t="shared" si="44"/>
        <v>2013.8524496988985</v>
      </c>
      <c r="CY29" s="36">
        <f t="shared" si="44"/>
        <v>1973.5754007049204</v>
      </c>
      <c r="CZ29" s="36">
        <f t="shared" si="44"/>
        <v>1934.103892690822</v>
      </c>
      <c r="DA29" s="36">
        <f t="shared" si="44"/>
        <v>1895.4218148370055</v>
      </c>
      <c r="DB29" s="36">
        <f t="shared" si="44"/>
        <v>1857.5133785402654</v>
      </c>
      <c r="DC29" s="36">
        <f t="shared" si="44"/>
        <v>1820.36311096946</v>
      </c>
      <c r="DD29" s="36">
        <f t="shared" si="44"/>
        <v>1783.9558487500708</v>
      </c>
      <c r="DE29" s="36">
        <f t="shared" si="44"/>
        <v>1748.2767317750693</v>
      </c>
      <c r="DF29" s="36">
        <f t="shared" si="44"/>
        <v>1713.3111971395679</v>
      </c>
      <c r="DG29" s="36">
        <f t="shared" si="44"/>
        <v>1679.0449731967765</v>
      </c>
      <c r="DH29" s="36">
        <f t="shared" si="44"/>
        <v>1645.4640737328409</v>
      </c>
      <c r="DI29" s="36">
        <f t="shared" si="44"/>
        <v>1612.5547922581841</v>
      </c>
      <c r="DJ29" s="36">
        <f t="shared" si="44"/>
        <v>1580.3036964130204</v>
      </c>
      <c r="DK29" s="36">
        <f t="shared" si="44"/>
        <v>1548.6976224847599</v>
      </c>
      <c r="DL29" s="36">
        <f t="shared" si="44"/>
        <v>1517.7236700350647</v>
      </c>
      <c r="DM29" s="36">
        <f t="shared" si="44"/>
        <v>1487.3691966343633</v>
      </c>
      <c r="DN29" s="36">
        <f t="shared" si="44"/>
        <v>1457.6218127016759</v>
      </c>
      <c r="DO29" s="36">
        <f t="shared" si="44"/>
        <v>1428.4693764476424</v>
      </c>
      <c r="DP29" s="36">
        <f t="shared" si="44"/>
        <v>1399.8999889186896</v>
      </c>
      <c r="DQ29" s="36">
        <f t="shared" si="44"/>
        <v>1371.9019891403157</v>
      </c>
      <c r="DR29" s="36">
        <f t="shared" si="44"/>
        <v>1344.4639493575094</v>
      </c>
    </row>
    <row r="30" spans="1:122" x14ac:dyDescent="0.15">
      <c r="A30" s="1" t="s">
        <v>12</v>
      </c>
      <c r="B30" s="42">
        <f>B29/B31</f>
        <v>2.3589479210515112</v>
      </c>
      <c r="C30" s="42">
        <f>C29/C31</f>
        <v>2.8474569760295023</v>
      </c>
      <c r="D30" s="42">
        <f>D29/D31</f>
        <v>3.9232941495661104</v>
      </c>
      <c r="E30" s="42">
        <f>E29/E31</f>
        <v>5.8158102633923319</v>
      </c>
      <c r="F30" s="42">
        <f>F29/F31</f>
        <v>3.4991440955562871</v>
      </c>
      <c r="G30" s="25">
        <f t="shared" ref="G30" si="45">G29/G31</f>
        <v>2.5412876653786749</v>
      </c>
      <c r="H30" s="25">
        <f t="shared" ref="H30:O30" si="46">H29/H31</f>
        <v>2.4158692776619652</v>
      </c>
      <c r="I30" s="25">
        <f t="shared" si="46"/>
        <v>2.8833084829864664</v>
      </c>
      <c r="J30" s="25">
        <f t="shared" si="46"/>
        <v>4.1802894061972644</v>
      </c>
      <c r="K30" s="25">
        <f t="shared" si="46"/>
        <v>6.6531125518231153</v>
      </c>
      <c r="L30" s="25">
        <f t="shared" si="46"/>
        <v>8.0696192119121317</v>
      </c>
      <c r="M30" s="25">
        <f t="shared" si="46"/>
        <v>9.5546491801992897</v>
      </c>
      <c r="N30" s="25">
        <f t="shared" si="46"/>
        <v>11.111984662524121</v>
      </c>
      <c r="O30" s="25">
        <f t="shared" si="46"/>
        <v>12.745594814208475</v>
      </c>
      <c r="P30" s="25">
        <f>P29/P31</f>
        <v>14.459645210106814</v>
      </c>
      <c r="Q30" s="25">
        <f t="shared" ref="Q30:U30" si="47">Q29/Q31</f>
        <v>16.258507786977269</v>
      </c>
      <c r="R30" s="25">
        <f t="shared" si="47"/>
        <v>18.146771281833391</v>
      </c>
      <c r="S30" s="25">
        <f t="shared" si="47"/>
        <v>20.129252191119139</v>
      </c>
      <c r="T30" s="25">
        <f t="shared" si="47"/>
        <v>22.211006276791</v>
      </c>
      <c r="U30" s="25">
        <f t="shared" si="47"/>
        <v>24.397340646695046</v>
      </c>
      <c r="V30" s="2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row>
    <row r="31" spans="1:122" x14ac:dyDescent="0.15">
      <c r="A31" s="1" t="s">
        <v>13</v>
      </c>
      <c r="B31" s="18">
        <f>Reports!E24</f>
        <v>422.858</v>
      </c>
      <c r="C31" s="18">
        <f>Reports!I24</f>
        <v>416.512</v>
      </c>
      <c r="D31" s="18">
        <f>Reports!M24</f>
        <v>403.38299999999998</v>
      </c>
      <c r="E31" s="18">
        <f>Reports!Q24</f>
        <v>416.45100000000002</v>
      </c>
      <c r="F31" s="18">
        <f>Reports!U24</f>
        <v>424.00700000000001</v>
      </c>
      <c r="G31" s="18">
        <f t="shared" ref="G31" si="48">F31</f>
        <v>424.00700000000001</v>
      </c>
      <c r="H31" s="18">
        <f t="shared" ref="H31" si="49">G31</f>
        <v>424.00700000000001</v>
      </c>
      <c r="I31" s="18">
        <f t="shared" ref="I31" si="50">H31</f>
        <v>424.00700000000001</v>
      </c>
      <c r="J31" s="18">
        <f t="shared" ref="J31" si="51">I31</f>
        <v>424.00700000000001</v>
      </c>
      <c r="K31" s="18">
        <f t="shared" ref="K31" si="52">J31</f>
        <v>424.00700000000001</v>
      </c>
      <c r="L31" s="18">
        <f t="shared" ref="L31" si="53">K31</f>
        <v>424.00700000000001</v>
      </c>
      <c r="M31" s="18">
        <f t="shared" ref="M31" si="54">L31</f>
        <v>424.00700000000001</v>
      </c>
      <c r="N31" s="18">
        <f t="shared" ref="N31" si="55">M31</f>
        <v>424.00700000000001</v>
      </c>
      <c r="O31" s="18">
        <f t="shared" ref="O31" si="56">N31</f>
        <v>424.00700000000001</v>
      </c>
      <c r="P31" s="18">
        <f>O31</f>
        <v>424.00700000000001</v>
      </c>
      <c r="Q31" s="18">
        <f t="shared" ref="Q31:U31" si="57">P31</f>
        <v>424.00700000000001</v>
      </c>
      <c r="R31" s="18">
        <f t="shared" si="57"/>
        <v>424.00700000000001</v>
      </c>
      <c r="S31" s="18">
        <f t="shared" si="57"/>
        <v>424.00700000000001</v>
      </c>
      <c r="T31" s="18">
        <f t="shared" si="57"/>
        <v>424.00700000000001</v>
      </c>
      <c r="U31" s="18">
        <f t="shared" si="57"/>
        <v>424.00700000000001</v>
      </c>
      <c r="V31" s="18"/>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row>
    <row r="32" spans="1:122" x14ac:dyDescent="0.15">
      <c r="B32" s="20"/>
      <c r="C32" s="20"/>
      <c r="D32" s="20"/>
      <c r="E32" s="20"/>
      <c r="F32" s="20"/>
      <c r="G32" s="20"/>
      <c r="H32" s="20"/>
      <c r="I32" s="20"/>
      <c r="J32" s="20"/>
      <c r="K32" s="20"/>
      <c r="L32" s="20"/>
      <c r="M32" s="20"/>
      <c r="N32" s="20"/>
      <c r="O32" s="20"/>
      <c r="P32" s="20"/>
      <c r="Q32" s="20"/>
      <c r="R32" s="20"/>
      <c r="S32" s="20"/>
      <c r="T32" s="20"/>
      <c r="U32" s="20"/>
      <c r="V32" s="20"/>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row>
    <row r="33" spans="1:122" x14ac:dyDescent="0.15">
      <c r="A33" s="2" t="s">
        <v>14</v>
      </c>
      <c r="B33" s="53"/>
      <c r="C33" s="54">
        <f>C18/B18-1</f>
        <v>7.9123554473524038E-2</v>
      </c>
      <c r="D33" s="54">
        <f>D18/C18-1</f>
        <v>0.12013536379018608</v>
      </c>
      <c r="E33" s="54">
        <f t="shared" ref="E33:O33" si="58">E18/D18-1</f>
        <v>0.12953172205438057</v>
      </c>
      <c r="F33" s="54">
        <f t="shared" si="58"/>
        <v>0.20483673241948064</v>
      </c>
      <c r="G33" s="54">
        <f t="shared" si="58"/>
        <v>8.1070206271390388E-2</v>
      </c>
      <c r="H33" s="54">
        <f t="shared" si="58"/>
        <v>8.0007401101181319E-2</v>
      </c>
      <c r="I33" s="54">
        <f t="shared" si="58"/>
        <v>0.1141434672479551</v>
      </c>
      <c r="J33" s="54">
        <f t="shared" si="58"/>
        <v>0.14986085336920585</v>
      </c>
      <c r="K33" s="54">
        <f t="shared" si="58"/>
        <v>0.18582186062085504</v>
      </c>
      <c r="L33" s="54">
        <f t="shared" si="58"/>
        <v>5.0000000000000044E-2</v>
      </c>
      <c r="M33" s="54">
        <f t="shared" si="58"/>
        <v>5.0000000000000044E-2</v>
      </c>
      <c r="N33" s="54">
        <f t="shared" si="58"/>
        <v>5.0000000000000044E-2</v>
      </c>
      <c r="O33" s="54">
        <f t="shared" si="58"/>
        <v>5.0000000000000044E-2</v>
      </c>
      <c r="P33" s="54">
        <f>P18/O18-1</f>
        <v>5.0000000000000044E-2</v>
      </c>
      <c r="Q33" s="54">
        <f t="shared" ref="Q33:U33" si="59">Q18/P18-1</f>
        <v>5.0000000000000044E-2</v>
      </c>
      <c r="R33" s="54">
        <f t="shared" si="59"/>
        <v>5.0000000000000044E-2</v>
      </c>
      <c r="S33" s="54">
        <f t="shared" si="59"/>
        <v>5.0000000000000044E-2</v>
      </c>
      <c r="T33" s="54">
        <f t="shared" si="59"/>
        <v>5.0000000000000044E-2</v>
      </c>
      <c r="U33" s="54">
        <f t="shared" si="59"/>
        <v>5.0000000000000044E-2</v>
      </c>
      <c r="V33" s="54"/>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row>
    <row r="34" spans="1:122" x14ac:dyDescent="0.15">
      <c r="A34" s="1" t="s">
        <v>38</v>
      </c>
      <c r="B34" s="53"/>
      <c r="C34" s="33">
        <f>C21/B21-1</f>
        <v>0.15615384615384609</v>
      </c>
      <c r="D34" s="33">
        <f>D21/C21-1</f>
        <v>0.16766467065868262</v>
      </c>
      <c r="E34" s="33">
        <f t="shared" ref="E34:O34" si="60">E21/D21-1</f>
        <v>0.12535612535612528</v>
      </c>
      <c r="F34" s="33">
        <f t="shared" si="60"/>
        <v>0.27696202531645575</v>
      </c>
      <c r="G34" s="33">
        <f t="shared" si="60"/>
        <v>0.14999999999999991</v>
      </c>
      <c r="H34" s="33">
        <f t="shared" si="60"/>
        <v>0.14999999999999991</v>
      </c>
      <c r="I34" s="33">
        <f t="shared" si="60"/>
        <v>0.14999999999999991</v>
      </c>
      <c r="J34" s="33">
        <f t="shared" si="60"/>
        <v>0.14999999999999991</v>
      </c>
      <c r="K34" s="33">
        <f t="shared" si="60"/>
        <v>0.14999999999999991</v>
      </c>
      <c r="L34" s="33">
        <f t="shared" si="60"/>
        <v>5.0000000000000044E-2</v>
      </c>
      <c r="M34" s="33">
        <f t="shared" si="60"/>
        <v>5.0000000000000044E-2</v>
      </c>
      <c r="N34" s="33">
        <f t="shared" si="60"/>
        <v>5.0000000000000044E-2</v>
      </c>
      <c r="O34" s="33">
        <f t="shared" si="60"/>
        <v>5.0000000000000044E-2</v>
      </c>
      <c r="P34" s="33">
        <f>P21/O21-1</f>
        <v>5.0000000000000044E-2</v>
      </c>
      <c r="Q34" s="33">
        <f t="shared" ref="Q34:U34" si="61">Q21/P21-1</f>
        <v>5.0000000000000044E-2</v>
      </c>
      <c r="R34" s="33">
        <f t="shared" si="61"/>
        <v>5.0000000000000044E-2</v>
      </c>
      <c r="S34" s="33">
        <f t="shared" si="61"/>
        <v>5.0000000000000044E-2</v>
      </c>
      <c r="T34" s="33">
        <f t="shared" si="61"/>
        <v>5.0000000000000044E-2</v>
      </c>
      <c r="U34" s="33">
        <f t="shared" si="61"/>
        <v>5.0000000000000044E-2</v>
      </c>
      <c r="V34" s="33"/>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row>
    <row r="35" spans="1:122" x14ac:dyDescent="0.15">
      <c r="A35" s="1" t="s">
        <v>39</v>
      </c>
      <c r="B35" s="53"/>
      <c r="C35" s="33">
        <f t="shared" ref="C35:D36" si="62">C22/B22-1</f>
        <v>3.7902159541648217E-2</v>
      </c>
      <c r="D35" s="33">
        <f t="shared" si="62"/>
        <v>8.0679405520169833E-2</v>
      </c>
      <c r="E35" s="33">
        <f t="shared" ref="E35:O35" si="63">E22/D22-1</f>
        <v>0.14577603143418472</v>
      </c>
      <c r="F35" s="33">
        <f t="shared" si="63"/>
        <v>0.26097393689986292</v>
      </c>
      <c r="G35" s="33">
        <f t="shared" si="63"/>
        <v>0.10000000000000009</v>
      </c>
      <c r="H35" s="33">
        <f t="shared" si="63"/>
        <v>0.10000000000000009</v>
      </c>
      <c r="I35" s="33">
        <f t="shared" si="63"/>
        <v>0.10000000000000009</v>
      </c>
      <c r="J35" s="33">
        <f t="shared" si="63"/>
        <v>0.10000000000000009</v>
      </c>
      <c r="K35" s="33">
        <f t="shared" si="63"/>
        <v>0.10000000000000009</v>
      </c>
      <c r="L35" s="33">
        <f t="shared" si="63"/>
        <v>-2.0000000000000018E-2</v>
      </c>
      <c r="M35" s="33">
        <f t="shared" si="63"/>
        <v>-2.0000000000000018E-2</v>
      </c>
      <c r="N35" s="33">
        <f t="shared" si="63"/>
        <v>-2.0000000000000018E-2</v>
      </c>
      <c r="O35" s="33">
        <f t="shared" si="63"/>
        <v>-2.0000000000000018E-2</v>
      </c>
      <c r="P35" s="33">
        <f>P22/O22-1</f>
        <v>-2.0000000000000018E-2</v>
      </c>
      <c r="Q35" s="33">
        <f t="shared" ref="Q35:U35" si="64">Q22/P22-1</f>
        <v>-1.9999999999999907E-2</v>
      </c>
      <c r="R35" s="33">
        <f t="shared" si="64"/>
        <v>-1.9999999999999907E-2</v>
      </c>
      <c r="S35" s="33">
        <f t="shared" si="64"/>
        <v>-2.0000000000000018E-2</v>
      </c>
      <c r="T35" s="33">
        <f t="shared" si="64"/>
        <v>-2.0000000000000018E-2</v>
      </c>
      <c r="U35" s="33">
        <f t="shared" si="64"/>
        <v>-2.0000000000000018E-2</v>
      </c>
      <c r="V35" s="33"/>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row>
    <row r="36" spans="1:122" x14ac:dyDescent="0.15">
      <c r="A36" s="1" t="s">
        <v>40</v>
      </c>
      <c r="B36" s="53"/>
      <c r="C36" s="33">
        <f t="shared" si="62"/>
        <v>-5.9569074778200282E-2</v>
      </c>
      <c r="D36" s="33">
        <f t="shared" si="62"/>
        <v>2.2911051212938016E-2</v>
      </c>
      <c r="E36" s="33">
        <f t="shared" ref="E36:O36" si="65">E23/D23-1</f>
        <v>1.8445322793148922E-2</v>
      </c>
      <c r="F36" s="33">
        <f t="shared" si="65"/>
        <v>0.77490297542043995</v>
      </c>
      <c r="G36" s="33">
        <f t="shared" si="65"/>
        <v>2.0000000000000018E-2</v>
      </c>
      <c r="H36" s="33">
        <f t="shared" si="65"/>
        <v>2.0000000000000018E-2</v>
      </c>
      <c r="I36" s="33">
        <f t="shared" si="65"/>
        <v>2.0000000000000018E-2</v>
      </c>
      <c r="J36" s="33">
        <f t="shared" si="65"/>
        <v>2.0000000000000018E-2</v>
      </c>
      <c r="K36" s="33">
        <f t="shared" si="65"/>
        <v>2.0000000000000018E-2</v>
      </c>
      <c r="L36" s="33">
        <f t="shared" si="65"/>
        <v>-2.0000000000000018E-2</v>
      </c>
      <c r="M36" s="33">
        <f t="shared" si="65"/>
        <v>-1.9999999999999907E-2</v>
      </c>
      <c r="N36" s="33">
        <f t="shared" si="65"/>
        <v>-2.0000000000000018E-2</v>
      </c>
      <c r="O36" s="33">
        <f t="shared" si="65"/>
        <v>-2.0000000000000129E-2</v>
      </c>
      <c r="P36" s="33">
        <f>P23/O23-1</f>
        <v>-2.0000000000000018E-2</v>
      </c>
      <c r="Q36" s="33">
        <f t="shared" ref="Q36:U36" si="66">Q23/P23-1</f>
        <v>-2.0000000000000018E-2</v>
      </c>
      <c r="R36" s="33">
        <f t="shared" si="66"/>
        <v>-2.0000000000000018E-2</v>
      </c>
      <c r="S36" s="33">
        <f t="shared" si="66"/>
        <v>-2.0000000000000018E-2</v>
      </c>
      <c r="T36" s="33">
        <f t="shared" si="66"/>
        <v>-2.0000000000000018E-2</v>
      </c>
      <c r="U36" s="33">
        <f t="shared" si="66"/>
        <v>-2.0000000000000129E-2</v>
      </c>
      <c r="V36" s="33"/>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row>
    <row r="37" spans="1:122" x14ac:dyDescent="0.15">
      <c r="B37" s="20"/>
      <c r="C37" s="20"/>
      <c r="D37" s="20"/>
      <c r="E37" s="20"/>
      <c r="F37" s="20"/>
      <c r="G37" s="20"/>
      <c r="H37" s="20"/>
      <c r="I37" s="20"/>
      <c r="J37" s="20"/>
      <c r="K37" s="20"/>
      <c r="L37" s="20"/>
      <c r="M37" s="20"/>
      <c r="N37" s="20"/>
      <c r="O37" s="20"/>
      <c r="P37" s="20"/>
      <c r="Q37" s="20"/>
      <c r="R37" s="20"/>
      <c r="S37" s="20"/>
      <c r="T37" s="20"/>
      <c r="U37" s="20"/>
      <c r="V37" s="20"/>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row>
    <row r="38" spans="1:122" x14ac:dyDescent="0.15">
      <c r="A38" s="1" t="s">
        <v>15</v>
      </c>
      <c r="B38" s="30">
        <f>IFERROR(B20/B18,0)</f>
        <v>0.84525258673158854</v>
      </c>
      <c r="C38" s="30">
        <f>IFERROR(C20/C18,0)</f>
        <v>0.85152284263959388</v>
      </c>
      <c r="D38" s="30">
        <f>IFERROR(D20/D18,0)</f>
        <v>0.8563695871097684</v>
      </c>
      <c r="E38" s="30">
        <f>IFERROR(E20/E18,0)</f>
        <v>0.85969018165607936</v>
      </c>
      <c r="F38" s="30">
        <f>IFERROR(F20/F18,0)</f>
        <v>0.83359541208028864</v>
      </c>
      <c r="G38" s="30">
        <f t="shared" ref="G38:O38" si="67">IFERROR(G20/G18,0)</f>
        <v>0.83359541208028864</v>
      </c>
      <c r="H38" s="30">
        <f t="shared" si="67"/>
        <v>0.83359541208028876</v>
      </c>
      <c r="I38" s="30">
        <f t="shared" si="67"/>
        <v>0.83359541208028876</v>
      </c>
      <c r="J38" s="30">
        <f t="shared" si="67"/>
        <v>0.83359541208028876</v>
      </c>
      <c r="K38" s="30">
        <f t="shared" si="67"/>
        <v>0.83359541208028876</v>
      </c>
      <c r="L38" s="30">
        <f t="shared" si="67"/>
        <v>0.83359541208028876</v>
      </c>
      <c r="M38" s="30">
        <f t="shared" si="67"/>
        <v>0.83359541208028876</v>
      </c>
      <c r="N38" s="30">
        <f t="shared" si="67"/>
        <v>0.83359541208028876</v>
      </c>
      <c r="O38" s="30">
        <f t="shared" si="67"/>
        <v>0.83359541208028864</v>
      </c>
      <c r="P38" s="30">
        <f>IFERROR(P20/P18,0)</f>
        <v>0.83359541208028853</v>
      </c>
      <c r="Q38" s="30">
        <f t="shared" ref="Q38:U38" si="68">IFERROR(Q20/Q18,0)</f>
        <v>0.83359541208028853</v>
      </c>
      <c r="R38" s="30">
        <f t="shared" si="68"/>
        <v>0.83359541208028853</v>
      </c>
      <c r="S38" s="30">
        <f t="shared" si="68"/>
        <v>0.83359541208028853</v>
      </c>
      <c r="T38" s="30">
        <f t="shared" si="68"/>
        <v>0.83359541208028853</v>
      </c>
      <c r="U38" s="30">
        <f t="shared" si="68"/>
        <v>0.83359541208028853</v>
      </c>
      <c r="V38" s="30"/>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row>
    <row r="39" spans="1:122" x14ac:dyDescent="0.15">
      <c r="A39" s="1" t="s">
        <v>16</v>
      </c>
      <c r="B39" s="33">
        <f>IFERROR(B25/B18,0)</f>
        <v>0.18213633597078516</v>
      </c>
      <c r="C39" s="33">
        <f>IFERROR(C25/C18,0)</f>
        <v>0.20290468133107728</v>
      </c>
      <c r="D39" s="33">
        <f>IFERROR(D25/D18,0)</f>
        <v>0.21953675730110775</v>
      </c>
      <c r="E39" s="33">
        <f>IFERROR(E25/E18,0)</f>
        <v>0.22846316727961663</v>
      </c>
      <c r="F39" s="33">
        <f t="shared" ref="F39:O39" si="69">IFERROR(F25/F18,0)</f>
        <v>0.13329016742207012</v>
      </c>
      <c r="G39" s="33">
        <f t="shared" si="69"/>
        <v>0.11962957693233081</v>
      </c>
      <c r="H39" s="33">
        <f t="shared" si="69"/>
        <v>0.10379386076719048</v>
      </c>
      <c r="I39" s="33">
        <f t="shared" si="69"/>
        <v>0.10932000416317977</v>
      </c>
      <c r="J39" s="33">
        <f t="shared" si="69"/>
        <v>0.13606962127186178</v>
      </c>
      <c r="K39" s="33">
        <f t="shared" si="69"/>
        <v>0.18124611558520512</v>
      </c>
      <c r="L39" s="33">
        <f t="shared" si="69"/>
        <v>0.20710045129456445</v>
      </c>
      <c r="M39" s="33">
        <f t="shared" si="69"/>
        <v>0.23123116462329973</v>
      </c>
      <c r="N39" s="33">
        <f t="shared" si="69"/>
        <v>0.25375316373011936</v>
      </c>
      <c r="O39" s="33">
        <f t="shared" si="69"/>
        <v>0.27477369622981762</v>
      </c>
      <c r="P39" s="33">
        <f>IFERROR(P25/P18,0)</f>
        <v>0.29439285989620245</v>
      </c>
      <c r="Q39" s="33">
        <f t="shared" ref="Q39:U39" si="70">IFERROR(Q25/Q18,0)</f>
        <v>0.31270407931816191</v>
      </c>
      <c r="R39" s="33">
        <f t="shared" si="70"/>
        <v>0.32979455077865727</v>
      </c>
      <c r="S39" s="33">
        <f t="shared" si="70"/>
        <v>0.34574565747511976</v>
      </c>
      <c r="T39" s="33">
        <f t="shared" si="70"/>
        <v>0.36063335705848482</v>
      </c>
      <c r="U39" s="33">
        <f t="shared" si="70"/>
        <v>0.37452854333629199</v>
      </c>
      <c r="V39" s="33"/>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row>
    <row r="40" spans="1:122" x14ac:dyDescent="0.15">
      <c r="A40" s="1" t="s">
        <v>17</v>
      </c>
      <c r="B40" s="33">
        <f>IFERROR(B28/B27,0)</f>
        <v>0.17765869744435284</v>
      </c>
      <c r="C40" s="33">
        <f>IFERROR(C28/C27,0)</f>
        <v>0.19484046164290564</v>
      </c>
      <c r="D40" s="33">
        <f>IFERROR(D28/D27,0)</f>
        <v>0.14731133408705482</v>
      </c>
      <c r="E40" s="33">
        <f t="shared" ref="E40:O40" si="71">IFERROR(E28/E27,0)</f>
        <v>0.15990287894554284</v>
      </c>
      <c r="F40" s="33">
        <f t="shared" si="71"/>
        <v>-3.2471531332313633E-2</v>
      </c>
      <c r="G40" s="33">
        <f t="shared" si="71"/>
        <v>0.2</v>
      </c>
      <c r="H40" s="33">
        <f t="shared" si="71"/>
        <v>0.19999999999999998</v>
      </c>
      <c r="I40" s="33">
        <f t="shared" si="71"/>
        <v>0.2</v>
      </c>
      <c r="J40" s="33">
        <f t="shared" si="71"/>
        <v>0.2</v>
      </c>
      <c r="K40" s="33">
        <f t="shared" si="71"/>
        <v>0.2</v>
      </c>
      <c r="L40" s="33">
        <f t="shared" si="71"/>
        <v>0.2</v>
      </c>
      <c r="M40" s="33">
        <f t="shared" si="71"/>
        <v>0.2</v>
      </c>
      <c r="N40" s="33">
        <f t="shared" si="71"/>
        <v>0.2</v>
      </c>
      <c r="O40" s="33">
        <f t="shared" si="71"/>
        <v>0.20000000000000004</v>
      </c>
      <c r="P40" s="33">
        <f>IFERROR(P28/P27,0)</f>
        <v>0.2</v>
      </c>
      <c r="Q40" s="33">
        <f t="shared" ref="Q40:U40" si="72">IFERROR(Q28/Q27,0)</f>
        <v>0.2</v>
      </c>
      <c r="R40" s="33">
        <f t="shared" si="72"/>
        <v>0.2</v>
      </c>
      <c r="S40" s="33">
        <f t="shared" si="72"/>
        <v>0.2</v>
      </c>
      <c r="T40" s="33">
        <f t="shared" si="72"/>
        <v>0.2</v>
      </c>
      <c r="U40" s="33">
        <f t="shared" si="72"/>
        <v>0.2</v>
      </c>
      <c r="V40" s="33"/>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row>
    <row r="41" spans="1:122" x14ac:dyDescent="0.15">
      <c r="B41" s="20"/>
      <c r="C41" s="20"/>
      <c r="D41" s="20"/>
      <c r="E41" s="20"/>
      <c r="F41" s="20"/>
      <c r="G41" s="20"/>
      <c r="H41" s="20"/>
      <c r="I41" s="20"/>
      <c r="J41" s="20"/>
      <c r="K41" s="20"/>
      <c r="L41" s="20"/>
      <c r="M41" s="20"/>
      <c r="N41" s="20"/>
      <c r="O41" s="20"/>
      <c r="P41" s="20"/>
      <c r="Q41" s="20"/>
      <c r="R41" s="20"/>
      <c r="S41" s="20"/>
      <c r="T41" s="20"/>
      <c r="U41" s="20"/>
      <c r="V41" s="20"/>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row>
    <row r="42" spans="1:122" x14ac:dyDescent="0.15">
      <c r="A42" s="2" t="s">
        <v>22</v>
      </c>
      <c r="B42" s="36">
        <f>B43-B44</f>
        <v>7509</v>
      </c>
      <c r="C42" s="36">
        <f>C43-C44</f>
        <v>7985</v>
      </c>
      <c r="D42" s="36">
        <f>D43-D44</f>
        <v>7419</v>
      </c>
      <c r="E42" s="36">
        <f>E43-E44</f>
        <v>-1393</v>
      </c>
      <c r="F42" s="36">
        <f>F43-F44</f>
        <v>-2563</v>
      </c>
      <c r="G42" s="21">
        <f>F42+G29</f>
        <v>-1485.4762408657841</v>
      </c>
      <c r="H42" s="21">
        <f t="shared" ref="H42:O42" si="73">G42+H29</f>
        <v>-461.13075605216727</v>
      </c>
      <c r="I42" s="21">
        <f t="shared" si="73"/>
        <v>761.41222389347536</v>
      </c>
      <c r="J42" s="21">
        <f t="shared" si="73"/>
        <v>2533.8841941469591</v>
      </c>
      <c r="K42" s="21">
        <f t="shared" si="73"/>
        <v>5354.8504879078228</v>
      </c>
      <c r="L42" s="21">
        <f t="shared" si="73"/>
        <v>8776.4255210930496</v>
      </c>
      <c r="M42" s="21">
        <f t="shared" si="73"/>
        <v>12827.66365604181</v>
      </c>
      <c r="N42" s="21">
        <f t="shared" si="73"/>
        <v>17539.222936844675</v>
      </c>
      <c r="O42" s="21">
        <f t="shared" si="73"/>
        <v>22943.444357232769</v>
      </c>
      <c r="P42" s="21">
        <f>O42+P29</f>
        <v>29074.435143834529</v>
      </c>
      <c r="Q42" s="21">
        <f t="shared" ref="Q42:U42" si="74">P42+Q29</f>
        <v>35968.156255067399</v>
      </c>
      <c r="R42" s="21">
        <f t="shared" si="74"/>
        <v>43662.514305963727</v>
      </c>
      <c r="S42" s="21">
        <f t="shared" si="74"/>
        <v>52197.458139763577</v>
      </c>
      <c r="T42" s="21">
        <f t="shared" si="74"/>
        <v>61615.080278166897</v>
      </c>
      <c r="U42" s="21">
        <f t="shared" si="74"/>
        <v>71959.72349375012</v>
      </c>
      <c r="V42" s="21"/>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row>
    <row r="43" spans="1:122" x14ac:dyDescent="0.15">
      <c r="A43" s="1" t="s">
        <v>23</v>
      </c>
      <c r="B43" s="16">
        <f>Reports!E36</f>
        <v>7509</v>
      </c>
      <c r="C43" s="16">
        <f>Reports!I36</f>
        <v>7985</v>
      </c>
      <c r="D43" s="16">
        <f>Reports!M36</f>
        <v>11653</v>
      </c>
      <c r="E43" s="16">
        <f>Reports!Q36</f>
        <v>2849</v>
      </c>
      <c r="F43" s="16">
        <f>Reports!U36</f>
        <v>2915</v>
      </c>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row>
    <row r="44" spans="1:122" x14ac:dyDescent="0.15">
      <c r="A44" s="1" t="s">
        <v>24</v>
      </c>
      <c r="B44" s="16">
        <f>Reports!E37</f>
        <v>0</v>
      </c>
      <c r="C44" s="16">
        <f>Reports!I37</f>
        <v>0</v>
      </c>
      <c r="D44" s="16">
        <f>Reports!M37</f>
        <v>4234</v>
      </c>
      <c r="E44" s="16">
        <f>Reports!Q37</f>
        <v>4242</v>
      </c>
      <c r="F44" s="16">
        <f>Reports!U37</f>
        <v>5478</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row>
    <row r="45" spans="1:122" x14ac:dyDescent="0.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row>
    <row r="46" spans="1:122" x14ac:dyDescent="0.15">
      <c r="A46" s="1" t="s">
        <v>55</v>
      </c>
      <c r="B46" s="15"/>
      <c r="C46" s="15"/>
      <c r="D46" s="16">
        <f>Reports!M39</f>
        <v>5145</v>
      </c>
      <c r="E46" s="16">
        <f>Reports!Q39</f>
        <v>5922</v>
      </c>
      <c r="F46" s="16">
        <f>Reports!U39</f>
        <v>10501</v>
      </c>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row>
    <row r="47" spans="1:122" x14ac:dyDescent="0.15">
      <c r="A47" s="1" t="s">
        <v>56</v>
      </c>
      <c r="B47" s="15"/>
      <c r="C47" s="15"/>
      <c r="D47" s="16">
        <f>Reports!M40</f>
        <v>21206</v>
      </c>
      <c r="E47" s="16">
        <f>Reports!Q40</f>
        <v>14662</v>
      </c>
      <c r="F47" s="16">
        <f>Reports!U40</f>
        <v>26294</v>
      </c>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row>
    <row r="48" spans="1:122" x14ac:dyDescent="0.15">
      <c r="A48" s="1" t="s">
        <v>57</v>
      </c>
      <c r="B48" s="15"/>
      <c r="C48" s="15"/>
      <c r="D48" s="16">
        <f>Reports!M41</f>
        <v>12582</v>
      </c>
      <c r="E48" s="16">
        <f>Reports!Q41</f>
        <v>14111</v>
      </c>
      <c r="F48" s="16">
        <f>Reports!U41</f>
        <v>19285</v>
      </c>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row>
    <row r="49" spans="1:122" x14ac:dyDescent="0.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row>
    <row r="50" spans="1:122" x14ac:dyDescent="0.15">
      <c r="A50" s="1" t="s">
        <v>58</v>
      </c>
      <c r="B50" s="15"/>
      <c r="C50" s="15"/>
      <c r="D50" s="41">
        <f>D47-D46-D43</f>
        <v>4408</v>
      </c>
      <c r="E50" s="41">
        <f>E47-E46-E43</f>
        <v>5891</v>
      </c>
      <c r="F50" s="41">
        <f>F47-F46-F43</f>
        <v>12878</v>
      </c>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row>
    <row r="51" spans="1:122" x14ac:dyDescent="0.15">
      <c r="A51" s="1" t="s">
        <v>59</v>
      </c>
      <c r="B51" s="15"/>
      <c r="C51" s="15"/>
      <c r="D51" s="41">
        <f>D47-D48</f>
        <v>8624</v>
      </c>
      <c r="E51" s="41">
        <f>E47-E48</f>
        <v>551</v>
      </c>
      <c r="F51" s="41">
        <f>F47-F48</f>
        <v>7009</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row>
    <row r="52" spans="1:122" x14ac:dyDescent="0.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row>
    <row r="53" spans="1:122" x14ac:dyDescent="0.15">
      <c r="A53" s="13" t="s">
        <v>60</v>
      </c>
      <c r="B53" s="15"/>
      <c r="C53" s="15"/>
      <c r="D53" s="32">
        <f>D29/D51</f>
        <v>0.18350999117978042</v>
      </c>
      <c r="E53" s="32">
        <f>E29/E51</f>
        <v>4.3956442831215972</v>
      </c>
      <c r="F53" s="32">
        <f>F29/F51</f>
        <v>0.21167949643665782</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row>
    <row r="54" spans="1:122" x14ac:dyDescent="0.15">
      <c r="A54" s="13" t="s">
        <v>61</v>
      </c>
      <c r="B54" s="15"/>
      <c r="C54" s="15"/>
      <c r="D54" s="32">
        <f>D29/D47</f>
        <v>7.4629357914478278E-2</v>
      </c>
      <c r="E54" s="32">
        <f>E29/E47</f>
        <v>0.16518892374846542</v>
      </c>
      <c r="F54" s="32">
        <f>F29/F47</f>
        <v>5.6425861052884101E-2</v>
      </c>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row>
    <row r="55" spans="1:122" x14ac:dyDescent="0.15">
      <c r="A55" s="13" t="s">
        <v>62</v>
      </c>
      <c r="B55" s="15"/>
      <c r="C55" s="15"/>
      <c r="D55" s="32">
        <f>D29/(D51-D46)</f>
        <v>0.45489800630480781</v>
      </c>
      <c r="E55" s="32">
        <f>E29/(E51-E46)</f>
        <v>-0.45094023459318561</v>
      </c>
      <c r="F55" s="32">
        <f>F29/(F51-F46)</f>
        <v>-0.42487445318572009</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row>
    <row r="56" spans="1:122" x14ac:dyDescent="0.15">
      <c r="A56" s="13" t="s">
        <v>63</v>
      </c>
      <c r="B56" s="15"/>
      <c r="C56" s="15"/>
      <c r="D56" s="32">
        <f>D29/D50</f>
        <v>0.35902680670018744</v>
      </c>
      <c r="E56" s="32">
        <f>E29/E50</f>
        <v>0.41113563062298419</v>
      </c>
      <c r="F56" s="32">
        <f>F29/F50</f>
        <v>0.11520900687409028</v>
      </c>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row>
    <row r="57" spans="1:122" x14ac:dyDescent="0.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row>
    <row r="58" spans="1:122" x14ac:dyDescent="0.15">
      <c r="A58" s="1" t="s">
        <v>66</v>
      </c>
      <c r="B58" s="15"/>
      <c r="C58" s="15"/>
      <c r="D58" s="32">
        <f>D11/C11-1</f>
        <v>0.16320687186828908</v>
      </c>
      <c r="E58" s="32">
        <f>E11/D11-1</f>
        <v>0.16584615384615375</v>
      </c>
      <c r="F58" s="32">
        <f>F11/E11-1</f>
        <v>-0.16046450250725786</v>
      </c>
      <c r="G58" s="32">
        <f t="shared" ref="G58:G60" si="75">G11/F11-1</f>
        <v>-8.9311537252436346E-2</v>
      </c>
      <c r="H58" s="32">
        <f t="shared" ref="H58" si="76">H11/G11-1</f>
        <v>-0.14999999999999991</v>
      </c>
      <c r="I58" s="32">
        <f t="shared" ref="I58" si="77">I11/H11-1</f>
        <v>-0.15000000000000002</v>
      </c>
      <c r="J58" s="32">
        <f t="shared" ref="J58" si="78">J11/I11-1</f>
        <v>-0.15000000000000002</v>
      </c>
      <c r="K58" s="32">
        <f t="shared" ref="K58" si="79">K11/J11-1</f>
        <v>-0.15000000000000002</v>
      </c>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row>
    <row r="59" spans="1:122" x14ac:dyDescent="0.15">
      <c r="A59" s="1" t="s">
        <v>125</v>
      </c>
      <c r="B59" s="15"/>
      <c r="C59" s="15"/>
      <c r="D59" s="32"/>
      <c r="E59" s="32"/>
      <c r="F59" s="32"/>
      <c r="G59" s="32">
        <f>G12/F12-1</f>
        <v>0.41652452025586362</v>
      </c>
      <c r="H59" s="32">
        <f t="shared" ref="H59:K60" si="80">H12/G12-1</f>
        <v>0.39999999999999991</v>
      </c>
      <c r="I59" s="32">
        <f t="shared" si="80"/>
        <v>0.39999999999999991</v>
      </c>
      <c r="J59" s="32">
        <f t="shared" si="80"/>
        <v>0.39999999999999991</v>
      </c>
      <c r="K59" s="32">
        <f t="shared" si="80"/>
        <v>0.39999999999999991</v>
      </c>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row>
    <row r="60" spans="1:122" x14ac:dyDescent="0.15">
      <c r="A60" s="1" t="s">
        <v>68</v>
      </c>
      <c r="B60" s="15"/>
      <c r="C60" s="15"/>
      <c r="D60" s="32">
        <f>D13/C13-1</f>
        <v>9.213587715216387E-2</v>
      </c>
      <c r="E60" s="32">
        <f>E13/D13-1</f>
        <v>0.10438858116744787</v>
      </c>
      <c r="F60" s="32">
        <f>F13/E13-1</f>
        <v>0.10995370370370372</v>
      </c>
      <c r="G60" s="32">
        <f t="shared" si="75"/>
        <v>6.5893291623218664E-2</v>
      </c>
      <c r="H60" s="32">
        <f t="shared" si="80"/>
        <v>5.0000000000000044E-2</v>
      </c>
      <c r="I60" s="32">
        <f t="shared" si="80"/>
        <v>5.0000000000000044E-2</v>
      </c>
      <c r="J60" s="32">
        <f t="shared" si="80"/>
        <v>5.0000000000000044E-2</v>
      </c>
      <c r="K60" s="32">
        <f t="shared" si="80"/>
        <v>5.0000000000000044E-2</v>
      </c>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row>
    <row r="61" spans="1:122" x14ac:dyDescent="0.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row>
    <row r="62" spans="1:122" x14ac:dyDescent="0.15">
      <c r="A62" s="14" t="s">
        <v>64</v>
      </c>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row>
    <row r="63" spans="1:122" x14ac:dyDescent="0.15">
      <c r="A63" s="14" t="s">
        <v>65</v>
      </c>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row>
  </sheetData>
  <phoneticPr fontId="4" type="noConversion"/>
  <hyperlinks>
    <hyperlink ref="A1" r:id="rId1" xr:uid="{00000000-0004-0000-0000-000001000000}"/>
    <hyperlink ref="A7" r:id="rId2" xr:uid="{00000000-0004-0000-0000-000002000000}"/>
    <hyperlink ref="A8" r:id="rId3" xr:uid="{00000000-0004-0000-0000-000003000000}"/>
  </hyperlinks>
  <pageMargins left="0.7" right="0.7" top="0.75" bottom="0.75" header="0.3" footer="0.3"/>
  <pageSetup paperSize="9" orientation="portrait" horizontalDpi="0" verticalDpi="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7"/>
  <sheetViews>
    <sheetView zoomScale="120" zoomScaleNormal="120" workbookViewId="0">
      <pane xSplit="1" ySplit="2" topLeftCell="T3" activePane="bottomRight" state="frozen"/>
      <selection pane="topRight" activeCell="B1" sqref="B1"/>
      <selection pane="bottomLeft" activeCell="A3" sqref="A3"/>
      <selection pane="bottomRight" activeCell="Z17" sqref="Z17"/>
    </sheetView>
  </sheetViews>
  <sheetFormatPr baseColWidth="10" defaultRowHeight="13" x14ac:dyDescent="0.15"/>
  <cols>
    <col min="1" max="1" width="22.5" style="1" bestFit="1" customWidth="1"/>
    <col min="2" max="5" width="10.83203125" style="15" customWidth="1"/>
    <col min="6" max="6" width="10.83203125" style="19" customWidth="1"/>
    <col min="7" max="8" width="10.83203125" style="15" customWidth="1"/>
    <col min="9" max="9" width="10.83203125" style="15"/>
    <col min="10" max="10" width="10.83203125" style="19"/>
    <col min="11" max="11" width="10.83203125" style="15" customWidth="1"/>
    <col min="12" max="13" width="10.83203125" style="15"/>
    <col min="14" max="14" width="10.83203125" style="19"/>
    <col min="15" max="17" width="10.83203125" style="15"/>
    <col min="18" max="18" width="10.83203125" style="19"/>
    <col min="19" max="21" width="10.83203125" style="15"/>
    <col min="22" max="22" width="10.83203125" style="19"/>
    <col min="23" max="26" width="10.83203125" style="15"/>
    <col min="27" max="16384" width="10.83203125" style="1"/>
  </cols>
  <sheetData>
    <row r="1" spans="1:26" x14ac:dyDescent="0.15">
      <c r="A1" s="5" t="s">
        <v>70</v>
      </c>
      <c r="B1" s="15" t="s">
        <v>34</v>
      </c>
      <c r="C1" s="15" t="s">
        <v>35</v>
      </c>
      <c r="D1" s="15" t="s">
        <v>36</v>
      </c>
      <c r="E1" s="15" t="s">
        <v>37</v>
      </c>
      <c r="F1" s="19" t="s">
        <v>18</v>
      </c>
      <c r="G1" s="15" t="s">
        <v>19</v>
      </c>
      <c r="H1" s="15" t="s">
        <v>20</v>
      </c>
      <c r="I1" s="15" t="s">
        <v>21</v>
      </c>
      <c r="J1" s="17" t="s">
        <v>30</v>
      </c>
      <c r="K1" s="16" t="s">
        <v>31</v>
      </c>
      <c r="L1" s="16" t="s">
        <v>32</v>
      </c>
      <c r="M1" s="16" t="s">
        <v>33</v>
      </c>
      <c r="N1" s="17" t="s">
        <v>74</v>
      </c>
      <c r="O1" s="16" t="s">
        <v>75</v>
      </c>
      <c r="P1" s="16" t="s">
        <v>76</v>
      </c>
      <c r="Q1" s="16" t="s">
        <v>77</v>
      </c>
      <c r="R1" s="19" t="s">
        <v>116</v>
      </c>
      <c r="S1" s="15" t="s">
        <v>117</v>
      </c>
      <c r="T1" s="15" t="s">
        <v>118</v>
      </c>
      <c r="U1" s="15" t="s">
        <v>119</v>
      </c>
      <c r="V1" s="19" t="s">
        <v>120</v>
      </c>
      <c r="W1" s="15" t="s">
        <v>121</v>
      </c>
      <c r="X1" s="15" t="s">
        <v>122</v>
      </c>
      <c r="Y1" s="15" t="s">
        <v>123</v>
      </c>
    </row>
    <row r="2" spans="1:26" x14ac:dyDescent="0.15">
      <c r="A2" s="5"/>
      <c r="B2" s="15" t="s">
        <v>52</v>
      </c>
      <c r="C2" s="15" t="s">
        <v>51</v>
      </c>
      <c r="D2" s="15" t="s">
        <v>50</v>
      </c>
      <c r="E2" s="15" t="s">
        <v>49</v>
      </c>
      <c r="F2" s="19" t="s">
        <v>47</v>
      </c>
      <c r="G2" s="15" t="s">
        <v>45</v>
      </c>
      <c r="H2" s="15" t="s">
        <v>42</v>
      </c>
      <c r="I2" s="15" t="s">
        <v>48</v>
      </c>
      <c r="J2" s="19" t="s">
        <v>46</v>
      </c>
      <c r="K2" s="15" t="s">
        <v>44</v>
      </c>
      <c r="L2" s="15" t="s">
        <v>41</v>
      </c>
      <c r="M2" s="15" t="s">
        <v>72</v>
      </c>
      <c r="N2" s="19" t="s">
        <v>81</v>
      </c>
      <c r="O2" s="15" t="s">
        <v>80</v>
      </c>
      <c r="P2" s="15" t="s">
        <v>79</v>
      </c>
      <c r="Q2" s="15" t="s">
        <v>73</v>
      </c>
      <c r="R2" s="59">
        <v>43588</v>
      </c>
      <c r="S2" s="55">
        <v>43679</v>
      </c>
      <c r="T2" s="55">
        <v>43770</v>
      </c>
      <c r="U2" s="55">
        <v>43861</v>
      </c>
      <c r="V2" s="59">
        <v>43952</v>
      </c>
      <c r="W2" s="55">
        <v>44043</v>
      </c>
      <c r="X2" s="55">
        <v>44134</v>
      </c>
    </row>
    <row r="3" spans="1:26" s="7" customFormat="1" x14ac:dyDescent="0.15">
      <c r="A3" s="7" t="s">
        <v>43</v>
      </c>
      <c r="B3" s="16">
        <v>576</v>
      </c>
      <c r="C3" s="16">
        <v>638</v>
      </c>
      <c r="D3" s="16">
        <v>681</v>
      </c>
      <c r="E3" s="16">
        <v>825</v>
      </c>
      <c r="F3" s="17">
        <v>572</v>
      </c>
      <c r="G3" s="16">
        <v>644</v>
      </c>
      <c r="H3" s="16">
        <v>691</v>
      </c>
      <c r="I3" s="16">
        <v>887</v>
      </c>
      <c r="J3" s="17">
        <v>641</v>
      </c>
      <c r="K3" s="16">
        <v>783</v>
      </c>
      <c r="L3" s="16">
        <v>758</v>
      </c>
      <c r="M3" s="18">
        <v>1068</v>
      </c>
      <c r="N3" s="17">
        <v>774</v>
      </c>
      <c r="O3" s="18">
        <v>900</v>
      </c>
      <c r="P3" s="18">
        <v>884</v>
      </c>
      <c r="Q3" s="18">
        <v>1231</v>
      </c>
      <c r="R3" s="17">
        <v>646</v>
      </c>
      <c r="S3" s="16">
        <v>773</v>
      </c>
      <c r="T3" s="16">
        <v>728</v>
      </c>
      <c r="U3" s="16">
        <v>1034</v>
      </c>
      <c r="V3" s="17">
        <v>660</v>
      </c>
      <c r="W3" s="16">
        <v>719</v>
      </c>
      <c r="X3" s="16">
        <v>639</v>
      </c>
      <c r="Y3" s="16">
        <f>U3*0.85</f>
        <v>878.9</v>
      </c>
      <c r="Z3" s="16"/>
    </row>
    <row r="4" spans="1:26" s="7" customFormat="1" x14ac:dyDescent="0.15">
      <c r="A4" s="7" t="s">
        <v>124</v>
      </c>
      <c r="B4" s="16"/>
      <c r="C4" s="16"/>
      <c r="D4" s="16"/>
      <c r="E4" s="16"/>
      <c r="F4" s="17"/>
      <c r="G4" s="16"/>
      <c r="H4" s="16"/>
      <c r="I4" s="16"/>
      <c r="J4" s="17"/>
      <c r="K4" s="16"/>
      <c r="L4" s="16"/>
      <c r="M4" s="18"/>
      <c r="N4" s="17"/>
      <c r="O4" s="18"/>
      <c r="P4" s="18"/>
      <c r="Q4" s="18"/>
      <c r="R4" s="17">
        <v>411</v>
      </c>
      <c r="S4" s="16">
        <v>439</v>
      </c>
      <c r="T4" s="16">
        <v>470</v>
      </c>
      <c r="U4" s="16">
        <v>556</v>
      </c>
      <c r="V4" s="17">
        <v>572</v>
      </c>
      <c r="W4" s="16">
        <v>631</v>
      </c>
      <c r="X4" s="16">
        <v>676</v>
      </c>
      <c r="Y4" s="16">
        <f>U4*1.4</f>
        <v>778.4</v>
      </c>
      <c r="Z4" s="16"/>
    </row>
    <row r="5" spans="1:26" s="7" customFormat="1" x14ac:dyDescent="0.15">
      <c r="A5" s="7" t="s">
        <v>67</v>
      </c>
      <c r="B5" s="16">
        <v>935</v>
      </c>
      <c r="C5" s="16">
        <f>959-76</f>
        <v>883</v>
      </c>
      <c r="D5" s="16">
        <v>991</v>
      </c>
      <c r="E5" s="16">
        <v>1043</v>
      </c>
      <c r="F5" s="17">
        <v>1017</v>
      </c>
      <c r="G5" s="16">
        <v>1049</v>
      </c>
      <c r="H5" s="16">
        <v>1087</v>
      </c>
      <c r="I5" s="16">
        <v>1145</v>
      </c>
      <c r="J5" s="17">
        <v>1124</v>
      </c>
      <c r="K5" s="16">
        <v>1149</v>
      </c>
      <c r="L5" s="16">
        <v>1180</v>
      </c>
      <c r="M5" s="18">
        <v>1241</v>
      </c>
      <c r="N5" s="17">
        <v>1234</v>
      </c>
      <c r="O5" s="18">
        <v>1274</v>
      </c>
      <c r="P5" s="18">
        <v>1316</v>
      </c>
      <c r="Q5" s="18">
        <v>1360</v>
      </c>
      <c r="R5" s="17">
        <v>1393</v>
      </c>
      <c r="S5" s="16">
        <v>1420</v>
      </c>
      <c r="T5" s="16">
        <v>1458</v>
      </c>
      <c r="U5" s="16">
        <v>1483</v>
      </c>
      <c r="V5" s="17">
        <v>1502</v>
      </c>
      <c r="W5" s="16">
        <v>1525</v>
      </c>
      <c r="X5" s="16">
        <v>1549</v>
      </c>
      <c r="Y5" s="16">
        <f>U5*1.05</f>
        <v>1557.15</v>
      </c>
      <c r="Z5" s="16"/>
    </row>
    <row r="6" spans="1:26" x14ac:dyDescent="0.15">
      <c r="B6" s="16"/>
      <c r="C6" s="16"/>
      <c r="D6" s="16"/>
      <c r="E6" s="16"/>
      <c r="F6" s="17"/>
      <c r="G6" s="16"/>
      <c r="H6" s="16"/>
      <c r="I6" s="16"/>
      <c r="J6" s="17"/>
      <c r="K6" s="16"/>
      <c r="L6" s="16"/>
      <c r="M6" s="18"/>
      <c r="N6" s="17"/>
      <c r="O6" s="18"/>
      <c r="P6" s="18"/>
      <c r="Q6" s="18"/>
    </row>
    <row r="7" spans="1:26" x14ac:dyDescent="0.15">
      <c r="A7" s="1" t="s">
        <v>53</v>
      </c>
      <c r="B7" s="16"/>
      <c r="C7" s="16"/>
      <c r="D7" s="16"/>
      <c r="E7" s="16"/>
      <c r="F7" s="17"/>
      <c r="G7" s="16"/>
      <c r="H7" s="16"/>
      <c r="I7" s="16"/>
      <c r="J7" s="17"/>
      <c r="K7" s="16"/>
      <c r="L7" s="16"/>
      <c r="M7" s="18"/>
      <c r="N7" s="17"/>
      <c r="O7" s="18"/>
      <c r="P7" s="18"/>
      <c r="Q7" s="18"/>
    </row>
    <row r="8" spans="1:26" x14ac:dyDescent="0.15">
      <c r="A8" s="1" t="s">
        <v>54</v>
      </c>
      <c r="B8" s="16"/>
      <c r="C8" s="16"/>
      <c r="D8" s="16"/>
      <c r="E8" s="16"/>
      <c r="F8" s="17"/>
      <c r="G8" s="16"/>
      <c r="H8" s="16"/>
      <c r="I8" s="16"/>
      <c r="J8" s="17"/>
      <c r="K8" s="16"/>
      <c r="L8" s="16"/>
      <c r="M8" s="18"/>
      <c r="N8" s="17"/>
      <c r="O8" s="18"/>
      <c r="P8" s="18"/>
      <c r="Q8" s="18"/>
    </row>
    <row r="9" spans="1:26" s="7" customFormat="1" x14ac:dyDescent="0.15">
      <c r="B9" s="16"/>
      <c r="C9" s="16"/>
      <c r="D9" s="16"/>
      <c r="E9" s="16"/>
      <c r="F9" s="17"/>
      <c r="G9" s="16"/>
      <c r="H9" s="16"/>
      <c r="I9" s="16"/>
      <c r="J9" s="17"/>
      <c r="K9" s="18"/>
      <c r="L9" s="18"/>
      <c r="M9" s="18"/>
      <c r="N9" s="17"/>
      <c r="O9" s="18"/>
      <c r="P9" s="18"/>
      <c r="Q9" s="18"/>
      <c r="R9" s="17"/>
      <c r="S9" s="16"/>
      <c r="T9" s="16"/>
      <c r="U9" s="16"/>
      <c r="V9" s="17"/>
      <c r="W9" s="16"/>
      <c r="X9" s="16"/>
      <c r="Y9" s="16">
        <v>3227</v>
      </c>
      <c r="Z9" s="16"/>
    </row>
    <row r="10" spans="1:26" s="56" customFormat="1" x14ac:dyDescent="0.15">
      <c r="A10" s="56" t="s">
        <v>0</v>
      </c>
      <c r="B10" s="36">
        <f>SUM(B3:B5)</f>
        <v>1511</v>
      </c>
      <c r="C10" s="36">
        <f t="shared" ref="C10:M10" si="0">SUM(C3:C5)</f>
        <v>1521</v>
      </c>
      <c r="D10" s="36">
        <f t="shared" si="0"/>
        <v>1672</v>
      </c>
      <c r="E10" s="36">
        <f t="shared" si="0"/>
        <v>1868</v>
      </c>
      <c r="F10" s="37">
        <f t="shared" si="0"/>
        <v>1589</v>
      </c>
      <c r="G10" s="38">
        <f t="shared" si="0"/>
        <v>1693</v>
      </c>
      <c r="H10" s="38">
        <f>SUM(H3:H5)</f>
        <v>1778</v>
      </c>
      <c r="I10" s="38">
        <f t="shared" si="0"/>
        <v>2032</v>
      </c>
      <c r="J10" s="37">
        <f t="shared" si="0"/>
        <v>1765</v>
      </c>
      <c r="K10" s="36">
        <f t="shared" si="0"/>
        <v>1932</v>
      </c>
      <c r="L10" s="36">
        <f t="shared" si="0"/>
        <v>1938</v>
      </c>
      <c r="M10" s="36">
        <f t="shared" si="0"/>
        <v>2309</v>
      </c>
      <c r="N10" s="37">
        <f t="shared" ref="N10:Y10" si="1">SUM(N3:N5)</f>
        <v>2008</v>
      </c>
      <c r="O10" s="36">
        <f t="shared" si="1"/>
        <v>2174</v>
      </c>
      <c r="P10" s="36">
        <f t="shared" si="1"/>
        <v>2200</v>
      </c>
      <c r="Q10" s="36">
        <f t="shared" si="1"/>
        <v>2591</v>
      </c>
      <c r="R10" s="37">
        <f t="shared" si="1"/>
        <v>2450</v>
      </c>
      <c r="S10" s="36">
        <f t="shared" si="1"/>
        <v>2632</v>
      </c>
      <c r="T10" s="36">
        <f t="shared" si="1"/>
        <v>2656</v>
      </c>
      <c r="U10" s="36">
        <f t="shared" si="1"/>
        <v>3073</v>
      </c>
      <c r="V10" s="37">
        <f t="shared" si="1"/>
        <v>2734</v>
      </c>
      <c r="W10" s="36">
        <f t="shared" si="1"/>
        <v>2875</v>
      </c>
      <c r="X10" s="36">
        <f t="shared" si="1"/>
        <v>2864</v>
      </c>
      <c r="Y10" s="36">
        <f t="shared" si="1"/>
        <v>3214.45</v>
      </c>
      <c r="Z10" s="23"/>
    </row>
    <row r="11" spans="1:26" s="7" customFormat="1" x14ac:dyDescent="0.15">
      <c r="A11" s="7" t="s">
        <v>1</v>
      </c>
      <c r="B11" s="18">
        <f>50+193</f>
        <v>243</v>
      </c>
      <c r="C11" s="18">
        <f>46+204</f>
        <v>250</v>
      </c>
      <c r="D11" s="18">
        <f>46+212</f>
        <v>258</v>
      </c>
      <c r="E11" s="18">
        <f>44+222</f>
        <v>266</v>
      </c>
      <c r="F11" s="17">
        <f>40+211</f>
        <v>251</v>
      </c>
      <c r="G11" s="16">
        <f>40+221</f>
        <v>261</v>
      </c>
      <c r="H11" s="16">
        <f>40+226</f>
        <v>266</v>
      </c>
      <c r="I11" s="16">
        <f>38+237</f>
        <v>275</v>
      </c>
      <c r="J11" s="17">
        <f>39+250</f>
        <v>289</v>
      </c>
      <c r="K11" s="18">
        <f>39+231</f>
        <v>270</v>
      </c>
      <c r="L11" s="18">
        <f>38+240</f>
        <v>278</v>
      </c>
      <c r="M11" s="18">
        <f>41+263</f>
        <v>304</v>
      </c>
      <c r="N11" s="17">
        <f>45+251</f>
        <v>296</v>
      </c>
      <c r="O11" s="18">
        <f>45+260</f>
        <v>305</v>
      </c>
      <c r="P11" s="18">
        <f>49+266</f>
        <v>315</v>
      </c>
      <c r="Q11" s="18">
        <f>52+291</f>
        <v>343</v>
      </c>
      <c r="R11" s="17">
        <f>36+94+299</f>
        <v>429</v>
      </c>
      <c r="S11" s="16">
        <f>38+97+306</f>
        <v>441</v>
      </c>
      <c r="T11" s="16">
        <f>42+103+311</f>
        <v>456</v>
      </c>
      <c r="U11" s="16">
        <f>50+106+317</f>
        <v>473</v>
      </c>
      <c r="V11" s="17">
        <f>70+96+318</f>
        <v>484</v>
      </c>
      <c r="W11" s="16">
        <f>35+132+321</f>
        <v>488</v>
      </c>
      <c r="X11" s="16">
        <f>44+142+330</f>
        <v>516</v>
      </c>
      <c r="Y11" s="16"/>
      <c r="Z11" s="16"/>
    </row>
    <row r="12" spans="1:26" s="7" customFormat="1" x14ac:dyDescent="0.15">
      <c r="A12" s="7" t="s">
        <v>2</v>
      </c>
      <c r="B12" s="39">
        <f>B10-B11</f>
        <v>1268</v>
      </c>
      <c r="C12" s="39">
        <f>C10-C11</f>
        <v>1271</v>
      </c>
      <c r="D12" s="39">
        <f>D10-D11</f>
        <v>1414</v>
      </c>
      <c r="E12" s="39">
        <f>E10-E11</f>
        <v>1602</v>
      </c>
      <c r="F12" s="40">
        <f>F10-F11</f>
        <v>1338</v>
      </c>
      <c r="G12" s="41">
        <f t="shared" ref="G12:M12" si="2">G10-G11</f>
        <v>1432</v>
      </c>
      <c r="H12" s="41">
        <f t="shared" si="2"/>
        <v>1512</v>
      </c>
      <c r="I12" s="41">
        <f t="shared" si="2"/>
        <v>1757</v>
      </c>
      <c r="J12" s="40">
        <f t="shared" si="2"/>
        <v>1476</v>
      </c>
      <c r="K12" s="39">
        <f t="shared" si="2"/>
        <v>1662</v>
      </c>
      <c r="L12" s="39">
        <f t="shared" si="2"/>
        <v>1660</v>
      </c>
      <c r="M12" s="39">
        <f t="shared" si="2"/>
        <v>2005</v>
      </c>
      <c r="N12" s="40">
        <f>N10-N11</f>
        <v>1712</v>
      </c>
      <c r="O12" s="39">
        <f>O10-O11</f>
        <v>1869</v>
      </c>
      <c r="P12" s="39">
        <f t="shared" ref="P12:Q12" si="3">P10-P11</f>
        <v>1885</v>
      </c>
      <c r="Q12" s="39">
        <f t="shared" si="3"/>
        <v>2248</v>
      </c>
      <c r="R12" s="40">
        <f t="shared" ref="R12:T12" si="4">R10-R11</f>
        <v>2021</v>
      </c>
      <c r="S12" s="39">
        <f t="shared" si="4"/>
        <v>2191</v>
      </c>
      <c r="T12" s="39">
        <f t="shared" si="4"/>
        <v>2200</v>
      </c>
      <c r="U12" s="39">
        <f t="shared" ref="U12:X12" si="5">U10-U11</f>
        <v>2600</v>
      </c>
      <c r="V12" s="40">
        <f t="shared" si="5"/>
        <v>2250</v>
      </c>
      <c r="W12" s="39">
        <f t="shared" si="5"/>
        <v>2387</v>
      </c>
      <c r="X12" s="39">
        <f t="shared" si="5"/>
        <v>2348</v>
      </c>
      <c r="Y12" s="16"/>
      <c r="Z12" s="16"/>
    </row>
    <row r="13" spans="1:26" s="7" customFormat="1" x14ac:dyDescent="0.15">
      <c r="A13" s="7" t="s">
        <v>3</v>
      </c>
      <c r="B13" s="18">
        <v>305</v>
      </c>
      <c r="C13" s="18">
        <v>322</v>
      </c>
      <c r="D13" s="18">
        <v>331</v>
      </c>
      <c r="E13" s="18">
        <v>342</v>
      </c>
      <c r="F13" s="17">
        <v>356</v>
      </c>
      <c r="G13" s="16">
        <v>363</v>
      </c>
      <c r="H13" s="16">
        <v>389</v>
      </c>
      <c r="I13" s="16">
        <v>395</v>
      </c>
      <c r="J13" s="17">
        <v>421</v>
      </c>
      <c r="K13" s="18">
        <v>428</v>
      </c>
      <c r="L13" s="18">
        <v>449</v>
      </c>
      <c r="M13" s="18">
        <v>457</v>
      </c>
      <c r="N13" s="17">
        <v>453</v>
      </c>
      <c r="O13" s="18">
        <v>481</v>
      </c>
      <c r="P13" s="18">
        <v>499</v>
      </c>
      <c r="Q13" s="18">
        <v>542</v>
      </c>
      <c r="R13" s="17">
        <v>590</v>
      </c>
      <c r="S13" s="16">
        <v>614</v>
      </c>
      <c r="T13" s="16">
        <v>642</v>
      </c>
      <c r="U13" s="16">
        <v>676</v>
      </c>
      <c r="V13" s="17">
        <v>665</v>
      </c>
      <c r="W13" s="16">
        <v>679</v>
      </c>
      <c r="X13" s="16">
        <v>714</v>
      </c>
      <c r="Y13" s="16"/>
      <c r="Z13" s="16"/>
    </row>
    <row r="14" spans="1:26" s="7" customFormat="1" x14ac:dyDescent="0.15">
      <c r="A14" s="7" t="s">
        <v>4</v>
      </c>
      <c r="B14" s="18">
        <v>536</v>
      </c>
      <c r="C14" s="18">
        <v>565</v>
      </c>
      <c r="D14" s="18">
        <v>556</v>
      </c>
      <c r="E14" s="18">
        <v>612</v>
      </c>
      <c r="F14" s="17">
        <v>565</v>
      </c>
      <c r="G14" s="16">
        <v>580</v>
      </c>
      <c r="H14" s="16">
        <v>564</v>
      </c>
      <c r="I14" s="16">
        <v>646</v>
      </c>
      <c r="J14" s="17">
        <v>579</v>
      </c>
      <c r="K14" s="18">
        <v>613</v>
      </c>
      <c r="L14" s="18">
        <v>624</v>
      </c>
      <c r="M14" s="18">
        <v>729</v>
      </c>
      <c r="N14" s="17">
        <v>706</v>
      </c>
      <c r="O14" s="18">
        <v>696</v>
      </c>
      <c r="P14" s="18">
        <v>707</v>
      </c>
      <c r="Q14" s="18">
        <v>807</v>
      </c>
      <c r="R14" s="17">
        <v>868</v>
      </c>
      <c r="S14" s="16">
        <v>888</v>
      </c>
      <c r="T14" s="16">
        <v>918</v>
      </c>
      <c r="U14" s="16">
        <v>1003</v>
      </c>
      <c r="V14" s="17">
        <v>917</v>
      </c>
      <c r="W14" s="16">
        <v>897</v>
      </c>
      <c r="X14" s="16">
        <v>912</v>
      </c>
      <c r="Y14" s="16"/>
      <c r="Z14" s="16"/>
    </row>
    <row r="15" spans="1:26" s="7" customFormat="1" x14ac:dyDescent="0.15">
      <c r="A15" s="7" t="s">
        <v>5</v>
      </c>
      <c r="B15" s="18">
        <f>187+22</f>
        <v>209</v>
      </c>
      <c r="C15" s="18">
        <f>180-2</f>
        <v>178</v>
      </c>
      <c r="D15" s="18">
        <v>201</v>
      </c>
      <c r="E15" s="18">
        <f>198+3</f>
        <v>201</v>
      </c>
      <c r="F15" s="17">
        <f>172+53</f>
        <v>225</v>
      </c>
      <c r="G15" s="16">
        <f>167-1</f>
        <v>166</v>
      </c>
      <c r="H15" s="16">
        <v>178</v>
      </c>
      <c r="I15" s="16">
        <v>173</v>
      </c>
      <c r="J15" s="17">
        <f>151+64</f>
        <v>215</v>
      </c>
      <c r="K15" s="18">
        <f>160+36</f>
        <v>196</v>
      </c>
      <c r="L15" s="18">
        <f>175+2</f>
        <v>177</v>
      </c>
      <c r="M15" s="18">
        <f>169+2</f>
        <v>171</v>
      </c>
      <c r="N15" s="17">
        <f>169+2</f>
        <v>171</v>
      </c>
      <c r="O15" s="18">
        <f>182+1</f>
        <v>183</v>
      </c>
      <c r="P15" s="18">
        <f>178+6</f>
        <v>184</v>
      </c>
      <c r="Q15" s="18">
        <v>235</v>
      </c>
      <c r="R15" s="17">
        <v>209</v>
      </c>
      <c r="S15" s="16">
        <v>223</v>
      </c>
      <c r="T15" s="16">
        <v>269</v>
      </c>
      <c r="U15" s="16">
        <f>592+79</f>
        <v>671</v>
      </c>
      <c r="V15" s="17">
        <f>246+4</f>
        <v>250</v>
      </c>
      <c r="W15" s="16">
        <v>277</v>
      </c>
      <c r="X15" s="16">
        <f>250+44</f>
        <v>294</v>
      </c>
      <c r="Y15" s="16"/>
      <c r="Z15" s="16"/>
    </row>
    <row r="16" spans="1:26" s="7" customFormat="1" x14ac:dyDescent="0.15">
      <c r="A16" s="7" t="s">
        <v>6</v>
      </c>
      <c r="B16" s="39">
        <f>SUM(B13:B15)</f>
        <v>1050</v>
      </c>
      <c r="C16" s="39">
        <f>SUM(C13:C15)</f>
        <v>1065</v>
      </c>
      <c r="D16" s="39">
        <f>SUM(D13:D15)</f>
        <v>1088</v>
      </c>
      <c r="E16" s="39">
        <f>SUM(E13:E15)</f>
        <v>1155</v>
      </c>
      <c r="F16" s="40">
        <f>SUM(F13:F15)</f>
        <v>1146</v>
      </c>
      <c r="G16" s="41">
        <f t="shared" ref="G16:L16" si="6">SUM(G13:G15)</f>
        <v>1109</v>
      </c>
      <c r="H16" s="41">
        <f t="shared" si="6"/>
        <v>1131</v>
      </c>
      <c r="I16" s="41">
        <f t="shared" si="6"/>
        <v>1214</v>
      </c>
      <c r="J16" s="40">
        <f t="shared" si="6"/>
        <v>1215</v>
      </c>
      <c r="K16" s="39">
        <f t="shared" si="6"/>
        <v>1237</v>
      </c>
      <c r="L16" s="39">
        <f t="shared" si="6"/>
        <v>1250</v>
      </c>
      <c r="M16" s="39">
        <f t="shared" ref="M16" si="7">SUM(M13:M15)</f>
        <v>1357</v>
      </c>
      <c r="N16" s="40">
        <f t="shared" ref="N16:O16" si="8">SUM(N13:N15)</f>
        <v>1330</v>
      </c>
      <c r="O16" s="39">
        <f t="shared" si="8"/>
        <v>1360</v>
      </c>
      <c r="P16" s="39">
        <f t="shared" ref="P16:R16" si="9">SUM(P13:P15)</f>
        <v>1390</v>
      </c>
      <c r="Q16" s="39">
        <f t="shared" si="9"/>
        <v>1584</v>
      </c>
      <c r="R16" s="40">
        <f t="shared" si="9"/>
        <v>1667</v>
      </c>
      <c r="S16" s="39">
        <f t="shared" ref="S16:T16" si="10">SUM(S13:S15)</f>
        <v>1725</v>
      </c>
      <c r="T16" s="39">
        <f t="shared" si="10"/>
        <v>1829</v>
      </c>
      <c r="U16" s="39">
        <f t="shared" ref="U16:V16" si="11">SUM(U13:U15)</f>
        <v>2350</v>
      </c>
      <c r="V16" s="40">
        <f t="shared" si="11"/>
        <v>1832</v>
      </c>
      <c r="W16" s="39">
        <f t="shared" ref="W16:X16" si="12">SUM(W13:W15)</f>
        <v>1853</v>
      </c>
      <c r="X16" s="39">
        <f t="shared" si="12"/>
        <v>1920</v>
      </c>
      <c r="Y16" s="16"/>
      <c r="Z16" s="16"/>
    </row>
    <row r="17" spans="1:26" s="7" customFormat="1" x14ac:dyDescent="0.15">
      <c r="A17" s="7" t="s">
        <v>7</v>
      </c>
      <c r="B17" s="39">
        <f>B12-B16</f>
        <v>218</v>
      </c>
      <c r="C17" s="39">
        <f>C12-C16</f>
        <v>206</v>
      </c>
      <c r="D17" s="39">
        <f>D12-D16</f>
        <v>326</v>
      </c>
      <c r="E17" s="39">
        <f>E12-E16</f>
        <v>447</v>
      </c>
      <c r="F17" s="40">
        <f>F12-F16</f>
        <v>192</v>
      </c>
      <c r="G17" s="41">
        <f t="shared" ref="G17" si="13">G12-G16</f>
        <v>323</v>
      </c>
      <c r="H17" s="41">
        <f t="shared" ref="H17:L17" si="14">H12-H16</f>
        <v>381</v>
      </c>
      <c r="I17" s="41">
        <f t="shared" si="14"/>
        <v>543</v>
      </c>
      <c r="J17" s="40">
        <f t="shared" si="14"/>
        <v>261</v>
      </c>
      <c r="K17" s="39">
        <f t="shared" si="14"/>
        <v>425</v>
      </c>
      <c r="L17" s="39">
        <f t="shared" si="14"/>
        <v>410</v>
      </c>
      <c r="M17" s="39">
        <f t="shared" ref="M17" si="15">M12-M16</f>
        <v>648</v>
      </c>
      <c r="N17" s="40">
        <f t="shared" ref="N17:O17" si="16">N12-N16</f>
        <v>382</v>
      </c>
      <c r="O17" s="39">
        <f t="shared" si="16"/>
        <v>509</v>
      </c>
      <c r="P17" s="39">
        <f t="shared" ref="P17:R17" si="17">P12-P16</f>
        <v>495</v>
      </c>
      <c r="Q17" s="39">
        <f t="shared" si="17"/>
        <v>664</v>
      </c>
      <c r="R17" s="40">
        <f t="shared" si="17"/>
        <v>354</v>
      </c>
      <c r="S17" s="39">
        <f t="shared" ref="S17:T17" si="18">S12-S16</f>
        <v>466</v>
      </c>
      <c r="T17" s="39">
        <f t="shared" si="18"/>
        <v>371</v>
      </c>
      <c r="U17" s="39">
        <f t="shared" ref="U17:V17" si="19">U12-U16</f>
        <v>250</v>
      </c>
      <c r="V17" s="40">
        <f t="shared" si="19"/>
        <v>418</v>
      </c>
      <c r="W17" s="39">
        <f t="shared" ref="W17:X17" si="20">W12-W16</f>
        <v>534</v>
      </c>
      <c r="X17" s="39">
        <f t="shared" si="20"/>
        <v>428</v>
      </c>
      <c r="Y17" s="16"/>
      <c r="Z17" s="16"/>
    </row>
    <row r="18" spans="1:26" s="7" customFormat="1" x14ac:dyDescent="0.15">
      <c r="A18" s="7" t="s">
        <v>8</v>
      </c>
      <c r="B18" s="18">
        <f>12-6-2</f>
        <v>4</v>
      </c>
      <c r="C18" s="18">
        <f>13-7+1</f>
        <v>7</v>
      </c>
      <c r="D18" s="18">
        <f>13-7-7</f>
        <v>-1</v>
      </c>
      <c r="E18" s="18">
        <f>11-7+2</f>
        <v>6</v>
      </c>
      <c r="F18" s="17">
        <f>16-7-1</f>
        <v>8</v>
      </c>
      <c r="G18" s="16">
        <f>19-7+2</f>
        <v>14</v>
      </c>
      <c r="H18" s="16">
        <f>21-7-8</f>
        <v>6</v>
      </c>
      <c r="I18" s="16">
        <f>21-7-8</f>
        <v>6</v>
      </c>
      <c r="J18" s="17">
        <f>23-7+4</f>
        <v>20</v>
      </c>
      <c r="K18" s="18">
        <f>25-7+51</f>
        <v>69</v>
      </c>
      <c r="L18" s="18">
        <f>33-28-2</f>
        <v>3</v>
      </c>
      <c r="M18" s="18">
        <f>38-33+15</f>
        <v>20</v>
      </c>
      <c r="N18" s="17">
        <f>48-34+779</f>
        <v>793</v>
      </c>
      <c r="O18" s="18">
        <f>57-34+240</f>
        <v>263</v>
      </c>
      <c r="P18" s="18">
        <f>63-33-180</f>
        <v>-150</v>
      </c>
      <c r="Q18" s="18">
        <f>-7-34-32</f>
        <v>-73</v>
      </c>
      <c r="R18" s="17">
        <f>14-34+17</f>
        <v>-3</v>
      </c>
      <c r="S18" s="16">
        <f>14-34+41</f>
        <v>21</v>
      </c>
      <c r="T18" s="16">
        <f>12-40+17</f>
        <v>-11</v>
      </c>
      <c r="U18" s="16">
        <f>20-41+10</f>
        <v>-11</v>
      </c>
      <c r="V18" s="17">
        <f>5-49-6</f>
        <v>-50</v>
      </c>
      <c r="W18" s="16">
        <f>1-55+15</f>
        <v>-39</v>
      </c>
      <c r="X18" s="16">
        <f>1-52+177</f>
        <v>126</v>
      </c>
      <c r="Y18" s="16"/>
      <c r="Z18" s="16"/>
    </row>
    <row r="19" spans="1:26" s="7" customFormat="1" x14ac:dyDescent="0.15">
      <c r="A19" s="7" t="s">
        <v>9</v>
      </c>
      <c r="B19" s="39">
        <f>B17+B18</f>
        <v>222</v>
      </c>
      <c r="C19" s="39">
        <f>C17+C18</f>
        <v>213</v>
      </c>
      <c r="D19" s="39">
        <f>D17+D18</f>
        <v>325</v>
      </c>
      <c r="E19" s="39">
        <f>E17+E18</f>
        <v>453</v>
      </c>
      <c r="F19" s="40">
        <f>F17+F18</f>
        <v>200</v>
      </c>
      <c r="G19" s="41">
        <f t="shared" ref="G19:I19" si="21">G17+G18</f>
        <v>337</v>
      </c>
      <c r="H19" s="41">
        <f t="shared" si="21"/>
        <v>387</v>
      </c>
      <c r="I19" s="41">
        <f t="shared" si="21"/>
        <v>549</v>
      </c>
      <c r="J19" s="40">
        <f t="shared" ref="J19:K19" si="22">J17+J18</f>
        <v>281</v>
      </c>
      <c r="K19" s="39">
        <f t="shared" si="22"/>
        <v>494</v>
      </c>
      <c r="L19" s="39">
        <f t="shared" ref="L19:M19" si="23">L17+L18</f>
        <v>413</v>
      </c>
      <c r="M19" s="39">
        <f t="shared" si="23"/>
        <v>668</v>
      </c>
      <c r="N19" s="40">
        <f t="shared" ref="N19:O19" si="24">N17+N18</f>
        <v>1175</v>
      </c>
      <c r="O19" s="39">
        <f t="shared" si="24"/>
        <v>772</v>
      </c>
      <c r="P19" s="39">
        <f t="shared" ref="P19:Q19" si="25">P17+P18</f>
        <v>345</v>
      </c>
      <c r="Q19" s="39">
        <f t="shared" si="25"/>
        <v>591</v>
      </c>
      <c r="R19" s="40">
        <f t="shared" ref="R19:T19" si="26">R17+R18</f>
        <v>351</v>
      </c>
      <c r="S19" s="39">
        <f t="shared" si="26"/>
        <v>487</v>
      </c>
      <c r="T19" s="39">
        <f t="shared" si="26"/>
        <v>360</v>
      </c>
      <c r="U19" s="39">
        <f t="shared" ref="U19:X19" si="27">U17+U18</f>
        <v>239</v>
      </c>
      <c r="V19" s="40">
        <f t="shared" si="27"/>
        <v>368</v>
      </c>
      <c r="W19" s="39">
        <f t="shared" si="27"/>
        <v>495</v>
      </c>
      <c r="X19" s="39">
        <f t="shared" si="27"/>
        <v>554</v>
      </c>
      <c r="Y19" s="16"/>
      <c r="Z19" s="16"/>
    </row>
    <row r="20" spans="1:26" s="7" customFormat="1" x14ac:dyDescent="0.15">
      <c r="A20" s="7" t="s">
        <v>10</v>
      </c>
      <c r="B20" s="18">
        <v>26</v>
      </c>
      <c r="C20" s="18">
        <v>41</v>
      </c>
      <c r="D20" s="18">
        <v>68.5</v>
      </c>
      <c r="E20" s="18">
        <v>80</v>
      </c>
      <c r="F20" s="17">
        <v>39</v>
      </c>
      <c r="G20" s="16">
        <v>72</v>
      </c>
      <c r="H20" s="16">
        <v>68</v>
      </c>
      <c r="I20" s="16">
        <v>108</v>
      </c>
      <c r="J20" s="17">
        <v>36</v>
      </c>
      <c r="K20" s="18">
        <v>88</v>
      </c>
      <c r="L20" s="18">
        <v>18</v>
      </c>
      <c r="M20" s="18">
        <f>M19*I33</f>
        <v>131.40983606557376</v>
      </c>
      <c r="N20" s="17">
        <v>233</v>
      </c>
      <c r="O20" s="18">
        <v>128</v>
      </c>
      <c r="P20" s="18">
        <v>11</v>
      </c>
      <c r="Q20" s="18">
        <v>89</v>
      </c>
      <c r="R20" s="17">
        <v>-14</v>
      </c>
      <c r="S20" s="16">
        <f>S19*Q33</f>
        <v>73.338409475465312</v>
      </c>
      <c r="T20" s="16">
        <v>-30</v>
      </c>
      <c r="U20" s="16">
        <v>-76</v>
      </c>
      <c r="V20" s="17">
        <v>-18</v>
      </c>
      <c r="W20" s="16">
        <v>48</v>
      </c>
      <c r="X20" s="16">
        <v>120</v>
      </c>
      <c r="Y20" s="16"/>
      <c r="Z20" s="16"/>
    </row>
    <row r="21" spans="1:26" s="7" customFormat="1" x14ac:dyDescent="0.15">
      <c r="A21" s="57" t="s">
        <v>78</v>
      </c>
      <c r="B21" s="18"/>
      <c r="C21" s="18"/>
      <c r="D21" s="18"/>
      <c r="E21" s="18"/>
      <c r="F21" s="17"/>
      <c r="G21" s="16"/>
      <c r="H21" s="16"/>
      <c r="I21" s="16"/>
      <c r="J21" s="17"/>
      <c r="K21" s="18"/>
      <c r="L21" s="18"/>
      <c r="M21" s="18">
        <v>1012</v>
      </c>
      <c r="N21" s="17"/>
      <c r="O21" s="18"/>
      <c r="P21" s="18"/>
      <c r="Q21" s="18"/>
      <c r="R21" s="17"/>
      <c r="S21" s="16">
        <f>-4798-S20</f>
        <v>-4871.3384094754656</v>
      </c>
      <c r="T21" s="16"/>
      <c r="U21" s="16"/>
      <c r="V21" s="17"/>
      <c r="W21" s="16"/>
      <c r="X21" s="16"/>
      <c r="Y21" s="16"/>
      <c r="Z21" s="16"/>
    </row>
    <row r="22" spans="1:26" s="56" customFormat="1" x14ac:dyDescent="0.15">
      <c r="A22" s="56" t="s">
        <v>11</v>
      </c>
      <c r="B22" s="36">
        <f t="shared" ref="B22:G22" si="28">B19-B20</f>
        <v>196</v>
      </c>
      <c r="C22" s="36">
        <f t="shared" si="28"/>
        <v>172</v>
      </c>
      <c r="D22" s="36">
        <f t="shared" si="28"/>
        <v>256.5</v>
      </c>
      <c r="E22" s="36">
        <f t="shared" si="28"/>
        <v>373</v>
      </c>
      <c r="F22" s="37">
        <f t="shared" si="28"/>
        <v>161</v>
      </c>
      <c r="G22" s="38">
        <f t="shared" si="28"/>
        <v>265</v>
      </c>
      <c r="H22" s="38">
        <f t="shared" ref="H22" si="29">H19-H20</f>
        <v>319</v>
      </c>
      <c r="I22" s="38">
        <f t="shared" ref="I22:R22" si="30">I19-I20</f>
        <v>441</v>
      </c>
      <c r="J22" s="37">
        <f t="shared" si="30"/>
        <v>245</v>
      </c>
      <c r="K22" s="36">
        <f t="shared" si="30"/>
        <v>406</v>
      </c>
      <c r="L22" s="36">
        <f t="shared" si="30"/>
        <v>395</v>
      </c>
      <c r="M22" s="36">
        <f t="shared" si="30"/>
        <v>536.5901639344263</v>
      </c>
      <c r="N22" s="37">
        <f t="shared" si="30"/>
        <v>942</v>
      </c>
      <c r="O22" s="36">
        <f t="shared" si="30"/>
        <v>644</v>
      </c>
      <c r="P22" s="36">
        <f t="shared" si="30"/>
        <v>334</v>
      </c>
      <c r="Q22" s="36">
        <f t="shared" si="30"/>
        <v>502</v>
      </c>
      <c r="R22" s="37">
        <f t="shared" si="30"/>
        <v>365</v>
      </c>
      <c r="S22" s="36">
        <f t="shared" ref="S22:T22" si="31">S19-S20</f>
        <v>413.66159052453469</v>
      </c>
      <c r="T22" s="36">
        <f t="shared" si="31"/>
        <v>390</v>
      </c>
      <c r="U22" s="36">
        <f t="shared" ref="U22:V22" si="32">U19-U20</f>
        <v>315</v>
      </c>
      <c r="V22" s="37">
        <f t="shared" si="32"/>
        <v>386</v>
      </c>
      <c r="W22" s="36">
        <f t="shared" ref="W22:X22" si="33">W19-W20</f>
        <v>447</v>
      </c>
      <c r="X22" s="36">
        <f t="shared" si="33"/>
        <v>434</v>
      </c>
      <c r="Y22" s="23"/>
      <c r="Z22" s="23"/>
    </row>
    <row r="23" spans="1:26" x14ac:dyDescent="0.15">
      <c r="A23" s="1" t="s">
        <v>12</v>
      </c>
      <c r="B23" s="42">
        <f t="shared" ref="B23:H23" si="34">IFERROR(B22/B24,0)</f>
        <v>0.45528878317103993</v>
      </c>
      <c r="C23" s="42">
        <f t="shared" si="34"/>
        <v>0.40300189551472948</v>
      </c>
      <c r="D23" s="42">
        <f t="shared" si="34"/>
        <v>0.60497994013882694</v>
      </c>
      <c r="E23" s="42">
        <f t="shared" si="34"/>
        <v>0.88209280656863531</v>
      </c>
      <c r="F23" s="43">
        <f t="shared" si="34"/>
        <v>0.37955584893205713</v>
      </c>
      <c r="G23" s="44">
        <f t="shared" si="34"/>
        <v>0.62046068620610539</v>
      </c>
      <c r="H23" s="44">
        <f t="shared" si="34"/>
        <v>0.75057410684034187</v>
      </c>
      <c r="I23" s="44">
        <f t="shared" ref="I23:L23" si="35">IFERROR(I22/I24,0)</f>
        <v>1.0587930239704979</v>
      </c>
      <c r="J23" s="43">
        <f t="shared" si="35"/>
        <v>0.59176171084348994</v>
      </c>
      <c r="K23" s="42">
        <f t="shared" si="35"/>
        <v>0.98360338010698511</v>
      </c>
      <c r="L23" s="42">
        <f t="shared" si="35"/>
        <v>0.95638636071988059</v>
      </c>
      <c r="M23" s="42">
        <f t="shared" ref="M23" si="36">IFERROR(M22/M24,0)</f>
        <v>1.3302250316310462</v>
      </c>
      <c r="N23" s="43">
        <f t="shared" ref="N23:X23" si="37">IFERROR(N22/N24,0)</f>
        <v>2.2923500725180808</v>
      </c>
      <c r="O23" s="42">
        <f t="shared" si="37"/>
        <v>1.5582429600809125</v>
      </c>
      <c r="P23" s="42">
        <f t="shared" si="37"/>
        <v>0.80583482316268462</v>
      </c>
      <c r="Q23" s="42">
        <f t="shared" si="37"/>
        <v>1.2054239274248351</v>
      </c>
      <c r="R23" s="43">
        <f t="shared" si="37"/>
        <v>0.85540793584206121</v>
      </c>
      <c r="S23" s="42">
        <f t="shared" si="37"/>
        <v>0.97311302879744499</v>
      </c>
      <c r="T23" s="42">
        <f t="shared" si="37"/>
        <v>0.92190953467207204</v>
      </c>
      <c r="U23" s="42">
        <f t="shared" si="37"/>
        <v>0.74291226324093707</v>
      </c>
      <c r="V23" s="43">
        <f t="shared" si="37"/>
        <v>0.91574874321788424</v>
      </c>
      <c r="W23" s="42">
        <f t="shared" si="37"/>
        <v>1.0566126935350431</v>
      </c>
      <c r="X23" s="42">
        <f t="shared" si="37"/>
        <v>1.0250354274917337</v>
      </c>
    </row>
    <row r="24" spans="1:26" x14ac:dyDescent="0.15">
      <c r="A24" s="1" t="s">
        <v>13</v>
      </c>
      <c r="B24" s="18">
        <v>430.49599999999998</v>
      </c>
      <c r="C24" s="18">
        <v>426.79700000000003</v>
      </c>
      <c r="D24" s="18">
        <v>423.98099999999999</v>
      </c>
      <c r="E24" s="18">
        <v>422.858</v>
      </c>
      <c r="F24" s="17">
        <v>424.18</v>
      </c>
      <c r="G24" s="18">
        <v>427.10199999999998</v>
      </c>
      <c r="H24" s="18">
        <v>425.00799999999998</v>
      </c>
      <c r="I24" s="18">
        <v>416.512</v>
      </c>
      <c r="J24" s="17">
        <v>414.01799999999997</v>
      </c>
      <c r="K24" s="18">
        <v>412.76799999999997</v>
      </c>
      <c r="L24" s="18">
        <v>413.01299999999998</v>
      </c>
      <c r="M24" s="18">
        <v>403.38299999999998</v>
      </c>
      <c r="N24" s="17">
        <v>410.93200000000002</v>
      </c>
      <c r="O24" s="18">
        <v>413.286</v>
      </c>
      <c r="P24" s="18">
        <v>414.47699999999998</v>
      </c>
      <c r="Q24" s="18">
        <v>416.45100000000002</v>
      </c>
      <c r="R24" s="17">
        <v>426.697</v>
      </c>
      <c r="S24" s="18">
        <v>425.09100000000001</v>
      </c>
      <c r="T24" s="18">
        <v>423.03500000000003</v>
      </c>
      <c r="U24" s="18">
        <v>424.00700000000001</v>
      </c>
      <c r="V24" s="17">
        <v>421.51299999999998</v>
      </c>
      <c r="W24" s="18">
        <v>423.05</v>
      </c>
      <c r="X24" s="18">
        <v>423.4</v>
      </c>
    </row>
    <row r="25" spans="1:26" x14ac:dyDescent="0.15">
      <c r="B25" s="20"/>
      <c r="C25" s="20"/>
      <c r="D25" s="20"/>
      <c r="E25" s="20"/>
      <c r="K25" s="20"/>
      <c r="L25" s="20"/>
      <c r="M25" s="20"/>
      <c r="O25" s="20"/>
      <c r="P25" s="20"/>
      <c r="Q25" s="20"/>
    </row>
    <row r="26" spans="1:26" s="2" customFormat="1" x14ac:dyDescent="0.15">
      <c r="A26" s="2" t="s">
        <v>14</v>
      </c>
      <c r="B26" s="26"/>
      <c r="C26" s="26"/>
      <c r="D26" s="26"/>
      <c r="E26" s="26"/>
      <c r="F26" s="27">
        <f>IFERROR((F10/B10)-1,0)</f>
        <v>5.162144275314362E-2</v>
      </c>
      <c r="G26" s="26">
        <f>IFERROR((G10/C10)-1,0)</f>
        <v>0.11308349769888237</v>
      </c>
      <c r="H26" s="26">
        <f t="shared" ref="H26" si="38">IFERROR((H10/D10)-1,0)</f>
        <v>6.3397129186602896E-2</v>
      </c>
      <c r="I26" s="26">
        <f>IFERROR((I10/E10)-1,0)</f>
        <v>8.7794432548179868E-2</v>
      </c>
      <c r="J26" s="27">
        <f>IFERROR((J10/F10)-1,0)</f>
        <v>0.11076148521082452</v>
      </c>
      <c r="K26" s="26">
        <f t="shared" ref="K26" si="39">IFERROR((K10/G10)-1,0)</f>
        <v>0.14116952155936202</v>
      </c>
      <c r="L26" s="26">
        <f t="shared" ref="L26:Q26" si="40">IFERROR((L10/H10)-1,0)</f>
        <v>8.9988751406074208E-2</v>
      </c>
      <c r="M26" s="26">
        <f t="shared" si="40"/>
        <v>0.13631889763779537</v>
      </c>
      <c r="N26" s="27">
        <f t="shared" si="40"/>
        <v>0.13767705382436257</v>
      </c>
      <c r="O26" s="26">
        <f t="shared" si="40"/>
        <v>0.12525879917184257</v>
      </c>
      <c r="P26" s="26">
        <f t="shared" si="40"/>
        <v>0.1351909184726523</v>
      </c>
      <c r="Q26" s="26">
        <f t="shared" si="40"/>
        <v>0.12213079255088788</v>
      </c>
      <c r="R26" s="27">
        <f t="shared" ref="R26:T26" si="41">IFERROR((R10/N10)-1,0)</f>
        <v>0.22011952191235062</v>
      </c>
      <c r="S26" s="26">
        <f t="shared" si="41"/>
        <v>0.21067157313707452</v>
      </c>
      <c r="T26" s="26">
        <f t="shared" si="41"/>
        <v>0.20727272727272728</v>
      </c>
      <c r="U26" s="26">
        <f t="shared" ref="U26:Y26" si="42">IFERROR((U10/Q10)-1,0)</f>
        <v>0.18602856040138938</v>
      </c>
      <c r="V26" s="27">
        <f t="shared" si="42"/>
        <v>0.11591836734693883</v>
      </c>
      <c r="W26" s="26">
        <f t="shared" si="42"/>
        <v>9.2325227963525824E-2</v>
      </c>
      <c r="X26" s="26">
        <f t="shared" si="42"/>
        <v>7.8313253012048278E-2</v>
      </c>
      <c r="Y26" s="26">
        <f t="shared" si="42"/>
        <v>4.6029938171168183E-2</v>
      </c>
      <c r="Z26" s="24"/>
    </row>
    <row r="27" spans="1:26" s="2" customFormat="1" x14ac:dyDescent="0.15">
      <c r="A27" s="1" t="s">
        <v>38</v>
      </c>
      <c r="B27" s="28"/>
      <c r="C27" s="28"/>
      <c r="D27" s="28"/>
      <c r="E27" s="28"/>
      <c r="F27" s="29">
        <f>IFERROR((F13/B13)-1,0)</f>
        <v>0.16721311475409828</v>
      </c>
      <c r="G27" s="28">
        <f t="shared" ref="G27:H27" si="43">IFERROR((G13/C13)-1,0)</f>
        <v>0.12732919254658381</v>
      </c>
      <c r="H27" s="28">
        <f t="shared" si="43"/>
        <v>0.17522658610271913</v>
      </c>
      <c r="I27" s="28">
        <f>IFERROR((I13/E13)-1,0)</f>
        <v>0.15497076023391809</v>
      </c>
      <c r="J27" s="29">
        <f>IFERROR((J13/F13)-1,0)</f>
        <v>0.18258426966292141</v>
      </c>
      <c r="K27" s="28">
        <f t="shared" ref="K27:M27" si="44">IFERROR((K13/G13)-1,0)</f>
        <v>0.17906336088154262</v>
      </c>
      <c r="L27" s="28">
        <f t="shared" si="44"/>
        <v>0.15424164524421591</v>
      </c>
      <c r="M27" s="28">
        <f t="shared" si="44"/>
        <v>0.15696202531645564</v>
      </c>
      <c r="N27" s="29">
        <f t="shared" ref="N27:Q29" si="45">IFERROR((N13/J13)-1,0)</f>
        <v>7.6009501187648487E-2</v>
      </c>
      <c r="O27" s="28">
        <f t="shared" si="45"/>
        <v>0.12383177570093462</v>
      </c>
      <c r="P27" s="28">
        <f t="shared" si="45"/>
        <v>0.11135857461024501</v>
      </c>
      <c r="Q27" s="28">
        <f t="shared" si="45"/>
        <v>0.1859956236323852</v>
      </c>
      <c r="R27" s="29">
        <f t="shared" ref="R27:T29" si="46">IFERROR((R13/N13)-1,0)</f>
        <v>0.30242825607064017</v>
      </c>
      <c r="S27" s="28">
        <f t="shared" si="46"/>
        <v>0.27650727650727647</v>
      </c>
      <c r="T27" s="28">
        <f t="shared" si="46"/>
        <v>0.28657314629258512</v>
      </c>
      <c r="U27" s="28">
        <f t="shared" ref="U27:X29" si="47">IFERROR((U13/Q13)-1,0)</f>
        <v>0.24723247232472323</v>
      </c>
      <c r="V27" s="29">
        <f t="shared" si="47"/>
        <v>0.12711864406779672</v>
      </c>
      <c r="W27" s="28">
        <f t="shared" si="47"/>
        <v>0.10586319218241047</v>
      </c>
      <c r="X27" s="28">
        <f t="shared" si="47"/>
        <v>0.11214953271028039</v>
      </c>
      <c r="Y27" s="24"/>
      <c r="Z27" s="24"/>
    </row>
    <row r="28" spans="1:26" s="2" customFormat="1" x14ac:dyDescent="0.15">
      <c r="A28" s="1" t="s">
        <v>39</v>
      </c>
      <c r="B28" s="28"/>
      <c r="C28" s="28"/>
      <c r="D28" s="28"/>
      <c r="E28" s="28"/>
      <c r="F28" s="29">
        <f>IFERROR((F14/B14)-1,0)</f>
        <v>5.4104477611940371E-2</v>
      </c>
      <c r="G28" s="28">
        <f t="shared" ref="G28:M28" si="48">IFERROR((G14/C14)-1,0)</f>
        <v>2.6548672566371723E-2</v>
      </c>
      <c r="H28" s="28">
        <f t="shared" si="48"/>
        <v>1.4388489208633004E-2</v>
      </c>
      <c r="I28" s="28">
        <f t="shared" si="48"/>
        <v>5.555555555555558E-2</v>
      </c>
      <c r="J28" s="29">
        <f t="shared" si="48"/>
        <v>2.4778761061946986E-2</v>
      </c>
      <c r="K28" s="28">
        <f t="shared" si="48"/>
        <v>5.6896551724137989E-2</v>
      </c>
      <c r="L28" s="28">
        <f t="shared" si="48"/>
        <v>0.1063829787234043</v>
      </c>
      <c r="M28" s="28">
        <f t="shared" si="48"/>
        <v>0.12848297213622284</v>
      </c>
      <c r="N28" s="29">
        <f t="shared" si="45"/>
        <v>0.21934369602763382</v>
      </c>
      <c r="O28" s="28">
        <f t="shared" si="45"/>
        <v>0.13539967373572592</v>
      </c>
      <c r="P28" s="28">
        <f t="shared" si="45"/>
        <v>0.13301282051282048</v>
      </c>
      <c r="Q28" s="28">
        <f t="shared" si="45"/>
        <v>0.10699588477366251</v>
      </c>
      <c r="R28" s="29">
        <f t="shared" si="46"/>
        <v>0.22946175637393762</v>
      </c>
      <c r="S28" s="28">
        <f t="shared" si="46"/>
        <v>0.27586206896551735</v>
      </c>
      <c r="T28" s="28">
        <f t="shared" si="46"/>
        <v>0.29844413012729842</v>
      </c>
      <c r="U28" s="28">
        <f t="shared" si="47"/>
        <v>0.24287484510532842</v>
      </c>
      <c r="V28" s="29">
        <f t="shared" si="47"/>
        <v>5.6451612903225756E-2</v>
      </c>
      <c r="W28" s="28">
        <f t="shared" si="47"/>
        <v>1.0135135135135087E-2</v>
      </c>
      <c r="X28" s="28">
        <f t="shared" si="47"/>
        <v>-6.5359477124182774E-3</v>
      </c>
      <c r="Y28" s="24"/>
      <c r="Z28" s="24"/>
    </row>
    <row r="29" spans="1:26" s="2" customFormat="1" x14ac:dyDescent="0.15">
      <c r="A29" s="1" t="s">
        <v>40</v>
      </c>
      <c r="B29" s="28"/>
      <c r="C29" s="28"/>
      <c r="D29" s="28"/>
      <c r="E29" s="28"/>
      <c r="F29" s="29">
        <f>IFERROR((F15/B15)-1,0)</f>
        <v>7.6555023923444931E-2</v>
      </c>
      <c r="G29" s="28">
        <f t="shared" ref="G29:M29" si="49">IFERROR((G15/C15)-1,0)</f>
        <v>-6.7415730337078705E-2</v>
      </c>
      <c r="H29" s="28">
        <f t="shared" si="49"/>
        <v>-0.11442786069651745</v>
      </c>
      <c r="I29" s="28">
        <f t="shared" si="49"/>
        <v>-0.13930348258706471</v>
      </c>
      <c r="J29" s="29">
        <f>IFERROR((J15/F15)-1,0)</f>
        <v>-4.4444444444444398E-2</v>
      </c>
      <c r="K29" s="28">
        <f t="shared" si="49"/>
        <v>0.18072289156626509</v>
      </c>
      <c r="L29" s="28">
        <f t="shared" si="49"/>
        <v>-5.6179775280899014E-3</v>
      </c>
      <c r="M29" s="28">
        <f t="shared" si="49"/>
        <v>-1.1560693641618491E-2</v>
      </c>
      <c r="N29" s="29">
        <f t="shared" si="45"/>
        <v>-0.20465116279069773</v>
      </c>
      <c r="O29" s="28">
        <f t="shared" si="45"/>
        <v>-6.6326530612244916E-2</v>
      </c>
      <c r="P29" s="28">
        <f t="shared" si="45"/>
        <v>3.9548022598870025E-2</v>
      </c>
      <c r="Q29" s="28">
        <f t="shared" si="45"/>
        <v>0.3742690058479532</v>
      </c>
      <c r="R29" s="29">
        <f t="shared" si="46"/>
        <v>0.22222222222222232</v>
      </c>
      <c r="S29" s="28">
        <f t="shared" si="46"/>
        <v>0.21857923497267762</v>
      </c>
      <c r="T29" s="28">
        <f t="shared" si="46"/>
        <v>0.46195652173913038</v>
      </c>
      <c r="U29" s="28">
        <f t="shared" si="47"/>
        <v>1.8553191489361702</v>
      </c>
      <c r="V29" s="29">
        <f t="shared" si="47"/>
        <v>0.19617224880382778</v>
      </c>
      <c r="W29" s="28">
        <f t="shared" si="47"/>
        <v>0.24215246636771304</v>
      </c>
      <c r="X29" s="28">
        <f t="shared" si="47"/>
        <v>9.2936802973977661E-2</v>
      </c>
      <c r="Y29" s="24"/>
      <c r="Z29" s="24"/>
    </row>
    <row r="30" spans="1:26" x14ac:dyDescent="0.15">
      <c r="B30" s="20"/>
      <c r="C30" s="20"/>
      <c r="D30" s="20"/>
      <c r="E30" s="20"/>
      <c r="K30" s="20"/>
      <c r="L30" s="20"/>
      <c r="M30" s="20"/>
      <c r="O30" s="20"/>
      <c r="P30" s="20"/>
      <c r="Q30" s="20"/>
      <c r="S30" s="20"/>
      <c r="T30" s="20"/>
      <c r="U30" s="20"/>
      <c r="W30" s="20"/>
      <c r="X30" s="20"/>
    </row>
    <row r="31" spans="1:26" x14ac:dyDescent="0.15">
      <c r="A31" s="1" t="s">
        <v>15</v>
      </c>
      <c r="B31" s="30">
        <f>IFERROR(B12/B10,0)</f>
        <v>0.83917935142289879</v>
      </c>
      <c r="C31" s="30">
        <f>IFERROR(C12/C10,0)</f>
        <v>0.83563445101906642</v>
      </c>
      <c r="D31" s="30">
        <f>IFERROR(D12/D10,0)</f>
        <v>0.84569377990430628</v>
      </c>
      <c r="E31" s="30">
        <f>IFERROR(E12/E10,0)</f>
        <v>0.85760171306209854</v>
      </c>
      <c r="F31" s="31">
        <f>IFERROR(F12/F10,0)</f>
        <v>0.842039018250472</v>
      </c>
      <c r="G31" s="32">
        <f t="shared" ref="G31:L31" si="50">IFERROR(G12/G10,0)</f>
        <v>0.84583579444772594</v>
      </c>
      <c r="H31" s="32">
        <f t="shared" si="50"/>
        <v>0.85039370078740162</v>
      </c>
      <c r="I31" s="32">
        <f t="shared" si="50"/>
        <v>0.86466535433070868</v>
      </c>
      <c r="J31" s="31">
        <f t="shared" si="50"/>
        <v>0.83626062322946171</v>
      </c>
      <c r="K31" s="30">
        <f t="shared" si="50"/>
        <v>0.86024844720496896</v>
      </c>
      <c r="L31" s="30">
        <f t="shared" si="50"/>
        <v>0.85655314757481937</v>
      </c>
      <c r="M31" s="30">
        <f t="shared" ref="M31" si="51">IFERROR(M12/M10,0)</f>
        <v>0.86834127327847555</v>
      </c>
      <c r="N31" s="31">
        <f t="shared" ref="N31:O31" si="52">IFERROR(N12/N10,0)</f>
        <v>0.85258964143426297</v>
      </c>
      <c r="O31" s="30">
        <f t="shared" si="52"/>
        <v>0.85970561177552896</v>
      </c>
      <c r="P31" s="30">
        <f t="shared" ref="P31:R31" si="53">IFERROR(P12/P10,0)</f>
        <v>0.85681818181818181</v>
      </c>
      <c r="Q31" s="30">
        <f t="shared" si="53"/>
        <v>0.86761868004631415</v>
      </c>
      <c r="R31" s="31">
        <f t="shared" si="53"/>
        <v>0.82489795918367348</v>
      </c>
      <c r="S31" s="30">
        <f t="shared" ref="S31:T31" si="54">IFERROR(S12/S10,0)</f>
        <v>0.83244680851063835</v>
      </c>
      <c r="T31" s="30">
        <f t="shared" si="54"/>
        <v>0.82831325301204817</v>
      </c>
      <c r="U31" s="30">
        <f t="shared" ref="U31:V31" si="55">IFERROR(U12/U10,0)</f>
        <v>0.84607875040676861</v>
      </c>
      <c r="V31" s="31">
        <f t="shared" si="55"/>
        <v>0.82297000731528891</v>
      </c>
      <c r="W31" s="30">
        <f t="shared" ref="W31:X31" si="56">IFERROR(W12/W10,0)</f>
        <v>0.83026086956521739</v>
      </c>
      <c r="X31" s="30">
        <f t="shared" si="56"/>
        <v>0.81983240223463683</v>
      </c>
    </row>
    <row r="32" spans="1:26" x14ac:dyDescent="0.15">
      <c r="A32" s="1" t="s">
        <v>16</v>
      </c>
      <c r="B32" s="33">
        <f>IFERROR(B17/B10,0)</f>
        <v>0.1442753143613501</v>
      </c>
      <c r="C32" s="33">
        <f>IFERROR(C17/C10,0)</f>
        <v>0.13543721236028927</v>
      </c>
      <c r="D32" s="33">
        <f>IFERROR(D17/D10,0)</f>
        <v>0.19497607655502391</v>
      </c>
      <c r="E32" s="33">
        <f>IFERROR(E17/E10,0)</f>
        <v>0.23929336188436831</v>
      </c>
      <c r="F32" s="34">
        <f>IFERROR(F17/F10,0)</f>
        <v>0.12083071113908118</v>
      </c>
      <c r="G32" s="35">
        <f t="shared" ref="G32:L32" si="57">IFERROR(G17/G10,0)</f>
        <v>0.19078558771411694</v>
      </c>
      <c r="H32" s="35">
        <f t="shared" si="57"/>
        <v>0.21428571428571427</v>
      </c>
      <c r="I32" s="35">
        <f t="shared" si="57"/>
        <v>0.26722440944881892</v>
      </c>
      <c r="J32" s="34">
        <f t="shared" si="57"/>
        <v>0.14787535410764874</v>
      </c>
      <c r="K32" s="33">
        <f t="shared" si="57"/>
        <v>0.21997929606625258</v>
      </c>
      <c r="L32" s="33">
        <f t="shared" si="57"/>
        <v>0.21155830753353974</v>
      </c>
      <c r="M32" s="33">
        <f t="shared" ref="M32" si="58">IFERROR(M17/M10,0)</f>
        <v>0.28064097011693373</v>
      </c>
      <c r="N32" s="34">
        <f t="shared" ref="N32:O32" si="59">IFERROR(N17/N10,0)</f>
        <v>0.19023904382470119</v>
      </c>
      <c r="O32" s="33">
        <f t="shared" si="59"/>
        <v>0.23413063477460902</v>
      </c>
      <c r="P32" s="33">
        <f t="shared" ref="P32:R32" si="60">IFERROR(P17/P10,0)</f>
        <v>0.22500000000000001</v>
      </c>
      <c r="Q32" s="33">
        <f t="shared" si="60"/>
        <v>0.25627170976456964</v>
      </c>
      <c r="R32" s="34">
        <f t="shared" si="60"/>
        <v>0.14448979591836736</v>
      </c>
      <c r="S32" s="33">
        <f t="shared" ref="S32:T32" si="61">IFERROR(S17/S10,0)</f>
        <v>0.17705167173252279</v>
      </c>
      <c r="T32" s="33">
        <f t="shared" si="61"/>
        <v>0.13968373493975902</v>
      </c>
      <c r="U32" s="33">
        <f t="shared" ref="U32:V32" si="62">IFERROR(U17/U10,0)</f>
        <v>8.1353726000650828E-2</v>
      </c>
      <c r="V32" s="34">
        <f t="shared" si="62"/>
        <v>0.1528895391367959</v>
      </c>
      <c r="W32" s="33">
        <f t="shared" ref="W32:X32" si="63">IFERROR(W17/W10,0)</f>
        <v>0.1857391304347826</v>
      </c>
      <c r="X32" s="33">
        <f t="shared" si="63"/>
        <v>0.1494413407821229</v>
      </c>
    </row>
    <row r="33" spans="1:26" x14ac:dyDescent="0.15">
      <c r="A33" s="1" t="s">
        <v>17</v>
      </c>
      <c r="B33" s="33">
        <f>IFERROR(B20/B19,0)</f>
        <v>0.11711711711711711</v>
      </c>
      <c r="C33" s="33">
        <f t="shared" ref="C33" si="64">IFERROR(C20/C19,0)</f>
        <v>0.19248826291079812</v>
      </c>
      <c r="D33" s="33">
        <f t="shared" ref="D33:E33" si="65">IFERROR(D20/D19,0)</f>
        <v>0.21076923076923076</v>
      </c>
      <c r="E33" s="33">
        <f t="shared" si="65"/>
        <v>0.17660044150110377</v>
      </c>
      <c r="F33" s="34">
        <f>IFERROR(F20/F19,0)</f>
        <v>0.19500000000000001</v>
      </c>
      <c r="G33" s="35">
        <f>IFERROR(G20/G19,0)</f>
        <v>0.21364985163204747</v>
      </c>
      <c r="H33" s="35">
        <f>IFERROR(H20/H19,0)</f>
        <v>0.17571059431524547</v>
      </c>
      <c r="I33" s="35">
        <f t="shared" ref="I33:L33" si="66">IFERROR(I20/I19,0)</f>
        <v>0.19672131147540983</v>
      </c>
      <c r="J33" s="34">
        <f t="shared" si="66"/>
        <v>0.12811387900355872</v>
      </c>
      <c r="K33" s="33">
        <f t="shared" si="66"/>
        <v>0.17813765182186234</v>
      </c>
      <c r="L33" s="33">
        <f t="shared" si="66"/>
        <v>4.3583535108958835E-2</v>
      </c>
      <c r="M33" s="33">
        <f>IFERROR(M20/M19,0)</f>
        <v>0.1967213114754098</v>
      </c>
      <c r="N33" s="34">
        <f t="shared" ref="N33:O33" si="67">IFERROR(N20/N19,0)</f>
        <v>0.19829787234042554</v>
      </c>
      <c r="O33" s="33">
        <f t="shared" si="67"/>
        <v>0.16580310880829016</v>
      </c>
      <c r="P33" s="33">
        <f t="shared" ref="P33:R33" si="68">IFERROR(P20/P19,0)</f>
        <v>3.1884057971014491E-2</v>
      </c>
      <c r="Q33" s="33">
        <f t="shared" si="68"/>
        <v>0.15059221658206429</v>
      </c>
      <c r="R33" s="34">
        <f t="shared" si="68"/>
        <v>-3.9886039886039885E-2</v>
      </c>
      <c r="S33" s="33">
        <f t="shared" ref="S33:T33" si="69">IFERROR(S20/S19,0)</f>
        <v>0.15059221658206429</v>
      </c>
      <c r="T33" s="33">
        <f t="shared" si="69"/>
        <v>-8.3333333333333329E-2</v>
      </c>
      <c r="U33" s="33">
        <f t="shared" ref="U33:V33" si="70">IFERROR(U20/U19,0)</f>
        <v>-0.31799163179916318</v>
      </c>
      <c r="V33" s="34">
        <f t="shared" si="70"/>
        <v>-4.8913043478260872E-2</v>
      </c>
      <c r="W33" s="33">
        <f t="shared" ref="W33:X33" si="71">IFERROR(W20/W19,0)</f>
        <v>9.696969696969697E-2</v>
      </c>
      <c r="X33" s="33">
        <f t="shared" si="71"/>
        <v>0.21660649819494585</v>
      </c>
    </row>
    <row r="34" spans="1:26" x14ac:dyDescent="0.15">
      <c r="B34" s="20"/>
      <c r="C34" s="20"/>
      <c r="D34" s="20"/>
      <c r="E34" s="20"/>
      <c r="K34" s="20"/>
      <c r="L34" s="20"/>
      <c r="M34" s="20"/>
      <c r="O34" s="20"/>
      <c r="P34" s="20"/>
      <c r="Q34" s="20"/>
    </row>
    <row r="35" spans="1:26" s="2" customFormat="1" x14ac:dyDescent="0.15">
      <c r="A35" s="8" t="s">
        <v>22</v>
      </c>
      <c r="B35" s="21"/>
      <c r="C35" s="21"/>
      <c r="D35" s="21"/>
      <c r="E35" s="36">
        <f>E36-E37</f>
        <v>7509</v>
      </c>
      <c r="F35" s="37">
        <f>F36-F37</f>
        <v>8246</v>
      </c>
      <c r="G35" s="38">
        <f t="shared" ref="G35:K35" si="72">G36-G37</f>
        <v>8665</v>
      </c>
      <c r="H35" s="38">
        <f t="shared" si="72"/>
        <v>8254</v>
      </c>
      <c r="I35" s="38">
        <f t="shared" si="72"/>
        <v>7985</v>
      </c>
      <c r="J35" s="37">
        <f t="shared" si="72"/>
        <v>8612</v>
      </c>
      <c r="K35" s="36">
        <f t="shared" si="72"/>
        <v>8902</v>
      </c>
      <c r="L35" s="36">
        <f t="shared" ref="L35:Q35" si="73">L36-L37</f>
        <v>7650</v>
      </c>
      <c r="M35" s="36">
        <f t="shared" si="73"/>
        <v>7419</v>
      </c>
      <c r="N35" s="37">
        <f t="shared" si="73"/>
        <v>8394</v>
      </c>
      <c r="O35" s="36">
        <f t="shared" si="73"/>
        <v>9062</v>
      </c>
      <c r="P35" s="36">
        <f t="shared" si="73"/>
        <v>9287</v>
      </c>
      <c r="Q35" s="36">
        <f t="shared" si="73"/>
        <v>-1393</v>
      </c>
      <c r="R35" s="47"/>
      <c r="S35" s="24"/>
      <c r="T35" s="24"/>
      <c r="U35" s="36">
        <f t="shared" ref="U35" si="74">U36-U37</f>
        <v>-2563</v>
      </c>
      <c r="V35" s="37">
        <f t="shared" ref="V35:X35" si="75">V36-V37</f>
        <v>-1514</v>
      </c>
      <c r="W35" s="36">
        <f t="shared" si="75"/>
        <v>-1511</v>
      </c>
      <c r="X35" s="36">
        <f t="shared" si="75"/>
        <v>-817</v>
      </c>
      <c r="Y35" s="24"/>
      <c r="Z35" s="24"/>
    </row>
    <row r="36" spans="1:26" x14ac:dyDescent="0.15">
      <c r="A36" s="3" t="s">
        <v>23</v>
      </c>
      <c r="B36" s="18"/>
      <c r="C36" s="18"/>
      <c r="D36" s="18"/>
      <c r="E36" s="18">
        <f>2493+5016</f>
        <v>7509</v>
      </c>
      <c r="F36" s="17">
        <f>2785+5461</f>
        <v>8246</v>
      </c>
      <c r="G36" s="18">
        <f>2991+5674</f>
        <v>8665</v>
      </c>
      <c r="H36" s="18">
        <f>2654+5600</f>
        <v>8254</v>
      </c>
      <c r="I36" s="18">
        <f>2790+5195</f>
        <v>7985</v>
      </c>
      <c r="J36" s="17">
        <f>3864+4748</f>
        <v>8612</v>
      </c>
      <c r="K36" s="18">
        <f>3552+5350</f>
        <v>8902</v>
      </c>
      <c r="L36" s="18">
        <f>6012+5600</f>
        <v>11612</v>
      </c>
      <c r="M36" s="18">
        <f>5971+5682</f>
        <v>11653</v>
      </c>
      <c r="N36" s="17">
        <f>7101+5529</f>
        <v>12630</v>
      </c>
      <c r="O36" s="18">
        <f>8121+5179</f>
        <v>13300</v>
      </c>
      <c r="P36" s="18">
        <f>9189+4338</f>
        <v>13527</v>
      </c>
      <c r="Q36" s="18">
        <f>2830+19</f>
        <v>2849</v>
      </c>
      <c r="U36" s="18">
        <v>2915</v>
      </c>
      <c r="V36" s="17">
        <v>5946</v>
      </c>
      <c r="W36" s="18">
        <v>4703</v>
      </c>
      <c r="X36" s="18">
        <v>3898</v>
      </c>
    </row>
    <row r="37" spans="1:26" x14ac:dyDescent="0.15">
      <c r="A37" s="3" t="s">
        <v>24</v>
      </c>
      <c r="B37" s="18"/>
      <c r="C37" s="18"/>
      <c r="D37" s="18"/>
      <c r="E37" s="18">
        <v>0</v>
      </c>
      <c r="F37" s="17">
        <v>0</v>
      </c>
      <c r="G37" s="18">
        <v>0</v>
      </c>
      <c r="H37" s="18">
        <v>0</v>
      </c>
      <c r="I37" s="18">
        <v>0</v>
      </c>
      <c r="J37" s="17">
        <v>0</v>
      </c>
      <c r="K37" s="18">
        <v>0</v>
      </c>
      <c r="L37" s="18">
        <v>3962</v>
      </c>
      <c r="M37" s="18">
        <f>270+3964</f>
        <v>4234</v>
      </c>
      <c r="N37" s="17">
        <f>270+3966</f>
        <v>4236</v>
      </c>
      <c r="O37" s="18">
        <f>270+3968</f>
        <v>4238</v>
      </c>
      <c r="P37" s="18">
        <f>270+3970</f>
        <v>4240</v>
      </c>
      <c r="Q37" s="18">
        <f>270+3972</f>
        <v>4242</v>
      </c>
      <c r="U37" s="18">
        <f>2747+2731</f>
        <v>5478</v>
      </c>
      <c r="V37" s="17">
        <f>2748+4712</f>
        <v>7460</v>
      </c>
      <c r="W37" s="18">
        <f>1500+4714</f>
        <v>6214</v>
      </c>
      <c r="X37" s="18">
        <v>4715</v>
      </c>
    </row>
    <row r="38" spans="1:26" x14ac:dyDescent="0.15">
      <c r="A38" s="3"/>
      <c r="V38" s="60" t="s">
        <v>126</v>
      </c>
      <c r="W38" s="58" t="s">
        <v>126</v>
      </c>
    </row>
    <row r="39" spans="1:26" x14ac:dyDescent="0.15">
      <c r="A39" s="10" t="s">
        <v>55</v>
      </c>
      <c r="B39" s="16"/>
      <c r="C39" s="16"/>
      <c r="D39" s="16"/>
      <c r="E39" s="16"/>
      <c r="F39" s="17"/>
      <c r="G39" s="16"/>
      <c r="H39" s="16"/>
      <c r="I39" s="16"/>
      <c r="J39" s="17"/>
      <c r="K39" s="16"/>
      <c r="L39" s="16"/>
      <c r="M39" s="16">
        <f>548+4597</f>
        <v>5145</v>
      </c>
      <c r="N39" s="17">
        <f>535+4596</f>
        <v>5131</v>
      </c>
      <c r="O39" s="16">
        <f>4596+496</f>
        <v>5092</v>
      </c>
      <c r="P39" s="16">
        <f>558+4989</f>
        <v>5547</v>
      </c>
      <c r="Q39" s="16">
        <f>541+5381</f>
        <v>5922</v>
      </c>
      <c r="U39" s="16">
        <f>1172+9329</f>
        <v>10501</v>
      </c>
      <c r="V39" s="17">
        <f>1106+9353</f>
        <v>10459</v>
      </c>
      <c r="W39" s="16">
        <f>1109+9547</f>
        <v>10656</v>
      </c>
      <c r="X39" s="16">
        <f>1059+9559</f>
        <v>10618</v>
      </c>
    </row>
    <row r="40" spans="1:26" x14ac:dyDescent="0.15">
      <c r="A40" s="10" t="s">
        <v>56</v>
      </c>
      <c r="B40" s="16"/>
      <c r="C40" s="16"/>
      <c r="D40" s="16"/>
      <c r="E40" s="16"/>
      <c r="F40" s="17"/>
      <c r="G40" s="16"/>
      <c r="H40" s="16"/>
      <c r="I40" s="16"/>
      <c r="J40" s="17"/>
      <c r="K40" s="16"/>
      <c r="L40" s="16"/>
      <c r="M40" s="16">
        <v>21206</v>
      </c>
      <c r="N40" s="17">
        <v>22088</v>
      </c>
      <c r="O40" s="16">
        <v>23409</v>
      </c>
      <c r="P40" s="16">
        <v>23962</v>
      </c>
      <c r="Q40" s="16">
        <v>14662</v>
      </c>
      <c r="U40" s="16">
        <v>26294</v>
      </c>
      <c r="V40" s="17">
        <v>28442</v>
      </c>
      <c r="W40" s="16">
        <v>28175</v>
      </c>
      <c r="X40" s="16">
        <v>27324</v>
      </c>
    </row>
    <row r="41" spans="1:26" x14ac:dyDescent="0.15">
      <c r="A41" s="10" t="s">
        <v>57</v>
      </c>
      <c r="B41" s="16"/>
      <c r="C41" s="16"/>
      <c r="D41" s="16"/>
      <c r="E41" s="16"/>
      <c r="F41" s="17"/>
      <c r="G41" s="16"/>
      <c r="H41" s="16"/>
      <c r="I41" s="16"/>
      <c r="J41" s="17"/>
      <c r="K41" s="16"/>
      <c r="L41" s="16"/>
      <c r="M41" s="16">
        <v>12582</v>
      </c>
      <c r="N41" s="17">
        <v>12428</v>
      </c>
      <c r="O41" s="16">
        <v>13017</v>
      </c>
      <c r="P41" s="16">
        <v>13051</v>
      </c>
      <c r="Q41" s="16">
        <v>14111</v>
      </c>
      <c r="U41" s="16">
        <v>19285</v>
      </c>
      <c r="V41" s="17">
        <v>21014</v>
      </c>
      <c r="W41" s="16">
        <v>20268</v>
      </c>
      <c r="X41" s="16">
        <v>18848</v>
      </c>
    </row>
    <row r="42" spans="1:26" x14ac:dyDescent="0.15">
      <c r="A42" s="9"/>
      <c r="B42" s="16"/>
      <c r="C42" s="16"/>
      <c r="D42" s="16"/>
      <c r="E42" s="16"/>
      <c r="F42" s="17"/>
      <c r="G42" s="16"/>
      <c r="H42" s="16"/>
      <c r="I42" s="16"/>
      <c r="J42" s="17"/>
      <c r="K42" s="16"/>
      <c r="L42" s="16"/>
      <c r="M42" s="16"/>
      <c r="N42" s="17"/>
      <c r="O42" s="16"/>
      <c r="P42" s="16"/>
      <c r="Q42" s="16"/>
      <c r="U42" s="16"/>
      <c r="V42" s="17"/>
      <c r="W42" s="16"/>
      <c r="X42" s="16"/>
    </row>
    <row r="43" spans="1:26" x14ac:dyDescent="0.15">
      <c r="A43" s="10" t="s">
        <v>58</v>
      </c>
      <c r="B43" s="16"/>
      <c r="C43" s="16"/>
      <c r="D43" s="16"/>
      <c r="E43" s="16"/>
      <c r="F43" s="17"/>
      <c r="G43" s="16"/>
      <c r="H43" s="16"/>
      <c r="I43" s="16"/>
      <c r="J43" s="17"/>
      <c r="K43" s="16"/>
      <c r="L43" s="16"/>
      <c r="M43" s="41">
        <f>M40-M39-M36</f>
        <v>4408</v>
      </c>
      <c r="N43" s="40">
        <f>N40-N39-N36</f>
        <v>4327</v>
      </c>
      <c r="O43" s="41">
        <f>O40-O39-O36</f>
        <v>5017</v>
      </c>
      <c r="P43" s="41">
        <f>P40-P39-P36</f>
        <v>4888</v>
      </c>
      <c r="Q43" s="41">
        <f>Q40-Q39-Q36</f>
        <v>5891</v>
      </c>
      <c r="U43" s="41">
        <f>U40-U39-U36</f>
        <v>12878</v>
      </c>
      <c r="V43" s="40">
        <f>V40-V39-V36</f>
        <v>12037</v>
      </c>
      <c r="W43" s="41">
        <f>W40-W39-W36</f>
        <v>12816</v>
      </c>
      <c r="X43" s="41">
        <f>X40-X39-X36</f>
        <v>12808</v>
      </c>
    </row>
    <row r="44" spans="1:26" x14ac:dyDescent="0.15">
      <c r="A44" s="10" t="s">
        <v>59</v>
      </c>
      <c r="B44" s="16"/>
      <c r="C44" s="16"/>
      <c r="D44" s="16"/>
      <c r="E44" s="16"/>
      <c r="F44" s="17"/>
      <c r="G44" s="16"/>
      <c r="H44" s="16"/>
      <c r="I44" s="16"/>
      <c r="J44" s="17"/>
      <c r="K44" s="16"/>
      <c r="L44" s="16"/>
      <c r="M44" s="41">
        <f>M40-M41</f>
        <v>8624</v>
      </c>
      <c r="N44" s="40">
        <f>N40-N41</f>
        <v>9660</v>
      </c>
      <c r="O44" s="41">
        <f>O40-O41</f>
        <v>10392</v>
      </c>
      <c r="P44" s="41">
        <f>P40-P41</f>
        <v>10911</v>
      </c>
      <c r="Q44" s="41">
        <f>Q40-Q41</f>
        <v>551</v>
      </c>
      <c r="U44" s="41">
        <f>U40-U41</f>
        <v>7009</v>
      </c>
      <c r="V44" s="40">
        <f>V40-V41</f>
        <v>7428</v>
      </c>
      <c r="W44" s="41">
        <f>W40-W41</f>
        <v>7907</v>
      </c>
      <c r="X44" s="41">
        <f>X40-X41</f>
        <v>8476</v>
      </c>
    </row>
    <row r="45" spans="1:26" x14ac:dyDescent="0.15">
      <c r="A45" s="9"/>
      <c r="B45" s="16"/>
      <c r="C45" s="16"/>
      <c r="D45" s="16"/>
      <c r="E45" s="16"/>
      <c r="F45" s="17"/>
      <c r="G45" s="16"/>
      <c r="H45" s="16"/>
      <c r="I45" s="16"/>
      <c r="J45" s="17"/>
      <c r="K45" s="16"/>
      <c r="L45" s="16"/>
      <c r="M45" s="16"/>
      <c r="N45" s="17"/>
      <c r="O45" s="16"/>
      <c r="P45" s="16"/>
      <c r="Q45" s="16"/>
      <c r="U45" s="16"/>
      <c r="V45" s="17"/>
      <c r="W45" s="16"/>
      <c r="X45" s="16"/>
    </row>
    <row r="46" spans="1:26" s="2" customFormat="1" x14ac:dyDescent="0.15">
      <c r="A46" s="46" t="s">
        <v>71</v>
      </c>
      <c r="B46" s="23"/>
      <c r="C46" s="23"/>
      <c r="D46" s="23"/>
      <c r="E46" s="23"/>
      <c r="F46" s="22"/>
      <c r="G46" s="23"/>
      <c r="H46" s="23"/>
      <c r="I46" s="23"/>
      <c r="J46" s="22"/>
      <c r="K46" s="23"/>
      <c r="L46" s="23"/>
      <c r="M46" s="38">
        <f>SUM(J22:M22)</f>
        <v>1582.5901639344263</v>
      </c>
      <c r="N46" s="37">
        <f>SUM(K22:N22)</f>
        <v>2279.5901639344265</v>
      </c>
      <c r="O46" s="38">
        <f>SUM(L22:O22)</f>
        <v>2517.5901639344265</v>
      </c>
      <c r="P46" s="38">
        <f>SUM(M22:P22)</f>
        <v>2456.5901639344265</v>
      </c>
      <c r="Q46" s="38">
        <f>SUM(N22:Q22)</f>
        <v>2422</v>
      </c>
      <c r="R46" s="47"/>
      <c r="S46" s="24"/>
      <c r="T46" s="24"/>
      <c r="U46" s="38">
        <f>SUM(R22:U22)</f>
        <v>1483.6615905245346</v>
      </c>
      <c r="V46" s="37">
        <f>SUM(S22:V22)</f>
        <v>1504.6615905245346</v>
      </c>
      <c r="W46" s="38">
        <f>SUM(T22:W22)</f>
        <v>1538</v>
      </c>
      <c r="X46" s="38">
        <f>SUM(U22:X22)</f>
        <v>1582</v>
      </c>
      <c r="Y46" s="24"/>
      <c r="Z46" s="24"/>
    </row>
    <row r="47" spans="1:26" x14ac:dyDescent="0.15">
      <c r="A47" s="13" t="s">
        <v>60</v>
      </c>
      <c r="M47" s="32">
        <f>M46/M44</f>
        <v>0.18350999117978042</v>
      </c>
      <c r="N47" s="31">
        <f>N46/N44</f>
        <v>0.23598241862675223</v>
      </c>
      <c r="O47" s="32">
        <f>O46/O44</f>
        <v>0.24226233294211186</v>
      </c>
      <c r="P47" s="32">
        <f>P46/P44</f>
        <v>0.2251480307886011</v>
      </c>
      <c r="Q47" s="32">
        <f>Q46/Q44</f>
        <v>4.3956442831215972</v>
      </c>
      <c r="U47" s="32">
        <f>U46/U44</f>
        <v>0.21167949643665782</v>
      </c>
      <c r="V47" s="31">
        <f>V46/V44</f>
        <v>0.20256618073835952</v>
      </c>
      <c r="W47" s="32">
        <f>W46/W44</f>
        <v>0.19451119261413938</v>
      </c>
      <c r="X47" s="32">
        <f>X46/X44</f>
        <v>0.18664464369985842</v>
      </c>
    </row>
    <row r="48" spans="1:26" x14ac:dyDescent="0.15">
      <c r="A48" s="13" t="s">
        <v>61</v>
      </c>
      <c r="M48" s="32">
        <f>M46/M40</f>
        <v>7.4629357914478278E-2</v>
      </c>
      <c r="N48" s="31">
        <f>N46/N40</f>
        <v>0.10320491506403597</v>
      </c>
      <c r="O48" s="32">
        <f>O46/O40</f>
        <v>0.10754795864558189</v>
      </c>
      <c r="P48" s="32">
        <f>P46/P40</f>
        <v>0.102520247222036</v>
      </c>
      <c r="Q48" s="32">
        <f>Q46/Q40</f>
        <v>0.16518892374846542</v>
      </c>
      <c r="U48" s="32">
        <f>U46/U40</f>
        <v>5.6425861052884101E-2</v>
      </c>
      <c r="V48" s="31">
        <f>V46/V40</f>
        <v>5.2902805376715233E-2</v>
      </c>
      <c r="W48" s="32">
        <f>W46/W40</f>
        <v>5.4587400177462289E-2</v>
      </c>
      <c r="X48" s="32">
        <f>X46/X40</f>
        <v>5.7897818767383986E-2</v>
      </c>
    </row>
    <row r="49" spans="1:25" x14ac:dyDescent="0.15">
      <c r="A49" s="13" t="s">
        <v>62</v>
      </c>
      <c r="M49" s="32">
        <f>M46/(M44-M39)</f>
        <v>0.45489800630480781</v>
      </c>
      <c r="N49" s="31">
        <f>N46/(N44-N39)</f>
        <v>0.50333189753464924</v>
      </c>
      <c r="O49" s="32">
        <f>O46/(O44-O39)</f>
        <v>0.47501701206309932</v>
      </c>
      <c r="P49" s="32">
        <f>P46/(P44-P39)</f>
        <v>0.45797728634124285</v>
      </c>
      <c r="Q49" s="32">
        <f>Q46/(Q44-Q39)</f>
        <v>-0.45094023459318561</v>
      </c>
      <c r="U49" s="32">
        <f>U46/(U44-U39)</f>
        <v>-0.42487445318572009</v>
      </c>
      <c r="V49" s="31">
        <f>V46/(V44-V39)</f>
        <v>-0.49642414731921303</v>
      </c>
      <c r="W49" s="32">
        <f>W46/(W44-W39)</f>
        <v>-0.5594761731538741</v>
      </c>
      <c r="X49" s="32">
        <f>X46/(X44-X39)</f>
        <v>-0.73856209150326801</v>
      </c>
    </row>
    <row r="50" spans="1:25" x14ac:dyDescent="0.15">
      <c r="A50" s="13" t="s">
        <v>63</v>
      </c>
      <c r="M50" s="32">
        <f>M46/M43</f>
        <v>0.35902680670018744</v>
      </c>
      <c r="N50" s="31">
        <f>N46/N43</f>
        <v>0.52682924981151524</v>
      </c>
      <c r="O50" s="32">
        <f>O46/O43</f>
        <v>0.50181187242065506</v>
      </c>
      <c r="P50" s="32">
        <f>P46/P43</f>
        <v>0.50257572911915438</v>
      </c>
      <c r="Q50" s="32">
        <f>Q46/Q43</f>
        <v>0.41113563062298419</v>
      </c>
      <c r="U50" s="32">
        <f>U46/U43</f>
        <v>0.11520900687409028</v>
      </c>
      <c r="V50" s="31">
        <f>V46/V43</f>
        <v>0.12500303983754546</v>
      </c>
      <c r="W50" s="32">
        <f>W46/W43</f>
        <v>0.12000624219725343</v>
      </c>
      <c r="X50" s="32">
        <f>X46/X43</f>
        <v>0.12351655215490319</v>
      </c>
    </row>
    <row r="51" spans="1:25" x14ac:dyDescent="0.15">
      <c r="A51" s="3"/>
    </row>
    <row r="52" spans="1:25" x14ac:dyDescent="0.15">
      <c r="A52" s="3" t="s">
        <v>66</v>
      </c>
      <c r="M52" s="32">
        <f>M3/I3-1</f>
        <v>0.20405862457722668</v>
      </c>
      <c r="N52" s="31">
        <f>N3/J3-1</f>
        <v>0.20748829953198134</v>
      </c>
      <c r="O52" s="32">
        <f>O3/K3-1</f>
        <v>0.14942528735632177</v>
      </c>
      <c r="P52" s="32">
        <f>P3/L3-1</f>
        <v>0.16622691292875991</v>
      </c>
      <c r="Q52" s="32">
        <f>Q3/M3-1</f>
        <v>0.15262172284644193</v>
      </c>
      <c r="U52" s="32">
        <f>U3/Q3-1</f>
        <v>-0.16003249390739238</v>
      </c>
      <c r="V52" s="31">
        <f>V3/R3-1</f>
        <v>2.1671826625387025E-2</v>
      </c>
      <c r="W52" s="32">
        <f>W3/S3-1</f>
        <v>-6.9857697283311815E-2</v>
      </c>
      <c r="X52" s="32">
        <f>X3/T3-1</f>
        <v>-0.12225274725274726</v>
      </c>
      <c r="Y52" s="32">
        <f>Y3/U3-1</f>
        <v>-0.15000000000000002</v>
      </c>
    </row>
    <row r="53" spans="1:25" x14ac:dyDescent="0.15">
      <c r="A53" s="3" t="s">
        <v>125</v>
      </c>
      <c r="M53" s="32"/>
      <c r="N53" s="31"/>
      <c r="O53" s="32"/>
      <c r="P53" s="32"/>
      <c r="Q53" s="32"/>
      <c r="U53" s="32"/>
      <c r="V53" s="31">
        <f>V4/R4-1</f>
        <v>0.39172749391727502</v>
      </c>
      <c r="W53" s="32">
        <f>W4/S4-1</f>
        <v>0.43735763097949887</v>
      </c>
      <c r="X53" s="32">
        <f>X4/T4-1</f>
        <v>0.43829787234042561</v>
      </c>
      <c r="Y53" s="32">
        <f>Y4/U4-1</f>
        <v>0.39999999999999991</v>
      </c>
    </row>
    <row r="54" spans="1:25" x14ac:dyDescent="0.15">
      <c r="A54" s="3" t="s">
        <v>68</v>
      </c>
      <c r="M54" s="32">
        <f t="shared" ref="M54:Q54" si="76">M5/I5-1</f>
        <v>8.3842794759825257E-2</v>
      </c>
      <c r="N54" s="31">
        <f t="shared" si="76"/>
        <v>9.7864768683274095E-2</v>
      </c>
      <c r="O54" s="32">
        <f t="shared" si="76"/>
        <v>0.10879025239338547</v>
      </c>
      <c r="P54" s="32">
        <f t="shared" si="76"/>
        <v>0.11525423728813555</v>
      </c>
      <c r="Q54" s="32">
        <f t="shared" si="76"/>
        <v>9.5890410958904049E-2</v>
      </c>
      <c r="U54" s="32">
        <f t="shared" ref="U54" si="77">U5/Q5-1</f>
        <v>9.0441176470588136E-2</v>
      </c>
      <c r="V54" s="31">
        <f t="shared" ref="V54:Y54" si="78">V5/R5-1</f>
        <v>7.8248384781048008E-2</v>
      </c>
      <c r="W54" s="32">
        <f t="shared" si="78"/>
        <v>7.3943661971830998E-2</v>
      </c>
      <c r="X54" s="32">
        <f t="shared" si="78"/>
        <v>6.2414266117969852E-2</v>
      </c>
      <c r="Y54" s="32">
        <f t="shared" si="78"/>
        <v>5.0000000000000044E-2</v>
      </c>
    </row>
    <row r="55" spans="1:25" x14ac:dyDescent="0.15">
      <c r="A55" s="3"/>
    </row>
    <row r="56" spans="1:25" x14ac:dyDescent="0.15">
      <c r="A56" s="12" t="s">
        <v>64</v>
      </c>
    </row>
    <row r="57" spans="1:25" x14ac:dyDescent="0.15">
      <c r="A57" s="12" t="s">
        <v>65</v>
      </c>
    </row>
  </sheetData>
  <hyperlinks>
    <hyperlink ref="A1"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
  <sheetViews>
    <sheetView workbookViewId="0">
      <selection activeCell="D41" sqref="D41"/>
    </sheetView>
  </sheetViews>
  <sheetFormatPr baseColWidth="10" defaultRowHeight="13" x14ac:dyDescent="0.15"/>
  <cols>
    <col min="1" max="16384" width="10.83203125" style="1"/>
  </cols>
  <sheetData>
    <row r="1" spans="1:1" x14ac:dyDescent="0.15">
      <c r="A1" s="2" t="s">
        <v>82</v>
      </c>
    </row>
    <row r="2" spans="1:1" x14ac:dyDescent="0.15">
      <c r="A2" s="1" t="s">
        <v>83</v>
      </c>
    </row>
    <row r="4" spans="1:1" x14ac:dyDescent="0.15">
      <c r="A4" s="2" t="s">
        <v>84</v>
      </c>
    </row>
    <row r="5" spans="1:1" x14ac:dyDescent="0.15">
      <c r="A5" s="1" t="s">
        <v>85</v>
      </c>
    </row>
    <row r="7" spans="1:1" x14ac:dyDescent="0.15">
      <c r="A7" s="2" t="s">
        <v>86</v>
      </c>
    </row>
    <row r="8" spans="1:1" x14ac:dyDescent="0.15">
      <c r="A8" s="1" t="s">
        <v>87</v>
      </c>
    </row>
    <row r="10" spans="1:1" x14ac:dyDescent="0.15">
      <c r="A10" s="2" t="s">
        <v>88</v>
      </c>
    </row>
    <row r="11" spans="1:1" x14ac:dyDescent="0.15">
      <c r="A11" s="1" t="s">
        <v>89</v>
      </c>
    </row>
    <row r="13" spans="1:1" x14ac:dyDescent="0.15">
      <c r="A13" s="2" t="s">
        <v>90</v>
      </c>
    </row>
    <row r="14" spans="1:1" x14ac:dyDescent="0.15">
      <c r="A14" s="1" t="s">
        <v>91</v>
      </c>
    </row>
    <row r="16" spans="1:1" x14ac:dyDescent="0.15">
      <c r="A16" s="2" t="s">
        <v>92</v>
      </c>
    </row>
    <row r="17" spans="1:1" x14ac:dyDescent="0.15">
      <c r="A17" s="1" t="s">
        <v>93</v>
      </c>
    </row>
    <row r="19" spans="1:1" x14ac:dyDescent="0.15">
      <c r="A19" s="2" t="s">
        <v>94</v>
      </c>
    </row>
    <row r="20" spans="1:1" x14ac:dyDescent="0.15">
      <c r="A20" s="1" t="s">
        <v>95</v>
      </c>
    </row>
    <row r="22" spans="1:1" x14ac:dyDescent="0.15">
      <c r="A22" s="2" t="s">
        <v>96</v>
      </c>
    </row>
    <row r="23" spans="1:1" x14ac:dyDescent="0.15">
      <c r="A23" s="1" t="s">
        <v>97</v>
      </c>
    </row>
    <row r="25" spans="1:1" x14ac:dyDescent="0.15">
      <c r="A25" s="2" t="s">
        <v>98</v>
      </c>
    </row>
    <row r="26" spans="1:1" x14ac:dyDescent="0.15">
      <c r="A26" s="1" t="s">
        <v>99</v>
      </c>
    </row>
    <row r="28" spans="1:1" x14ac:dyDescent="0.15">
      <c r="A28" s="2" t="s">
        <v>100</v>
      </c>
    </row>
    <row r="29" spans="1:1" x14ac:dyDescent="0.15">
      <c r="A29" s="1" t="s">
        <v>101</v>
      </c>
    </row>
    <row r="31" spans="1:1" x14ac:dyDescent="0.15">
      <c r="A31" s="2" t="s">
        <v>102</v>
      </c>
    </row>
    <row r="32" spans="1:1" x14ac:dyDescent="0.15">
      <c r="A32" s="1" t="s">
        <v>103</v>
      </c>
    </row>
    <row r="34" spans="1:1" x14ac:dyDescent="0.15">
      <c r="A34" s="2" t="s">
        <v>104</v>
      </c>
    </row>
    <row r="35" spans="1:1" x14ac:dyDescent="0.15">
      <c r="A35" s="1"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Reports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Sjoeberg</cp:lastModifiedBy>
  <dcterms:created xsi:type="dcterms:W3CDTF">2018-01-04T19:16:18Z</dcterms:created>
  <dcterms:modified xsi:type="dcterms:W3CDTF">2021-02-01T10:56:36Z</dcterms:modified>
</cp:coreProperties>
</file>