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E087DCCE-58F2-5444-B603-5C99723201C5}" xr6:coauthVersionLast="46" xr6:coauthVersionMax="46" xr10:uidLastSave="{00000000-0000-0000-0000-000000000000}"/>
  <bookViews>
    <workbookView xWindow="0" yWindow="460" windowWidth="20180" windowHeight="2032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9" i="2" l="1"/>
  <c r="J59" i="2"/>
  <c r="I59" i="2"/>
  <c r="H59" i="2"/>
  <c r="G59" i="2"/>
  <c r="M19" i="2"/>
  <c r="N19" i="2" s="1"/>
  <c r="O19" i="2" s="1"/>
  <c r="P19" i="2" s="1"/>
  <c r="M18" i="2"/>
  <c r="N18" i="2" s="1"/>
  <c r="O18" i="2" s="1"/>
  <c r="P18" i="2" s="1"/>
  <c r="M17" i="2"/>
  <c r="N17" i="2" s="1"/>
  <c r="O17" i="2" s="1"/>
  <c r="P17" i="2" s="1"/>
  <c r="L18" i="2"/>
  <c r="L17" i="2"/>
  <c r="C5" i="2"/>
  <c r="C3" i="2"/>
  <c r="H14" i="2"/>
  <c r="H64" i="2" s="1"/>
  <c r="H62" i="2"/>
  <c r="G14" i="2"/>
  <c r="G64" i="2" s="1"/>
  <c r="D64" i="2"/>
  <c r="E64" i="2"/>
  <c r="E62" i="2"/>
  <c r="E61" i="2"/>
  <c r="D59" i="2"/>
  <c r="E59" i="2"/>
  <c r="F62" i="2" s="1"/>
  <c r="D58" i="2"/>
  <c r="M56" i="1"/>
  <c r="Q54" i="1"/>
  <c r="Q53" i="1"/>
  <c r="M51" i="1"/>
  <c r="R54" i="1"/>
  <c r="R53" i="1"/>
  <c r="P54" i="1"/>
  <c r="P53" i="1"/>
  <c r="L56" i="1"/>
  <c r="K56" i="1"/>
  <c r="J56" i="1"/>
  <c r="N56" i="1"/>
  <c r="O56" i="1"/>
  <c r="N54" i="1"/>
  <c r="N53" i="1"/>
  <c r="O54" i="1"/>
  <c r="O53" i="1"/>
  <c r="S54" i="1"/>
  <c r="S53" i="1"/>
  <c r="F64" i="2"/>
  <c r="F61" i="2"/>
  <c r="E58" i="2"/>
  <c r="F59" i="2"/>
  <c r="F58" i="2"/>
  <c r="Y25" i="1"/>
  <c r="AA6" i="1"/>
  <c r="Y6" i="1"/>
  <c r="Y50" i="1"/>
  <c r="Y53" i="1" s="1"/>
  <c r="Y51" i="1"/>
  <c r="Y56" i="1" s="1"/>
  <c r="Y54" i="1"/>
  <c r="P56" i="1"/>
  <c r="Q56" i="1"/>
  <c r="R56" i="1"/>
  <c r="S56" i="1"/>
  <c r="T56" i="1"/>
  <c r="U56" i="1"/>
  <c r="V56" i="1"/>
  <c r="W56" i="1"/>
  <c r="X56" i="1"/>
  <c r="T54" i="1"/>
  <c r="T53" i="1"/>
  <c r="U54" i="1"/>
  <c r="U53" i="1"/>
  <c r="Q51" i="1"/>
  <c r="V54" i="1"/>
  <c r="V53" i="1"/>
  <c r="W54" i="1"/>
  <c r="W53" i="1"/>
  <c r="X54" i="1"/>
  <c r="X53" i="1"/>
  <c r="X36" i="1"/>
  <c r="X34" i="1"/>
  <c r="X31" i="1"/>
  <c r="X48" i="1"/>
  <c r="X47" i="1"/>
  <c r="X41" i="1"/>
  <c r="X39" i="1"/>
  <c r="X38" i="1"/>
  <c r="X30" i="1"/>
  <c r="X28" i="1"/>
  <c r="X27" i="1"/>
  <c r="X26" i="1"/>
  <c r="X25" i="1"/>
  <c r="X23" i="1"/>
  <c r="X22" i="1"/>
  <c r="X21" i="1"/>
  <c r="X18" i="1"/>
  <c r="X17" i="1"/>
  <c r="X15" i="1"/>
  <c r="X12" i="1"/>
  <c r="X13" i="1" s="1"/>
  <c r="X11" i="1"/>
  <c r="X8" i="1"/>
  <c r="X6" i="1"/>
  <c r="W36" i="1"/>
  <c r="W39" i="1" s="1"/>
  <c r="W34" i="1"/>
  <c r="W38" i="1" s="1"/>
  <c r="W31" i="1"/>
  <c r="W48" i="1"/>
  <c r="W47" i="1"/>
  <c r="W41" i="1"/>
  <c r="W30" i="1"/>
  <c r="W28" i="1"/>
  <c r="W27" i="1"/>
  <c r="W26" i="1"/>
  <c r="W25" i="1"/>
  <c r="W23" i="1"/>
  <c r="W22" i="1"/>
  <c r="W21" i="1"/>
  <c r="W17" i="1"/>
  <c r="W18" i="1" s="1"/>
  <c r="W15" i="1"/>
  <c r="W14" i="1"/>
  <c r="W13" i="1"/>
  <c r="W12" i="1"/>
  <c r="W11" i="1"/>
  <c r="W8" i="1"/>
  <c r="W6" i="1"/>
  <c r="U10" i="2"/>
  <c r="T10" i="2"/>
  <c r="S10" i="2"/>
  <c r="R10" i="2"/>
  <c r="F27" i="2"/>
  <c r="F45" i="2"/>
  <c r="F44" i="2"/>
  <c r="F48" i="2" s="1"/>
  <c r="F43" i="2"/>
  <c r="F41" i="2"/>
  <c r="F40" i="2"/>
  <c r="F39" i="2" s="1"/>
  <c r="F24" i="2"/>
  <c r="F22" i="2"/>
  <c r="F19" i="2"/>
  <c r="F18" i="2"/>
  <c r="F17" i="2"/>
  <c r="F20" i="2" s="1"/>
  <c r="F15" i="2"/>
  <c r="F12" i="2"/>
  <c r="F11" i="2"/>
  <c r="V48" i="1"/>
  <c r="V47" i="1"/>
  <c r="V41" i="1"/>
  <c r="V45" i="1" s="1"/>
  <c r="V39" i="1"/>
  <c r="V38" i="1"/>
  <c r="V36" i="1"/>
  <c r="V34" i="1"/>
  <c r="V31" i="1"/>
  <c r="V30" i="1"/>
  <c r="V28" i="1"/>
  <c r="V27" i="1"/>
  <c r="V26" i="1"/>
  <c r="V25" i="1"/>
  <c r="V23" i="1"/>
  <c r="V22" i="1"/>
  <c r="V21" i="1"/>
  <c r="V18" i="1"/>
  <c r="V17" i="1"/>
  <c r="V15" i="1"/>
  <c r="V14" i="1"/>
  <c r="V12" i="1"/>
  <c r="V13" i="1" s="1"/>
  <c r="V11" i="1"/>
  <c r="V8" i="1"/>
  <c r="V6" i="1"/>
  <c r="U48" i="1"/>
  <c r="U47" i="1"/>
  <c r="U41" i="1"/>
  <c r="U45" i="1" s="1"/>
  <c r="U39" i="1"/>
  <c r="U38" i="1"/>
  <c r="U36" i="1"/>
  <c r="U34" i="1"/>
  <c r="U31" i="1"/>
  <c r="U30" i="1"/>
  <c r="U28" i="1"/>
  <c r="U27" i="1"/>
  <c r="U26" i="1"/>
  <c r="U25" i="1"/>
  <c r="U23" i="1"/>
  <c r="U22" i="1"/>
  <c r="U21" i="1"/>
  <c r="U18" i="1"/>
  <c r="U17" i="1"/>
  <c r="U15" i="1"/>
  <c r="U14" i="1"/>
  <c r="U12" i="1"/>
  <c r="U13" i="1" s="1"/>
  <c r="U8" i="1"/>
  <c r="U6" i="1"/>
  <c r="T48" i="1"/>
  <c r="T47" i="1"/>
  <c r="T41" i="1"/>
  <c r="T45" i="1" s="1"/>
  <c r="T39" i="1"/>
  <c r="T38" i="1"/>
  <c r="T36" i="1"/>
  <c r="T34" i="1"/>
  <c r="T31" i="1"/>
  <c r="T30" i="1"/>
  <c r="T28" i="1"/>
  <c r="T27" i="1"/>
  <c r="T26" i="1"/>
  <c r="T25" i="1"/>
  <c r="T23" i="1"/>
  <c r="T22" i="1"/>
  <c r="T21" i="1"/>
  <c r="T18" i="1"/>
  <c r="T17" i="1"/>
  <c r="T15" i="1"/>
  <c r="T14" i="1"/>
  <c r="T12" i="1"/>
  <c r="T13" i="1" s="1"/>
  <c r="T8" i="1"/>
  <c r="T6" i="1"/>
  <c r="S48" i="1"/>
  <c r="S47" i="1"/>
  <c r="S41" i="1"/>
  <c r="S45" i="1" s="1"/>
  <c r="S39" i="1"/>
  <c r="S38" i="1"/>
  <c r="S36" i="1"/>
  <c r="S34" i="1"/>
  <c r="S31" i="1"/>
  <c r="S30" i="1"/>
  <c r="S28" i="1"/>
  <c r="S27" i="1"/>
  <c r="S26" i="1"/>
  <c r="S25" i="1"/>
  <c r="S23" i="1"/>
  <c r="S22" i="1"/>
  <c r="S21" i="1"/>
  <c r="S17" i="1"/>
  <c r="S18" i="1" s="1"/>
  <c r="Q12" i="1"/>
  <c r="R12" i="1"/>
  <c r="R13" i="1" s="1"/>
  <c r="R22" i="1" s="1"/>
  <c r="S12" i="1"/>
  <c r="S13" i="1" s="1"/>
  <c r="S15" i="1" s="1"/>
  <c r="S14" i="1"/>
  <c r="S8" i="1"/>
  <c r="S6" i="1"/>
  <c r="R48" i="1"/>
  <c r="R47" i="1"/>
  <c r="R39" i="1"/>
  <c r="R38" i="1"/>
  <c r="R36" i="1"/>
  <c r="R34" i="1"/>
  <c r="R30" i="1"/>
  <c r="R31" i="1"/>
  <c r="R28" i="1"/>
  <c r="R27" i="1"/>
  <c r="R26" i="1"/>
  <c r="R25" i="1"/>
  <c r="R21" i="1"/>
  <c r="R14" i="1"/>
  <c r="R8" i="1"/>
  <c r="R6" i="1"/>
  <c r="G62" i="2" l="1"/>
  <c r="X45" i="1"/>
  <c r="X42" i="1"/>
  <c r="X43" i="1"/>
  <c r="X44" i="1"/>
  <c r="W42" i="1"/>
  <c r="W43" i="1"/>
  <c r="W44" i="1"/>
  <c r="W45" i="1"/>
  <c r="F47" i="2"/>
  <c r="F14" i="2"/>
  <c r="F16" i="2" s="1"/>
  <c r="F21" i="2" s="1"/>
  <c r="F23" i="2" s="1"/>
  <c r="V42" i="1"/>
  <c r="V44" i="1"/>
  <c r="V43" i="1"/>
  <c r="U42" i="1"/>
  <c r="U43" i="1"/>
  <c r="U44" i="1"/>
  <c r="T43" i="1"/>
  <c r="T44" i="1"/>
  <c r="T42" i="1"/>
  <c r="S43" i="1"/>
  <c r="S44" i="1"/>
  <c r="S42" i="1"/>
  <c r="R15" i="1"/>
  <c r="C4" i="2"/>
  <c r="E44" i="2"/>
  <c r="E41" i="2"/>
  <c r="E40" i="2"/>
  <c r="E39" i="2" s="1"/>
  <c r="E27" i="2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E19" i="2"/>
  <c r="E18" i="2"/>
  <c r="E17" i="2"/>
  <c r="E20" i="2" s="1"/>
  <c r="E12" i="2"/>
  <c r="F56" i="2" s="1"/>
  <c r="E11" i="2"/>
  <c r="Q36" i="1"/>
  <c r="Q39" i="1" s="1"/>
  <c r="Q34" i="1"/>
  <c r="Q38" i="1" s="1"/>
  <c r="Q31" i="1"/>
  <c r="Q30" i="1" s="1"/>
  <c r="Q25" i="1"/>
  <c r="Q6" i="1"/>
  <c r="Q8" i="1" s="1"/>
  <c r="Q47" i="1"/>
  <c r="M31" i="1"/>
  <c r="D40" i="2"/>
  <c r="D41" i="2"/>
  <c r="D39" i="2"/>
  <c r="D11" i="2"/>
  <c r="D12" i="2"/>
  <c r="J7" i="1"/>
  <c r="D15" i="2" s="1"/>
  <c r="K7" i="1"/>
  <c r="L7" i="1"/>
  <c r="L8" i="1" s="1"/>
  <c r="N14" i="1"/>
  <c r="E22" i="2" s="1"/>
  <c r="O14" i="1"/>
  <c r="P14" i="1"/>
  <c r="P6" i="1"/>
  <c r="P7" i="1"/>
  <c r="P8" i="1"/>
  <c r="P12" i="1"/>
  <c r="P13" i="1"/>
  <c r="P15" i="1" s="1"/>
  <c r="C17" i="2"/>
  <c r="B17" i="2"/>
  <c r="C34" i="2"/>
  <c r="D17" i="2"/>
  <c r="D34" i="2" s="1"/>
  <c r="C12" i="2"/>
  <c r="B12" i="2"/>
  <c r="C56" i="2" s="1"/>
  <c r="C11" i="2"/>
  <c r="B11" i="2"/>
  <c r="D44" i="2"/>
  <c r="M36" i="1"/>
  <c r="D45" i="2"/>
  <c r="C44" i="2"/>
  <c r="I36" i="1"/>
  <c r="C45" i="2"/>
  <c r="B44" i="2"/>
  <c r="E36" i="1"/>
  <c r="E39" i="1" s="1"/>
  <c r="M34" i="1"/>
  <c r="D43" i="2"/>
  <c r="I34" i="1"/>
  <c r="I38" i="1" s="1"/>
  <c r="C43" i="2"/>
  <c r="I31" i="1"/>
  <c r="C40" i="2"/>
  <c r="E34" i="1"/>
  <c r="B43" i="2"/>
  <c r="E31" i="1"/>
  <c r="E38" i="1" s="1"/>
  <c r="C41" i="2"/>
  <c r="B41" i="2"/>
  <c r="N7" i="1"/>
  <c r="N8" i="1" s="1"/>
  <c r="O7" i="1"/>
  <c r="O8" i="1" s="1"/>
  <c r="P21" i="1"/>
  <c r="D27" i="2"/>
  <c r="M16" i="1"/>
  <c r="D24" i="2"/>
  <c r="J14" i="1"/>
  <c r="K14" i="1"/>
  <c r="L14" i="1"/>
  <c r="D22" i="2"/>
  <c r="D19" i="2"/>
  <c r="D18" i="2"/>
  <c r="C27" i="2"/>
  <c r="C24" i="2"/>
  <c r="F14" i="1"/>
  <c r="G14" i="1"/>
  <c r="H14" i="1"/>
  <c r="H15" i="1" s="1"/>
  <c r="C22" i="2"/>
  <c r="C19" i="2"/>
  <c r="C18" i="2"/>
  <c r="F7" i="1"/>
  <c r="G7" i="1"/>
  <c r="H7" i="1"/>
  <c r="I7" i="1"/>
  <c r="C15" i="2"/>
  <c r="B27" i="2"/>
  <c r="B24" i="2"/>
  <c r="B14" i="1"/>
  <c r="C14" i="1"/>
  <c r="D14" i="1"/>
  <c r="B22" i="2"/>
  <c r="B19" i="2"/>
  <c r="B18" i="2"/>
  <c r="B7" i="1"/>
  <c r="B15" i="2" s="1"/>
  <c r="C7" i="1"/>
  <c r="D7" i="1"/>
  <c r="D8" i="1" s="1"/>
  <c r="E7" i="1"/>
  <c r="P31" i="1"/>
  <c r="P30" i="1"/>
  <c r="Q28" i="1"/>
  <c r="Q27" i="1"/>
  <c r="Q26" i="1"/>
  <c r="M6" i="1"/>
  <c r="M25" i="1" s="1"/>
  <c r="Q48" i="1"/>
  <c r="B6" i="1"/>
  <c r="B12" i="1"/>
  <c r="C6" i="1"/>
  <c r="C8" i="1" s="1"/>
  <c r="C12" i="1"/>
  <c r="D6" i="1"/>
  <c r="D12" i="1"/>
  <c r="E6" i="1"/>
  <c r="E8" i="1"/>
  <c r="E21" i="1" s="1"/>
  <c r="E12" i="1"/>
  <c r="E13" i="1" s="1"/>
  <c r="F6" i="1"/>
  <c r="F25" i="1" s="1"/>
  <c r="F8" i="1"/>
  <c r="F13" i="1" s="1"/>
  <c r="F12" i="1"/>
  <c r="G6" i="1"/>
  <c r="G25" i="1" s="1"/>
  <c r="G8" i="1"/>
  <c r="G13" i="1" s="1"/>
  <c r="G12" i="1"/>
  <c r="H6" i="1"/>
  <c r="L25" i="1" s="1"/>
  <c r="H8" i="1"/>
  <c r="H12" i="1"/>
  <c r="H13" i="1"/>
  <c r="I6" i="1"/>
  <c r="I25" i="1" s="1"/>
  <c r="I12" i="1"/>
  <c r="I39" i="1"/>
  <c r="J6" i="1"/>
  <c r="J25" i="1" s="1"/>
  <c r="J8" i="1"/>
  <c r="J12" i="1"/>
  <c r="J13" i="1"/>
  <c r="J15" i="1" s="1"/>
  <c r="K6" i="1"/>
  <c r="K25" i="1" s="1"/>
  <c r="K8" i="1"/>
  <c r="K13" i="1" s="1"/>
  <c r="K12" i="1"/>
  <c r="L6" i="1"/>
  <c r="L12" i="1"/>
  <c r="M8" i="1"/>
  <c r="M13" i="1" s="1"/>
  <c r="M12" i="1"/>
  <c r="M38" i="1"/>
  <c r="M39" i="1"/>
  <c r="N6" i="1"/>
  <c r="N12" i="1"/>
  <c r="N34" i="1"/>
  <c r="N31" i="1"/>
  <c r="N30" i="1" s="1"/>
  <c r="N38" i="1"/>
  <c r="N36" i="1"/>
  <c r="N39" i="1"/>
  <c r="O6" i="1"/>
  <c r="O25" i="1" s="1"/>
  <c r="O12" i="1"/>
  <c r="O34" i="1"/>
  <c r="O31" i="1"/>
  <c r="O38" i="1"/>
  <c r="O36" i="1"/>
  <c r="O39" i="1"/>
  <c r="P34" i="1"/>
  <c r="P38" i="1"/>
  <c r="P36" i="1"/>
  <c r="P39" i="1" s="1"/>
  <c r="N48" i="1"/>
  <c r="N47" i="1"/>
  <c r="N28" i="1"/>
  <c r="N27" i="1"/>
  <c r="N26" i="1"/>
  <c r="O48" i="1"/>
  <c r="O47" i="1"/>
  <c r="O30" i="1"/>
  <c r="O28" i="1"/>
  <c r="O27" i="1"/>
  <c r="O26" i="1"/>
  <c r="M48" i="1"/>
  <c r="L48" i="1"/>
  <c r="K48" i="1"/>
  <c r="J48" i="1"/>
  <c r="I48" i="1"/>
  <c r="H48" i="1"/>
  <c r="G48" i="1"/>
  <c r="F48" i="1"/>
  <c r="M47" i="1"/>
  <c r="L47" i="1"/>
  <c r="K47" i="1"/>
  <c r="J47" i="1"/>
  <c r="I47" i="1"/>
  <c r="H47" i="1"/>
  <c r="G47" i="1"/>
  <c r="F47" i="1"/>
  <c r="P48" i="1"/>
  <c r="P47" i="1"/>
  <c r="P28" i="1"/>
  <c r="P27" i="1"/>
  <c r="P26" i="1"/>
  <c r="P25" i="1"/>
  <c r="P22" i="1"/>
  <c r="L31" i="1"/>
  <c r="L30" i="1"/>
  <c r="F31" i="1"/>
  <c r="F30" i="1" s="1"/>
  <c r="G31" i="1"/>
  <c r="G30" i="1" s="1"/>
  <c r="H31" i="1"/>
  <c r="H30" i="1" s="1"/>
  <c r="J31" i="1"/>
  <c r="K31" i="1"/>
  <c r="L26" i="1"/>
  <c r="M26" i="1"/>
  <c r="L27" i="1"/>
  <c r="M27" i="1"/>
  <c r="L28" i="1"/>
  <c r="M28" i="1"/>
  <c r="M21" i="1"/>
  <c r="K30" i="1"/>
  <c r="J26" i="1"/>
  <c r="K26" i="1"/>
  <c r="J27" i="1"/>
  <c r="K27" i="1"/>
  <c r="J28" i="1"/>
  <c r="K28" i="1"/>
  <c r="J21" i="1"/>
  <c r="J22" i="1"/>
  <c r="J30" i="1"/>
  <c r="I26" i="1"/>
  <c r="G28" i="1"/>
  <c r="H28" i="1"/>
  <c r="I28" i="1"/>
  <c r="G27" i="1"/>
  <c r="H27" i="1"/>
  <c r="I27" i="1"/>
  <c r="F28" i="1"/>
  <c r="F27" i="1"/>
  <c r="G26" i="1"/>
  <c r="H26" i="1"/>
  <c r="F26" i="1"/>
  <c r="I30" i="1"/>
  <c r="F21" i="1"/>
  <c r="E30" i="1"/>
  <c r="E10" i="2"/>
  <c r="F10" i="2"/>
  <c r="G10" i="2"/>
  <c r="H10" i="2"/>
  <c r="I10" i="2"/>
  <c r="J10" i="2"/>
  <c r="K10" i="2" s="1"/>
  <c r="L10" i="2" s="1"/>
  <c r="M10" i="2" s="1"/>
  <c r="N10" i="2" s="1"/>
  <c r="O10" i="2" s="1"/>
  <c r="P10" i="2" s="1"/>
  <c r="Q10" i="2" s="1"/>
  <c r="H21" i="1"/>
  <c r="H22" i="1"/>
  <c r="I62" i="2" l="1"/>
  <c r="I14" i="2"/>
  <c r="I64" i="2" s="1"/>
  <c r="C14" i="2"/>
  <c r="C16" i="2" s="1"/>
  <c r="F37" i="2"/>
  <c r="B14" i="2"/>
  <c r="C55" i="2"/>
  <c r="B20" i="2"/>
  <c r="C36" i="2"/>
  <c r="C48" i="2"/>
  <c r="D55" i="2"/>
  <c r="C39" i="2"/>
  <c r="E14" i="2"/>
  <c r="E35" i="2"/>
  <c r="E36" i="2"/>
  <c r="C6" i="2"/>
  <c r="C7" i="2" s="1"/>
  <c r="D20" i="2"/>
  <c r="E37" i="2" s="1"/>
  <c r="C47" i="2"/>
  <c r="D56" i="2"/>
  <c r="D35" i="2"/>
  <c r="G17" i="2"/>
  <c r="D36" i="2"/>
  <c r="D14" i="2"/>
  <c r="D16" i="2" s="1"/>
  <c r="C35" i="2"/>
  <c r="D47" i="2"/>
  <c r="E56" i="2"/>
  <c r="G19" i="2"/>
  <c r="G36" i="2" s="1"/>
  <c r="F35" i="2"/>
  <c r="R17" i="1"/>
  <c r="R18" i="1" s="1"/>
  <c r="R23" i="1"/>
  <c r="D13" i="1"/>
  <c r="D21" i="1"/>
  <c r="L21" i="1"/>
  <c r="L13" i="1"/>
  <c r="O21" i="1"/>
  <c r="O13" i="1"/>
  <c r="P17" i="1"/>
  <c r="P18" i="1" s="1"/>
  <c r="P23" i="1"/>
  <c r="B16" i="2"/>
  <c r="J17" i="1"/>
  <c r="J23" i="1"/>
  <c r="H23" i="1"/>
  <c r="H17" i="1"/>
  <c r="H18" i="1" s="1"/>
  <c r="C13" i="1"/>
  <c r="C21" i="1"/>
  <c r="C29" i="2"/>
  <c r="M15" i="1"/>
  <c r="M22" i="1"/>
  <c r="G15" i="1"/>
  <c r="G22" i="1"/>
  <c r="F22" i="1"/>
  <c r="F15" i="1"/>
  <c r="E22" i="1"/>
  <c r="E15" i="1"/>
  <c r="N13" i="1"/>
  <c r="N21" i="1"/>
  <c r="K15" i="1"/>
  <c r="K22" i="1"/>
  <c r="Q13" i="1"/>
  <c r="Q21" i="1"/>
  <c r="G21" i="1"/>
  <c r="I8" i="1"/>
  <c r="E15" i="2"/>
  <c r="E16" i="2" s="1"/>
  <c r="E45" i="2"/>
  <c r="E48" i="2" s="1"/>
  <c r="B45" i="2"/>
  <c r="B48" i="2" s="1"/>
  <c r="C20" i="2"/>
  <c r="B8" i="1"/>
  <c r="B40" i="2"/>
  <c r="E55" i="2"/>
  <c r="E43" i="2"/>
  <c r="E47" i="2" s="1"/>
  <c r="E34" i="2"/>
  <c r="K21" i="1"/>
  <c r="H25" i="1"/>
  <c r="D48" i="2"/>
  <c r="C33" i="2"/>
  <c r="N25" i="1"/>
  <c r="J14" i="2" l="1"/>
  <c r="J64" i="2" s="1"/>
  <c r="J62" i="2"/>
  <c r="C21" i="2"/>
  <c r="C30" i="2" s="1"/>
  <c r="C37" i="2"/>
  <c r="D37" i="2"/>
  <c r="H19" i="2"/>
  <c r="E33" i="2"/>
  <c r="G18" i="2"/>
  <c r="F36" i="2"/>
  <c r="D33" i="2"/>
  <c r="F34" i="2"/>
  <c r="E21" i="2"/>
  <c r="E29" i="2"/>
  <c r="L22" i="1"/>
  <c r="L15" i="1"/>
  <c r="M17" i="1"/>
  <c r="M23" i="1"/>
  <c r="B47" i="2"/>
  <c r="B39" i="2"/>
  <c r="F17" i="1"/>
  <c r="F23" i="1"/>
  <c r="B21" i="2"/>
  <c r="B30" i="2" s="1"/>
  <c r="B29" i="2"/>
  <c r="O22" i="1"/>
  <c r="O15" i="1"/>
  <c r="G23" i="1"/>
  <c r="G17" i="1"/>
  <c r="G18" i="1" s="1"/>
  <c r="I19" i="2"/>
  <c r="H36" i="2"/>
  <c r="G35" i="2"/>
  <c r="H18" i="2"/>
  <c r="E17" i="1"/>
  <c r="E18" i="1" s="1"/>
  <c r="E23" i="1"/>
  <c r="J18" i="1"/>
  <c r="I13" i="1"/>
  <c r="I21" i="1"/>
  <c r="D21" i="2"/>
  <c r="D29" i="2"/>
  <c r="Q15" i="1"/>
  <c r="Q22" i="1"/>
  <c r="K17" i="1"/>
  <c r="K23" i="1"/>
  <c r="H17" i="2"/>
  <c r="G34" i="2"/>
  <c r="G20" i="2"/>
  <c r="G37" i="2" s="1"/>
  <c r="F55" i="2"/>
  <c r="B13" i="1"/>
  <c r="B21" i="1"/>
  <c r="N22" i="1"/>
  <c r="N15" i="1"/>
  <c r="C15" i="1"/>
  <c r="C22" i="1"/>
  <c r="D22" i="1"/>
  <c r="D15" i="1"/>
  <c r="K62" i="2" l="1"/>
  <c r="K14" i="2"/>
  <c r="C23" i="2"/>
  <c r="F18" i="1"/>
  <c r="M30" i="1"/>
  <c r="M18" i="1"/>
  <c r="L17" i="1"/>
  <c r="N41" i="1" s="1"/>
  <c r="L23" i="1"/>
  <c r="E23" i="2"/>
  <c r="E30" i="2"/>
  <c r="D23" i="2"/>
  <c r="D30" i="2"/>
  <c r="H35" i="2"/>
  <c r="I18" i="2"/>
  <c r="I36" i="2"/>
  <c r="J19" i="2"/>
  <c r="K19" i="2" s="1"/>
  <c r="O23" i="1"/>
  <c r="O17" i="1"/>
  <c r="O18" i="1" s="1"/>
  <c r="C23" i="1"/>
  <c r="C17" i="1"/>
  <c r="C18" i="1" s="1"/>
  <c r="N23" i="1"/>
  <c r="N17" i="1"/>
  <c r="P41" i="1" s="1"/>
  <c r="I15" i="1"/>
  <c r="I22" i="1"/>
  <c r="B22" i="1"/>
  <c r="B15" i="1"/>
  <c r="F33" i="2"/>
  <c r="I17" i="2"/>
  <c r="H34" i="2"/>
  <c r="H20" i="2"/>
  <c r="H37" i="2" s="1"/>
  <c r="K18" i="1"/>
  <c r="D17" i="1"/>
  <c r="D18" i="1" s="1"/>
  <c r="D23" i="1"/>
  <c r="Q16" i="1"/>
  <c r="C25" i="2"/>
  <c r="C26" i="2" s="1"/>
  <c r="C31" i="2"/>
  <c r="K64" i="2" l="1"/>
  <c r="L14" i="2"/>
  <c r="M14" i="2" s="1"/>
  <c r="N14" i="2" s="1"/>
  <c r="O14" i="2" s="1"/>
  <c r="P14" i="2" s="1"/>
  <c r="Q14" i="2" s="1"/>
  <c r="R14" i="2" s="1"/>
  <c r="S14" i="2" s="1"/>
  <c r="T14" i="2" s="1"/>
  <c r="U14" i="2" s="1"/>
  <c r="N44" i="1"/>
  <c r="N43" i="1"/>
  <c r="N42" i="1"/>
  <c r="N45" i="1"/>
  <c r="P45" i="1"/>
  <c r="P43" i="1"/>
  <c r="P44" i="1"/>
  <c r="P42" i="1"/>
  <c r="E24" i="2"/>
  <c r="E31" i="2" s="1"/>
  <c r="Q23" i="1"/>
  <c r="D31" i="2"/>
  <c r="D25" i="2"/>
  <c r="D26" i="2" s="1"/>
  <c r="I23" i="1"/>
  <c r="I17" i="1"/>
  <c r="N18" i="1"/>
  <c r="Q17" i="1"/>
  <c r="J36" i="2"/>
  <c r="I20" i="2"/>
  <c r="I37" i="2" s="1"/>
  <c r="I34" i="2"/>
  <c r="J17" i="2"/>
  <c r="K17" i="2" s="1"/>
  <c r="Q17" i="2" s="1"/>
  <c r="R17" i="2" s="1"/>
  <c r="S17" i="2" s="1"/>
  <c r="T17" i="2" s="1"/>
  <c r="U17" i="2" s="1"/>
  <c r="I35" i="2"/>
  <c r="J18" i="2"/>
  <c r="K18" i="2" s="1"/>
  <c r="Q18" i="2" s="1"/>
  <c r="R18" i="2" s="1"/>
  <c r="S18" i="2" s="1"/>
  <c r="T18" i="2" s="1"/>
  <c r="U18" i="2" s="1"/>
  <c r="B17" i="1"/>
  <c r="B23" i="1"/>
  <c r="B23" i="2"/>
  <c r="L18" i="1"/>
  <c r="O41" i="1"/>
  <c r="M41" i="1"/>
  <c r="F29" i="2"/>
  <c r="Q18" i="1" l="1"/>
  <c r="R41" i="1"/>
  <c r="J35" i="2"/>
  <c r="J20" i="2"/>
  <c r="J37" i="2" s="1"/>
  <c r="J34" i="2"/>
  <c r="M45" i="1"/>
  <c r="M44" i="1"/>
  <c r="M43" i="1"/>
  <c r="M42" i="1"/>
  <c r="O44" i="1"/>
  <c r="O45" i="1"/>
  <c r="O43" i="1"/>
  <c r="O42" i="1"/>
  <c r="E41" i="1"/>
  <c r="B18" i="1"/>
  <c r="F30" i="2"/>
  <c r="E25" i="2"/>
  <c r="B25" i="2"/>
  <c r="B26" i="2" s="1"/>
  <c r="B31" i="2"/>
  <c r="L19" i="2"/>
  <c r="K36" i="2"/>
  <c r="Q41" i="1"/>
  <c r="I18" i="1"/>
  <c r="I41" i="1"/>
  <c r="R45" i="1" l="1"/>
  <c r="R42" i="1"/>
  <c r="R43" i="1"/>
  <c r="R44" i="1"/>
  <c r="L36" i="2"/>
  <c r="E26" i="2"/>
  <c r="E53" i="2"/>
  <c r="E52" i="2"/>
  <c r="E51" i="2"/>
  <c r="E50" i="2"/>
  <c r="I45" i="1"/>
  <c r="I44" i="1"/>
  <c r="I43" i="1"/>
  <c r="I42" i="1"/>
  <c r="Q45" i="1"/>
  <c r="Q44" i="1"/>
  <c r="Q43" i="1"/>
  <c r="Q42" i="1"/>
  <c r="I33" i="2"/>
  <c r="F31" i="2"/>
  <c r="K20" i="2"/>
  <c r="K37" i="2" s="1"/>
  <c r="K34" i="2"/>
  <c r="E45" i="1"/>
  <c r="E44" i="1"/>
  <c r="E43" i="1"/>
  <c r="E42" i="1"/>
  <c r="K35" i="2"/>
  <c r="J33" i="2" l="1"/>
  <c r="M36" i="2"/>
  <c r="L34" i="2"/>
  <c r="L20" i="2"/>
  <c r="L37" i="2" s="1"/>
  <c r="L35" i="2"/>
  <c r="F25" i="2"/>
  <c r="F51" i="2" l="1"/>
  <c r="F52" i="2"/>
  <c r="F26" i="2"/>
  <c r="F50" i="2"/>
  <c r="F53" i="2"/>
  <c r="M20" i="2"/>
  <c r="M37" i="2" s="1"/>
  <c r="M34" i="2"/>
  <c r="M35" i="2"/>
  <c r="N36" i="2"/>
  <c r="K33" i="2"/>
  <c r="O36" i="2" l="1"/>
  <c r="N35" i="2"/>
  <c r="G22" i="2"/>
  <c r="N20" i="2"/>
  <c r="N37" i="2" s="1"/>
  <c r="N34" i="2"/>
  <c r="L33" i="2"/>
  <c r="O34" i="2" l="1"/>
  <c r="O20" i="2"/>
  <c r="O37" i="2" s="1"/>
  <c r="Q19" i="2"/>
  <c r="P36" i="2"/>
  <c r="O35" i="2"/>
  <c r="M33" i="2"/>
  <c r="Q36" i="2" l="1"/>
  <c r="R19" i="2"/>
  <c r="P35" i="2"/>
  <c r="P34" i="2"/>
  <c r="P20" i="2"/>
  <c r="P37" i="2" s="1"/>
  <c r="N33" i="2"/>
  <c r="R34" i="2" l="1"/>
  <c r="Q35" i="2"/>
  <c r="R36" i="2"/>
  <c r="S19" i="2"/>
  <c r="O33" i="2"/>
  <c r="Q34" i="2"/>
  <c r="Q20" i="2"/>
  <c r="Q37" i="2" s="1"/>
  <c r="S36" i="2" l="1"/>
  <c r="T19" i="2"/>
  <c r="R35" i="2"/>
  <c r="R20" i="2"/>
  <c r="R37" i="2" s="1"/>
  <c r="S20" i="2"/>
  <c r="S34" i="2"/>
  <c r="P33" i="2"/>
  <c r="S37" i="2" l="1"/>
  <c r="R33" i="2"/>
  <c r="S35" i="2"/>
  <c r="T34" i="2"/>
  <c r="T20" i="2"/>
  <c r="T37" i="2" s="1"/>
  <c r="T36" i="2"/>
  <c r="U19" i="2"/>
  <c r="U36" i="2" s="1"/>
  <c r="Q33" i="2"/>
  <c r="S33" i="2" l="1"/>
  <c r="U34" i="2"/>
  <c r="U35" i="2"/>
  <c r="T35" i="2"/>
  <c r="T33" i="2" l="1"/>
  <c r="U20" i="2"/>
  <c r="U37" i="2" s="1"/>
  <c r="U33" i="2" l="1"/>
  <c r="G33" i="2" l="1"/>
  <c r="H33" i="2"/>
  <c r="G16" i="2"/>
  <c r="G15" i="2" s="1"/>
  <c r="G29" i="2" l="1"/>
  <c r="H16" i="2" s="1"/>
  <c r="G21" i="2"/>
  <c r="G23" i="2" l="1"/>
  <c r="G30" i="2"/>
  <c r="H15" i="2"/>
  <c r="H29" i="2"/>
  <c r="I16" i="2" s="1"/>
  <c r="H21" i="2"/>
  <c r="H30" i="2" l="1"/>
  <c r="I21" i="2"/>
  <c r="I15" i="2"/>
  <c r="I29" i="2"/>
  <c r="J16" i="2" s="1"/>
  <c r="G24" i="2"/>
  <c r="G31" i="2" s="1"/>
  <c r="G25" i="2" l="1"/>
  <c r="G39" i="2"/>
  <c r="G26" i="2"/>
  <c r="J21" i="2"/>
  <c r="J15" i="2"/>
  <c r="J29" i="2"/>
  <c r="K16" i="2" s="1"/>
  <c r="I30" i="2"/>
  <c r="K21" i="2" l="1"/>
  <c r="K15" i="2"/>
  <c r="K29" i="2"/>
  <c r="L16" i="2" s="1"/>
  <c r="J30" i="2"/>
  <c r="H22" i="2"/>
  <c r="H23" i="2" s="1"/>
  <c r="L15" i="2" l="1"/>
  <c r="L21" i="2"/>
  <c r="L29" i="2"/>
  <c r="M16" i="2" s="1"/>
  <c r="H24" i="2"/>
  <c r="H31" i="2" s="1"/>
  <c r="K30" i="2"/>
  <c r="H25" i="2" l="1"/>
  <c r="M21" i="2"/>
  <c r="M29" i="2"/>
  <c r="N16" i="2" s="1"/>
  <c r="M15" i="2"/>
  <c r="L30" i="2"/>
  <c r="N29" i="2" l="1"/>
  <c r="O16" i="2" s="1"/>
  <c r="N21" i="2"/>
  <c r="N15" i="2"/>
  <c r="M30" i="2"/>
  <c r="H26" i="2"/>
  <c r="H39" i="2"/>
  <c r="N30" i="2" l="1"/>
  <c r="I22" i="2"/>
  <c r="I23" i="2" s="1"/>
  <c r="O29" i="2"/>
  <c r="P16" i="2" s="1"/>
  <c r="O15" i="2"/>
  <c r="O21" i="2"/>
  <c r="P29" i="2" l="1"/>
  <c r="Q16" i="2" s="1"/>
  <c r="P15" i="2"/>
  <c r="P21" i="2"/>
  <c r="O30" i="2"/>
  <c r="I24" i="2"/>
  <c r="I31" i="2" s="1"/>
  <c r="I25" i="2" l="1"/>
  <c r="I26" i="2"/>
  <c r="I39" i="2"/>
  <c r="P30" i="2"/>
  <c r="Q29" i="2"/>
  <c r="R16" i="2" s="1"/>
  <c r="Q21" i="2"/>
  <c r="Q15" i="2"/>
  <c r="J22" i="2" l="1"/>
  <c r="J23" i="2" s="1"/>
  <c r="Q30" i="2"/>
  <c r="R15" i="2"/>
  <c r="R29" i="2"/>
  <c r="S16" i="2" s="1"/>
  <c r="R21" i="2"/>
  <c r="R30" i="2" l="1"/>
  <c r="S15" i="2"/>
  <c r="S29" i="2"/>
  <c r="T16" i="2" s="1"/>
  <c r="S21" i="2"/>
  <c r="J24" i="2"/>
  <c r="J31" i="2" s="1"/>
  <c r="S30" i="2" l="1"/>
  <c r="J25" i="2"/>
  <c r="T21" i="2"/>
  <c r="T15" i="2"/>
  <c r="T29" i="2"/>
  <c r="U16" i="2" s="1"/>
  <c r="J26" i="2" l="1"/>
  <c r="J39" i="2"/>
  <c r="U21" i="2"/>
  <c r="U15" i="2"/>
  <c r="U29" i="2"/>
  <c r="T30" i="2"/>
  <c r="U30" i="2" l="1"/>
  <c r="K22" i="2"/>
  <c r="K23" i="2" s="1"/>
  <c r="K24" i="2" l="1"/>
  <c r="K31" i="2" s="1"/>
  <c r="K25" i="2" l="1"/>
  <c r="K26" i="2" l="1"/>
  <c r="K39" i="2"/>
  <c r="L22" i="2" l="1"/>
  <c r="L23" i="2" s="1"/>
  <c r="L24" i="2" l="1"/>
  <c r="L31" i="2" s="1"/>
  <c r="L25" i="2"/>
  <c r="L26" i="2" l="1"/>
  <c r="L39" i="2"/>
  <c r="M22" i="2" l="1"/>
  <c r="M23" i="2" s="1"/>
  <c r="M24" i="2" l="1"/>
  <c r="M31" i="2" s="1"/>
  <c r="M25" i="2"/>
  <c r="M26" i="2" l="1"/>
  <c r="M39" i="2"/>
  <c r="N22" i="2" l="1"/>
  <c r="N23" i="2" s="1"/>
  <c r="N24" i="2" l="1"/>
  <c r="N31" i="2" s="1"/>
  <c r="N25" i="2" l="1"/>
  <c r="N26" i="2" l="1"/>
  <c r="N39" i="2"/>
  <c r="O22" i="2" l="1"/>
  <c r="O23" i="2" s="1"/>
  <c r="O24" i="2" l="1"/>
  <c r="O31" i="2" s="1"/>
  <c r="O25" i="2" l="1"/>
  <c r="O26" i="2" l="1"/>
  <c r="O39" i="2"/>
  <c r="P22" i="2" l="1"/>
  <c r="P23" i="2" s="1"/>
  <c r="P24" i="2" l="1"/>
  <c r="P31" i="2" s="1"/>
  <c r="P25" i="2" l="1"/>
  <c r="P26" i="2" l="1"/>
  <c r="P39" i="2"/>
  <c r="Q22" i="2" l="1"/>
  <c r="Q23" i="2" s="1"/>
  <c r="Q24" i="2" l="1"/>
  <c r="Q31" i="2" s="1"/>
  <c r="Q25" i="2"/>
  <c r="Q26" i="2" l="1"/>
  <c r="Q39" i="2"/>
  <c r="R22" i="2" l="1"/>
  <c r="R23" i="2" s="1"/>
  <c r="R24" i="2" l="1"/>
  <c r="R31" i="2" s="1"/>
  <c r="R25" i="2" l="1"/>
  <c r="R26" i="2"/>
  <c r="R39" i="2"/>
  <c r="S22" i="2" l="1"/>
  <c r="S23" i="2" s="1"/>
  <c r="S24" i="2" l="1"/>
  <c r="S31" i="2" s="1"/>
  <c r="S25" i="2"/>
  <c r="S26" i="2" l="1"/>
  <c r="S39" i="2"/>
  <c r="T22" i="2" l="1"/>
  <c r="T23" i="2" s="1"/>
  <c r="T24" i="2" l="1"/>
  <c r="T31" i="2" s="1"/>
  <c r="T25" i="2"/>
  <c r="T26" i="2" l="1"/>
  <c r="T39" i="2"/>
  <c r="U22" i="2" l="1"/>
  <c r="U23" i="2" s="1"/>
  <c r="U24" i="2" l="1"/>
  <c r="U31" i="2" s="1"/>
  <c r="U25" i="2"/>
  <c r="U26" i="2" l="1"/>
  <c r="V25" i="2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CO25" i="2" s="1"/>
  <c r="CP25" i="2" s="1"/>
  <c r="CQ25" i="2" s="1"/>
  <c r="CR25" i="2" s="1"/>
  <c r="CS25" i="2" s="1"/>
  <c r="CT25" i="2" s="1"/>
  <c r="CU25" i="2" s="1"/>
  <c r="CV25" i="2" s="1"/>
  <c r="CW25" i="2" s="1"/>
  <c r="CX25" i="2" s="1"/>
  <c r="CY25" i="2" s="1"/>
  <c r="CZ25" i="2" s="1"/>
  <c r="DA25" i="2" s="1"/>
  <c r="DB25" i="2" s="1"/>
  <c r="DC25" i="2" s="1"/>
  <c r="DD25" i="2" s="1"/>
  <c r="DE25" i="2" s="1"/>
  <c r="DF25" i="2" s="1"/>
  <c r="DG25" i="2" s="1"/>
  <c r="DH25" i="2" s="1"/>
  <c r="DI25" i="2" s="1"/>
  <c r="DJ25" i="2" s="1"/>
  <c r="DK25" i="2" s="1"/>
  <c r="DL25" i="2" s="1"/>
  <c r="DM25" i="2" s="1"/>
  <c r="DN25" i="2" s="1"/>
  <c r="DO25" i="2" s="1"/>
  <c r="DP25" i="2" s="1"/>
  <c r="DQ25" i="2" s="1"/>
  <c r="DR25" i="2" s="1"/>
  <c r="U39" i="2"/>
  <c r="DS25" i="2" l="1"/>
  <c r="DT25" i="2" s="1"/>
  <c r="DU25" i="2" s="1"/>
  <c r="DV25" i="2" s="1"/>
  <c r="DW25" i="2" s="1"/>
  <c r="DX25" i="2" s="1"/>
  <c r="DY25" i="2" s="1"/>
  <c r="DZ25" i="2" s="1"/>
  <c r="EA25" i="2" s="1"/>
  <c r="EB25" i="2" s="1"/>
  <c r="EC25" i="2" s="1"/>
  <c r="ED25" i="2" s="1"/>
  <c r="EE25" i="2" s="1"/>
  <c r="EF25" i="2" s="1"/>
  <c r="EG25" i="2" s="1"/>
  <c r="EH25" i="2" s="1"/>
  <c r="EI25" i="2" s="1"/>
  <c r="EJ25" i="2" s="1"/>
  <c r="EK25" i="2" s="1"/>
  <c r="EL25" i="2" s="1"/>
  <c r="EM25" i="2" s="1"/>
  <c r="EN25" i="2" s="1"/>
  <c r="EO25" i="2" s="1"/>
  <c r="EP25" i="2" s="1"/>
  <c r="EQ25" i="2" s="1"/>
  <c r="ER25" i="2" s="1"/>
  <c r="ES25" i="2" s="1"/>
  <c r="ET25" i="2" s="1"/>
  <c r="EU25" i="2" s="1"/>
  <c r="EV25" i="2" s="1"/>
  <c r="EW25" i="2" s="1"/>
  <c r="EX25" i="2" s="1"/>
  <c r="F5" i="2" s="1"/>
  <c r="F6" i="2" s="1"/>
  <c r="F7" i="2" s="1"/>
  <c r="G7" i="2" s="1"/>
</calcChain>
</file>

<file path=xl/sharedStrings.xml><?xml version="1.0" encoding="utf-8"?>
<sst xmlns="http://schemas.openxmlformats.org/spreadsheetml/2006/main" count="157" uniqueCount="109">
  <si>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</si>
  <si>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</si>
  <si>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</si>
  <si>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</si>
  <si>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</si>
  <si>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</si>
  <si>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</si>
  <si>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</si>
  <si>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</si>
  <si>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</si>
  <si>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</si>
  <si>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</si>
  <si>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</si>
  <si>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</si>
  <si>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</si>
  <si>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</si>
  <si>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</si>
  <si>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</si>
  <si>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</si>
  <si>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</si>
  <si>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</si>
  <si>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</si>
  <si>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</si>
  <si>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</si>
  <si>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</si>
  <si>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</si>
  <si>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</si>
  <si>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</si>
  <si>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</si>
  <si>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</si>
  <si>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</si>
  <si>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</si>
  <si>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</si>
  <si>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</si>
  <si>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R&amp;D y/y</t>
  </si>
  <si>
    <t>S&amp;M y/y</t>
  </si>
  <si>
    <t>G&amp;A y/y</t>
  </si>
  <si>
    <t>31/12/2017</t>
  </si>
  <si>
    <t>31/12/2016</t>
  </si>
  <si>
    <t>30/6/2017</t>
  </si>
  <si>
    <t>30/9/2016</t>
  </si>
  <si>
    <t>30/9/2017</t>
  </si>
  <si>
    <t>31/3/2017</t>
  </si>
  <si>
    <t>30/6/2016</t>
  </si>
  <si>
    <t>31/3/2016</t>
  </si>
  <si>
    <t>31/12/2015</t>
  </si>
  <si>
    <t>30/9/2015</t>
  </si>
  <si>
    <t>Q115</t>
  </si>
  <si>
    <t>Q215</t>
  </si>
  <si>
    <t>Q315</t>
  </si>
  <si>
    <t>Q415</t>
  </si>
  <si>
    <t>30/6/2015</t>
  </si>
  <si>
    <t>31/3/2015</t>
  </si>
  <si>
    <t>Investor Relations</t>
  </si>
  <si>
    <t>CEO</t>
  </si>
  <si>
    <t>Founder</t>
  </si>
  <si>
    <t>Shopify Inc (SHOP)</t>
  </si>
  <si>
    <t>Price</t>
  </si>
  <si>
    <t>Q318</t>
  </si>
  <si>
    <t>Market Cap</t>
  </si>
  <si>
    <t>EV</t>
  </si>
  <si>
    <t>per share</t>
  </si>
  <si>
    <t>Tobias Lutke</t>
  </si>
  <si>
    <t>Daniel Weinand</t>
  </si>
  <si>
    <t>Scott Lake</t>
  </si>
  <si>
    <t>EDGAR</t>
  </si>
  <si>
    <t>Subscriptions</t>
  </si>
  <si>
    <t>Merchant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</si>
  <si>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</si>
  <si>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</si>
  <si>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</si>
  <si>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</si>
  <si>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</si>
  <si>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</si>
  <si>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</si>
  <si>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</si>
  <si>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</si>
  <si>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NI 12M</t>
  </si>
  <si>
    <t>Subscriptions y/y</t>
  </si>
  <si>
    <t>Merchant y/y</t>
  </si>
  <si>
    <t>Q118</t>
  </si>
  <si>
    <t>Q218</t>
  </si>
  <si>
    <t>Q418</t>
  </si>
  <si>
    <t>31/3/2018</t>
  </si>
  <si>
    <t>30/6/2018</t>
  </si>
  <si>
    <t>30/9/2018</t>
  </si>
  <si>
    <t>31/12/2018</t>
  </si>
  <si>
    <t>Q119</t>
  </si>
  <si>
    <t>Q219</t>
  </si>
  <si>
    <t>Q319</t>
  </si>
  <si>
    <t>Q419</t>
  </si>
  <si>
    <t>Q120</t>
  </si>
  <si>
    <t>Q220</t>
  </si>
  <si>
    <t>Q320</t>
  </si>
  <si>
    <t>Q420</t>
  </si>
  <si>
    <t>PRODUCTS</t>
  </si>
  <si>
    <t>Shopify Studios</t>
  </si>
  <si>
    <t>TV and film production</t>
  </si>
  <si>
    <t>31/3/2019</t>
  </si>
  <si>
    <t>AQUIRED</t>
  </si>
  <si>
    <t>6 River Systems</t>
  </si>
  <si>
    <t>Warehousing solutions (Shopify Fulfillment)</t>
  </si>
  <si>
    <t>Shopify Payments</t>
  </si>
  <si>
    <t>Operating Expenses y/y</t>
  </si>
  <si>
    <t>MRR</t>
  </si>
  <si>
    <t>GMV</t>
  </si>
  <si>
    <t>MRR y/y</t>
  </si>
  <si>
    <t>GMV y/y</t>
  </si>
  <si>
    <t>R/GMV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</si>
</sst>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1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3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Border="1"/>
    <xf numFmtId="10" fontId="5" fillId="0" borderId="0" xfId="0" applyNumberFormat="1" applyFont="1"/>
    <xf numFmtId="0" fontId="7" fillId="0" borderId="0" xfId="4" applyFont="1"/>
    <xf numFmtId="164" fontId="5" fillId="2" borderId="0" xfId="0" applyNumberFormat="1" applyFont="1" applyFill="1"/>
    <xf numFmtId="3" fontId="5" fillId="0" borderId="0" xfId="0" applyNumberFormat="1" applyFont="1"/>
    <xf numFmtId="0" fontId="6" fillId="0" borderId="0" xfId="0" applyFont="1" applyBorder="1"/>
    <xf numFmtId="2" fontId="5" fillId="0" borderId="0" xfId="0" applyNumberFormat="1" applyFont="1"/>
    <xf numFmtId="3" fontId="5" fillId="0" borderId="0" xfId="0" applyNumberFormat="1" applyFont="1" applyBorder="1"/>
    <xf numFmtId="3" fontId="5" fillId="0" borderId="0" xfId="0" applyNumberFormat="1" applyFont="1" applyFill="1" applyBorder="1"/>
    <xf numFmtId="3" fontId="5" fillId="2" borderId="0" xfId="0" applyNumberFormat="1" applyFont="1" applyFill="1" applyBorder="1"/>
    <xf numFmtId="0" fontId="7" fillId="0" borderId="0" xfId="4" applyFont="1" applyBorder="1"/>
    <xf numFmtId="4" fontId="5" fillId="0" borderId="0" xfId="0" applyNumberFormat="1" applyFont="1" applyBorder="1"/>
    <xf numFmtId="0" fontId="8" fillId="0" borderId="0" xfId="0" applyFont="1"/>
    <xf numFmtId="164" fontId="6" fillId="2" borderId="0" xfId="0" applyNumberFormat="1" applyFont="1" applyFill="1"/>
    <xf numFmtId="4" fontId="5" fillId="2" borderId="0" xfId="0" applyNumberFormat="1" applyFont="1" applyFill="1" applyBorder="1"/>
    <xf numFmtId="0" fontId="8" fillId="0" borderId="0" xfId="0" applyFont="1" applyBorder="1"/>
    <xf numFmtId="4" fontId="5" fillId="2" borderId="0" xfId="0" applyNumberFormat="1" applyFont="1" applyFill="1"/>
    <xf numFmtId="9" fontId="5" fillId="0" borderId="0" xfId="0" applyNumberFormat="1" applyFont="1"/>
    <xf numFmtId="0" fontId="7" fillId="0" borderId="0" xfId="4" applyFont="1" applyAlignment="1">
      <alignment horizontal="left"/>
    </xf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3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 applyAlignment="1">
      <alignment horizontal="left"/>
    </xf>
    <xf numFmtId="3" fontId="6" fillId="0" borderId="0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0" borderId="1" xfId="0" applyNumberFormat="1" applyFont="1" applyBorder="1"/>
    <xf numFmtId="9" fontId="5" fillId="0" borderId="0" xfId="1" applyFont="1" applyBorder="1" applyAlignment="1">
      <alignment horizontal="right"/>
    </xf>
    <xf numFmtId="9" fontId="5" fillId="0" borderId="1" xfId="1" applyFont="1" applyBorder="1" applyAlignment="1">
      <alignment horizontal="right"/>
    </xf>
    <xf numFmtId="9" fontId="5" fillId="0" borderId="0" xfId="1" applyFont="1" applyAlignment="1">
      <alignment horizontal="right"/>
    </xf>
    <xf numFmtId="0" fontId="5" fillId="0" borderId="0" xfId="0" applyFont="1" applyFill="1" applyBorder="1"/>
    <xf numFmtId="3" fontId="6" fillId="2" borderId="0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3" fontId="6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3" fontId="6" fillId="2" borderId="0" xfId="0" applyNumberFormat="1" applyFont="1" applyFill="1"/>
    <xf numFmtId="9" fontId="5" fillId="0" borderId="0" xfId="0" applyNumberFormat="1" applyFont="1" applyFill="1" applyBorder="1"/>
    <xf numFmtId="0" fontId="5" fillId="0" borderId="0" xfId="0" applyFont="1" applyFill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9" fontId="5" fillId="0" borderId="0" xfId="0" applyNumberFormat="1" applyFont="1" applyFill="1" applyBorder="1" applyAlignment="1">
      <alignment horizontal="right"/>
    </xf>
    <xf numFmtId="9" fontId="5" fillId="0" borderId="0" xfId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9" fontId="6" fillId="0" borderId="0" xfId="1" applyNumberFormat="1" applyFont="1" applyFill="1" applyBorder="1" applyAlignment="1">
      <alignment horizontal="right"/>
    </xf>
    <xf numFmtId="9" fontId="5" fillId="0" borderId="0" xfId="1" applyNumberFormat="1" applyFont="1" applyFill="1" applyBorder="1" applyAlignment="1">
      <alignment horizontal="right"/>
    </xf>
    <xf numFmtId="9" fontId="5" fillId="0" borderId="0" xfId="0" applyNumberFormat="1" applyFont="1" applyFill="1" applyAlignment="1">
      <alignment horizontal="right"/>
    </xf>
    <xf numFmtId="0" fontId="6" fillId="0" borderId="0" xfId="0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0" fontId="8" fillId="0" borderId="0" xfId="0" applyFont="1" applyAlignment="1">
      <alignment horizontal="right"/>
    </xf>
    <xf numFmtId="14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3" fontId="6" fillId="0" borderId="0" xfId="0" applyNumberFormat="1" applyFont="1"/>
    <xf numFmtId="4" fontId="5" fillId="0" borderId="0" xfId="0" applyNumberFormat="1" applyFont="1" applyAlignment="1">
      <alignment horizontal="left"/>
    </xf>
    <xf numFmtId="4" fontId="5" fillId="2" borderId="0" xfId="0" applyNumberFormat="1" applyFont="1" applyFill="1" applyBorder="1" applyAlignment="1">
      <alignment horizontal="right"/>
    </xf>
    <xf numFmtId="4" fontId="5" fillId="2" borderId="1" xfId="0" applyNumberFormat="1" applyFont="1" applyFill="1" applyBorder="1" applyAlignment="1">
      <alignment horizontal="right"/>
    </xf>
    <xf numFmtId="4" fontId="5" fillId="2" borderId="0" xfId="0" applyNumberFormat="1" applyFont="1" applyFill="1" applyAlignment="1">
      <alignment horizontal="right"/>
    </xf>
    <xf numFmtId="4" fontId="5" fillId="0" borderId="0" xfId="0" applyNumberFormat="1" applyFont="1"/>
    <xf numFmtId="3" fontId="6" fillId="0" borderId="0" xfId="0" applyNumberFormat="1" applyFont="1" applyFill="1" applyBorder="1"/>
    <xf numFmtId="3" fontId="6" fillId="0" borderId="0" xfId="0" applyNumberFormat="1" applyFont="1" applyAlignment="1">
      <alignment horizontal="right"/>
    </xf>
    <xf numFmtId="0" fontId="9" fillId="0" borderId="0" xfId="0" applyFont="1"/>
    <xf numFmtId="3" fontId="0" fillId="0" borderId="0" xfId="0" applyNumberFormat="1" applyFont="1" applyAlignment="1">
      <alignment horizontal="left"/>
    </xf>
    <xf numFmtId="0" fontId="0" fillId="0" borderId="1" xfId="0" applyFont="1" applyBorder="1" applyAlignment="1">
      <alignment horizontal="right"/>
    </xf>
    <xf numFmtId="9" fontId="5" fillId="0" borderId="1" xfId="0" applyNumberFormat="1" applyFont="1" applyFill="1" applyBorder="1" applyAlignment="1">
      <alignment horizontal="right"/>
    </xf>
    <xf numFmtId="9" fontId="5" fillId="0" borderId="1" xfId="1" applyFont="1" applyFill="1" applyBorder="1" applyAlignment="1">
      <alignment horizontal="right"/>
    </xf>
    <xf numFmtId="9" fontId="6" fillId="0" borderId="1" xfId="1" applyNumberFormat="1" applyFont="1" applyFill="1" applyBorder="1" applyAlignment="1">
      <alignment horizontal="right"/>
    </xf>
    <xf numFmtId="9" fontId="5" fillId="0" borderId="1" xfId="1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3" fontId="0" fillId="0" borderId="0" xfId="0" applyNumberFormat="1" applyFont="1"/>
    <xf numFmtId="3" fontId="5" fillId="0" borderId="1" xfId="0" applyNumberFormat="1" applyFont="1" applyBorder="1"/>
    <xf numFmtId="3" fontId="0" fillId="0" borderId="1" xfId="0" applyNumberFormat="1" applyFont="1" applyBorder="1"/>
    <xf numFmtId="0" fontId="5" fillId="0" borderId="1" xfId="0" applyFont="1" applyBorder="1"/>
    <xf numFmtId="0" fontId="10" fillId="0" borderId="0" xfId="0" applyFont="1" applyBorder="1" applyAlignment="1">
      <alignment horizontal="right"/>
    </xf>
    <xf numFmtId="9" fontId="8" fillId="0" borderId="0" xfId="1" applyFont="1" applyBorder="1" applyAlignment="1">
      <alignment horizontal="righ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3" fontId="0" fillId="0" borderId="1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0" xfId="0" applyNumberFormat="1" applyFont="1" applyFill="1" applyBorder="1" applyAlignment="1">
      <alignment horizontal="right"/>
    </xf>
    <xf numFmtId="14" fontId="5" fillId="0" borderId="0" xfId="0" applyNumberFormat="1" applyFont="1" applyAlignment="1">
      <alignment horizontal="right"/>
    </xf>
    <xf numFmtId="14" fontId="5" fillId="0" borderId="1" xfId="0" applyNumberFormat="1" applyFont="1" applyBorder="1" applyAlignment="1">
      <alignment horizontal="right"/>
    </xf>
    <xf numFmtId="14" fontId="0" fillId="0" borderId="0" xfId="0" applyNumberFormat="1" applyFont="1" applyAlignment="1">
      <alignment horizontal="right"/>
    </xf>
    <xf numFmtId="3" fontId="5" fillId="0" borderId="0" xfId="0" applyNumberFormat="1" applyFont="1" applyFill="1" applyAlignment="1">
      <alignment horizontal="right"/>
    </xf>
    <xf numFmtId="9" fontId="5" fillId="0" borderId="0" xfId="0" applyNumberFormat="1" applyFont="1" applyAlignment="1">
      <alignment horizontal="left"/>
    </xf>
    <xf numFmtId="0" fontId="0" fillId="0" borderId="0" xfId="0" applyFont="1"/>
    <xf numFmtId="9" fontId="0" fillId="0" borderId="0" xfId="0" applyNumberFormat="1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9</xdr:row>
      <xdr:rowOff>0</xdr:rowOff>
    </xdr:from>
    <xdr:to>
      <xdr:col>6</xdr:col>
      <xdr:colOff>228600</xdr:colOff>
      <xdr:row>65</xdr:row>
      <xdr:rowOff>21166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890683" y="1524000"/>
          <a:ext cx="0" cy="9503833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300567</xdr:colOff>
      <xdr:row>1</xdr:row>
      <xdr:rowOff>0</xdr:rowOff>
    </xdr:from>
    <xdr:to>
      <xdr:col>24</xdr:col>
      <xdr:colOff>300567</xdr:colOff>
      <xdr:row>57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768734" y="169333"/>
          <a:ext cx="0" cy="9482667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Tobias_L%C3%BCtke" TargetMode="External"/><Relationship Id="rId2" Type="http://schemas.openxmlformats.org/officeDocument/2006/relationships/hyperlink" Target="https://en.wikipedia.org/wiki/Tobias_L%C3%BCtke" TargetMode="External"/><Relationship Id="rId1" Type="http://schemas.openxmlformats.org/officeDocument/2006/relationships/hyperlink" Target="https://investors.shopify.com/Home/default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shop&amp;owner=exclude&amp;action=getcomp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64"/>
  <sheetViews>
    <sheetView tabSelected="1" zoomScale="120" zoomScaleNormal="12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F5" sqref="F5"/>
    </sheetView>
  </sheetViews>
  <sheetFormatPr baseColWidth="10" defaultRowHeight="13" x14ac:dyDescent="0.15"/>
  <cols>
    <col min="1" max="1" width="20.1640625" style="1" bestFit="1" customWidth="1"/>
    <col min="2" max="16384" width="10.83203125" style="1"/>
  </cols>
  <sheetData>
    <row r="1" spans="1:122" x14ac:dyDescent="0.15">
      <c r="A1" s="13" t="s">
        <v>53</v>
      </c>
      <c r="B1" s="2" t="s">
        <v>56</v>
      </c>
    </row>
    <row r="2" spans="1:122" x14ac:dyDescent="0.15">
      <c r="B2" s="1" t="s">
        <v>57</v>
      </c>
      <c r="C2" s="14">
        <v>1098.5899999999999</v>
      </c>
      <c r="D2" s="66">
        <v>44225</v>
      </c>
      <c r="E2" s="3" t="s">
        <v>29</v>
      </c>
      <c r="F2" s="4">
        <v>-5.0000000000000001E-3</v>
      </c>
      <c r="I2" s="7"/>
    </row>
    <row r="3" spans="1:122" x14ac:dyDescent="0.15">
      <c r="A3" s="2" t="s">
        <v>54</v>
      </c>
      <c r="B3" s="1" t="s">
        <v>17</v>
      </c>
      <c r="C3" s="10">
        <f>Reports!X19</f>
        <v>124.90827899999999</v>
      </c>
      <c r="D3" s="91" t="s">
        <v>93</v>
      </c>
      <c r="E3" s="3" t="s">
        <v>30</v>
      </c>
      <c r="F3" s="4">
        <v>0.05</v>
      </c>
      <c r="G3" s="15"/>
      <c r="I3" s="7"/>
    </row>
    <row r="4" spans="1:122" x14ac:dyDescent="0.15">
      <c r="A4" s="5" t="s">
        <v>62</v>
      </c>
      <c r="B4" s="1" t="s">
        <v>59</v>
      </c>
      <c r="C4" s="12">
        <f>C2*C3</f>
        <v>137222.98622661</v>
      </c>
      <c r="D4" s="24"/>
      <c r="E4" s="3" t="s">
        <v>31</v>
      </c>
      <c r="F4" s="4">
        <v>7.0000000000000007E-2</v>
      </c>
      <c r="G4" s="15"/>
      <c r="I4" s="20"/>
    </row>
    <row r="5" spans="1:122" x14ac:dyDescent="0.15">
      <c r="B5" s="1" t="s">
        <v>26</v>
      </c>
      <c r="C5" s="10">
        <f>Reports!X30</f>
        <v>5371</v>
      </c>
      <c r="D5" s="91" t="s">
        <v>93</v>
      </c>
      <c r="E5" s="3" t="s">
        <v>32</v>
      </c>
      <c r="F5" s="6">
        <f>NPV(F4,G25:EX25)</f>
        <v>117456.73583975279</v>
      </c>
      <c r="G5" s="15"/>
      <c r="I5" s="20"/>
    </row>
    <row r="6" spans="1:122" x14ac:dyDescent="0.15">
      <c r="A6" s="2" t="s">
        <v>55</v>
      </c>
      <c r="B6" s="1" t="s">
        <v>60</v>
      </c>
      <c r="C6" s="12">
        <f>C4-C5</f>
        <v>131851.98622661</v>
      </c>
      <c r="D6" s="24"/>
      <c r="E6" s="8" t="s">
        <v>33</v>
      </c>
      <c r="F6" s="16">
        <f>F5+C5</f>
        <v>122827.73583975279</v>
      </c>
      <c r="I6" s="20"/>
    </row>
    <row r="7" spans="1:122" x14ac:dyDescent="0.15">
      <c r="A7" s="5" t="s">
        <v>62</v>
      </c>
      <c r="B7" s="15" t="s">
        <v>61</v>
      </c>
      <c r="C7" s="17">
        <f>C6/C3</f>
        <v>1055.5904483049519</v>
      </c>
      <c r="D7" s="24"/>
      <c r="E7" s="18" t="s">
        <v>61</v>
      </c>
      <c r="F7" s="19">
        <f>F6/C3</f>
        <v>983.34343266191979</v>
      </c>
      <c r="G7" s="20">
        <f>F7/C2-1</f>
        <v>-0.10490407462117823</v>
      </c>
    </row>
    <row r="8" spans="1:122" x14ac:dyDescent="0.15">
      <c r="A8" s="1" t="s">
        <v>63</v>
      </c>
      <c r="E8" s="3"/>
      <c r="F8" s="9"/>
    </row>
    <row r="9" spans="1:122" x14ac:dyDescent="0.15">
      <c r="A9" s="1" t="s">
        <v>64</v>
      </c>
    </row>
    <row r="10" spans="1:122" x14ac:dyDescent="0.15">
      <c r="B10" s="22">
        <v>2015</v>
      </c>
      <c r="C10" s="22">
        <v>2016</v>
      </c>
      <c r="D10" s="22">
        <v>2017</v>
      </c>
      <c r="E10" s="22">
        <f>D10+1</f>
        <v>2018</v>
      </c>
      <c r="F10" s="22">
        <f t="shared" ref="F10:U10" si="0">E10+1</f>
        <v>2019</v>
      </c>
      <c r="G10" s="22">
        <f t="shared" si="0"/>
        <v>2020</v>
      </c>
      <c r="H10" s="22">
        <f t="shared" si="0"/>
        <v>2021</v>
      </c>
      <c r="I10" s="22">
        <f t="shared" si="0"/>
        <v>2022</v>
      </c>
      <c r="J10" s="22">
        <f t="shared" si="0"/>
        <v>2023</v>
      </c>
      <c r="K10" s="22">
        <f t="shared" si="0"/>
        <v>2024</v>
      </c>
      <c r="L10" s="22">
        <f t="shared" si="0"/>
        <v>2025</v>
      </c>
      <c r="M10" s="22">
        <f t="shared" si="0"/>
        <v>2026</v>
      </c>
      <c r="N10" s="22">
        <f t="shared" si="0"/>
        <v>2027</v>
      </c>
      <c r="O10" s="22">
        <f t="shared" si="0"/>
        <v>2028</v>
      </c>
      <c r="P10" s="22">
        <f t="shared" si="0"/>
        <v>2029</v>
      </c>
      <c r="Q10" s="22">
        <f t="shared" si="0"/>
        <v>2030</v>
      </c>
      <c r="R10" s="22">
        <f t="shared" si="0"/>
        <v>2031</v>
      </c>
      <c r="S10" s="22">
        <f t="shared" si="0"/>
        <v>2032</v>
      </c>
      <c r="T10" s="22">
        <f t="shared" si="0"/>
        <v>2033</v>
      </c>
      <c r="U10" s="22">
        <f t="shared" si="0"/>
        <v>2034</v>
      </c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</row>
    <row r="11" spans="1:122" s="7" customFormat="1" x14ac:dyDescent="0.15">
      <c r="A11" s="7" t="s">
        <v>66</v>
      </c>
      <c r="B11" s="30">
        <f>SUM(Reports!B3:E3)</f>
        <v>111.97899999999998</v>
      </c>
      <c r="C11" s="30">
        <f>SUM(Reports!F3:I3)</f>
        <v>188.60599999999999</v>
      </c>
      <c r="D11" s="23">
        <f>SUM(Reports!J3:M3)</f>
        <v>310.03100000000001</v>
      </c>
      <c r="E11" s="23">
        <f>SUM(Reports!N3:Q3)</f>
        <v>464.99599999999998</v>
      </c>
      <c r="F11" s="23">
        <f>SUM(Reports!R3:U3)</f>
        <v>642.45100000000002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</row>
    <row r="12" spans="1:122" s="7" customFormat="1" x14ac:dyDescent="0.15">
      <c r="A12" s="7" t="s">
        <v>67</v>
      </c>
      <c r="B12" s="30">
        <f>SUM(Reports!B4:E4)</f>
        <v>93.253999999999991</v>
      </c>
      <c r="C12" s="30">
        <f>SUM(Reports!F4:I4)</f>
        <v>200.72399999999999</v>
      </c>
      <c r="D12" s="23">
        <f>SUM(Reports!J4:M4)</f>
        <v>363.27300000000002</v>
      </c>
      <c r="E12" s="23">
        <f>SUM(Reports!N4:Q4)</f>
        <v>608.23299999999995</v>
      </c>
      <c r="F12" s="23">
        <f>SUM(Reports!R4:U4)</f>
        <v>936.03099999999995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</row>
    <row r="13" spans="1:122" s="85" customFormat="1" x14ac:dyDescent="0.15">
      <c r="B13" s="92"/>
      <c r="C13" s="92"/>
      <c r="D13" s="92"/>
      <c r="E13" s="92"/>
      <c r="F13" s="92">
        <v>1480</v>
      </c>
      <c r="G13" s="92">
        <v>2130</v>
      </c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</row>
    <row r="14" spans="1:122" x14ac:dyDescent="0.15">
      <c r="A14" s="2" t="s">
        <v>4</v>
      </c>
      <c r="B14" s="44">
        <f t="shared" ref="B14:F14" si="1">SUM(B11:B12)</f>
        <v>205.23299999999998</v>
      </c>
      <c r="C14" s="44">
        <f t="shared" si="1"/>
        <v>389.33</v>
      </c>
      <c r="D14" s="44">
        <f t="shared" si="1"/>
        <v>673.30400000000009</v>
      </c>
      <c r="E14" s="44">
        <f t="shared" si="1"/>
        <v>1073.2289999999998</v>
      </c>
      <c r="F14" s="44">
        <f t="shared" si="1"/>
        <v>1578.482</v>
      </c>
      <c r="G14" s="55">
        <f>G59*F64</f>
        <v>2762.3434999999999</v>
      </c>
      <c r="H14" s="55">
        <f>H59*G64</f>
        <v>4281.6324249999998</v>
      </c>
      <c r="I14" s="55">
        <f>I59*H64</f>
        <v>6422.4486374999997</v>
      </c>
      <c r="J14" s="55">
        <f>J59*I64</f>
        <v>9312.5505243749994</v>
      </c>
      <c r="K14" s="55">
        <f>K59*J64</f>
        <v>13037.570734124998</v>
      </c>
      <c r="L14" s="29">
        <f>K14*1.15</f>
        <v>14993.206344243747</v>
      </c>
      <c r="M14" s="29">
        <f t="shared" ref="M14:P14" si="2">L14*1.15</f>
        <v>17242.187295880307</v>
      </c>
      <c r="N14" s="29">
        <f t="shared" si="2"/>
        <v>19828.51539026235</v>
      </c>
      <c r="O14" s="29">
        <f t="shared" si="2"/>
        <v>22802.792698801699</v>
      </c>
      <c r="P14" s="29">
        <f t="shared" si="2"/>
        <v>26223.211603621952</v>
      </c>
      <c r="Q14" s="29">
        <f t="shared" ref="M14:U14" si="3">P14*1.1</f>
        <v>28845.532763984149</v>
      </c>
      <c r="R14" s="29">
        <f t="shared" si="3"/>
        <v>31730.086040382568</v>
      </c>
      <c r="S14" s="29">
        <f t="shared" si="3"/>
        <v>34903.094644420831</v>
      </c>
      <c r="T14" s="29">
        <f t="shared" si="3"/>
        <v>38393.404108862916</v>
      </c>
      <c r="U14" s="29">
        <f t="shared" si="3"/>
        <v>42232.744519749212</v>
      </c>
      <c r="V14" s="29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</row>
    <row r="15" spans="1:122" x14ac:dyDescent="0.15">
      <c r="A15" s="1" t="s">
        <v>5</v>
      </c>
      <c r="B15" s="30">
        <f>SUM(Reports!B7:E7)</f>
        <v>93.205000000000013</v>
      </c>
      <c r="C15" s="30">
        <f>SUM(Reports!F7:I7)</f>
        <v>179.83499999999998</v>
      </c>
      <c r="D15" s="23">
        <f>SUM(Reports!J7:M7)</f>
        <v>293.05099999999999</v>
      </c>
      <c r="E15" s="23">
        <f>SUM(Reports!N7:Q7)</f>
        <v>476.96199999999999</v>
      </c>
      <c r="F15" s="23">
        <f>SUM(Reports!R7:U7)</f>
        <v>712.19100000000003</v>
      </c>
      <c r="G15" s="30">
        <f t="shared" ref="G15:H15" si="4">G14-G16</f>
        <v>1246.3342499999999</v>
      </c>
      <c r="H15" s="30">
        <f t="shared" si="4"/>
        <v>1931.8180874999998</v>
      </c>
      <c r="I15" s="30">
        <f t="shared" ref="I15:L15" si="5">I14-I16</f>
        <v>2897.7271312499997</v>
      </c>
      <c r="J15" s="30">
        <f t="shared" si="5"/>
        <v>4201.7043403124999</v>
      </c>
      <c r="K15" s="30">
        <f t="shared" si="5"/>
        <v>5882.3860764374986</v>
      </c>
      <c r="L15" s="30">
        <f t="shared" si="5"/>
        <v>6764.7439879031226</v>
      </c>
      <c r="M15" s="30">
        <f t="shared" ref="M15:Q15" si="6">M14-M16</f>
        <v>7779.4555860885903</v>
      </c>
      <c r="N15" s="30">
        <f t="shared" si="6"/>
        <v>8946.3739240018785</v>
      </c>
      <c r="O15" s="30">
        <f t="shared" si="6"/>
        <v>10288.330012602159</v>
      </c>
      <c r="P15" s="30">
        <f t="shared" si="6"/>
        <v>11831.579514492481</v>
      </c>
      <c r="Q15" s="30">
        <f t="shared" si="6"/>
        <v>13014.737465941729</v>
      </c>
      <c r="R15" s="30">
        <f t="shared" ref="R15:U15" si="7">R14-R16</f>
        <v>14316.211212535905</v>
      </c>
      <c r="S15" s="30">
        <f t="shared" si="7"/>
        <v>15747.832333789498</v>
      </c>
      <c r="T15" s="30">
        <f t="shared" si="7"/>
        <v>17322.61556716845</v>
      </c>
      <c r="U15" s="30">
        <f t="shared" si="7"/>
        <v>19054.877123885297</v>
      </c>
      <c r="V15" s="30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</row>
    <row r="16" spans="1:122" x14ac:dyDescent="0.15">
      <c r="A16" s="1" t="s">
        <v>6</v>
      </c>
      <c r="B16" s="45">
        <f>B14-B15</f>
        <v>112.02799999999996</v>
      </c>
      <c r="C16" s="45">
        <f>C14-C15</f>
        <v>209.495</v>
      </c>
      <c r="D16" s="45">
        <f>D14-D15</f>
        <v>380.2530000000001</v>
      </c>
      <c r="E16" s="45">
        <f>E14-E15</f>
        <v>596.26699999999983</v>
      </c>
      <c r="F16" s="45">
        <f>F14-F15</f>
        <v>866.29099999999994</v>
      </c>
      <c r="G16" s="30">
        <f t="shared" ref="G16:U16" si="8">G14*F29</f>
        <v>1516.0092500000001</v>
      </c>
      <c r="H16" s="30">
        <f t="shared" si="8"/>
        <v>2349.8143375</v>
      </c>
      <c r="I16" s="30">
        <f t="shared" si="8"/>
        <v>3524.7215062499999</v>
      </c>
      <c r="J16" s="30">
        <f t="shared" si="8"/>
        <v>5110.8461840624996</v>
      </c>
      <c r="K16" s="30">
        <f t="shared" si="8"/>
        <v>7155.1846576874996</v>
      </c>
      <c r="L16" s="30">
        <f t="shared" si="8"/>
        <v>8228.462356340624</v>
      </c>
      <c r="M16" s="30">
        <f t="shared" si="8"/>
        <v>9462.7317097917166</v>
      </c>
      <c r="N16" s="30">
        <f t="shared" si="8"/>
        <v>10882.141466260471</v>
      </c>
      <c r="O16" s="30">
        <f t="shared" si="8"/>
        <v>12514.46268619954</v>
      </c>
      <c r="P16" s="30">
        <f t="shared" si="8"/>
        <v>14391.632089129471</v>
      </c>
      <c r="Q16" s="30">
        <f t="shared" si="8"/>
        <v>15830.79529804242</v>
      </c>
      <c r="R16" s="30">
        <f t="shared" si="8"/>
        <v>17413.874827846663</v>
      </c>
      <c r="S16" s="30">
        <f t="shared" si="8"/>
        <v>19155.262310631333</v>
      </c>
      <c r="T16" s="30">
        <f t="shared" si="8"/>
        <v>21070.788541694466</v>
      </c>
      <c r="U16" s="30">
        <f t="shared" si="8"/>
        <v>23177.867395863916</v>
      </c>
      <c r="V16" s="30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</row>
    <row r="17" spans="1:154" x14ac:dyDescent="0.15">
      <c r="A17" s="1" t="s">
        <v>7</v>
      </c>
      <c r="B17" s="30">
        <f>SUM(Reports!B9:E9)</f>
        <v>39.721999999999994</v>
      </c>
      <c r="C17" s="30">
        <f>SUM(Reports!F9:I9)</f>
        <v>74.336000000000013</v>
      </c>
      <c r="D17" s="23">
        <f>SUM(Reports!J9:M9)</f>
        <v>135.99700000000001</v>
      </c>
      <c r="E17" s="23">
        <f>SUM(Reports!N9:Q9)</f>
        <v>230.67400000000001</v>
      </c>
      <c r="F17" s="23">
        <f>SUM(Reports!R9:U9)</f>
        <v>355</v>
      </c>
      <c r="G17" s="30">
        <f t="shared" ref="G17:K17" si="9">F17*1.3</f>
        <v>461.5</v>
      </c>
      <c r="H17" s="30">
        <f t="shared" si="9"/>
        <v>599.95000000000005</v>
      </c>
      <c r="I17" s="30">
        <f t="shared" si="9"/>
        <v>779.93500000000006</v>
      </c>
      <c r="J17" s="30">
        <f t="shared" si="9"/>
        <v>1013.9155000000001</v>
      </c>
      <c r="K17" s="30">
        <f t="shared" si="9"/>
        <v>1318.0901500000002</v>
      </c>
      <c r="L17" s="30">
        <f>K17*1.1</f>
        <v>1449.8991650000003</v>
      </c>
      <c r="M17" s="30">
        <f t="shared" ref="M17:P17" si="10">L17*1.1</f>
        <v>1594.8890815000004</v>
      </c>
      <c r="N17" s="30">
        <f t="shared" si="10"/>
        <v>1754.3779896500007</v>
      </c>
      <c r="O17" s="30">
        <f t="shared" si="10"/>
        <v>1929.8157886150009</v>
      </c>
      <c r="P17" s="30">
        <f t="shared" si="10"/>
        <v>2122.7973674765012</v>
      </c>
      <c r="Q17" s="30">
        <f t="shared" ref="M17:U17" si="11">P17*1.05</f>
        <v>2228.9372358503265</v>
      </c>
      <c r="R17" s="30">
        <f t="shared" si="11"/>
        <v>2340.3840976428428</v>
      </c>
      <c r="S17" s="30">
        <f t="shared" si="11"/>
        <v>2457.4033025249851</v>
      </c>
      <c r="T17" s="30">
        <f t="shared" si="11"/>
        <v>2580.2734676512346</v>
      </c>
      <c r="U17" s="30">
        <f t="shared" si="11"/>
        <v>2709.2871410337966</v>
      </c>
      <c r="V17" s="30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</row>
    <row r="18" spans="1:154" x14ac:dyDescent="0.15">
      <c r="A18" s="1" t="s">
        <v>8</v>
      </c>
      <c r="B18" s="30">
        <f>SUM(Reports!B10:E10)</f>
        <v>70.373999999999995</v>
      </c>
      <c r="C18" s="30">
        <f>SUM(Reports!F10:I10)</f>
        <v>129.214</v>
      </c>
      <c r="D18" s="23">
        <f>SUM(Reports!J10:M10)</f>
        <v>225.69400000000002</v>
      </c>
      <c r="E18" s="23">
        <f>SUM(Reports!N10:Q10)</f>
        <v>350.06900000000002</v>
      </c>
      <c r="F18" s="23">
        <f>SUM(Reports!R10:U10)</f>
        <v>473</v>
      </c>
      <c r="G18" s="30">
        <f t="shared" ref="G18:K18" si="12">F18*1.3</f>
        <v>614.9</v>
      </c>
      <c r="H18" s="30">
        <f t="shared" si="12"/>
        <v>799.37</v>
      </c>
      <c r="I18" s="30">
        <f t="shared" si="12"/>
        <v>1039.181</v>
      </c>
      <c r="J18" s="30">
        <f t="shared" si="12"/>
        <v>1350.9353000000001</v>
      </c>
      <c r="K18" s="30">
        <f t="shared" si="12"/>
        <v>1756.2158900000002</v>
      </c>
      <c r="L18" s="30">
        <f>K18*1.15</f>
        <v>2019.6482735</v>
      </c>
      <c r="M18" s="30">
        <f t="shared" ref="M18:P18" si="13">L18*1.15</f>
        <v>2322.595514525</v>
      </c>
      <c r="N18" s="30">
        <f t="shared" si="13"/>
        <v>2670.9848417037497</v>
      </c>
      <c r="O18" s="30">
        <f t="shared" si="13"/>
        <v>3071.6325679593119</v>
      </c>
      <c r="P18" s="30">
        <f t="shared" si="13"/>
        <v>3532.3774531532085</v>
      </c>
      <c r="Q18" s="30">
        <f t="shared" ref="M18:U18" si="14">P18*1.1</f>
        <v>3885.6151984685298</v>
      </c>
      <c r="R18" s="30">
        <f t="shared" si="14"/>
        <v>4274.1767183153834</v>
      </c>
      <c r="S18" s="30">
        <f t="shared" si="14"/>
        <v>4701.5943901469218</v>
      </c>
      <c r="T18" s="30">
        <f t="shared" si="14"/>
        <v>5171.7538291616147</v>
      </c>
      <c r="U18" s="30">
        <f t="shared" si="14"/>
        <v>5688.9292120777764</v>
      </c>
      <c r="V18" s="30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</row>
    <row r="19" spans="1:154" x14ac:dyDescent="0.15">
      <c r="A19" s="1" t="s">
        <v>9</v>
      </c>
      <c r="B19" s="30">
        <f>SUM(Reports!B11:E11)</f>
        <v>19.687999999999999</v>
      </c>
      <c r="C19" s="30">
        <f>SUM(Reports!F11:I11)</f>
        <v>43.11</v>
      </c>
      <c r="D19" s="23">
        <f>SUM(Reports!J11:M11)</f>
        <v>67.719000000000008</v>
      </c>
      <c r="E19" s="23">
        <f>SUM(Reports!N11:Q11)</f>
        <v>107.44400000000002</v>
      </c>
      <c r="F19" s="23">
        <f>SUM(Reports!R11:U11)</f>
        <v>179</v>
      </c>
      <c r="G19" s="30">
        <f t="shared" ref="G19" si="15">F19*1.2</f>
        <v>214.79999999999998</v>
      </c>
      <c r="H19" s="30">
        <f t="shared" ref="H19" si="16">G19*1.2</f>
        <v>257.76</v>
      </c>
      <c r="I19" s="30">
        <f t="shared" ref="I19:K19" si="17">H19*1.2</f>
        <v>309.31199999999995</v>
      </c>
      <c r="J19" s="30">
        <f t="shared" si="17"/>
        <v>371.17439999999993</v>
      </c>
      <c r="K19" s="30">
        <f t="shared" si="17"/>
        <v>445.40927999999991</v>
      </c>
      <c r="L19" s="30">
        <f t="shared" ref="L19:U19" si="18">K19*0.98</f>
        <v>436.50109439999989</v>
      </c>
      <c r="M19" s="30">
        <f t="shared" ref="M19" si="19">L19*0.98</f>
        <v>427.77107251199988</v>
      </c>
      <c r="N19" s="30">
        <f t="shared" ref="N19" si="20">M19*0.98</f>
        <v>419.21565106175984</v>
      </c>
      <c r="O19" s="30">
        <f t="shared" ref="O19" si="21">N19*0.98</f>
        <v>410.83133804052466</v>
      </c>
      <c r="P19" s="30">
        <f t="shared" ref="P19" si="22">O19*0.98</f>
        <v>402.61471127971413</v>
      </c>
      <c r="Q19" s="30">
        <f t="shared" si="18"/>
        <v>394.56241705411986</v>
      </c>
      <c r="R19" s="30">
        <f t="shared" si="18"/>
        <v>386.67116871303745</v>
      </c>
      <c r="S19" s="30">
        <f t="shared" si="18"/>
        <v>378.93774533877666</v>
      </c>
      <c r="T19" s="30">
        <f t="shared" si="18"/>
        <v>371.35899043200112</v>
      </c>
      <c r="U19" s="30">
        <f t="shared" si="18"/>
        <v>363.93181062336112</v>
      </c>
      <c r="V19" s="30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</row>
    <row r="20" spans="1:154" x14ac:dyDescent="0.15">
      <c r="A20" s="1" t="s">
        <v>10</v>
      </c>
      <c r="B20" s="45">
        <f>SUM(B17:B19)</f>
        <v>129.78399999999999</v>
      </c>
      <c r="C20" s="45">
        <f>SUM(C17:C19)</f>
        <v>246.66000000000003</v>
      </c>
      <c r="D20" s="45">
        <f>SUM(D17:D19)</f>
        <v>429.41</v>
      </c>
      <c r="E20" s="45">
        <f>SUM(E17:E19)</f>
        <v>688.18700000000013</v>
      </c>
      <c r="F20" s="45">
        <f>SUM(F17:F19)</f>
        <v>1007</v>
      </c>
      <c r="G20" s="30">
        <f t="shared" ref="G20:H20" si="23">SUM(G17:G19)</f>
        <v>1291.2</v>
      </c>
      <c r="H20" s="30">
        <f t="shared" si="23"/>
        <v>1657.0800000000002</v>
      </c>
      <c r="I20" s="30">
        <f t="shared" ref="I20:L20" si="24">SUM(I17:I19)</f>
        <v>2128.4279999999999</v>
      </c>
      <c r="J20" s="30">
        <f t="shared" si="24"/>
        <v>2736.0252</v>
      </c>
      <c r="K20" s="30">
        <f t="shared" si="24"/>
        <v>3519.7153200000002</v>
      </c>
      <c r="L20" s="30">
        <f t="shared" si="24"/>
        <v>3906.0485329000003</v>
      </c>
      <c r="M20" s="30">
        <f t="shared" ref="M20:Q20" si="25">SUM(M17:M19)</f>
        <v>4345.255668537</v>
      </c>
      <c r="N20" s="30">
        <f t="shared" si="25"/>
        <v>4844.5784824155098</v>
      </c>
      <c r="O20" s="30">
        <f t="shared" si="25"/>
        <v>5412.2796946148374</v>
      </c>
      <c r="P20" s="30">
        <f t="shared" si="25"/>
        <v>6057.7895319094241</v>
      </c>
      <c r="Q20" s="30">
        <f t="shared" si="25"/>
        <v>6509.1148513729759</v>
      </c>
      <c r="R20" s="30">
        <f t="shared" ref="R20:U20" si="26">SUM(R17:R19)</f>
        <v>7001.2319846712635</v>
      </c>
      <c r="S20" s="30">
        <f t="shared" si="26"/>
        <v>7537.9354380106834</v>
      </c>
      <c r="T20" s="30">
        <f t="shared" si="26"/>
        <v>8123.3862872448508</v>
      </c>
      <c r="U20" s="30">
        <f t="shared" si="26"/>
        <v>8762.1481637349334</v>
      </c>
      <c r="V20" s="30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</row>
    <row r="21" spans="1:154" x14ac:dyDescent="0.15">
      <c r="A21" s="1" t="s">
        <v>11</v>
      </c>
      <c r="B21" s="45">
        <f>B16-B20</f>
        <v>-17.756000000000029</v>
      </c>
      <c r="C21" s="45">
        <f>C16-C20</f>
        <v>-37.16500000000002</v>
      </c>
      <c r="D21" s="45">
        <f>D16-D20</f>
        <v>-49.156999999999925</v>
      </c>
      <c r="E21" s="45">
        <f>E16-E20</f>
        <v>-91.9200000000003</v>
      </c>
      <c r="F21" s="45">
        <f>F16-F20</f>
        <v>-140.70900000000006</v>
      </c>
      <c r="G21" s="30">
        <f t="shared" ref="G21:H21" si="27">G16-G20</f>
        <v>224.80925000000002</v>
      </c>
      <c r="H21" s="30">
        <f t="shared" si="27"/>
        <v>692.73433749999981</v>
      </c>
      <c r="I21" s="30">
        <f t="shared" ref="I21:L21" si="28">I16-I20</f>
        <v>1396.2935062500001</v>
      </c>
      <c r="J21" s="30">
        <f t="shared" si="28"/>
        <v>2374.8209840624995</v>
      </c>
      <c r="K21" s="30">
        <f t="shared" si="28"/>
        <v>3635.4693376874993</v>
      </c>
      <c r="L21" s="30">
        <f t="shared" si="28"/>
        <v>4322.4138234406237</v>
      </c>
      <c r="M21" s="30">
        <f t="shared" ref="M21:Q21" si="29">M16-M20</f>
        <v>5117.4760412547166</v>
      </c>
      <c r="N21" s="30">
        <f t="shared" si="29"/>
        <v>6037.5629838449613</v>
      </c>
      <c r="O21" s="30">
        <f t="shared" si="29"/>
        <v>7102.1829915847029</v>
      </c>
      <c r="P21" s="30">
        <f t="shared" si="29"/>
        <v>8333.8425572200467</v>
      </c>
      <c r="Q21" s="30">
        <f t="shared" si="29"/>
        <v>9321.6804466694448</v>
      </c>
      <c r="R21" s="30">
        <f t="shared" ref="R21:U21" si="30">R16-R20</f>
        <v>10412.642843175399</v>
      </c>
      <c r="S21" s="30">
        <f t="shared" si="30"/>
        <v>11617.32687262065</v>
      </c>
      <c r="T21" s="30">
        <f t="shared" si="30"/>
        <v>12947.402254449615</v>
      </c>
      <c r="U21" s="30">
        <f t="shared" si="30"/>
        <v>14415.719232128982</v>
      </c>
      <c r="V21" s="30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</row>
    <row r="22" spans="1:154" x14ac:dyDescent="0.15">
      <c r="A22" s="1" t="s">
        <v>12</v>
      </c>
      <c r="B22" s="30">
        <f>SUM(Reports!B14:E14)</f>
        <v>-1.034</v>
      </c>
      <c r="C22" s="30">
        <f>SUM(Reports!F14:I14)</f>
        <v>1.8099999999999998</v>
      </c>
      <c r="D22" s="23">
        <f>SUM(Reports!J14:M14)</f>
        <v>17.834</v>
      </c>
      <c r="E22" s="23">
        <f>SUM(Reports!N14:Q14)</f>
        <v>22.236000000000001</v>
      </c>
      <c r="F22" s="23">
        <f>SUM(Reports!R14:U14)</f>
        <v>59</v>
      </c>
      <c r="G22" s="30">
        <f t="shared" ref="G22:U22" si="31">F39*$F$3</f>
        <v>122.75</v>
      </c>
      <c r="H22" s="30">
        <f t="shared" si="31"/>
        <v>136.65236999999999</v>
      </c>
      <c r="I22" s="30">
        <f t="shared" si="31"/>
        <v>169.8278383</v>
      </c>
      <c r="J22" s="30">
        <f t="shared" si="31"/>
        <v>232.47269208199998</v>
      </c>
      <c r="K22" s="30">
        <f t="shared" si="31"/>
        <v>336.76443912777995</v>
      </c>
      <c r="L22" s="30">
        <f t="shared" si="31"/>
        <v>495.65379020039109</v>
      </c>
      <c r="M22" s="30">
        <f t="shared" si="31"/>
        <v>688.37649474603177</v>
      </c>
      <c r="N22" s="30">
        <f t="shared" si="31"/>
        <v>920.61059618606168</v>
      </c>
      <c r="O22" s="30">
        <f t="shared" si="31"/>
        <v>1198.9375393873026</v>
      </c>
      <c r="P22" s="30">
        <f t="shared" si="31"/>
        <v>1530.982360626183</v>
      </c>
      <c r="Q22" s="30">
        <f t="shared" si="31"/>
        <v>1925.5753573400323</v>
      </c>
      <c r="R22" s="30">
        <f t="shared" si="31"/>
        <v>2375.4655895004116</v>
      </c>
      <c r="S22" s="30">
        <f t="shared" si="31"/>
        <v>2886.9899268074441</v>
      </c>
      <c r="T22" s="30">
        <f t="shared" si="31"/>
        <v>3467.1625987845678</v>
      </c>
      <c r="U22" s="30">
        <f t="shared" si="31"/>
        <v>4123.7451929139352</v>
      </c>
      <c r="V22" s="30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</row>
    <row r="23" spans="1:154" x14ac:dyDescent="0.15">
      <c r="A23" s="1" t="s">
        <v>13</v>
      </c>
      <c r="B23" s="45">
        <f>SUM(Reports!B15:E15)</f>
        <v>-18.789999999999992</v>
      </c>
      <c r="C23" s="45">
        <f>C21+C22</f>
        <v>-35.355000000000018</v>
      </c>
      <c r="D23" s="45">
        <f>D21+D22</f>
        <v>-31.322999999999926</v>
      </c>
      <c r="E23" s="45">
        <f>E21+E22</f>
        <v>-69.684000000000296</v>
      </c>
      <c r="F23" s="45">
        <f>F21+F22</f>
        <v>-81.70900000000006</v>
      </c>
      <c r="G23" s="30">
        <f t="shared" ref="G23:H23" si="32">G21+G22</f>
        <v>347.55925000000002</v>
      </c>
      <c r="H23" s="30">
        <f t="shared" si="32"/>
        <v>829.38670749999983</v>
      </c>
      <c r="I23" s="30">
        <f t="shared" ref="I23:L23" si="33">I21+I22</f>
        <v>1566.12134455</v>
      </c>
      <c r="J23" s="30">
        <f t="shared" si="33"/>
        <v>2607.2936761444994</v>
      </c>
      <c r="K23" s="30">
        <f t="shared" si="33"/>
        <v>3972.2337768152793</v>
      </c>
      <c r="L23" s="30">
        <f t="shared" si="33"/>
        <v>4818.0676136410148</v>
      </c>
      <c r="M23" s="30">
        <f t="shared" ref="M23:Q23" si="34">M21+M22</f>
        <v>5805.8525360007479</v>
      </c>
      <c r="N23" s="30">
        <f t="shared" si="34"/>
        <v>6958.1735800310234</v>
      </c>
      <c r="O23" s="30">
        <f t="shared" si="34"/>
        <v>8301.1205309720062</v>
      </c>
      <c r="P23" s="30">
        <f t="shared" si="34"/>
        <v>9864.8249178462302</v>
      </c>
      <c r="Q23" s="30">
        <f t="shared" si="34"/>
        <v>11247.255804009477</v>
      </c>
      <c r="R23" s="30">
        <f t="shared" ref="R23:U23" si="35">R21+R22</f>
        <v>12788.10843267581</v>
      </c>
      <c r="S23" s="30">
        <f t="shared" si="35"/>
        <v>14504.316799428094</v>
      </c>
      <c r="T23" s="30">
        <f t="shared" si="35"/>
        <v>16414.564853234184</v>
      </c>
      <c r="U23" s="30">
        <f t="shared" si="35"/>
        <v>18539.464425042919</v>
      </c>
      <c r="V23" s="30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</row>
    <row r="24" spans="1:154" x14ac:dyDescent="0.15">
      <c r="A24" s="1" t="s">
        <v>14</v>
      </c>
      <c r="B24" s="30">
        <f>SUM(Reports!B16:E16)</f>
        <v>0</v>
      </c>
      <c r="C24" s="30">
        <f>SUM(Reports!F16:I16)</f>
        <v>0.21099999999999999</v>
      </c>
      <c r="D24" s="23">
        <f>SUM(Reports!J16:M16)</f>
        <v>0</v>
      </c>
      <c r="E24" s="23">
        <f>SUM(Reports!N16:Q16)</f>
        <v>0</v>
      </c>
      <c r="F24" s="23">
        <f>SUM(Reports!R16:U16)</f>
        <v>29</v>
      </c>
      <c r="G24" s="30">
        <f t="shared" ref="G24:Q24" si="36">G23*0.2</f>
        <v>69.51185000000001</v>
      </c>
      <c r="H24" s="30">
        <f t="shared" si="36"/>
        <v>165.87734149999997</v>
      </c>
      <c r="I24" s="30">
        <f t="shared" si="36"/>
        <v>313.22426891000003</v>
      </c>
      <c r="J24" s="30">
        <f t="shared" si="36"/>
        <v>521.45873522889985</v>
      </c>
      <c r="K24" s="30">
        <f t="shared" si="36"/>
        <v>794.4467553630559</v>
      </c>
      <c r="L24" s="30">
        <f t="shared" si="36"/>
        <v>963.61352272820295</v>
      </c>
      <c r="M24" s="30">
        <f t="shared" si="36"/>
        <v>1161.1705072001496</v>
      </c>
      <c r="N24" s="30">
        <f t="shared" si="36"/>
        <v>1391.6347160062048</v>
      </c>
      <c r="O24" s="30">
        <f t="shared" si="36"/>
        <v>1660.2241061944014</v>
      </c>
      <c r="P24" s="30">
        <f t="shared" si="36"/>
        <v>1972.9649835692462</v>
      </c>
      <c r="Q24" s="30">
        <f t="shared" si="36"/>
        <v>2249.4511608018956</v>
      </c>
      <c r="R24" s="30">
        <f t="shared" ref="R24:U24" si="37">R23*0.2</f>
        <v>2557.6216865351621</v>
      </c>
      <c r="S24" s="30">
        <f t="shared" si="37"/>
        <v>2900.863359885619</v>
      </c>
      <c r="T24" s="30">
        <f t="shared" si="37"/>
        <v>3282.912970646837</v>
      </c>
      <c r="U24" s="30">
        <f t="shared" si="37"/>
        <v>3707.892885008584</v>
      </c>
      <c r="V24" s="30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</row>
    <row r="25" spans="1:154" s="2" customFormat="1" x14ac:dyDescent="0.15">
      <c r="A25" s="2" t="s">
        <v>15</v>
      </c>
      <c r="B25" s="44">
        <f>B23-B24</f>
        <v>-18.789999999999992</v>
      </c>
      <c r="C25" s="44">
        <f>C23-C24</f>
        <v>-35.566000000000017</v>
      </c>
      <c r="D25" s="44">
        <f>D23-D24</f>
        <v>-31.322999999999926</v>
      </c>
      <c r="E25" s="44">
        <f t="shared" ref="E25" si="38">E23-E24</f>
        <v>-69.684000000000296</v>
      </c>
      <c r="F25" s="44">
        <f t="shared" ref="F25:H25" si="39">F23-F24</f>
        <v>-110.70900000000006</v>
      </c>
      <c r="G25" s="44">
        <f t="shared" si="39"/>
        <v>278.04740000000004</v>
      </c>
      <c r="H25" s="44">
        <f t="shared" si="39"/>
        <v>663.50936599999989</v>
      </c>
      <c r="I25" s="44">
        <f t="shared" ref="I25:L25" si="40">I23-I24</f>
        <v>1252.8970756399999</v>
      </c>
      <c r="J25" s="44">
        <f t="shared" si="40"/>
        <v>2085.8349409155994</v>
      </c>
      <c r="K25" s="44">
        <f t="shared" si="40"/>
        <v>3177.7870214522236</v>
      </c>
      <c r="L25" s="44">
        <f t="shared" si="40"/>
        <v>3854.4540909128118</v>
      </c>
      <c r="M25" s="44">
        <f t="shared" ref="M25:Q25" si="41">M23-M24</f>
        <v>4644.6820288005983</v>
      </c>
      <c r="N25" s="44">
        <f t="shared" si="41"/>
        <v>5566.5388640248184</v>
      </c>
      <c r="O25" s="44">
        <f t="shared" si="41"/>
        <v>6640.8964247776048</v>
      </c>
      <c r="P25" s="44">
        <f t="shared" si="41"/>
        <v>7891.8599342769839</v>
      </c>
      <c r="Q25" s="44">
        <f t="shared" si="41"/>
        <v>8997.8046432075826</v>
      </c>
      <c r="R25" s="44">
        <f t="shared" ref="R25:U25" si="42">R23-R24</f>
        <v>10230.486746140648</v>
      </c>
      <c r="S25" s="44">
        <f t="shared" si="42"/>
        <v>11603.453439542474</v>
      </c>
      <c r="T25" s="44">
        <f t="shared" si="42"/>
        <v>13131.651882587346</v>
      </c>
      <c r="U25" s="44">
        <f t="shared" si="42"/>
        <v>14831.571540034336</v>
      </c>
      <c r="V25" s="44">
        <f t="shared" ref="V25:CD25" si="43">U25*($F$2+1)</f>
        <v>14757.413682334165</v>
      </c>
      <c r="W25" s="44">
        <f t="shared" si="43"/>
        <v>14683.626613922494</v>
      </c>
      <c r="X25" s="44">
        <f t="shared" si="43"/>
        <v>14610.208480852882</v>
      </c>
      <c r="Y25" s="44">
        <f t="shared" si="43"/>
        <v>14537.157438448618</v>
      </c>
      <c r="Z25" s="44">
        <f t="shared" si="43"/>
        <v>14464.471651256374</v>
      </c>
      <c r="AA25" s="44">
        <f t="shared" si="43"/>
        <v>14392.149293000091</v>
      </c>
      <c r="AB25" s="44">
        <f t="shared" si="43"/>
        <v>14320.188546535092</v>
      </c>
      <c r="AC25" s="44">
        <f t="shared" si="43"/>
        <v>14248.587603802416</v>
      </c>
      <c r="AD25" s="44">
        <f t="shared" si="43"/>
        <v>14177.344665783405</v>
      </c>
      <c r="AE25" s="44">
        <f t="shared" si="43"/>
        <v>14106.457942454488</v>
      </c>
      <c r="AF25" s="44">
        <f t="shared" si="43"/>
        <v>14035.925652742215</v>
      </c>
      <c r="AG25" s="44">
        <f t="shared" si="43"/>
        <v>13965.746024478503</v>
      </c>
      <c r="AH25" s="44">
        <f t="shared" si="43"/>
        <v>13895.917294356112</v>
      </c>
      <c r="AI25" s="44">
        <f t="shared" si="43"/>
        <v>13826.437707884332</v>
      </c>
      <c r="AJ25" s="44">
        <f t="shared" si="43"/>
        <v>13757.305519344911</v>
      </c>
      <c r="AK25" s="44">
        <f t="shared" si="43"/>
        <v>13688.518991748186</v>
      </c>
      <c r="AL25" s="44">
        <f t="shared" si="43"/>
        <v>13620.076396789445</v>
      </c>
      <c r="AM25" s="44">
        <f t="shared" si="43"/>
        <v>13551.976014805497</v>
      </c>
      <c r="AN25" s="44">
        <f t="shared" si="43"/>
        <v>13484.21613473147</v>
      </c>
      <c r="AO25" s="44">
        <f t="shared" si="43"/>
        <v>13416.795054057813</v>
      </c>
      <c r="AP25" s="44">
        <f t="shared" si="43"/>
        <v>13349.711078787524</v>
      </c>
      <c r="AQ25" s="44">
        <f t="shared" si="43"/>
        <v>13282.962523393588</v>
      </c>
      <c r="AR25" s="44">
        <f t="shared" si="43"/>
        <v>13216.54771077662</v>
      </c>
      <c r="AS25" s="44">
        <f t="shared" si="43"/>
        <v>13150.464972222737</v>
      </c>
      <c r="AT25" s="44">
        <f t="shared" si="43"/>
        <v>13084.712647361623</v>
      </c>
      <c r="AU25" s="44">
        <f t="shared" si="43"/>
        <v>13019.289084124814</v>
      </c>
      <c r="AV25" s="44">
        <f t="shared" si="43"/>
        <v>12954.192638704189</v>
      </c>
      <c r="AW25" s="44">
        <f t="shared" si="43"/>
        <v>12889.421675510668</v>
      </c>
      <c r="AX25" s="44">
        <f t="shared" si="43"/>
        <v>12824.974567133115</v>
      </c>
      <c r="AY25" s="44">
        <f t="shared" si="43"/>
        <v>12760.849694297449</v>
      </c>
      <c r="AZ25" s="44">
        <f t="shared" si="43"/>
        <v>12697.045445825961</v>
      </c>
      <c r="BA25" s="44">
        <f t="shared" si="43"/>
        <v>12633.560218596831</v>
      </c>
      <c r="BB25" s="44">
        <f t="shared" si="43"/>
        <v>12570.392417503846</v>
      </c>
      <c r="BC25" s="44">
        <f t="shared" si="43"/>
        <v>12507.540455416327</v>
      </c>
      <c r="BD25" s="44">
        <f t="shared" si="43"/>
        <v>12445.002753139246</v>
      </c>
      <c r="BE25" s="44">
        <f t="shared" si="43"/>
        <v>12382.777739373551</v>
      </c>
      <c r="BF25" s="44">
        <f t="shared" si="43"/>
        <v>12320.863850676682</v>
      </c>
      <c r="BG25" s="44">
        <f t="shared" si="43"/>
        <v>12259.259531423299</v>
      </c>
      <c r="BH25" s="44">
        <f t="shared" si="43"/>
        <v>12197.963233766182</v>
      </c>
      <c r="BI25" s="44">
        <f t="shared" si="43"/>
        <v>12136.973417597352</v>
      </c>
      <c r="BJ25" s="44">
        <f t="shared" si="43"/>
        <v>12076.288550509365</v>
      </c>
      <c r="BK25" s="44">
        <f t="shared" si="43"/>
        <v>12015.907107756819</v>
      </c>
      <c r="BL25" s="44">
        <f t="shared" si="43"/>
        <v>11955.827572218035</v>
      </c>
      <c r="BM25" s="44">
        <f t="shared" si="43"/>
        <v>11896.048434356944</v>
      </c>
      <c r="BN25" s="44">
        <f t="shared" si="43"/>
        <v>11836.568192185159</v>
      </c>
      <c r="BO25" s="44">
        <f t="shared" si="43"/>
        <v>11777.385351224233</v>
      </c>
      <c r="BP25" s="44">
        <f t="shared" si="43"/>
        <v>11718.498424468113</v>
      </c>
      <c r="BQ25" s="44">
        <f t="shared" si="43"/>
        <v>11659.905932345771</v>
      </c>
      <c r="BR25" s="44">
        <f t="shared" si="43"/>
        <v>11601.606402684043</v>
      </c>
      <c r="BS25" s="44">
        <f t="shared" si="43"/>
        <v>11543.598370670623</v>
      </c>
      <c r="BT25" s="44">
        <f t="shared" si="43"/>
        <v>11485.88037881727</v>
      </c>
      <c r="BU25" s="44">
        <f t="shared" si="43"/>
        <v>11428.450976923183</v>
      </c>
      <c r="BV25" s="44">
        <f t="shared" si="43"/>
        <v>11371.308722038566</v>
      </c>
      <c r="BW25" s="44">
        <f t="shared" si="43"/>
        <v>11314.452178428373</v>
      </c>
      <c r="BX25" s="44">
        <f t="shared" si="43"/>
        <v>11257.879917536231</v>
      </c>
      <c r="BY25" s="44">
        <f t="shared" si="43"/>
        <v>11201.590517948549</v>
      </c>
      <c r="BZ25" s="44">
        <f t="shared" si="43"/>
        <v>11145.582565358805</v>
      </c>
      <c r="CA25" s="44">
        <f t="shared" si="43"/>
        <v>11089.854652532011</v>
      </c>
      <c r="CB25" s="44">
        <f t="shared" si="43"/>
        <v>11034.40537926935</v>
      </c>
      <c r="CC25" s="44">
        <f t="shared" si="43"/>
        <v>10979.233352373003</v>
      </c>
      <c r="CD25" s="44">
        <f t="shared" si="43"/>
        <v>10924.337185611137</v>
      </c>
      <c r="CE25" s="44">
        <f t="shared" ref="CE25:DR25" si="44">CD25*($F$2+1)</f>
        <v>10869.715499683081</v>
      </c>
      <c r="CF25" s="44">
        <f t="shared" si="44"/>
        <v>10815.366922184667</v>
      </c>
      <c r="CG25" s="44">
        <f t="shared" si="44"/>
        <v>10761.290087573743</v>
      </c>
      <c r="CH25" s="44">
        <f t="shared" si="44"/>
        <v>10707.483637135874</v>
      </c>
      <c r="CI25" s="44">
        <f t="shared" si="44"/>
        <v>10653.946218950196</v>
      </c>
      <c r="CJ25" s="44">
        <f t="shared" si="44"/>
        <v>10600.676487855444</v>
      </c>
      <c r="CK25" s="44">
        <f t="shared" si="44"/>
        <v>10547.673105416166</v>
      </c>
      <c r="CL25" s="44">
        <f t="shared" si="44"/>
        <v>10494.934739889086</v>
      </c>
      <c r="CM25" s="44">
        <f t="shared" si="44"/>
        <v>10442.46006618964</v>
      </c>
      <c r="CN25" s="44">
        <f t="shared" si="44"/>
        <v>10390.247765858692</v>
      </c>
      <c r="CO25" s="44">
        <f t="shared" si="44"/>
        <v>10338.296527029399</v>
      </c>
      <c r="CP25" s="44">
        <f t="shared" si="44"/>
        <v>10286.605044394251</v>
      </c>
      <c r="CQ25" s="44">
        <f t="shared" si="44"/>
        <v>10235.17201917228</v>
      </c>
      <c r="CR25" s="44">
        <f t="shared" si="44"/>
        <v>10183.996159076418</v>
      </c>
      <c r="CS25" s="44">
        <f t="shared" si="44"/>
        <v>10133.076178281035</v>
      </c>
      <c r="CT25" s="44">
        <f t="shared" si="44"/>
        <v>10082.41079738963</v>
      </c>
      <c r="CU25" s="44">
        <f t="shared" si="44"/>
        <v>10031.998743402683</v>
      </c>
      <c r="CV25" s="44">
        <f t="shared" si="44"/>
        <v>9981.8387496856685</v>
      </c>
      <c r="CW25" s="44">
        <f t="shared" si="44"/>
        <v>9931.9295559372404</v>
      </c>
      <c r="CX25" s="44">
        <f t="shared" si="44"/>
        <v>9882.2699081575538</v>
      </c>
      <c r="CY25" s="44">
        <f t="shared" si="44"/>
        <v>9832.8585586167665</v>
      </c>
      <c r="CZ25" s="44">
        <f t="shared" si="44"/>
        <v>9783.6942658236821</v>
      </c>
      <c r="DA25" s="44">
        <f t="shared" si="44"/>
        <v>9734.7757944945643</v>
      </c>
      <c r="DB25" s="44">
        <f t="shared" si="44"/>
        <v>9686.1019155220911</v>
      </c>
      <c r="DC25" s="44">
        <f t="shared" si="44"/>
        <v>9637.6714059444803</v>
      </c>
      <c r="DD25" s="44">
        <f t="shared" si="44"/>
        <v>9589.4830489147571</v>
      </c>
      <c r="DE25" s="44">
        <f t="shared" si="44"/>
        <v>9541.5356336701825</v>
      </c>
      <c r="DF25" s="44">
        <f t="shared" si="44"/>
        <v>9493.8279555018307</v>
      </c>
      <c r="DG25" s="44">
        <f t="shared" si="44"/>
        <v>9446.3588157243212</v>
      </c>
      <c r="DH25" s="44">
        <f t="shared" si="44"/>
        <v>9399.1270216456996</v>
      </c>
      <c r="DI25" s="44">
        <f t="shared" si="44"/>
        <v>9352.1313865374705</v>
      </c>
      <c r="DJ25" s="44">
        <f t="shared" si="44"/>
        <v>9305.3707296047833</v>
      </c>
      <c r="DK25" s="44">
        <f t="shared" si="44"/>
        <v>9258.8438759567598</v>
      </c>
      <c r="DL25" s="44">
        <f t="shared" si="44"/>
        <v>9212.5496565769754</v>
      </c>
      <c r="DM25" s="44">
        <f t="shared" si="44"/>
        <v>9166.4869082940913</v>
      </c>
      <c r="DN25" s="44">
        <f t="shared" si="44"/>
        <v>9120.6544737526201</v>
      </c>
      <c r="DO25" s="44">
        <f t="shared" si="44"/>
        <v>9075.0512013838561</v>
      </c>
      <c r="DP25" s="44">
        <f t="shared" si="44"/>
        <v>9029.6759453769373</v>
      </c>
      <c r="DQ25" s="44">
        <f t="shared" si="44"/>
        <v>8984.5275656500526</v>
      </c>
      <c r="DR25" s="44">
        <f t="shared" si="44"/>
        <v>8939.6049278218015</v>
      </c>
      <c r="DS25" s="44">
        <f t="shared" ref="DS25" si="45">DR25*($F$2+1)</f>
        <v>8894.906903182693</v>
      </c>
      <c r="DT25" s="44">
        <f t="shared" ref="DT25" si="46">DS25*($F$2+1)</f>
        <v>8850.4323686667794</v>
      </c>
      <c r="DU25" s="44">
        <f t="shared" ref="DU25" si="47">DT25*($F$2+1)</f>
        <v>8806.1802068234447</v>
      </c>
      <c r="DV25" s="44">
        <f t="shared" ref="DV25" si="48">DU25*($F$2+1)</f>
        <v>8762.1493057893276</v>
      </c>
      <c r="DW25" s="44">
        <f t="shared" ref="DW25" si="49">DV25*($F$2+1)</f>
        <v>8718.3385592603809</v>
      </c>
      <c r="DX25" s="44">
        <f t="shared" ref="DX25" si="50">DW25*($F$2+1)</f>
        <v>8674.7468664640783</v>
      </c>
      <c r="DY25" s="44">
        <f t="shared" ref="DY25" si="51">DX25*($F$2+1)</f>
        <v>8631.3731321317573</v>
      </c>
      <c r="DZ25" s="44">
        <f t="shared" ref="DZ25" si="52">DY25*($F$2+1)</f>
        <v>8588.2162664710977</v>
      </c>
      <c r="EA25" s="44">
        <f t="shared" ref="EA25" si="53">DZ25*($F$2+1)</f>
        <v>8545.275185138742</v>
      </c>
      <c r="EB25" s="44">
        <f t="shared" ref="EB25" si="54">EA25*($F$2+1)</f>
        <v>8502.548809213049</v>
      </c>
      <c r="EC25" s="44">
        <f t="shared" ref="EC25" si="55">EB25*($F$2+1)</f>
        <v>8460.0360651669835</v>
      </c>
      <c r="ED25" s="44">
        <f t="shared" ref="ED25" si="56">EC25*($F$2+1)</f>
        <v>8417.7358848411477</v>
      </c>
      <c r="EE25" s="44">
        <f t="shared" ref="EE25" si="57">ED25*($F$2+1)</f>
        <v>8375.6472054169426</v>
      </c>
      <c r="EF25" s="44">
        <f t="shared" ref="EF25" si="58">EE25*($F$2+1)</f>
        <v>8333.7689693898574</v>
      </c>
      <c r="EG25" s="44">
        <f t="shared" ref="EG25" si="59">EF25*($F$2+1)</f>
        <v>8292.1001245429088</v>
      </c>
      <c r="EH25" s="44">
        <f t="shared" ref="EH25" si="60">EG25*($F$2+1)</f>
        <v>8250.6396239201949</v>
      </c>
      <c r="EI25" s="44">
        <f t="shared" ref="EI25" si="61">EH25*($F$2+1)</f>
        <v>8209.3864258005942</v>
      </c>
      <c r="EJ25" s="44">
        <f t="shared" ref="EJ25" si="62">EI25*($F$2+1)</f>
        <v>8168.3394936715913</v>
      </c>
      <c r="EK25" s="44">
        <f t="shared" ref="EK25" si="63">EJ25*($F$2+1)</f>
        <v>8127.4977962032335</v>
      </c>
      <c r="EL25" s="44">
        <f t="shared" ref="EL25" si="64">EK25*($F$2+1)</f>
        <v>8086.8603072222177</v>
      </c>
      <c r="EM25" s="44">
        <f t="shared" ref="EM25" si="65">EL25*($F$2+1)</f>
        <v>8046.4260056861067</v>
      </c>
      <c r="EN25" s="44">
        <f t="shared" ref="EN25" si="66">EM25*($F$2+1)</f>
        <v>8006.1938756576765</v>
      </c>
      <c r="EO25" s="44">
        <f t="shared" ref="EO25" si="67">EN25*($F$2+1)</f>
        <v>7966.1629062793882</v>
      </c>
      <c r="EP25" s="44">
        <f t="shared" ref="EP25" si="68">EO25*($F$2+1)</f>
        <v>7926.3320917479914</v>
      </c>
      <c r="EQ25" s="44">
        <f t="shared" ref="EQ25" si="69">EP25*($F$2+1)</f>
        <v>7886.7004312892514</v>
      </c>
      <c r="ER25" s="44">
        <f t="shared" ref="ER25" si="70">EQ25*($F$2+1)</f>
        <v>7847.2669291328048</v>
      </c>
      <c r="ES25" s="44">
        <f t="shared" ref="ES25" si="71">ER25*($F$2+1)</f>
        <v>7808.0305944871407</v>
      </c>
      <c r="ET25" s="44">
        <f t="shared" ref="ET25" si="72">ES25*($F$2+1)</f>
        <v>7768.9904415147048</v>
      </c>
      <c r="EU25" s="44">
        <f t="shared" ref="EU25" si="73">ET25*($F$2+1)</f>
        <v>7730.1454893071314</v>
      </c>
      <c r="EV25" s="44">
        <f t="shared" ref="EV25" si="74">EU25*($F$2+1)</f>
        <v>7691.4947618605956</v>
      </c>
      <c r="EW25" s="44">
        <f t="shared" ref="EW25" si="75">EV25*($F$2+1)</f>
        <v>7653.0372880512923</v>
      </c>
      <c r="EX25" s="44">
        <f t="shared" ref="EX25" si="76">EW25*($F$2+1)</f>
        <v>7614.7721016110354</v>
      </c>
    </row>
    <row r="26" spans="1:154" x14ac:dyDescent="0.15">
      <c r="A26" s="1" t="s">
        <v>16</v>
      </c>
      <c r="B26" s="49">
        <f>B25/B27</f>
        <v>-0.24090979024565354</v>
      </c>
      <c r="C26" s="49">
        <f>C25/C27</f>
        <v>-0.39900378069712933</v>
      </c>
      <c r="D26" s="49">
        <f>D25/D27</f>
        <v>-0.31464024589974404</v>
      </c>
      <c r="E26" s="49">
        <f>E25/E27</f>
        <v>-0.64681230846954885</v>
      </c>
      <c r="F26" s="49">
        <f>F25/F27</f>
        <v>-0.97961963506241967</v>
      </c>
      <c r="G26" s="31">
        <f t="shared" ref="G26:H26" si="77">G25/G27</f>
        <v>2.4603301675388138</v>
      </c>
      <c r="H26" s="31">
        <f t="shared" si="77"/>
        <v>5.8711288421123573</v>
      </c>
      <c r="I26" s="31">
        <f t="shared" ref="I26:L26" si="78">I25/I27</f>
        <v>11.086384810713032</v>
      </c>
      <c r="J26" s="31">
        <f t="shared" si="78"/>
        <v>18.456718637330138</v>
      </c>
      <c r="K26" s="31">
        <f t="shared" si="78"/>
        <v>28.118965596845054</v>
      </c>
      <c r="L26" s="31">
        <f t="shared" si="78"/>
        <v>34.106521691143968</v>
      </c>
      <c r="M26" s="31">
        <f t="shared" ref="M26:Q26" si="79">M25/M27</f>
        <v>41.098932462894787</v>
      </c>
      <c r="N26" s="31">
        <f t="shared" si="79"/>
        <v>49.256074669058215</v>
      </c>
      <c r="O26" s="31">
        <f t="shared" si="79"/>
        <v>58.762634764363888</v>
      </c>
      <c r="P26" s="31">
        <f t="shared" si="79"/>
        <v>69.831910222115155</v>
      </c>
      <c r="Q26" s="31">
        <f t="shared" si="79"/>
        <v>79.617972350413723</v>
      </c>
      <c r="R26" s="31">
        <f t="shared" ref="R26:U26" si="80">R25/R27</f>
        <v>90.525482957710921</v>
      </c>
      <c r="S26" s="31">
        <f t="shared" si="80"/>
        <v>102.67431576392499</v>
      </c>
      <c r="T26" s="31">
        <f t="shared" si="80"/>
        <v>116.19673219870964</v>
      </c>
      <c r="U26" s="31">
        <f t="shared" si="80"/>
        <v>131.23864093660495</v>
      </c>
      <c r="V26" s="31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</row>
    <row r="27" spans="1:154" x14ac:dyDescent="0.15">
      <c r="A27" s="1" t="s">
        <v>17</v>
      </c>
      <c r="B27" s="30">
        <f>Reports!E19</f>
        <v>77.995999999999995</v>
      </c>
      <c r="C27" s="30">
        <f>Reports!I19</f>
        <v>89.137</v>
      </c>
      <c r="D27" s="30">
        <f>Reports!M19</f>
        <v>99.551790999999994</v>
      </c>
      <c r="E27" s="30">
        <f>Reports!Q19</f>
        <v>107.734499</v>
      </c>
      <c r="F27" s="30">
        <f>AVERAGE(Reports!R19:U19)</f>
        <v>113.0122305</v>
      </c>
      <c r="G27" s="30">
        <f t="shared" ref="G27" si="81">F27</f>
        <v>113.0122305</v>
      </c>
      <c r="H27" s="30">
        <f t="shared" ref="H27" si="82">G27</f>
        <v>113.0122305</v>
      </c>
      <c r="I27" s="30">
        <f t="shared" ref="I27" si="83">H27</f>
        <v>113.0122305</v>
      </c>
      <c r="J27" s="30">
        <f t="shared" ref="J27" si="84">I27</f>
        <v>113.0122305</v>
      </c>
      <c r="K27" s="30">
        <f t="shared" ref="K27" si="85">J27</f>
        <v>113.0122305</v>
      </c>
      <c r="L27" s="30">
        <f t="shared" ref="L27" si="86">K27</f>
        <v>113.0122305</v>
      </c>
      <c r="M27" s="30">
        <f t="shared" ref="M27" si="87">L27</f>
        <v>113.0122305</v>
      </c>
      <c r="N27" s="30">
        <f t="shared" ref="N27" si="88">M27</f>
        <v>113.0122305</v>
      </c>
      <c r="O27" s="30">
        <f t="shared" ref="O27" si="89">N27</f>
        <v>113.0122305</v>
      </c>
      <c r="P27" s="30">
        <f t="shared" ref="P27" si="90">O27</f>
        <v>113.0122305</v>
      </c>
      <c r="Q27" s="30">
        <f t="shared" ref="Q27:U27" si="91">P27</f>
        <v>113.0122305</v>
      </c>
      <c r="R27" s="30">
        <f t="shared" si="91"/>
        <v>113.0122305</v>
      </c>
      <c r="S27" s="30">
        <f t="shared" si="91"/>
        <v>113.0122305</v>
      </c>
      <c r="T27" s="30">
        <f t="shared" si="91"/>
        <v>113.0122305</v>
      </c>
      <c r="U27" s="30">
        <f t="shared" si="91"/>
        <v>113.0122305</v>
      </c>
      <c r="V27" s="30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</row>
    <row r="28" spans="1:154" x14ac:dyDescent="0.15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</row>
    <row r="29" spans="1:154" x14ac:dyDescent="0.15">
      <c r="A29" s="1" t="s">
        <v>19</v>
      </c>
      <c r="B29" s="36">
        <f t="shared" ref="B29:Q29" si="92">IFERROR(B16/B14,0)</f>
        <v>0.54585763498072915</v>
      </c>
      <c r="C29" s="36">
        <f t="shared" si="92"/>
        <v>0.53809107954691393</v>
      </c>
      <c r="D29" s="36">
        <f t="shared" si="92"/>
        <v>0.56475678148354991</v>
      </c>
      <c r="E29" s="36">
        <f t="shared" si="92"/>
        <v>0.55558226622649964</v>
      </c>
      <c r="F29" s="36">
        <f t="shared" si="92"/>
        <v>0.54881272006902837</v>
      </c>
      <c r="G29" s="36">
        <f t="shared" si="92"/>
        <v>0.54881272006902837</v>
      </c>
      <c r="H29" s="36">
        <f t="shared" si="92"/>
        <v>0.54881272006902837</v>
      </c>
      <c r="I29" s="36">
        <f t="shared" si="92"/>
        <v>0.54881272006902837</v>
      </c>
      <c r="J29" s="36">
        <f t="shared" si="92"/>
        <v>0.54881272006902837</v>
      </c>
      <c r="K29" s="36">
        <f t="shared" si="92"/>
        <v>0.54881272006902837</v>
      </c>
      <c r="L29" s="36">
        <f t="shared" si="92"/>
        <v>0.54881272006902837</v>
      </c>
      <c r="M29" s="36">
        <f t="shared" si="92"/>
        <v>0.54881272006902837</v>
      </c>
      <c r="N29" s="36">
        <f t="shared" si="92"/>
        <v>0.54881272006902837</v>
      </c>
      <c r="O29" s="36">
        <f t="shared" si="92"/>
        <v>0.54881272006902837</v>
      </c>
      <c r="P29" s="36">
        <f t="shared" si="92"/>
        <v>0.54881272006902837</v>
      </c>
      <c r="Q29" s="36">
        <f t="shared" si="92"/>
        <v>0.54881272006902837</v>
      </c>
      <c r="R29" s="36">
        <f t="shared" ref="R29:U29" si="93">IFERROR(R16/R14,0)</f>
        <v>0.54881272006902837</v>
      </c>
      <c r="S29" s="36">
        <f t="shared" si="93"/>
        <v>0.54881272006902837</v>
      </c>
      <c r="T29" s="36">
        <f t="shared" si="93"/>
        <v>0.54881272006902837</v>
      </c>
      <c r="U29" s="36">
        <f t="shared" si="93"/>
        <v>0.54881272006902837</v>
      </c>
      <c r="V29" s="36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</row>
    <row r="30" spans="1:154" x14ac:dyDescent="0.15">
      <c r="A30" s="1" t="s">
        <v>20</v>
      </c>
      <c r="B30" s="40">
        <f t="shared" ref="B30:Q30" si="94">IFERROR(B21/B14,0)</f>
        <v>-8.6516300984734576E-2</v>
      </c>
      <c r="C30" s="40">
        <f t="shared" si="94"/>
        <v>-9.5458865230010584E-2</v>
      </c>
      <c r="D30" s="40">
        <f t="shared" si="94"/>
        <v>-7.3008626118365436E-2</v>
      </c>
      <c r="E30" s="40">
        <f t="shared" si="94"/>
        <v>-8.564807697145746E-2</v>
      </c>
      <c r="F30" s="40">
        <f t="shared" si="94"/>
        <v>-8.914197311087492E-2</v>
      </c>
      <c r="G30" s="40">
        <f t="shared" si="94"/>
        <v>8.1383524532702048E-2</v>
      </c>
      <c r="H30" s="40">
        <f t="shared" si="94"/>
        <v>0.16179210841528505</v>
      </c>
      <c r="I30" s="40">
        <f t="shared" si="94"/>
        <v>0.21740827915651822</v>
      </c>
      <c r="J30" s="40">
        <f t="shared" si="94"/>
        <v>0.25501295030255772</v>
      </c>
      <c r="K30" s="40">
        <f t="shared" si="94"/>
        <v>0.27884560796068347</v>
      </c>
      <c r="L30" s="40">
        <f t="shared" si="94"/>
        <v>0.28829149177287905</v>
      </c>
      <c r="M30" s="40">
        <f t="shared" si="94"/>
        <v>0.296799701420564</v>
      </c>
      <c r="N30" s="40">
        <f t="shared" si="94"/>
        <v>0.3044889072638271</v>
      </c>
      <c r="O30" s="40">
        <f t="shared" si="94"/>
        <v>0.31146110414615691</v>
      </c>
      <c r="P30" s="40">
        <f t="shared" si="94"/>
        <v>0.31780403877261837</v>
      </c>
      <c r="Q30" s="40">
        <f t="shared" si="94"/>
        <v>0.32315854669560046</v>
      </c>
      <c r="R30" s="40">
        <f t="shared" ref="R30:U30" si="95">IFERROR(R21/R14,0)</f>
        <v>0.32816308250545967</v>
      </c>
      <c r="S30" s="40">
        <f t="shared" si="95"/>
        <v>0.33284518152254011</v>
      </c>
      <c r="T30" s="40">
        <f t="shared" si="95"/>
        <v>0.33722985900749486</v>
      </c>
      <c r="U30" s="40">
        <f t="shared" si="95"/>
        <v>0.34133986308627867</v>
      </c>
      <c r="V30" s="40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</row>
    <row r="31" spans="1:154" x14ac:dyDescent="0.15">
      <c r="A31" s="1" t="s">
        <v>21</v>
      </c>
      <c r="B31" s="40">
        <f t="shared" ref="B31:Q31" si="96">IFERROR(B24/B23,0)</f>
        <v>0</v>
      </c>
      <c r="C31" s="40">
        <f t="shared" si="96"/>
        <v>-5.9680384669777934E-3</v>
      </c>
      <c r="D31" s="40">
        <f t="shared" si="96"/>
        <v>0</v>
      </c>
      <c r="E31" s="40">
        <f t="shared" si="96"/>
        <v>0</v>
      </c>
      <c r="F31" s="40">
        <f t="shared" si="96"/>
        <v>-0.35491806288168964</v>
      </c>
      <c r="G31" s="40">
        <f t="shared" si="96"/>
        <v>0.2</v>
      </c>
      <c r="H31" s="40">
        <f t="shared" si="96"/>
        <v>0.2</v>
      </c>
      <c r="I31" s="40">
        <f t="shared" si="96"/>
        <v>0.2</v>
      </c>
      <c r="J31" s="40">
        <f t="shared" si="96"/>
        <v>0.19999999999999998</v>
      </c>
      <c r="K31" s="40">
        <f t="shared" si="96"/>
        <v>0.2</v>
      </c>
      <c r="L31" s="40">
        <f t="shared" si="96"/>
        <v>0.2</v>
      </c>
      <c r="M31" s="40">
        <f t="shared" si="96"/>
        <v>0.2</v>
      </c>
      <c r="N31" s="40">
        <f t="shared" si="96"/>
        <v>0.2</v>
      </c>
      <c r="O31" s="40">
        <f t="shared" si="96"/>
        <v>0.2</v>
      </c>
      <c r="P31" s="40">
        <f t="shared" si="96"/>
        <v>0.2</v>
      </c>
      <c r="Q31" s="40">
        <f t="shared" si="96"/>
        <v>0.2</v>
      </c>
      <c r="R31" s="40">
        <f t="shared" ref="R31:U31" si="97">IFERROR(R24/R23,0)</f>
        <v>0.2</v>
      </c>
      <c r="S31" s="40">
        <f t="shared" si="97"/>
        <v>0.2</v>
      </c>
      <c r="T31" s="40">
        <f t="shared" si="97"/>
        <v>0.2</v>
      </c>
      <c r="U31" s="40">
        <f t="shared" si="97"/>
        <v>0.2</v>
      </c>
      <c r="V31" s="40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</row>
    <row r="32" spans="1:154" x14ac:dyDescent="0.15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</row>
    <row r="33" spans="1:122" x14ac:dyDescent="0.15">
      <c r="A33" s="2" t="s">
        <v>18</v>
      </c>
      <c r="B33" s="63"/>
      <c r="C33" s="64">
        <f t="shared" ref="C33:U33" si="98">C14/B14-1</f>
        <v>0.89701461265975757</v>
      </c>
      <c r="D33" s="64">
        <f t="shared" si="98"/>
        <v>0.72939151876300334</v>
      </c>
      <c r="E33" s="64">
        <f t="shared" si="98"/>
        <v>0.59397389589249383</v>
      </c>
      <c r="F33" s="64">
        <f t="shared" si="98"/>
        <v>0.47077837069255501</v>
      </c>
      <c r="G33" s="64">
        <f t="shared" si="98"/>
        <v>0.75</v>
      </c>
      <c r="H33" s="64">
        <f t="shared" si="98"/>
        <v>0.55000000000000004</v>
      </c>
      <c r="I33" s="64">
        <f t="shared" si="98"/>
        <v>0.5</v>
      </c>
      <c r="J33" s="64">
        <f t="shared" si="98"/>
        <v>0.44999999999999996</v>
      </c>
      <c r="K33" s="64">
        <f t="shared" si="98"/>
        <v>0.39999999999999991</v>
      </c>
      <c r="L33" s="64">
        <f t="shared" si="98"/>
        <v>0.14999999999999991</v>
      </c>
      <c r="M33" s="64">
        <f t="shared" si="98"/>
        <v>0.14999999999999991</v>
      </c>
      <c r="N33" s="64">
        <f t="shared" si="98"/>
        <v>0.14999999999999991</v>
      </c>
      <c r="O33" s="64">
        <f t="shared" si="98"/>
        <v>0.14999999999999991</v>
      </c>
      <c r="P33" s="64">
        <f t="shared" si="98"/>
        <v>0.14999999999999991</v>
      </c>
      <c r="Q33" s="64">
        <f t="shared" si="98"/>
        <v>0.10000000000000009</v>
      </c>
      <c r="R33" s="64">
        <f t="shared" si="98"/>
        <v>0.10000000000000009</v>
      </c>
      <c r="S33" s="64">
        <f t="shared" si="98"/>
        <v>0.10000000000000009</v>
      </c>
      <c r="T33" s="64">
        <f t="shared" si="98"/>
        <v>0.10000000000000009</v>
      </c>
      <c r="U33" s="64">
        <f t="shared" si="98"/>
        <v>0.10000000000000009</v>
      </c>
      <c r="V33" s="64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</row>
    <row r="34" spans="1:122" x14ac:dyDescent="0.15">
      <c r="A34" s="1" t="s">
        <v>34</v>
      </c>
      <c r="B34" s="63"/>
      <c r="C34" s="40">
        <f t="shared" ref="C34:U34" si="99">C17/B17-1</f>
        <v>0.87140627360153133</v>
      </c>
      <c r="D34" s="40">
        <f t="shared" si="99"/>
        <v>0.82949042186827371</v>
      </c>
      <c r="E34" s="40">
        <f t="shared" si="99"/>
        <v>0.69616976845077461</v>
      </c>
      <c r="F34" s="40">
        <f t="shared" si="99"/>
        <v>0.53896841429896725</v>
      </c>
      <c r="G34" s="40">
        <f t="shared" si="99"/>
        <v>0.30000000000000004</v>
      </c>
      <c r="H34" s="40">
        <f t="shared" si="99"/>
        <v>0.30000000000000004</v>
      </c>
      <c r="I34" s="40">
        <f t="shared" si="99"/>
        <v>0.30000000000000004</v>
      </c>
      <c r="J34" s="40">
        <f t="shared" si="99"/>
        <v>0.30000000000000004</v>
      </c>
      <c r="K34" s="40">
        <f t="shared" si="99"/>
        <v>0.30000000000000004</v>
      </c>
      <c r="L34" s="40">
        <f t="shared" si="99"/>
        <v>0.10000000000000009</v>
      </c>
      <c r="M34" s="40">
        <f t="shared" si="99"/>
        <v>0.10000000000000009</v>
      </c>
      <c r="N34" s="40">
        <f t="shared" si="99"/>
        <v>0.10000000000000009</v>
      </c>
      <c r="O34" s="40">
        <f t="shared" si="99"/>
        <v>0.10000000000000009</v>
      </c>
      <c r="P34" s="40">
        <f t="shared" si="99"/>
        <v>0.10000000000000009</v>
      </c>
      <c r="Q34" s="40">
        <f t="shared" si="99"/>
        <v>5.0000000000000044E-2</v>
      </c>
      <c r="R34" s="40">
        <f t="shared" si="99"/>
        <v>5.0000000000000044E-2</v>
      </c>
      <c r="S34" s="40">
        <f t="shared" si="99"/>
        <v>5.0000000000000044E-2</v>
      </c>
      <c r="T34" s="40">
        <f t="shared" si="99"/>
        <v>5.0000000000000044E-2</v>
      </c>
      <c r="U34" s="40">
        <f t="shared" si="99"/>
        <v>5.0000000000000044E-2</v>
      </c>
      <c r="V34" s="40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</row>
    <row r="35" spans="1:122" x14ac:dyDescent="0.15">
      <c r="A35" s="1" t="s">
        <v>35</v>
      </c>
      <c r="B35" s="63"/>
      <c r="C35" s="40">
        <f t="shared" ref="C35:U35" si="100">C18/B18-1</f>
        <v>0.83610424304430619</v>
      </c>
      <c r="D35" s="40">
        <f t="shared" si="100"/>
        <v>0.74666831767455544</v>
      </c>
      <c r="E35" s="40">
        <f t="shared" si="100"/>
        <v>0.55107800827669329</v>
      </c>
      <c r="F35" s="40">
        <f t="shared" si="100"/>
        <v>0.35116219945210791</v>
      </c>
      <c r="G35" s="40">
        <f t="shared" si="100"/>
        <v>0.30000000000000004</v>
      </c>
      <c r="H35" s="40">
        <f t="shared" si="100"/>
        <v>0.30000000000000004</v>
      </c>
      <c r="I35" s="40">
        <f t="shared" si="100"/>
        <v>0.30000000000000004</v>
      </c>
      <c r="J35" s="40">
        <f t="shared" si="100"/>
        <v>0.30000000000000004</v>
      </c>
      <c r="K35" s="40">
        <f t="shared" si="100"/>
        <v>0.30000000000000004</v>
      </c>
      <c r="L35" s="40">
        <f t="shared" si="100"/>
        <v>0.14999999999999991</v>
      </c>
      <c r="M35" s="40">
        <f t="shared" si="100"/>
        <v>0.15000000000000013</v>
      </c>
      <c r="N35" s="40">
        <f t="shared" si="100"/>
        <v>0.14999999999999991</v>
      </c>
      <c r="O35" s="40">
        <f t="shared" si="100"/>
        <v>0.14999999999999991</v>
      </c>
      <c r="P35" s="40">
        <f t="shared" si="100"/>
        <v>0.14999999999999991</v>
      </c>
      <c r="Q35" s="40">
        <f t="shared" si="100"/>
        <v>0.10000000000000009</v>
      </c>
      <c r="R35" s="40">
        <f t="shared" si="100"/>
        <v>0.10000000000000009</v>
      </c>
      <c r="S35" s="40">
        <f t="shared" si="100"/>
        <v>0.10000000000000009</v>
      </c>
      <c r="T35" s="40">
        <f t="shared" si="100"/>
        <v>0.10000000000000009</v>
      </c>
      <c r="U35" s="40">
        <f t="shared" si="100"/>
        <v>0.10000000000000009</v>
      </c>
      <c r="V35" s="40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</row>
    <row r="36" spans="1:122" x14ac:dyDescent="0.15">
      <c r="A36" s="1" t="s">
        <v>36</v>
      </c>
      <c r="B36" s="63"/>
      <c r="C36" s="40">
        <f t="shared" ref="C36:U36" si="101">C19/B19-1</f>
        <v>1.1896586753352296</v>
      </c>
      <c r="D36" s="40">
        <f t="shared" si="101"/>
        <v>0.57084203201113448</v>
      </c>
      <c r="E36" s="40">
        <f t="shared" si="101"/>
        <v>0.58661527783930656</v>
      </c>
      <c r="F36" s="40">
        <f t="shared" si="101"/>
        <v>0.66598414057555533</v>
      </c>
      <c r="G36" s="40">
        <f t="shared" si="101"/>
        <v>0.19999999999999996</v>
      </c>
      <c r="H36" s="40">
        <f t="shared" si="101"/>
        <v>0.19999999999999996</v>
      </c>
      <c r="I36" s="40">
        <f t="shared" si="101"/>
        <v>0.19999999999999996</v>
      </c>
      <c r="J36" s="40">
        <f t="shared" si="101"/>
        <v>0.19999999999999996</v>
      </c>
      <c r="K36" s="40">
        <f t="shared" si="101"/>
        <v>0.19999999999999996</v>
      </c>
      <c r="L36" s="40">
        <f t="shared" si="101"/>
        <v>-2.0000000000000018E-2</v>
      </c>
      <c r="M36" s="40">
        <f t="shared" si="101"/>
        <v>-2.0000000000000018E-2</v>
      </c>
      <c r="N36" s="40">
        <f t="shared" si="101"/>
        <v>-2.0000000000000129E-2</v>
      </c>
      <c r="O36" s="40">
        <f t="shared" si="101"/>
        <v>-2.0000000000000018E-2</v>
      </c>
      <c r="P36" s="40">
        <f t="shared" si="101"/>
        <v>-2.0000000000000129E-2</v>
      </c>
      <c r="Q36" s="40">
        <f t="shared" si="101"/>
        <v>-1.9999999999999907E-2</v>
      </c>
      <c r="R36" s="40">
        <f t="shared" si="101"/>
        <v>-2.0000000000000018E-2</v>
      </c>
      <c r="S36" s="40">
        <f t="shared" si="101"/>
        <v>-2.0000000000000129E-2</v>
      </c>
      <c r="T36" s="40">
        <f t="shared" si="101"/>
        <v>-2.0000000000000018E-2</v>
      </c>
      <c r="U36" s="40">
        <f t="shared" si="101"/>
        <v>-1.9999999999999907E-2</v>
      </c>
      <c r="V36" s="40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</row>
    <row r="37" spans="1:122" s="15" customFormat="1" x14ac:dyDescent="0.15">
      <c r="A37" s="15" t="s">
        <v>103</v>
      </c>
      <c r="B37" s="89"/>
      <c r="C37" s="90">
        <f>C20/B20-1</f>
        <v>0.90054243974603998</v>
      </c>
      <c r="D37" s="90">
        <f t="shared" ref="D37:U37" si="102">D20/C20-1</f>
        <v>0.74089840265953133</v>
      </c>
      <c r="E37" s="90">
        <f t="shared" si="102"/>
        <v>0.60263384644046503</v>
      </c>
      <c r="F37" s="90">
        <f t="shared" si="102"/>
        <v>0.46326507184820387</v>
      </c>
      <c r="G37" s="90">
        <f t="shared" si="102"/>
        <v>0.28222442899702083</v>
      </c>
      <c r="H37" s="90">
        <f t="shared" si="102"/>
        <v>0.28336431226765812</v>
      </c>
      <c r="I37" s="90">
        <f t="shared" si="102"/>
        <v>0.28444492722137715</v>
      </c>
      <c r="J37" s="90">
        <f t="shared" si="102"/>
        <v>0.28546758452717236</v>
      </c>
      <c r="K37" s="90">
        <f t="shared" si="102"/>
        <v>0.286433809162284</v>
      </c>
      <c r="L37" s="90">
        <f t="shared" si="102"/>
        <v>0.10976263071753212</v>
      </c>
      <c r="M37" s="90">
        <f t="shared" si="102"/>
        <v>0.11244282602677114</v>
      </c>
      <c r="N37" s="90">
        <f t="shared" si="102"/>
        <v>0.11491218284208027</v>
      </c>
      <c r="O37" s="90">
        <f t="shared" si="102"/>
        <v>0.11718278778224511</v>
      </c>
      <c r="P37" s="90">
        <f t="shared" si="102"/>
        <v>0.11926764205051388</v>
      </c>
      <c r="Q37" s="90">
        <f t="shared" si="102"/>
        <v>7.4503301424751367E-2</v>
      </c>
      <c r="R37" s="90">
        <f t="shared" si="102"/>
        <v>7.5604309423805027E-2</v>
      </c>
      <c r="S37" s="90">
        <f t="shared" si="102"/>
        <v>7.6658430189786131E-2</v>
      </c>
      <c r="T37" s="90">
        <f t="shared" si="102"/>
        <v>7.7667267655541439E-2</v>
      </c>
      <c r="U37" s="90">
        <f t="shared" si="102"/>
        <v>7.8632463593791169E-2</v>
      </c>
      <c r="V37" s="90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</row>
    <row r="38" spans="1:122" x14ac:dyDescent="0.15"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</row>
    <row r="39" spans="1:122" x14ac:dyDescent="0.15">
      <c r="A39" s="2" t="s">
        <v>26</v>
      </c>
      <c r="B39" s="44">
        <f>B40-B41</f>
        <v>190.173</v>
      </c>
      <c r="C39" s="44">
        <f t="shared" ref="C39:F39" si="103">C40-C41</f>
        <v>392.41399999999999</v>
      </c>
      <c r="D39" s="44">
        <f t="shared" si="103"/>
        <v>938.03899999999999</v>
      </c>
      <c r="E39" s="44">
        <f t="shared" si="103"/>
        <v>1969.67</v>
      </c>
      <c r="F39" s="44">
        <f t="shared" si="103"/>
        <v>2455</v>
      </c>
      <c r="G39" s="29">
        <f t="shared" ref="G39:U39" si="104">F39+G25</f>
        <v>2733.0473999999999</v>
      </c>
      <c r="H39" s="29">
        <f t="shared" si="104"/>
        <v>3396.5567659999997</v>
      </c>
      <c r="I39" s="29">
        <f t="shared" si="104"/>
        <v>4649.4538416399992</v>
      </c>
      <c r="J39" s="29">
        <f t="shared" si="104"/>
        <v>6735.288782555599</v>
      </c>
      <c r="K39" s="29">
        <f t="shared" si="104"/>
        <v>9913.0758040078217</v>
      </c>
      <c r="L39" s="29">
        <f t="shared" si="104"/>
        <v>13767.529894920634</v>
      </c>
      <c r="M39" s="29">
        <f t="shared" si="104"/>
        <v>18412.211923721232</v>
      </c>
      <c r="N39" s="29">
        <f t="shared" si="104"/>
        <v>23978.750787746052</v>
      </c>
      <c r="O39" s="29">
        <f t="shared" si="104"/>
        <v>30619.647212523658</v>
      </c>
      <c r="P39" s="29">
        <f t="shared" si="104"/>
        <v>38511.507146800643</v>
      </c>
      <c r="Q39" s="29">
        <f t="shared" si="104"/>
        <v>47509.311790008229</v>
      </c>
      <c r="R39" s="29">
        <f t="shared" si="104"/>
        <v>57739.798536148875</v>
      </c>
      <c r="S39" s="29">
        <f t="shared" si="104"/>
        <v>69343.251975691353</v>
      </c>
      <c r="T39" s="29">
        <f t="shared" si="104"/>
        <v>82474.903858278703</v>
      </c>
      <c r="U39" s="29">
        <f t="shared" si="104"/>
        <v>97306.475398313036</v>
      </c>
      <c r="V39" s="29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</row>
    <row r="40" spans="1:122" x14ac:dyDescent="0.15">
      <c r="A40" s="1" t="s">
        <v>27</v>
      </c>
      <c r="B40" s="23">
        <f>Reports!E31</f>
        <v>190.173</v>
      </c>
      <c r="C40" s="23">
        <f>Reports!I31</f>
        <v>392.41399999999999</v>
      </c>
      <c r="D40" s="23">
        <f>Reports!M31</f>
        <v>938.03899999999999</v>
      </c>
      <c r="E40" s="23">
        <f>Reports!Q31</f>
        <v>1969.67</v>
      </c>
      <c r="F40" s="23">
        <f>Reports!U31</f>
        <v>2455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</row>
    <row r="41" spans="1:122" x14ac:dyDescent="0.15">
      <c r="A41" s="1" t="s">
        <v>28</v>
      </c>
      <c r="B41" s="23">
        <f>Reports!E32</f>
        <v>0</v>
      </c>
      <c r="C41" s="23">
        <f>Reports!I32</f>
        <v>0</v>
      </c>
      <c r="D41" s="23">
        <f>Reports!M32</f>
        <v>0</v>
      </c>
      <c r="E41" s="23">
        <f>Reports!Q32</f>
        <v>0</v>
      </c>
      <c r="F41" s="23">
        <f>Reports!U32</f>
        <v>0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</row>
    <row r="42" spans="1:122" x14ac:dyDescent="0.15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</row>
    <row r="43" spans="1:122" x14ac:dyDescent="0.15">
      <c r="A43" s="1" t="s">
        <v>68</v>
      </c>
      <c r="B43" s="23">
        <f>Reports!E34</f>
        <v>8.1989999999999998</v>
      </c>
      <c r="C43" s="23">
        <f>Reports!I34</f>
        <v>21.940999999999999</v>
      </c>
      <c r="D43" s="23">
        <f>Reports!M34</f>
        <v>37.527000000000001</v>
      </c>
      <c r="E43" s="23">
        <f>Reports!Q34</f>
        <v>64.090999999999994</v>
      </c>
      <c r="F43" s="23">
        <f>Reports!U34</f>
        <v>479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</row>
    <row r="44" spans="1:122" x14ac:dyDescent="0.15">
      <c r="A44" s="1" t="s">
        <v>69</v>
      </c>
      <c r="B44" s="23">
        <f>Reports!E35</f>
        <v>243.71199999999999</v>
      </c>
      <c r="C44" s="23">
        <f>Reports!I35</f>
        <v>490.55799999999999</v>
      </c>
      <c r="D44" s="23">
        <f>Reports!M35</f>
        <v>1113.5640000000001</v>
      </c>
      <c r="E44" s="23">
        <f>Reports!Q35</f>
        <v>2254.7849999999999</v>
      </c>
      <c r="F44" s="23">
        <f>Reports!U35</f>
        <v>3489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</row>
    <row r="45" spans="1:122" x14ac:dyDescent="0.15">
      <c r="A45" s="1" t="s">
        <v>70</v>
      </c>
      <c r="B45" s="23">
        <f>Reports!E36</f>
        <v>48.395000000000003</v>
      </c>
      <c r="C45" s="23">
        <f>Reports!I36</f>
        <v>80.081999999999994</v>
      </c>
      <c r="D45" s="23">
        <f>Reports!M36</f>
        <v>112.464</v>
      </c>
      <c r="E45" s="23">
        <f>Reports!Q36</f>
        <v>164.017</v>
      </c>
      <c r="F45" s="23">
        <f>Reports!U36</f>
        <v>473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</row>
    <row r="46" spans="1:122" x14ac:dyDescent="0.15"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</row>
    <row r="47" spans="1:122" x14ac:dyDescent="0.15">
      <c r="A47" s="1" t="s">
        <v>71</v>
      </c>
      <c r="B47" s="47">
        <f>B44-B43-B40</f>
        <v>45.339999999999975</v>
      </c>
      <c r="C47" s="47">
        <f t="shared" ref="C47:D47" si="105">C44-C43-C40</f>
        <v>76.203000000000031</v>
      </c>
      <c r="D47" s="47">
        <f t="shared" si="105"/>
        <v>137.99800000000005</v>
      </c>
      <c r="E47" s="47">
        <f t="shared" ref="E47:F47" si="106">E44-E43-E40</f>
        <v>221.02399999999989</v>
      </c>
      <c r="F47" s="47">
        <f t="shared" si="106"/>
        <v>555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</row>
    <row r="48" spans="1:122" x14ac:dyDescent="0.15">
      <c r="A48" s="1" t="s">
        <v>72</v>
      </c>
      <c r="B48" s="47">
        <f>B44-B45</f>
        <v>195.31699999999998</v>
      </c>
      <c r="C48" s="47">
        <f t="shared" ref="C48:D48" si="107">C44-C45</f>
        <v>410.476</v>
      </c>
      <c r="D48" s="47">
        <f t="shared" si="107"/>
        <v>1001.1000000000001</v>
      </c>
      <c r="E48" s="47">
        <f t="shared" ref="E48:F48" si="108">E44-E45</f>
        <v>2090.768</v>
      </c>
      <c r="F48" s="47">
        <f t="shared" si="108"/>
        <v>3016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</row>
    <row r="49" spans="1:122" x14ac:dyDescent="0.15"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</row>
    <row r="50" spans="1:122" x14ac:dyDescent="0.15">
      <c r="A50" s="43" t="s">
        <v>73</v>
      </c>
      <c r="B50" s="22"/>
      <c r="C50" s="22"/>
      <c r="D50" s="22"/>
      <c r="E50" s="38">
        <f>E25/E48</f>
        <v>-3.3329379443343451E-2</v>
      </c>
      <c r="F50" s="38">
        <f>F25/F48</f>
        <v>-3.6707228116710892E-2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</row>
    <row r="51" spans="1:122" x14ac:dyDescent="0.15">
      <c r="A51" s="43" t="s">
        <v>74</v>
      </c>
      <c r="B51" s="22"/>
      <c r="C51" s="22"/>
      <c r="D51" s="22"/>
      <c r="E51" s="38">
        <f>E25/E44</f>
        <v>-3.0904942156347634E-2</v>
      </c>
      <c r="F51" s="38">
        <f>F25/F44</f>
        <v>-3.1730868443680157E-2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</row>
    <row r="52" spans="1:122" x14ac:dyDescent="0.15">
      <c r="A52" s="43" t="s">
        <v>75</v>
      </c>
      <c r="B52" s="22"/>
      <c r="C52" s="22"/>
      <c r="D52" s="22"/>
      <c r="E52" s="38">
        <f>E25/(E48-E43)</f>
        <v>-3.4383377321596034E-2</v>
      </c>
      <c r="F52" s="38">
        <f>F25/(F48-F43)</f>
        <v>-4.3637761135199078E-2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</row>
    <row r="53" spans="1:122" x14ac:dyDescent="0.15">
      <c r="A53" s="43" t="s">
        <v>76</v>
      </c>
      <c r="B53" s="22"/>
      <c r="C53" s="22"/>
      <c r="D53" s="22"/>
      <c r="E53" s="38">
        <f>E25/E47</f>
        <v>-0.31527797886202552</v>
      </c>
      <c r="F53" s="38">
        <f>F25/F47</f>
        <v>-0.19947567567567578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</row>
    <row r="54" spans="1:122" x14ac:dyDescent="0.15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</row>
    <row r="55" spans="1:122" x14ac:dyDescent="0.15">
      <c r="A55" s="1" t="s">
        <v>78</v>
      </c>
      <c r="B55" s="22"/>
      <c r="C55" s="38">
        <f t="shared" ref="C55:I56" si="109">C11/B11-1</f>
        <v>0.68429794872252847</v>
      </c>
      <c r="D55" s="38">
        <f t="shared" si="109"/>
        <v>0.64380242410103605</v>
      </c>
      <c r="E55" s="38">
        <f t="shared" si="109"/>
        <v>0.49983711306288714</v>
      </c>
      <c r="F55" s="38">
        <f t="shared" si="109"/>
        <v>0.38162693872635467</v>
      </c>
      <c r="G55" s="38"/>
      <c r="H55" s="38"/>
      <c r="I55" s="38"/>
      <c r="J55" s="38"/>
      <c r="K55" s="38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</row>
    <row r="56" spans="1:122" x14ac:dyDescent="0.15">
      <c r="A56" s="1" t="s">
        <v>79</v>
      </c>
      <c r="B56" s="22"/>
      <c r="C56" s="38">
        <f t="shared" si="109"/>
        <v>1.152443862997834</v>
      </c>
      <c r="D56" s="38">
        <f t="shared" si="109"/>
        <v>0.80981347521970481</v>
      </c>
      <c r="E56" s="38">
        <f t="shared" si="109"/>
        <v>0.67431380807271646</v>
      </c>
      <c r="F56" s="38">
        <f t="shared" si="109"/>
        <v>0.53893491474484301</v>
      </c>
      <c r="G56" s="38"/>
      <c r="H56" s="38"/>
      <c r="I56" s="38"/>
      <c r="J56" s="38"/>
      <c r="K56" s="38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</row>
    <row r="58" spans="1:122" s="7" customFormat="1" x14ac:dyDescent="0.15">
      <c r="A58" s="85" t="s">
        <v>104</v>
      </c>
      <c r="D58" s="7">
        <f>Reports!M50</f>
        <v>29.9</v>
      </c>
      <c r="E58" s="7">
        <f>Reports!Q50</f>
        <v>40.9</v>
      </c>
      <c r="F58" s="7">
        <f>Reports!U50</f>
        <v>53.9</v>
      </c>
    </row>
    <row r="59" spans="1:122" s="7" customFormat="1" x14ac:dyDescent="0.15">
      <c r="A59" s="85" t="s">
        <v>105</v>
      </c>
      <c r="D59" s="7">
        <f>SUM(Reports!J51:M51)</f>
        <v>26249.171000000002</v>
      </c>
      <c r="E59" s="7">
        <f>SUM(Reports!N51:Q51)</f>
        <v>41082.679000000004</v>
      </c>
      <c r="F59" s="7">
        <f>SUM(Reports!R51:U51)</f>
        <v>61107.131000000001</v>
      </c>
      <c r="G59" s="7">
        <f>F59*1.75</f>
        <v>106937.47925</v>
      </c>
      <c r="H59" s="7">
        <f>G59*1.55</f>
        <v>165753.09283750001</v>
      </c>
      <c r="I59" s="7">
        <f>H59*1.5</f>
        <v>248629.63925625</v>
      </c>
      <c r="J59" s="7">
        <f>I59*1.45</f>
        <v>360512.97692156251</v>
      </c>
      <c r="K59" s="7">
        <f>J59*1.4</f>
        <v>504718.16769018746</v>
      </c>
    </row>
    <row r="61" spans="1:122" s="20" customFormat="1" x14ac:dyDescent="0.15">
      <c r="A61" s="102" t="s">
        <v>106</v>
      </c>
      <c r="E61" s="20">
        <f>E58/D58-1</f>
        <v>0.36789297658862874</v>
      </c>
      <c r="F61" s="20">
        <f>F58/E58-1</f>
        <v>0.31784841075794623</v>
      </c>
    </row>
    <row r="62" spans="1:122" x14ac:dyDescent="0.15">
      <c r="A62" s="101" t="s">
        <v>107</v>
      </c>
      <c r="E62" s="20">
        <f>E59/D59-1</f>
        <v>0.56510386556588776</v>
      </c>
      <c r="F62" s="20">
        <f>F59/E59-1</f>
        <v>0.48741835945021972</v>
      </c>
      <c r="G62" s="20">
        <f>G59/F59-1</f>
        <v>0.75</v>
      </c>
      <c r="H62" s="20">
        <f t="shared" ref="H62:K62" si="110">H59/G59-1</f>
        <v>0.55000000000000004</v>
      </c>
      <c r="I62" s="20">
        <f t="shared" si="110"/>
        <v>0.5</v>
      </c>
      <c r="J62" s="20">
        <f t="shared" si="110"/>
        <v>0.45000000000000018</v>
      </c>
      <c r="K62" s="20">
        <f t="shared" si="110"/>
        <v>0.39999999999999991</v>
      </c>
    </row>
    <row r="64" spans="1:122" x14ac:dyDescent="0.15">
      <c r="A64" s="101" t="s">
        <v>108</v>
      </c>
      <c r="D64" s="20">
        <f>D14/D59</f>
        <v>2.565048625726123E-2</v>
      </c>
      <c r="E64" s="20">
        <f>E14/E59</f>
        <v>2.6123637165920938E-2</v>
      </c>
      <c r="F64" s="20">
        <f>F14/F59</f>
        <v>2.5831387829351699E-2</v>
      </c>
      <c r="G64" s="20">
        <f>G14/G59</f>
        <v>2.5831387829351699E-2</v>
      </c>
      <c r="H64" s="20">
        <f t="shared" ref="H64:K64" si="111">H14/H59</f>
        <v>2.5831387829351699E-2</v>
      </c>
      <c r="I64" s="20">
        <f t="shared" si="111"/>
        <v>2.5831387829351699E-2</v>
      </c>
      <c r="J64" s="20">
        <f t="shared" si="111"/>
        <v>2.5831387829351699E-2</v>
      </c>
      <c r="K64" s="20">
        <f t="shared" si="111"/>
        <v>2.5831387829351699E-2</v>
      </c>
    </row>
  </sheetData>
  <phoneticPr fontId="4" type="noConversion"/>
  <hyperlinks>
    <hyperlink ref="A1" r:id="rId1" xr:uid="{00000000-0004-0000-0000-000000000000}"/>
    <hyperlink ref="A4" r:id="rId2" xr:uid="{00000000-0004-0000-0000-000001000000}"/>
    <hyperlink ref="A7" r:id="rId3" xr:uid="{00000000-0004-0000-0000-000002000000}"/>
  </hyperlinks>
  <pageMargins left="0.7" right="0.7" top="0.75" bottom="0.75" header="0.3" footer="0.3"/>
  <pageSetup paperSize="9" orientation="portrait" horizontalDpi="0" verticalDpi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6"/>
  <sheetViews>
    <sheetView zoomScale="120" zoomScaleNormal="120"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A18" sqref="AA18"/>
    </sheetView>
  </sheetViews>
  <sheetFormatPr baseColWidth="10" defaultRowHeight="13" x14ac:dyDescent="0.15"/>
  <cols>
    <col min="1" max="1" width="19.5" style="24" customWidth="1"/>
    <col min="2" max="5" width="10.83203125" style="22" customWidth="1"/>
    <col min="6" max="6" width="10.83203125" style="26" customWidth="1"/>
    <col min="7" max="8" width="10.83203125" style="22" customWidth="1"/>
    <col min="9" max="9" width="10.83203125" style="22"/>
    <col min="10" max="10" width="10.83203125" style="26"/>
    <col min="11" max="11" width="10.83203125" style="22" customWidth="1"/>
    <col min="12" max="13" width="10.83203125" style="22"/>
    <col min="14" max="14" width="10.83203125" style="26"/>
    <col min="15" max="16" width="10.83203125" style="22"/>
    <col min="17" max="17" width="10.83203125" style="54"/>
    <col min="18" max="18" width="10.83203125" style="26"/>
    <col min="19" max="21" width="10.83203125" style="1"/>
    <col min="22" max="22" width="10.83203125" style="88"/>
    <col min="23" max="16384" width="10.83203125" style="1"/>
  </cols>
  <sheetData>
    <row r="1" spans="1:27" s="22" customFormat="1" x14ac:dyDescent="0.15">
      <c r="A1" s="21" t="s">
        <v>65</v>
      </c>
      <c r="B1" s="22" t="s">
        <v>47</v>
      </c>
      <c r="C1" s="22" t="s">
        <v>48</v>
      </c>
      <c r="D1" s="22" t="s">
        <v>49</v>
      </c>
      <c r="E1" s="22" t="s">
        <v>50</v>
      </c>
      <c r="F1" s="26" t="s">
        <v>22</v>
      </c>
      <c r="G1" s="22" t="s">
        <v>23</v>
      </c>
      <c r="H1" s="22" t="s">
        <v>24</v>
      </c>
      <c r="I1" s="22" t="s">
        <v>25</v>
      </c>
      <c r="J1" s="25" t="s">
        <v>0</v>
      </c>
      <c r="K1" s="23" t="s">
        <v>1</v>
      </c>
      <c r="L1" s="23" t="s">
        <v>2</v>
      </c>
      <c r="M1" s="23" t="s">
        <v>3</v>
      </c>
      <c r="N1" s="26" t="s">
        <v>80</v>
      </c>
      <c r="O1" s="22" t="s">
        <v>81</v>
      </c>
      <c r="P1" s="22" t="s">
        <v>58</v>
      </c>
      <c r="Q1" s="54" t="s">
        <v>82</v>
      </c>
      <c r="R1" s="26" t="s">
        <v>87</v>
      </c>
      <c r="S1" s="22" t="s">
        <v>88</v>
      </c>
      <c r="T1" s="22" t="s">
        <v>89</v>
      </c>
      <c r="U1" s="22" t="s">
        <v>90</v>
      </c>
      <c r="V1" s="26" t="s">
        <v>91</v>
      </c>
      <c r="W1" s="22" t="s">
        <v>92</v>
      </c>
      <c r="X1" s="22" t="s">
        <v>93</v>
      </c>
      <c r="Y1" s="22" t="s">
        <v>94</v>
      </c>
    </row>
    <row r="2" spans="1:27" s="22" customFormat="1" x14ac:dyDescent="0.15">
      <c r="A2" s="21"/>
      <c r="B2" s="22" t="s">
        <v>52</v>
      </c>
      <c r="C2" s="22" t="s">
        <v>51</v>
      </c>
      <c r="D2" s="22" t="s">
        <v>46</v>
      </c>
      <c r="E2" s="22" t="s">
        <v>45</v>
      </c>
      <c r="F2" s="26" t="s">
        <v>44</v>
      </c>
      <c r="G2" s="22" t="s">
        <v>43</v>
      </c>
      <c r="H2" s="22" t="s">
        <v>40</v>
      </c>
      <c r="I2" s="22" t="s">
        <v>38</v>
      </c>
      <c r="J2" s="26" t="s">
        <v>42</v>
      </c>
      <c r="K2" s="22" t="s">
        <v>39</v>
      </c>
      <c r="L2" s="22" t="s">
        <v>41</v>
      </c>
      <c r="M2" s="22" t="s">
        <v>37</v>
      </c>
      <c r="N2" s="26" t="s">
        <v>83</v>
      </c>
      <c r="O2" s="22" t="s">
        <v>84</v>
      </c>
      <c r="P2" s="22" t="s">
        <v>85</v>
      </c>
      <c r="Q2" s="54" t="s">
        <v>86</v>
      </c>
      <c r="R2" s="79" t="s">
        <v>98</v>
      </c>
      <c r="S2" s="98">
        <v>43646</v>
      </c>
      <c r="T2" s="96">
        <v>43738</v>
      </c>
      <c r="U2" s="96">
        <v>43830</v>
      </c>
      <c r="V2" s="97">
        <v>43861</v>
      </c>
      <c r="W2" s="96">
        <v>44012</v>
      </c>
      <c r="X2" s="96">
        <v>44104</v>
      </c>
    </row>
    <row r="3" spans="1:27" s="7" customFormat="1" x14ac:dyDescent="0.15">
      <c r="A3" s="78" t="s">
        <v>66</v>
      </c>
      <c r="B3" s="23">
        <v>22.352</v>
      </c>
      <c r="C3" s="23">
        <v>25.459</v>
      </c>
      <c r="D3" s="23">
        <v>29.56</v>
      </c>
      <c r="E3" s="23">
        <v>34.607999999999997</v>
      </c>
      <c r="F3" s="25">
        <v>38.706000000000003</v>
      </c>
      <c r="G3" s="23">
        <v>43.673999999999999</v>
      </c>
      <c r="H3" s="23">
        <v>49.838999999999999</v>
      </c>
      <c r="I3" s="23">
        <v>56.387</v>
      </c>
      <c r="J3" s="25">
        <v>62.08</v>
      </c>
      <c r="K3" s="23">
        <v>71.597999999999999</v>
      </c>
      <c r="L3" s="23">
        <v>82.435000000000002</v>
      </c>
      <c r="M3" s="23">
        <v>93.918000000000006</v>
      </c>
      <c r="N3" s="25">
        <v>100.19799999999999</v>
      </c>
      <c r="O3" s="30">
        <v>110.721</v>
      </c>
      <c r="P3" s="30">
        <v>120.517</v>
      </c>
      <c r="Q3" s="56">
        <v>133.56</v>
      </c>
      <c r="R3" s="25">
        <v>140.45099999999999</v>
      </c>
      <c r="S3" s="7">
        <v>153</v>
      </c>
      <c r="T3" s="7">
        <v>166</v>
      </c>
      <c r="U3" s="7">
        <v>183</v>
      </c>
      <c r="V3" s="86">
        <v>188</v>
      </c>
      <c r="W3" s="7">
        <v>196.434</v>
      </c>
      <c r="X3" s="7">
        <v>245.274</v>
      </c>
    </row>
    <row r="4" spans="1:27" s="7" customFormat="1" x14ac:dyDescent="0.15">
      <c r="A4" s="67" t="s">
        <v>67</v>
      </c>
      <c r="B4" s="23">
        <v>14.996</v>
      </c>
      <c r="C4" s="23">
        <v>19.466999999999999</v>
      </c>
      <c r="D4" s="23">
        <v>23.225999999999999</v>
      </c>
      <c r="E4" s="23">
        <v>35.564999999999998</v>
      </c>
      <c r="F4" s="25">
        <v>34.015999999999998</v>
      </c>
      <c r="G4" s="23">
        <v>42.972999999999999</v>
      </c>
      <c r="H4" s="23">
        <v>49.738999999999997</v>
      </c>
      <c r="I4" s="23">
        <v>73.995999999999995</v>
      </c>
      <c r="J4" s="25">
        <v>65.299000000000007</v>
      </c>
      <c r="K4" s="23">
        <v>80.057000000000002</v>
      </c>
      <c r="L4" s="23">
        <v>89.021000000000001</v>
      </c>
      <c r="M4" s="23">
        <v>128.89599999999999</v>
      </c>
      <c r="N4" s="25">
        <v>114.142</v>
      </c>
      <c r="O4" s="30">
        <v>134.24199999999999</v>
      </c>
      <c r="P4" s="30">
        <v>149.547</v>
      </c>
      <c r="Q4" s="56">
        <v>210.30199999999999</v>
      </c>
      <c r="R4" s="25">
        <v>180.03100000000001</v>
      </c>
      <c r="S4" s="7">
        <v>209</v>
      </c>
      <c r="T4" s="7">
        <v>225</v>
      </c>
      <c r="U4" s="7">
        <v>322</v>
      </c>
      <c r="V4" s="86">
        <v>282</v>
      </c>
      <c r="W4" s="7">
        <v>517.90700000000004</v>
      </c>
      <c r="X4" s="7">
        <v>522.13099999999997</v>
      </c>
    </row>
    <row r="5" spans="1:27" s="92" customFormat="1" x14ac:dyDescent="0.15">
      <c r="F5" s="93"/>
      <c r="J5" s="93"/>
      <c r="K5" s="94"/>
      <c r="L5" s="94"/>
      <c r="M5" s="94"/>
      <c r="N5" s="93"/>
      <c r="O5" s="94"/>
      <c r="P5" s="94"/>
      <c r="Q5" s="95"/>
      <c r="R5" s="93">
        <v>305</v>
      </c>
      <c r="S5" s="92">
        <v>345</v>
      </c>
      <c r="T5" s="92">
        <v>377</v>
      </c>
      <c r="U5" s="92">
        <v>472</v>
      </c>
      <c r="V5" s="93">
        <v>440</v>
      </c>
    </row>
    <row r="6" spans="1:27" s="69" customFormat="1" x14ac:dyDescent="0.15">
      <c r="A6" s="68" t="s">
        <v>4</v>
      </c>
      <c r="B6" s="44">
        <f t="shared" ref="B6:W6" si="0">SUM(B3:B4)</f>
        <v>37.347999999999999</v>
      </c>
      <c r="C6" s="44">
        <f t="shared" si="0"/>
        <v>44.926000000000002</v>
      </c>
      <c r="D6" s="44">
        <f t="shared" si="0"/>
        <v>52.786000000000001</v>
      </c>
      <c r="E6" s="44">
        <f t="shared" si="0"/>
        <v>70.173000000000002</v>
      </c>
      <c r="F6" s="48">
        <f t="shared" si="0"/>
        <v>72.722000000000008</v>
      </c>
      <c r="G6" s="44">
        <f t="shared" si="0"/>
        <v>86.646999999999991</v>
      </c>
      <c r="H6" s="44">
        <f t="shared" si="0"/>
        <v>99.578000000000003</v>
      </c>
      <c r="I6" s="44">
        <f t="shared" si="0"/>
        <v>130.38299999999998</v>
      </c>
      <c r="J6" s="48">
        <f t="shared" si="0"/>
        <v>127.379</v>
      </c>
      <c r="K6" s="44">
        <f t="shared" si="0"/>
        <v>151.655</v>
      </c>
      <c r="L6" s="44">
        <f t="shared" si="0"/>
        <v>171.45600000000002</v>
      </c>
      <c r="M6" s="44">
        <f t="shared" si="0"/>
        <v>222.81399999999999</v>
      </c>
      <c r="N6" s="48">
        <f t="shared" si="0"/>
        <v>214.33999999999997</v>
      </c>
      <c r="O6" s="44">
        <f t="shared" si="0"/>
        <v>244.96299999999999</v>
      </c>
      <c r="P6" s="44">
        <f t="shared" si="0"/>
        <v>270.06399999999996</v>
      </c>
      <c r="Q6" s="44">
        <f t="shared" si="0"/>
        <v>343.86199999999997</v>
      </c>
      <c r="R6" s="48">
        <f t="shared" si="0"/>
        <v>320.48199999999997</v>
      </c>
      <c r="S6" s="44">
        <f t="shared" si="0"/>
        <v>362</v>
      </c>
      <c r="T6" s="44">
        <f t="shared" si="0"/>
        <v>391</v>
      </c>
      <c r="U6" s="44">
        <f t="shared" si="0"/>
        <v>505</v>
      </c>
      <c r="V6" s="48">
        <f t="shared" si="0"/>
        <v>470</v>
      </c>
      <c r="W6" s="44">
        <f>SUM(W3:W4)</f>
        <v>714.34100000000001</v>
      </c>
      <c r="X6" s="44">
        <f>SUM(X3:X4)</f>
        <v>767.40499999999997</v>
      </c>
      <c r="Y6" s="69">
        <f>Y51*X56</f>
        <v>1022.6389200429342</v>
      </c>
      <c r="AA6" s="69">
        <f>SUM(V6:Y6)</f>
        <v>2974.384920042934</v>
      </c>
    </row>
    <row r="7" spans="1:27" s="7" customFormat="1" x14ac:dyDescent="0.15">
      <c r="A7" s="67" t="s">
        <v>5</v>
      </c>
      <c r="B7" s="30">
        <f>5.033+10.749</f>
        <v>15.782</v>
      </c>
      <c r="C7" s="30">
        <f>5.422+14.252</f>
        <v>19.673999999999999</v>
      </c>
      <c r="D7" s="30">
        <f>6.414+17.629</f>
        <v>24.042999999999999</v>
      </c>
      <c r="E7" s="30">
        <f>7.662+26.044</f>
        <v>33.706000000000003</v>
      </c>
      <c r="F7" s="25">
        <f>8.232+24.405</f>
        <v>32.637</v>
      </c>
      <c r="G7" s="23">
        <f>9.098+30.026</f>
        <v>39.124000000000002</v>
      </c>
      <c r="H7" s="23">
        <f>10.555+35.271</f>
        <v>45.826000000000001</v>
      </c>
      <c r="I7" s="23">
        <f>11.593+50.655</f>
        <v>62.248000000000005</v>
      </c>
      <c r="J7" s="25">
        <f>12.254+42.884</f>
        <v>55.137999999999998</v>
      </c>
      <c r="K7" s="30">
        <f>13.688+51.127</f>
        <v>64.814999999999998</v>
      </c>
      <c r="L7" s="30">
        <f>15.458+55.971</f>
        <v>71.429000000000002</v>
      </c>
      <c r="M7" s="30">
        <v>101.669</v>
      </c>
      <c r="N7" s="25">
        <f>23.16+67.338</f>
        <v>90.49799999999999</v>
      </c>
      <c r="O7" s="30">
        <f>24.524+83.484</f>
        <v>108.008</v>
      </c>
      <c r="P7" s="30">
        <f>26.6+93.737</f>
        <v>120.33699999999999</v>
      </c>
      <c r="Q7" s="56">
        <v>158.119</v>
      </c>
      <c r="R7" s="25">
        <v>140.191</v>
      </c>
      <c r="S7" s="7">
        <v>157</v>
      </c>
      <c r="T7" s="7">
        <v>174</v>
      </c>
      <c r="U7" s="7">
        <v>241</v>
      </c>
      <c r="V7" s="86">
        <v>213</v>
      </c>
      <c r="W7" s="7">
        <v>339.30700000000002</v>
      </c>
      <c r="X7" s="7">
        <v>362.25700000000001</v>
      </c>
    </row>
    <row r="8" spans="1:27" s="7" customFormat="1" x14ac:dyDescent="0.15">
      <c r="A8" s="67" t="s">
        <v>6</v>
      </c>
      <c r="B8" s="45">
        <f>B6-B7</f>
        <v>21.565999999999999</v>
      </c>
      <c r="C8" s="45">
        <f>C6-C7</f>
        <v>25.252000000000002</v>
      </c>
      <c r="D8" s="45">
        <f>D6-D7</f>
        <v>28.743000000000002</v>
      </c>
      <c r="E8" s="45">
        <f>E6-E7</f>
        <v>36.466999999999999</v>
      </c>
      <c r="F8" s="46">
        <f>F6-F7</f>
        <v>40.085000000000008</v>
      </c>
      <c r="G8" s="47">
        <f t="shared" ref="G8:L8" si="1">G6-G7</f>
        <v>47.522999999999989</v>
      </c>
      <c r="H8" s="47">
        <f t="shared" si="1"/>
        <v>53.752000000000002</v>
      </c>
      <c r="I8" s="47">
        <f t="shared" si="1"/>
        <v>68.134999999999977</v>
      </c>
      <c r="J8" s="46">
        <f t="shared" si="1"/>
        <v>72.241000000000014</v>
      </c>
      <c r="K8" s="45">
        <f t="shared" si="1"/>
        <v>86.84</v>
      </c>
      <c r="L8" s="45">
        <f t="shared" si="1"/>
        <v>100.02700000000002</v>
      </c>
      <c r="M8" s="45">
        <f t="shared" ref="M8:N8" si="2">M6-M7</f>
        <v>121.145</v>
      </c>
      <c r="N8" s="46">
        <f t="shared" si="2"/>
        <v>123.84199999999998</v>
      </c>
      <c r="O8" s="45">
        <f t="shared" ref="O8:X8" si="3">O6-O7</f>
        <v>136.95499999999998</v>
      </c>
      <c r="P8" s="45">
        <f t="shared" si="3"/>
        <v>149.72699999999998</v>
      </c>
      <c r="Q8" s="45">
        <f t="shared" si="3"/>
        <v>185.74299999999997</v>
      </c>
      <c r="R8" s="46">
        <f t="shared" si="3"/>
        <v>180.29099999999997</v>
      </c>
      <c r="S8" s="45">
        <f t="shared" si="3"/>
        <v>205</v>
      </c>
      <c r="T8" s="45">
        <f t="shared" si="3"/>
        <v>217</v>
      </c>
      <c r="U8" s="45">
        <f t="shared" si="3"/>
        <v>264</v>
      </c>
      <c r="V8" s="46">
        <f t="shared" si="3"/>
        <v>257</v>
      </c>
      <c r="W8" s="45">
        <f t="shared" si="3"/>
        <v>375.03399999999999</v>
      </c>
      <c r="X8" s="45">
        <f t="shared" si="3"/>
        <v>405.14799999999997</v>
      </c>
    </row>
    <row r="9" spans="1:27" s="7" customFormat="1" x14ac:dyDescent="0.15">
      <c r="A9" s="67" t="s">
        <v>7</v>
      </c>
      <c r="B9" s="30">
        <v>7.3129999999999997</v>
      </c>
      <c r="C9" s="30">
        <v>8.8000000000000007</v>
      </c>
      <c r="D9" s="30">
        <v>10.068</v>
      </c>
      <c r="E9" s="30">
        <v>13.541</v>
      </c>
      <c r="F9" s="25">
        <v>13.67</v>
      </c>
      <c r="G9" s="23">
        <v>16.731999999999999</v>
      </c>
      <c r="H9" s="23">
        <v>19.462</v>
      </c>
      <c r="I9" s="23">
        <v>24.472000000000001</v>
      </c>
      <c r="J9" s="25">
        <v>26.594000000000001</v>
      </c>
      <c r="K9" s="30">
        <v>32.713999999999999</v>
      </c>
      <c r="L9" s="30">
        <v>36.35</v>
      </c>
      <c r="M9" s="30">
        <v>40.338999999999999</v>
      </c>
      <c r="N9" s="25">
        <v>47.716000000000001</v>
      </c>
      <c r="O9" s="30">
        <v>54.305</v>
      </c>
      <c r="P9" s="30">
        <v>61.628999999999998</v>
      </c>
      <c r="Q9" s="56">
        <v>67.024000000000001</v>
      </c>
      <c r="R9" s="25">
        <v>76</v>
      </c>
      <c r="S9" s="7">
        <v>86</v>
      </c>
      <c r="T9" s="7">
        <v>90</v>
      </c>
      <c r="U9" s="7">
        <v>103</v>
      </c>
      <c r="V9" s="86">
        <v>116</v>
      </c>
      <c r="W9" s="7">
        <v>133</v>
      </c>
      <c r="X9" s="7">
        <v>143</v>
      </c>
    </row>
    <row r="10" spans="1:27" s="7" customFormat="1" x14ac:dyDescent="0.15">
      <c r="A10" s="67" t="s">
        <v>8</v>
      </c>
      <c r="B10" s="30">
        <v>13.54</v>
      </c>
      <c r="C10" s="30">
        <v>16.091000000000001</v>
      </c>
      <c r="D10" s="30">
        <v>18.216000000000001</v>
      </c>
      <c r="E10" s="30">
        <v>22.527000000000001</v>
      </c>
      <c r="F10" s="25">
        <v>28.007999999999999</v>
      </c>
      <c r="G10" s="23">
        <v>29.413</v>
      </c>
      <c r="H10" s="23">
        <v>32.777000000000001</v>
      </c>
      <c r="I10" s="23">
        <v>39.015999999999998</v>
      </c>
      <c r="J10" s="25">
        <v>45.334000000000003</v>
      </c>
      <c r="K10" s="30">
        <v>54.872</v>
      </c>
      <c r="L10" s="30">
        <v>58.314</v>
      </c>
      <c r="M10" s="30">
        <v>67.174000000000007</v>
      </c>
      <c r="N10" s="25">
        <v>75.784000000000006</v>
      </c>
      <c r="O10" s="30">
        <v>87.486999999999995</v>
      </c>
      <c r="P10" s="30">
        <v>91.635000000000005</v>
      </c>
      <c r="Q10" s="56">
        <v>95.162999999999997</v>
      </c>
      <c r="R10" s="25">
        <v>105</v>
      </c>
      <c r="S10" s="7">
        <v>119</v>
      </c>
      <c r="T10" s="7">
        <v>117</v>
      </c>
      <c r="U10" s="7">
        <v>132</v>
      </c>
      <c r="V10" s="86">
        <v>155</v>
      </c>
      <c r="W10" s="7">
        <v>145</v>
      </c>
      <c r="X10" s="7">
        <v>148</v>
      </c>
    </row>
    <row r="11" spans="1:27" s="7" customFormat="1" x14ac:dyDescent="0.15">
      <c r="A11" s="67" t="s">
        <v>9</v>
      </c>
      <c r="B11" s="30">
        <v>4.1890000000000001</v>
      </c>
      <c r="C11" s="30">
        <v>3.8220000000000001</v>
      </c>
      <c r="D11" s="30">
        <v>4.7590000000000003</v>
      </c>
      <c r="E11" s="30">
        <v>6.9180000000000001</v>
      </c>
      <c r="F11" s="25">
        <v>8.1189999999999998</v>
      </c>
      <c r="G11" s="23">
        <v>10.037000000000001</v>
      </c>
      <c r="H11" s="23">
        <v>11.002000000000001</v>
      </c>
      <c r="I11" s="23">
        <v>13.952</v>
      </c>
      <c r="J11" s="25">
        <v>14.773999999999999</v>
      </c>
      <c r="K11" s="30">
        <v>15.161</v>
      </c>
      <c r="L11" s="30">
        <v>18.039000000000001</v>
      </c>
      <c r="M11" s="30">
        <v>19.745000000000001</v>
      </c>
      <c r="N11" s="25">
        <v>20.675000000000001</v>
      </c>
      <c r="O11" s="30">
        <v>25.923999999999999</v>
      </c>
      <c r="P11" s="30">
        <v>27.831</v>
      </c>
      <c r="Q11" s="56">
        <v>33.014000000000003</v>
      </c>
      <c r="R11" s="25">
        <v>35</v>
      </c>
      <c r="S11" s="7">
        <v>40</v>
      </c>
      <c r="T11" s="7">
        <v>45</v>
      </c>
      <c r="U11" s="7">
        <v>59</v>
      </c>
      <c r="V11" s="86">
        <f>45+14</f>
        <v>59</v>
      </c>
      <c r="W11" s="7">
        <f>83+13</f>
        <v>96</v>
      </c>
      <c r="X11" s="7">
        <f>52+12</f>
        <v>64</v>
      </c>
    </row>
    <row r="12" spans="1:27" s="7" customFormat="1" x14ac:dyDescent="0.15">
      <c r="A12" s="67" t="s">
        <v>10</v>
      </c>
      <c r="B12" s="45">
        <f>SUM(B9:B11)</f>
        <v>25.041999999999998</v>
      </c>
      <c r="C12" s="45">
        <f>SUM(C9:C11)</f>
        <v>28.713000000000001</v>
      </c>
      <c r="D12" s="45">
        <f>SUM(D9:D11)</f>
        <v>33.042999999999999</v>
      </c>
      <c r="E12" s="45">
        <f>SUM(E9:E11)</f>
        <v>42.985999999999997</v>
      </c>
      <c r="F12" s="46">
        <f>SUM(F9:F11)</f>
        <v>49.796999999999997</v>
      </c>
      <c r="G12" s="47">
        <f t="shared" ref="G12:L12" si="4">SUM(G9:G11)</f>
        <v>56.181999999999995</v>
      </c>
      <c r="H12" s="47">
        <f t="shared" si="4"/>
        <v>63.241000000000007</v>
      </c>
      <c r="I12" s="47">
        <f t="shared" si="4"/>
        <v>77.44</v>
      </c>
      <c r="J12" s="46">
        <f t="shared" si="4"/>
        <v>86.701999999999998</v>
      </c>
      <c r="K12" s="45">
        <f t="shared" si="4"/>
        <v>102.747</v>
      </c>
      <c r="L12" s="45">
        <f t="shared" si="4"/>
        <v>112.703</v>
      </c>
      <c r="M12" s="45">
        <f t="shared" ref="M12:N12" si="5">SUM(M9:M11)</f>
        <v>127.25800000000001</v>
      </c>
      <c r="N12" s="46">
        <f t="shared" si="5"/>
        <v>144.17500000000001</v>
      </c>
      <c r="O12" s="45">
        <f t="shared" ref="O12:P12" si="6">SUM(O9:O11)</f>
        <v>167.71600000000001</v>
      </c>
      <c r="P12" s="45">
        <f t="shared" si="6"/>
        <v>181.095</v>
      </c>
      <c r="Q12" s="45">
        <f t="shared" ref="Q12:X12" si="7">SUM(Q9:Q11)</f>
        <v>195.20100000000002</v>
      </c>
      <c r="R12" s="46">
        <f t="shared" si="7"/>
        <v>216</v>
      </c>
      <c r="S12" s="45">
        <f t="shared" si="7"/>
        <v>245</v>
      </c>
      <c r="T12" s="45">
        <f t="shared" si="7"/>
        <v>252</v>
      </c>
      <c r="U12" s="45">
        <f t="shared" si="7"/>
        <v>294</v>
      </c>
      <c r="V12" s="46">
        <f t="shared" si="7"/>
        <v>330</v>
      </c>
      <c r="W12" s="45">
        <f t="shared" si="7"/>
        <v>374</v>
      </c>
      <c r="X12" s="45">
        <f t="shared" si="7"/>
        <v>355</v>
      </c>
    </row>
    <row r="13" spans="1:27" s="7" customFormat="1" x14ac:dyDescent="0.15">
      <c r="A13" s="67" t="s">
        <v>11</v>
      </c>
      <c r="B13" s="45">
        <f>B8-B12</f>
        <v>-3.4759999999999991</v>
      </c>
      <c r="C13" s="45">
        <f>C8-C12</f>
        <v>-3.4609999999999985</v>
      </c>
      <c r="D13" s="45">
        <f>D8-D12</f>
        <v>-4.2999999999999972</v>
      </c>
      <c r="E13" s="45">
        <f>E8-E12</f>
        <v>-6.5189999999999984</v>
      </c>
      <c r="F13" s="46">
        <f>F8-F12</f>
        <v>-9.7119999999999891</v>
      </c>
      <c r="G13" s="47">
        <f t="shared" ref="G13" si="8">G8-G12</f>
        <v>-8.659000000000006</v>
      </c>
      <c r="H13" s="47">
        <f t="shared" ref="H13:N13" si="9">H8-H12</f>
        <v>-9.4890000000000043</v>
      </c>
      <c r="I13" s="47">
        <f t="shared" si="9"/>
        <v>-9.305000000000021</v>
      </c>
      <c r="J13" s="46">
        <f>J8-J12</f>
        <v>-14.460999999999984</v>
      </c>
      <c r="K13" s="45">
        <f t="shared" si="9"/>
        <v>-15.906999999999996</v>
      </c>
      <c r="L13" s="45">
        <f t="shared" si="9"/>
        <v>-12.675999999999988</v>
      </c>
      <c r="M13" s="45">
        <f t="shared" si="9"/>
        <v>-6.1130000000000138</v>
      </c>
      <c r="N13" s="46">
        <f t="shared" si="9"/>
        <v>-20.333000000000027</v>
      </c>
      <c r="O13" s="45">
        <f t="shared" ref="O13:P13" si="10">O8-O12</f>
        <v>-30.761000000000024</v>
      </c>
      <c r="P13" s="45">
        <f t="shared" si="10"/>
        <v>-31.368000000000023</v>
      </c>
      <c r="Q13" s="45">
        <f t="shared" ref="Q13:R13" si="11">Q8-Q12</f>
        <v>-9.4580000000000553</v>
      </c>
      <c r="R13" s="46">
        <f t="shared" si="11"/>
        <v>-35.709000000000032</v>
      </c>
      <c r="S13" s="45">
        <f t="shared" ref="S13:T13" si="12">S8-S12</f>
        <v>-40</v>
      </c>
      <c r="T13" s="45">
        <f t="shared" si="12"/>
        <v>-35</v>
      </c>
      <c r="U13" s="45">
        <f t="shared" ref="U13:W13" si="13">U8-U12</f>
        <v>-30</v>
      </c>
      <c r="V13" s="46">
        <f t="shared" si="13"/>
        <v>-73</v>
      </c>
      <c r="W13" s="45">
        <f t="shared" si="13"/>
        <v>1.0339999999999918</v>
      </c>
      <c r="X13" s="45">
        <f t="shared" ref="X13" si="14">X8-X12</f>
        <v>50.147999999999968</v>
      </c>
    </row>
    <row r="14" spans="1:27" s="7" customFormat="1" x14ac:dyDescent="0.15">
      <c r="A14" s="67" t="s">
        <v>12</v>
      </c>
      <c r="B14" s="30">
        <f>0.011-1.065</f>
        <v>-1.054</v>
      </c>
      <c r="C14" s="30">
        <f>0.03+0.135</f>
        <v>0.16500000000000001</v>
      </c>
      <c r="D14" s="30">
        <f>0.057-0.414</f>
        <v>-0.35699999999999998</v>
      </c>
      <c r="E14" s="30">
        <v>0.21199999999999999</v>
      </c>
      <c r="F14" s="25">
        <f>0.203+0.58</f>
        <v>0.78299999999999992</v>
      </c>
      <c r="G14" s="23">
        <f>0.231-0.011</f>
        <v>0.22</v>
      </c>
      <c r="H14" s="23">
        <f>0.404-0.035</f>
        <v>0.36899999999999999</v>
      </c>
      <c r="I14" s="23">
        <v>0.438</v>
      </c>
      <c r="J14" s="25">
        <f>0.715+0.148+1.437</f>
        <v>2.2999999999999998</v>
      </c>
      <c r="K14" s="30">
        <f>1.877+4.631</f>
        <v>6.508</v>
      </c>
      <c r="L14" s="30">
        <f>2.734+0.562+2.604</f>
        <v>5.9</v>
      </c>
      <c r="M14" s="30">
        <v>3.1259999999999999</v>
      </c>
      <c r="N14" s="25">
        <f>4.649-0.218-6.834</f>
        <v>-2.4029999999999996</v>
      </c>
      <c r="O14" s="30">
        <f>6.808-4.398</f>
        <v>2.41</v>
      </c>
      <c r="P14" s="30">
        <f>8.078+0.106+6.101</f>
        <v>14.285</v>
      </c>
      <c r="Q14" s="56">
        <v>7.944</v>
      </c>
      <c r="R14" s="25">
        <f>12+9</f>
        <v>21</v>
      </c>
      <c r="S14" s="7">
        <f>11+7</f>
        <v>18</v>
      </c>
      <c r="T14" s="7">
        <f>11+-6</f>
        <v>5</v>
      </c>
      <c r="U14" s="7">
        <f>12+3</f>
        <v>15</v>
      </c>
      <c r="V14" s="86">
        <f>13-17</f>
        <v>-4</v>
      </c>
      <c r="W14" s="7">
        <f>6-2</f>
        <v>4</v>
      </c>
      <c r="X14" s="7">
        <v>136</v>
      </c>
    </row>
    <row r="15" spans="1:27" s="7" customFormat="1" x14ac:dyDescent="0.15">
      <c r="A15" s="67" t="s">
        <v>13</v>
      </c>
      <c r="B15" s="45">
        <f>B13+B14</f>
        <v>-4.5299999999999994</v>
      </c>
      <c r="C15" s="45">
        <f>C13+C14</f>
        <v>-3.2959999999999985</v>
      </c>
      <c r="D15" s="45">
        <f>D13+D14</f>
        <v>-4.6569999999999974</v>
      </c>
      <c r="E15" s="45">
        <f>E13+E14</f>
        <v>-6.3069999999999986</v>
      </c>
      <c r="F15" s="46">
        <f>F13+F14</f>
        <v>-8.9289999999999896</v>
      </c>
      <c r="G15" s="47">
        <f t="shared" ref="G15:I15" si="15">G13+G14</f>
        <v>-8.4390000000000054</v>
      </c>
      <c r="H15" s="47">
        <f t="shared" si="15"/>
        <v>-9.1200000000000045</v>
      </c>
      <c r="I15" s="47">
        <f t="shared" si="15"/>
        <v>-8.8670000000000204</v>
      </c>
      <c r="J15" s="46">
        <f t="shared" ref="J15:K15" si="16">J13+J14</f>
        <v>-12.160999999999984</v>
      </c>
      <c r="K15" s="45">
        <f t="shared" si="16"/>
        <v>-9.3989999999999974</v>
      </c>
      <c r="L15" s="45">
        <f t="shared" ref="L15" si="17">L13+L14</f>
        <v>-6.7759999999999874</v>
      </c>
      <c r="M15" s="45">
        <f>M13+M14</f>
        <v>-2.9870000000000139</v>
      </c>
      <c r="N15" s="46">
        <f t="shared" ref="N15" si="18">N13+N14</f>
        <v>-22.736000000000026</v>
      </c>
      <c r="O15" s="45">
        <f t="shared" ref="O15:X15" si="19">O13+O14</f>
        <v>-28.351000000000024</v>
      </c>
      <c r="P15" s="45">
        <f t="shared" si="19"/>
        <v>-17.083000000000023</v>
      </c>
      <c r="Q15" s="45">
        <f t="shared" si="19"/>
        <v>-1.5140000000000553</v>
      </c>
      <c r="R15" s="46">
        <f t="shared" si="19"/>
        <v>-14.709000000000032</v>
      </c>
      <c r="S15" s="45">
        <f t="shared" si="19"/>
        <v>-22</v>
      </c>
      <c r="T15" s="45">
        <f t="shared" si="19"/>
        <v>-30</v>
      </c>
      <c r="U15" s="45">
        <f t="shared" si="19"/>
        <v>-15</v>
      </c>
      <c r="V15" s="46">
        <f t="shared" si="19"/>
        <v>-77</v>
      </c>
      <c r="W15" s="45">
        <f t="shared" si="19"/>
        <v>5.0339999999999918</v>
      </c>
      <c r="X15" s="45">
        <f t="shared" si="19"/>
        <v>186.14799999999997</v>
      </c>
    </row>
    <row r="16" spans="1:27" s="7" customFormat="1" x14ac:dyDescent="0.15">
      <c r="A16" s="67" t="s">
        <v>14</v>
      </c>
      <c r="B16" s="30">
        <v>0</v>
      </c>
      <c r="C16" s="30">
        <v>0</v>
      </c>
      <c r="D16" s="30">
        <v>0</v>
      </c>
      <c r="E16" s="30">
        <v>0</v>
      </c>
      <c r="F16" s="25">
        <v>0</v>
      </c>
      <c r="G16" s="23">
        <v>0.21099999999999999</v>
      </c>
      <c r="H16" s="23">
        <v>0</v>
      </c>
      <c r="I16" s="23">
        <v>0</v>
      </c>
      <c r="J16" s="25">
        <v>0</v>
      </c>
      <c r="K16" s="30">
        <v>0</v>
      </c>
      <c r="L16" s="30">
        <v>0</v>
      </c>
      <c r="M16" s="30">
        <f>AVERAGE(I16:L16)</f>
        <v>0</v>
      </c>
      <c r="N16" s="25">
        <v>0</v>
      </c>
      <c r="O16" s="30">
        <v>0</v>
      </c>
      <c r="P16" s="30">
        <v>0</v>
      </c>
      <c r="Q16" s="56">
        <f>Q15*P23</f>
        <v>0</v>
      </c>
      <c r="R16" s="25">
        <v>0</v>
      </c>
      <c r="S16" s="7">
        <v>0</v>
      </c>
      <c r="T16" s="7">
        <v>48</v>
      </c>
      <c r="U16" s="7">
        <v>-19</v>
      </c>
      <c r="V16" s="86">
        <v>-29</v>
      </c>
      <c r="W16" s="7">
        <v>-32</v>
      </c>
      <c r="X16" s="7">
        <v>-5</v>
      </c>
    </row>
    <row r="17" spans="1:25" s="69" customFormat="1" x14ac:dyDescent="0.15">
      <c r="A17" s="68" t="s">
        <v>15</v>
      </c>
      <c r="B17" s="44">
        <f t="shared" ref="B17:G17" si="20">B15-B16</f>
        <v>-4.5299999999999994</v>
      </c>
      <c r="C17" s="44">
        <f t="shared" si="20"/>
        <v>-3.2959999999999985</v>
      </c>
      <c r="D17" s="44">
        <f t="shared" si="20"/>
        <v>-4.6569999999999974</v>
      </c>
      <c r="E17" s="44">
        <f>E15-E16</f>
        <v>-6.3069999999999986</v>
      </c>
      <c r="F17" s="48">
        <f t="shared" si="20"/>
        <v>-8.9289999999999896</v>
      </c>
      <c r="G17" s="50">
        <f t="shared" si="20"/>
        <v>-8.6500000000000057</v>
      </c>
      <c r="H17" s="50">
        <f t="shared" ref="H17" si="21">H15-H16</f>
        <v>-9.1200000000000045</v>
      </c>
      <c r="I17" s="50">
        <f t="shared" ref="I17:Q17" si="22">I15-I16</f>
        <v>-8.8670000000000204</v>
      </c>
      <c r="J17" s="48">
        <f t="shared" si="22"/>
        <v>-12.160999999999984</v>
      </c>
      <c r="K17" s="44">
        <f t="shared" si="22"/>
        <v>-9.3989999999999974</v>
      </c>
      <c r="L17" s="44">
        <f t="shared" si="22"/>
        <v>-6.7759999999999874</v>
      </c>
      <c r="M17" s="44">
        <f t="shared" si="22"/>
        <v>-2.9870000000000139</v>
      </c>
      <c r="N17" s="48">
        <f t="shared" si="22"/>
        <v>-22.736000000000026</v>
      </c>
      <c r="O17" s="44">
        <f t="shared" si="22"/>
        <v>-28.351000000000024</v>
      </c>
      <c r="P17" s="44">
        <f t="shared" si="22"/>
        <v>-17.083000000000023</v>
      </c>
      <c r="Q17" s="44">
        <f t="shared" si="22"/>
        <v>-1.5140000000000553</v>
      </c>
      <c r="R17" s="48">
        <f t="shared" ref="R17:V17" si="23">R15-R16</f>
        <v>-14.709000000000032</v>
      </c>
      <c r="S17" s="44">
        <f t="shared" si="23"/>
        <v>-22</v>
      </c>
      <c r="T17" s="44">
        <f t="shared" si="23"/>
        <v>-78</v>
      </c>
      <c r="U17" s="44">
        <f t="shared" si="23"/>
        <v>4</v>
      </c>
      <c r="V17" s="48">
        <f t="shared" si="23"/>
        <v>-48</v>
      </c>
      <c r="W17" s="44">
        <f t="shared" ref="W17:X17" si="24">W15-W16</f>
        <v>37.033999999999992</v>
      </c>
      <c r="X17" s="44">
        <f t="shared" si="24"/>
        <v>191.14799999999997</v>
      </c>
    </row>
    <row r="18" spans="1:25" s="74" customFormat="1" x14ac:dyDescent="0.15">
      <c r="A18" s="70" t="s">
        <v>16</v>
      </c>
      <c r="B18" s="71">
        <f t="shared" ref="B18:H18" si="25">IFERROR(B17/B19,0)</f>
        <v>-0.11513826758845057</v>
      </c>
      <c r="C18" s="71">
        <f t="shared" si="25"/>
        <v>-6.2141779788838586E-2</v>
      </c>
      <c r="D18" s="71">
        <f t="shared" si="25"/>
        <v>-6.1356240365739549E-2</v>
      </c>
      <c r="E18" s="71">
        <f t="shared" si="25"/>
        <v>-8.0863121185701811E-2</v>
      </c>
      <c r="F18" s="72">
        <f t="shared" si="25"/>
        <v>-0.11093579167080794</v>
      </c>
      <c r="G18" s="73">
        <f t="shared" si="25"/>
        <v>-0.1063319770372101</v>
      </c>
      <c r="H18" s="73">
        <f t="shared" si="25"/>
        <v>-0.10740531373657439</v>
      </c>
      <c r="I18" s="73">
        <f t="shared" ref="I18:L18" si="26">IFERROR(I17/I19,0)</f>
        <v>-9.9476087371125579E-2</v>
      </c>
      <c r="J18" s="72">
        <f t="shared" si="26"/>
        <v>-0.13475854036543514</v>
      </c>
      <c r="K18" s="71">
        <f>IFERROR(K17/K19,0)</f>
        <v>-9.968126388249049E-2</v>
      </c>
      <c r="L18" s="71">
        <f t="shared" si="26"/>
        <v>-6.8598288231764087E-2</v>
      </c>
      <c r="M18" s="71">
        <f t="shared" ref="M18" si="27">IFERROR(M17/M19,0)</f>
        <v>-3.0004482792278585E-2</v>
      </c>
      <c r="N18" s="72">
        <f>IFERROR(N17/N19,0)</f>
        <v>-0.22234252084392703</v>
      </c>
      <c r="O18" s="71">
        <f>IFERROR(O17/O19,0)</f>
        <v>-0.2675175948655647</v>
      </c>
      <c r="P18" s="71">
        <f t="shared" ref="P18:Q18" si="28">IFERROR(P17/P19,0)</f>
        <v>-0.16018232523675136</v>
      </c>
      <c r="Q18" s="71">
        <f t="shared" si="28"/>
        <v>-1.4053065768654619E-2</v>
      </c>
      <c r="R18" s="72">
        <f t="shared" ref="R18:V18" si="29">IFERROR(R17/R19,0)</f>
        <v>-0.13260756214164027</v>
      </c>
      <c r="S18" s="71">
        <f t="shared" si="29"/>
        <v>-0.19640505718382342</v>
      </c>
      <c r="T18" s="71">
        <f t="shared" si="29"/>
        <v>-0.68973447053333636</v>
      </c>
      <c r="U18" s="71">
        <f t="shared" si="29"/>
        <v>3.4474663018787655E-2</v>
      </c>
      <c r="V18" s="72">
        <f t="shared" si="29"/>
        <v>-0.41093586285132006</v>
      </c>
      <c r="W18" s="71">
        <f t="shared" ref="W18:X18" si="30">IFERROR(W17/W19,0)</f>
        <v>0.30170269681510331</v>
      </c>
      <c r="X18" s="71">
        <f t="shared" si="30"/>
        <v>1.5303068902262273</v>
      </c>
    </row>
    <row r="19" spans="1:25" s="7" customFormat="1" x14ac:dyDescent="0.15">
      <c r="A19" s="67" t="s">
        <v>17</v>
      </c>
      <c r="B19" s="30">
        <v>39.344000000000001</v>
      </c>
      <c r="C19" s="30">
        <v>53.04</v>
      </c>
      <c r="D19" s="30">
        <v>75.900999999999996</v>
      </c>
      <c r="E19" s="30">
        <v>77.995999999999995</v>
      </c>
      <c r="F19" s="25">
        <v>80.488</v>
      </c>
      <c r="G19" s="30">
        <v>81.349000000000004</v>
      </c>
      <c r="H19" s="30">
        <v>84.912000000000006</v>
      </c>
      <c r="I19" s="30">
        <v>89.137</v>
      </c>
      <c r="J19" s="25">
        <v>90.242889000000005</v>
      </c>
      <c r="K19" s="30">
        <v>94.290537999999998</v>
      </c>
      <c r="L19" s="30">
        <v>98.777974999999998</v>
      </c>
      <c r="M19" s="30">
        <v>99.551790999999994</v>
      </c>
      <c r="N19" s="25">
        <v>102.25664399999999</v>
      </c>
      <c r="O19" s="30">
        <v>105.978076</v>
      </c>
      <c r="P19" s="30">
        <v>106.647222</v>
      </c>
      <c r="Q19" s="56">
        <v>107.734499</v>
      </c>
      <c r="R19" s="25">
        <v>110.92127600000001</v>
      </c>
      <c r="S19" s="7">
        <v>112.013409</v>
      </c>
      <c r="T19" s="7">
        <v>113.086997</v>
      </c>
      <c r="U19" s="7">
        <v>116.02724000000001</v>
      </c>
      <c r="V19" s="87">
        <v>116.806549</v>
      </c>
      <c r="W19" s="7">
        <v>122.74997999999999</v>
      </c>
      <c r="X19" s="7">
        <v>124.90827899999999</v>
      </c>
    </row>
    <row r="20" spans="1:25" x14ac:dyDescent="0.15">
      <c r="B20" s="27"/>
      <c r="C20" s="27"/>
      <c r="D20" s="27"/>
      <c r="E20" s="27"/>
      <c r="K20" s="27"/>
      <c r="L20" s="27"/>
      <c r="M20" s="27"/>
      <c r="O20" s="27"/>
      <c r="P20" s="27"/>
      <c r="Q20" s="59"/>
    </row>
    <row r="21" spans="1:25" x14ac:dyDescent="0.15">
      <c r="A21" s="24" t="s">
        <v>19</v>
      </c>
      <c r="B21" s="36">
        <f t="shared" ref="B21:P21" si="31">IFERROR(B8/B6,0)</f>
        <v>0.57743386526721641</v>
      </c>
      <c r="C21" s="36">
        <f t="shared" si="31"/>
        <v>0.56207986466634019</v>
      </c>
      <c r="D21" s="36">
        <f t="shared" si="31"/>
        <v>0.54451938013867318</v>
      </c>
      <c r="E21" s="36">
        <f t="shared" si="31"/>
        <v>0.5196728086300999</v>
      </c>
      <c r="F21" s="37">
        <f t="shared" si="31"/>
        <v>0.55120871263166582</v>
      </c>
      <c r="G21" s="38">
        <f t="shared" si="31"/>
        <v>0.54846676745876943</v>
      </c>
      <c r="H21" s="38">
        <f t="shared" si="31"/>
        <v>0.53979794733776543</v>
      </c>
      <c r="I21" s="38">
        <f t="shared" si="31"/>
        <v>0.52257579592431513</v>
      </c>
      <c r="J21" s="37">
        <f t="shared" si="31"/>
        <v>0.56713430000235532</v>
      </c>
      <c r="K21" s="36">
        <f t="shared" si="31"/>
        <v>0.57261547591572981</v>
      </c>
      <c r="L21" s="36">
        <f t="shared" si="31"/>
        <v>0.58339748973497574</v>
      </c>
      <c r="M21" s="36">
        <f t="shared" si="31"/>
        <v>0.54370461461129016</v>
      </c>
      <c r="N21" s="37">
        <f t="shared" si="31"/>
        <v>0.57778296164971543</v>
      </c>
      <c r="O21" s="36">
        <f t="shared" si="31"/>
        <v>0.55908443315929335</v>
      </c>
      <c r="P21" s="36">
        <f t="shared" si="31"/>
        <v>0.55441302802298709</v>
      </c>
      <c r="Q21" s="57">
        <f t="shared" ref="Q21:V21" si="32">IFERROR(Q8/Q6,0)</f>
        <v>0.54016727640739592</v>
      </c>
      <c r="R21" s="80">
        <f t="shared" si="32"/>
        <v>0.56256201596345501</v>
      </c>
      <c r="S21" s="57">
        <f t="shared" si="32"/>
        <v>0.56629834254143652</v>
      </c>
      <c r="T21" s="57">
        <f t="shared" si="32"/>
        <v>0.55498721227621484</v>
      </c>
      <c r="U21" s="57">
        <f t="shared" si="32"/>
        <v>0.52277227722772279</v>
      </c>
      <c r="V21" s="80">
        <f t="shared" si="32"/>
        <v>0.54680851063829783</v>
      </c>
      <c r="W21" s="57">
        <f t="shared" ref="W21:X21" si="33">IFERROR(W8/W6,0)</f>
        <v>0.52500696446095074</v>
      </c>
      <c r="X21" s="57">
        <f t="shared" si="33"/>
        <v>0.52794547859344154</v>
      </c>
    </row>
    <row r="22" spans="1:25" x14ac:dyDescent="0.15">
      <c r="A22" s="24" t="s">
        <v>20</v>
      </c>
      <c r="B22" s="40">
        <f t="shared" ref="B22:P22" si="34">IFERROR(B13/B6,0)</f>
        <v>-9.3070579415229712E-2</v>
      </c>
      <c r="C22" s="40">
        <f t="shared" si="34"/>
        <v>-7.7037795485910124E-2</v>
      </c>
      <c r="D22" s="40">
        <f t="shared" si="34"/>
        <v>-8.1460993445231639E-2</v>
      </c>
      <c r="E22" s="40">
        <f t="shared" si="34"/>
        <v>-9.2898978239493793E-2</v>
      </c>
      <c r="F22" s="41">
        <f t="shared" si="34"/>
        <v>-0.13354968235197034</v>
      </c>
      <c r="G22" s="42">
        <f t="shared" si="34"/>
        <v>-9.9934215841287144E-2</v>
      </c>
      <c r="H22" s="42">
        <f t="shared" si="34"/>
        <v>-9.5292132800417803E-2</v>
      </c>
      <c r="I22" s="42">
        <f t="shared" si="34"/>
        <v>-7.1366665899695689E-2</v>
      </c>
      <c r="J22" s="41">
        <f t="shared" si="34"/>
        <v>-0.11352734752196189</v>
      </c>
      <c r="K22" s="40">
        <f t="shared" si="34"/>
        <v>-0.10488938709571063</v>
      </c>
      <c r="L22" s="40">
        <f t="shared" si="34"/>
        <v>-7.393150429264643E-2</v>
      </c>
      <c r="M22" s="40">
        <f t="shared" si="34"/>
        <v>-2.7435439424811789E-2</v>
      </c>
      <c r="N22" s="41">
        <f t="shared" si="34"/>
        <v>-9.486330129700489E-2</v>
      </c>
      <c r="O22" s="40">
        <f t="shared" si="34"/>
        <v>-0.1255740662875619</v>
      </c>
      <c r="P22" s="40">
        <f t="shared" si="34"/>
        <v>-0.11615024586764629</v>
      </c>
      <c r="Q22" s="58">
        <f t="shared" ref="Q22:V22" si="35">IFERROR(Q13/Q6,0)</f>
        <v>-2.7505220117372831E-2</v>
      </c>
      <c r="R22" s="81">
        <f t="shared" si="35"/>
        <v>-0.11142279441591114</v>
      </c>
      <c r="S22" s="58">
        <f t="shared" si="35"/>
        <v>-0.11049723756906077</v>
      </c>
      <c r="T22" s="58">
        <f t="shared" si="35"/>
        <v>-8.9514066496163683E-2</v>
      </c>
      <c r="U22" s="58">
        <f t="shared" si="35"/>
        <v>-5.9405940594059403E-2</v>
      </c>
      <c r="V22" s="81">
        <f t="shared" si="35"/>
        <v>-0.15531914893617021</v>
      </c>
      <c r="W22" s="58">
        <f t="shared" ref="W22:X22" si="36">IFERROR(W13/W6,0)</f>
        <v>1.4474879644315415E-3</v>
      </c>
      <c r="X22" s="58">
        <f t="shared" si="36"/>
        <v>6.5347502296701179E-2</v>
      </c>
    </row>
    <row r="23" spans="1:25" x14ac:dyDescent="0.15">
      <c r="A23" s="24" t="s">
        <v>21</v>
      </c>
      <c r="B23" s="40">
        <f t="shared" ref="B23:P23" si="37">IFERROR(B16/B15,0)</f>
        <v>0</v>
      </c>
      <c r="C23" s="40">
        <f t="shared" si="37"/>
        <v>0</v>
      </c>
      <c r="D23" s="40">
        <f t="shared" si="37"/>
        <v>0</v>
      </c>
      <c r="E23" s="40">
        <f t="shared" si="37"/>
        <v>0</v>
      </c>
      <c r="F23" s="41">
        <f t="shared" si="37"/>
        <v>0</v>
      </c>
      <c r="G23" s="42">
        <f t="shared" si="37"/>
        <v>-2.5002962436307601E-2</v>
      </c>
      <c r="H23" s="42">
        <f t="shared" si="37"/>
        <v>0</v>
      </c>
      <c r="I23" s="42">
        <f t="shared" si="37"/>
        <v>0</v>
      </c>
      <c r="J23" s="41">
        <f t="shared" si="37"/>
        <v>0</v>
      </c>
      <c r="K23" s="40">
        <f t="shared" si="37"/>
        <v>0</v>
      </c>
      <c r="L23" s="40">
        <f t="shared" si="37"/>
        <v>0</v>
      </c>
      <c r="M23" s="40">
        <f t="shared" si="37"/>
        <v>0</v>
      </c>
      <c r="N23" s="41">
        <f t="shared" si="37"/>
        <v>0</v>
      </c>
      <c r="O23" s="40">
        <f t="shared" si="37"/>
        <v>0</v>
      </c>
      <c r="P23" s="40">
        <f t="shared" si="37"/>
        <v>0</v>
      </c>
      <c r="Q23" s="58">
        <f t="shared" ref="Q23:V23" si="38">IFERROR(Q16/Q15,0)</f>
        <v>0</v>
      </c>
      <c r="R23" s="81">
        <f t="shared" si="38"/>
        <v>0</v>
      </c>
      <c r="S23" s="58">
        <f t="shared" si="38"/>
        <v>0</v>
      </c>
      <c r="T23" s="58">
        <f t="shared" si="38"/>
        <v>-1.6</v>
      </c>
      <c r="U23" s="58">
        <f t="shared" si="38"/>
        <v>1.2666666666666666</v>
      </c>
      <c r="V23" s="81">
        <f t="shared" si="38"/>
        <v>0.37662337662337664</v>
      </c>
      <c r="W23" s="58">
        <f t="shared" ref="W23:X23" si="39">IFERROR(W16/W15,0)</f>
        <v>-6.3567739372268681</v>
      </c>
      <c r="X23" s="58">
        <f t="shared" si="39"/>
        <v>-2.6860347680340377E-2</v>
      </c>
    </row>
    <row r="24" spans="1:25" x14ac:dyDescent="0.15">
      <c r="B24" s="27"/>
      <c r="C24" s="27"/>
      <c r="D24" s="27"/>
      <c r="E24" s="27"/>
      <c r="K24" s="27"/>
      <c r="L24" s="27"/>
      <c r="M24" s="27"/>
      <c r="O24" s="27"/>
      <c r="P24" s="27"/>
      <c r="Q24" s="59"/>
      <c r="S24" s="27"/>
      <c r="T24" s="27"/>
      <c r="U24" s="27"/>
      <c r="V24" s="26"/>
      <c r="W24" s="27"/>
      <c r="X24" s="27"/>
    </row>
    <row r="25" spans="1:25" s="2" customFormat="1" x14ac:dyDescent="0.15">
      <c r="A25" s="28" t="s">
        <v>18</v>
      </c>
      <c r="B25" s="32"/>
      <c r="C25" s="32"/>
      <c r="D25" s="32"/>
      <c r="E25" s="32"/>
      <c r="F25" s="33">
        <f t="shared" ref="F25:P25" si="40">IFERROR((F6/B6)-1,0)</f>
        <v>0.94714576416407859</v>
      </c>
      <c r="G25" s="32">
        <f t="shared" si="40"/>
        <v>0.92866046387392576</v>
      </c>
      <c r="H25" s="32">
        <f t="shared" si="40"/>
        <v>0.88644716402076318</v>
      </c>
      <c r="I25" s="32">
        <f t="shared" si="40"/>
        <v>0.8580223162754903</v>
      </c>
      <c r="J25" s="33">
        <f t="shared" si="40"/>
        <v>0.75158824014741055</v>
      </c>
      <c r="K25" s="32">
        <f t="shared" si="40"/>
        <v>0.7502625595808281</v>
      </c>
      <c r="L25" s="32">
        <f t="shared" si="40"/>
        <v>0.72182610616802911</v>
      </c>
      <c r="M25" s="32">
        <f t="shared" si="40"/>
        <v>0.70891910755236509</v>
      </c>
      <c r="N25" s="33">
        <f t="shared" si="40"/>
        <v>0.68269494971698608</v>
      </c>
      <c r="O25" s="32">
        <f t="shared" si="40"/>
        <v>0.61526491048761978</v>
      </c>
      <c r="P25" s="32">
        <f t="shared" si="40"/>
        <v>0.57512131392310528</v>
      </c>
      <c r="Q25" s="60">
        <f t="shared" ref="Q25:Y25" si="41">IFERROR((Q6/M6)-1,0)</f>
        <v>0.54326927392354141</v>
      </c>
      <c r="R25" s="82">
        <f t="shared" si="41"/>
        <v>0.49520388168330687</v>
      </c>
      <c r="S25" s="60">
        <f t="shared" si="41"/>
        <v>0.47777419447018543</v>
      </c>
      <c r="T25" s="60">
        <f t="shared" si="41"/>
        <v>0.4478049647490967</v>
      </c>
      <c r="U25" s="60">
        <f t="shared" si="41"/>
        <v>0.46861240846618712</v>
      </c>
      <c r="V25" s="82">
        <f t="shared" si="41"/>
        <v>0.46654102258473196</v>
      </c>
      <c r="W25" s="60">
        <f t="shared" si="41"/>
        <v>0.97331767955801096</v>
      </c>
      <c r="X25" s="60">
        <f t="shared" si="41"/>
        <v>0.96267263427109961</v>
      </c>
      <c r="Y25" s="60">
        <f t="shared" si="41"/>
        <v>1.0250275644414537</v>
      </c>
    </row>
    <row r="26" spans="1:25" s="2" customFormat="1" x14ac:dyDescent="0.15">
      <c r="A26" s="24" t="s">
        <v>34</v>
      </c>
      <c r="B26" s="34"/>
      <c r="C26" s="34"/>
      <c r="D26" s="34"/>
      <c r="E26" s="34"/>
      <c r="F26" s="35">
        <f t="shared" ref="F26:X28" si="42">IFERROR((F9/B9)-1,0)</f>
        <v>0.86927389580199654</v>
      </c>
      <c r="G26" s="34">
        <f t="shared" si="42"/>
        <v>0.90136363636363614</v>
      </c>
      <c r="H26" s="34">
        <f t="shared" si="42"/>
        <v>0.93305522447357969</v>
      </c>
      <c r="I26" s="34">
        <f t="shared" si="42"/>
        <v>0.8072520493316595</v>
      </c>
      <c r="J26" s="35">
        <f t="shared" si="42"/>
        <v>0.94542794440380407</v>
      </c>
      <c r="K26" s="34">
        <f t="shared" si="42"/>
        <v>0.95517571121204869</v>
      </c>
      <c r="L26" s="34">
        <f t="shared" si="42"/>
        <v>0.86774226698181089</v>
      </c>
      <c r="M26" s="34">
        <f t="shared" si="42"/>
        <v>0.6483736515201044</v>
      </c>
      <c r="N26" s="35">
        <f t="shared" si="42"/>
        <v>0.79423930209821769</v>
      </c>
      <c r="O26" s="34">
        <f t="shared" si="42"/>
        <v>0.65999266369138598</v>
      </c>
      <c r="P26" s="34">
        <f t="shared" si="42"/>
        <v>0.69543328748280597</v>
      </c>
      <c r="Q26" s="61">
        <f t="shared" si="42"/>
        <v>0.66151862961402119</v>
      </c>
      <c r="R26" s="83">
        <f>IFERROR((R10/N9)-1,0)</f>
        <v>1.2005197418056834</v>
      </c>
      <c r="S26" s="61">
        <f>IFERROR((S10/O9)-1,0)</f>
        <v>1.191326765491207</v>
      </c>
      <c r="T26" s="61">
        <f>IFERROR((T10/P9)-1,0)</f>
        <v>0.89845689529280048</v>
      </c>
      <c r="U26" s="61">
        <f>IFERROR((U10/Q9)-1,0)</f>
        <v>0.96944378133206022</v>
      </c>
      <c r="V26" s="83">
        <f>IFERROR((V10/R9)-1,0)</f>
        <v>1.0394736842105261</v>
      </c>
      <c r="W26" s="61">
        <f>IFERROR((W10/S9)-1,0)</f>
        <v>0.68604651162790709</v>
      </c>
      <c r="X26" s="61">
        <f>IFERROR((X10/T9)-1,0)</f>
        <v>0.64444444444444438</v>
      </c>
    </row>
    <row r="27" spans="1:25" s="2" customFormat="1" x14ac:dyDescent="0.15">
      <c r="A27" s="24" t="s">
        <v>35</v>
      </c>
      <c r="B27" s="34"/>
      <c r="C27" s="34"/>
      <c r="D27" s="34"/>
      <c r="E27" s="34"/>
      <c r="F27" s="35">
        <f t="shared" si="42"/>
        <v>1.0685376661742985</v>
      </c>
      <c r="G27" s="34">
        <f t="shared" si="42"/>
        <v>0.82791622646199725</v>
      </c>
      <c r="H27" s="34">
        <f t="shared" si="42"/>
        <v>0.79935221783047861</v>
      </c>
      <c r="I27" s="34">
        <f t="shared" si="42"/>
        <v>0.73196608514227357</v>
      </c>
      <c r="J27" s="35">
        <f t="shared" si="42"/>
        <v>0.61860896886603833</v>
      </c>
      <c r="K27" s="34">
        <f t="shared" si="42"/>
        <v>0.86556964607486475</v>
      </c>
      <c r="L27" s="34">
        <f t="shared" si="42"/>
        <v>0.77911340269091123</v>
      </c>
      <c r="M27" s="34">
        <f t="shared" si="42"/>
        <v>0.72170391634201381</v>
      </c>
      <c r="N27" s="35">
        <f t="shared" si="42"/>
        <v>0.67168129880442939</v>
      </c>
      <c r="O27" s="34">
        <f t="shared" si="42"/>
        <v>0.59438329202507645</v>
      </c>
      <c r="P27" s="34">
        <f t="shared" si="42"/>
        <v>0.57140652330486685</v>
      </c>
      <c r="Q27" s="61">
        <f t="shared" si="42"/>
        <v>0.41666418554797979</v>
      </c>
      <c r="R27" s="83">
        <f>IFERROR((R9/N10)-1,0)</f>
        <v>2.8502058482000603E-3</v>
      </c>
      <c r="S27" s="61">
        <f>IFERROR((S9/O10)-1,0)</f>
        <v>-1.6996810954770347E-2</v>
      </c>
      <c r="T27" s="61">
        <f>IFERROR((T9/P10)-1,0)</f>
        <v>-1.7842527418562848E-2</v>
      </c>
      <c r="U27" s="61">
        <f>IFERROR((U9/Q10)-1,0)</f>
        <v>8.2353435684036969E-2</v>
      </c>
      <c r="V27" s="83">
        <f>IFERROR((V9/R10)-1,0)</f>
        <v>0.10476190476190483</v>
      </c>
      <c r="W27" s="61">
        <f>IFERROR((W9/S10)-1,0)</f>
        <v>0.11764705882352944</v>
      </c>
      <c r="X27" s="61">
        <f>IFERROR((X9/T10)-1,0)</f>
        <v>0.22222222222222232</v>
      </c>
    </row>
    <row r="28" spans="1:25" s="2" customFormat="1" x14ac:dyDescent="0.15">
      <c r="A28" s="24" t="s">
        <v>36</v>
      </c>
      <c r="B28" s="34"/>
      <c r="C28" s="34"/>
      <c r="D28" s="34"/>
      <c r="E28" s="34"/>
      <c r="F28" s="35">
        <f t="shared" si="42"/>
        <v>0.93817140128909049</v>
      </c>
      <c r="G28" s="34">
        <f t="shared" si="42"/>
        <v>1.6261119832548405</v>
      </c>
      <c r="H28" s="34">
        <f t="shared" si="42"/>
        <v>1.3118302164320235</v>
      </c>
      <c r="I28" s="34">
        <f t="shared" si="42"/>
        <v>1.0167678519803411</v>
      </c>
      <c r="J28" s="35">
        <f t="shared" si="42"/>
        <v>0.81968222687523085</v>
      </c>
      <c r="K28" s="34">
        <f t="shared" si="42"/>
        <v>0.51051110889708062</v>
      </c>
      <c r="L28" s="34">
        <f t="shared" si="42"/>
        <v>0.63961097982185056</v>
      </c>
      <c r="M28" s="34">
        <f t="shared" si="42"/>
        <v>0.41520928899082565</v>
      </c>
      <c r="N28" s="35">
        <f t="shared" si="42"/>
        <v>0.39941789630431845</v>
      </c>
      <c r="O28" s="34">
        <f t="shared" si="42"/>
        <v>0.70991359409009958</v>
      </c>
      <c r="P28" s="34">
        <f t="shared" si="42"/>
        <v>0.54282388158988848</v>
      </c>
      <c r="Q28" s="61">
        <f t="shared" si="42"/>
        <v>0.67201823246391501</v>
      </c>
      <c r="R28" s="83">
        <f t="shared" si="42"/>
        <v>0.69286577992744847</v>
      </c>
      <c r="S28" s="61">
        <f t="shared" si="42"/>
        <v>0.54297176361672594</v>
      </c>
      <c r="T28" s="61">
        <f t="shared" si="42"/>
        <v>0.61690201573784642</v>
      </c>
      <c r="U28" s="61">
        <f t="shared" si="42"/>
        <v>0.78712061549645584</v>
      </c>
      <c r="V28" s="83">
        <f t="shared" si="42"/>
        <v>0.68571428571428572</v>
      </c>
      <c r="W28" s="61">
        <f t="shared" si="42"/>
        <v>1.4</v>
      </c>
      <c r="X28" s="61">
        <f t="shared" si="42"/>
        <v>0.42222222222222228</v>
      </c>
    </row>
    <row r="29" spans="1:25" x14ac:dyDescent="0.15">
      <c r="B29" s="27"/>
      <c r="C29" s="27"/>
      <c r="D29" s="27"/>
      <c r="E29" s="27"/>
      <c r="K29" s="27"/>
      <c r="L29" s="27"/>
      <c r="M29" s="27"/>
      <c r="O29" s="27"/>
      <c r="P29" s="27"/>
      <c r="Q29" s="59"/>
    </row>
    <row r="30" spans="1:25" s="69" customFormat="1" x14ac:dyDescent="0.15">
      <c r="A30" s="68" t="s">
        <v>26</v>
      </c>
      <c r="B30" s="29"/>
      <c r="C30" s="29"/>
      <c r="D30" s="29"/>
      <c r="E30" s="44">
        <f>E31-E32</f>
        <v>190.173</v>
      </c>
      <c r="F30" s="48">
        <f>F31-F32</f>
        <v>189.464</v>
      </c>
      <c r="G30" s="50">
        <f t="shared" ref="G30:L30" si="43">G31-G32</f>
        <v>179.64600000000002</v>
      </c>
      <c r="H30" s="50">
        <f t="shared" si="43"/>
        <v>400.28700000000003</v>
      </c>
      <c r="I30" s="50">
        <f t="shared" si="43"/>
        <v>392.41399999999999</v>
      </c>
      <c r="J30" s="48">
        <f t="shared" si="43"/>
        <v>395.69000000000005</v>
      </c>
      <c r="K30" s="44">
        <f t="shared" si="43"/>
        <v>932.41699999999992</v>
      </c>
      <c r="L30" s="44">
        <f t="shared" si="43"/>
        <v>926.55900000000008</v>
      </c>
      <c r="M30" s="44">
        <f>L30+M17</f>
        <v>923.57200000000012</v>
      </c>
      <c r="N30" s="48">
        <f t="shared" ref="N30" si="44">N31-N32</f>
        <v>1580.0329999999999</v>
      </c>
      <c r="O30" s="44">
        <f t="shared" ref="O30:P30" si="45">O31-O32</f>
        <v>1574.1679999999999</v>
      </c>
      <c r="P30" s="44">
        <f t="shared" si="45"/>
        <v>1578.2250000000001</v>
      </c>
      <c r="Q30" s="44">
        <f t="shared" ref="Q30:V30" si="46">Q31-Q32</f>
        <v>1969.67</v>
      </c>
      <c r="R30" s="48">
        <f t="shared" si="46"/>
        <v>1997</v>
      </c>
      <c r="S30" s="44">
        <f t="shared" si="46"/>
        <v>2013</v>
      </c>
      <c r="T30" s="44">
        <f t="shared" si="46"/>
        <v>2668</v>
      </c>
      <c r="U30" s="44">
        <f t="shared" si="46"/>
        <v>2455</v>
      </c>
      <c r="V30" s="48">
        <f t="shared" si="46"/>
        <v>2360</v>
      </c>
      <c r="W30" s="44">
        <f t="shared" ref="W30:X30" si="47">W31-W32</f>
        <v>4001</v>
      </c>
      <c r="X30" s="44">
        <f t="shared" si="47"/>
        <v>5371</v>
      </c>
    </row>
    <row r="31" spans="1:25" s="7" customFormat="1" x14ac:dyDescent="0.15">
      <c r="A31" s="67" t="s">
        <v>27</v>
      </c>
      <c r="B31" s="30"/>
      <c r="C31" s="30"/>
      <c r="D31" s="30"/>
      <c r="E31" s="30">
        <f>110.07+80.103</f>
        <v>190.173</v>
      </c>
      <c r="F31" s="25">
        <f>83.864+105.6</f>
        <v>189.464</v>
      </c>
      <c r="G31" s="30">
        <f>68.14+111.506</f>
        <v>179.64600000000002</v>
      </c>
      <c r="H31" s="30">
        <f>187.36+212.927</f>
        <v>400.28700000000003</v>
      </c>
      <c r="I31" s="30">
        <f>84.013+308.401</f>
        <v>392.41399999999999</v>
      </c>
      <c r="J31" s="25">
        <f>101.268+294.422</f>
        <v>395.69000000000005</v>
      </c>
      <c r="K31" s="30">
        <f>199.397+733.02</f>
        <v>932.41699999999992</v>
      </c>
      <c r="L31" s="30">
        <f>119.849+806.71</f>
        <v>926.55900000000008</v>
      </c>
      <c r="M31" s="30">
        <f>141.677+796.362</f>
        <v>938.03899999999999</v>
      </c>
      <c r="N31" s="25">
        <f>196.578+1383.455</f>
        <v>1580.0329999999999</v>
      </c>
      <c r="O31" s="30">
        <f>219.801+1354.367</f>
        <v>1574.1679999999999</v>
      </c>
      <c r="P31" s="30">
        <f>243.421+1334.804</f>
        <v>1578.2250000000001</v>
      </c>
      <c r="Q31" s="30">
        <f>410.683+1558.987</f>
        <v>1969.67</v>
      </c>
      <c r="R31" s="25">
        <f>410+1587</f>
        <v>1997</v>
      </c>
      <c r="S31" s="7">
        <f>669+1344</f>
        <v>2013</v>
      </c>
      <c r="T31" s="7">
        <f>1125+1543</f>
        <v>2668</v>
      </c>
      <c r="U31" s="7">
        <f>650+1805</f>
        <v>2455</v>
      </c>
      <c r="V31" s="86">
        <f>969+1391</f>
        <v>2360</v>
      </c>
      <c r="W31" s="7">
        <f>1882+2119</f>
        <v>4001</v>
      </c>
      <c r="X31" s="7">
        <f>3090+3031</f>
        <v>6121</v>
      </c>
    </row>
    <row r="32" spans="1:25" s="7" customFormat="1" x14ac:dyDescent="0.15">
      <c r="A32" s="67" t="s">
        <v>28</v>
      </c>
      <c r="B32" s="30"/>
      <c r="C32" s="30"/>
      <c r="D32" s="30"/>
      <c r="E32" s="30">
        <v>0</v>
      </c>
      <c r="F32" s="25">
        <v>0</v>
      </c>
      <c r="G32" s="30">
        <v>0</v>
      </c>
      <c r="H32" s="30">
        <v>0</v>
      </c>
      <c r="I32" s="30">
        <v>0</v>
      </c>
      <c r="J32" s="25">
        <v>0</v>
      </c>
      <c r="K32" s="30">
        <v>0</v>
      </c>
      <c r="L32" s="30">
        <v>0</v>
      </c>
      <c r="M32" s="30">
        <v>0</v>
      </c>
      <c r="N32" s="25">
        <v>0</v>
      </c>
      <c r="O32" s="30">
        <v>0</v>
      </c>
      <c r="P32" s="30">
        <v>0</v>
      </c>
      <c r="Q32" s="30">
        <v>0</v>
      </c>
      <c r="R32" s="25">
        <v>0</v>
      </c>
      <c r="S32" s="7">
        <v>0</v>
      </c>
      <c r="T32" s="7">
        <v>0</v>
      </c>
      <c r="U32" s="85">
        <v>0</v>
      </c>
      <c r="V32" s="86">
        <v>0</v>
      </c>
      <c r="W32" s="7">
        <v>0</v>
      </c>
      <c r="X32" s="7">
        <v>750</v>
      </c>
    </row>
    <row r="33" spans="1:24" s="7" customFormat="1" x14ac:dyDescent="0.15">
      <c r="A33" s="67"/>
      <c r="B33" s="23"/>
      <c r="C33" s="23"/>
      <c r="D33" s="23"/>
      <c r="E33" s="23"/>
      <c r="F33" s="25"/>
      <c r="G33" s="23"/>
      <c r="H33" s="23"/>
      <c r="I33" s="23"/>
      <c r="J33" s="25"/>
      <c r="K33" s="23"/>
      <c r="L33" s="23"/>
      <c r="M33" s="23"/>
      <c r="N33" s="25"/>
      <c r="O33" s="23"/>
      <c r="P33" s="23"/>
      <c r="Q33" s="23"/>
      <c r="R33" s="25"/>
      <c r="V33" s="86"/>
    </row>
    <row r="34" spans="1:24" s="7" customFormat="1" x14ac:dyDescent="0.15">
      <c r="A34" s="11" t="s">
        <v>68</v>
      </c>
      <c r="B34" s="23"/>
      <c r="C34" s="23"/>
      <c r="D34" s="23"/>
      <c r="E34" s="23">
        <f>5.826+2.373</f>
        <v>8.1989999999999998</v>
      </c>
      <c r="F34" s="25"/>
      <c r="G34" s="23"/>
      <c r="H34" s="23"/>
      <c r="I34" s="23">
        <f>6.437+15.504</f>
        <v>21.940999999999999</v>
      </c>
      <c r="J34" s="25"/>
      <c r="K34" s="23"/>
      <c r="L34" s="23"/>
      <c r="M34" s="23">
        <f>17.21+20.317</f>
        <v>37.527000000000001</v>
      </c>
      <c r="N34" s="25">
        <f>21.088+20.317</f>
        <v>41.405000000000001</v>
      </c>
      <c r="O34" s="23">
        <f>24.656+22.894</f>
        <v>47.55</v>
      </c>
      <c r="P34" s="23">
        <f>26.06+22.894</f>
        <v>48.953999999999994</v>
      </c>
      <c r="Q34" s="23">
        <f>26.072+38.019</f>
        <v>64.090999999999994</v>
      </c>
      <c r="R34" s="25">
        <f>24+44</f>
        <v>68</v>
      </c>
      <c r="S34" s="7">
        <f>25+48</f>
        <v>73</v>
      </c>
      <c r="T34" s="7">
        <f>25+48</f>
        <v>73</v>
      </c>
      <c r="U34" s="7">
        <f>167+312</f>
        <v>479</v>
      </c>
      <c r="V34" s="86">
        <f>159+312</f>
        <v>471</v>
      </c>
      <c r="W34" s="7">
        <f>151+312</f>
        <v>463</v>
      </c>
      <c r="X34" s="7">
        <f>144+312</f>
        <v>456</v>
      </c>
    </row>
    <row r="35" spans="1:24" s="7" customFormat="1" x14ac:dyDescent="0.15">
      <c r="A35" s="11" t="s">
        <v>69</v>
      </c>
      <c r="B35" s="23"/>
      <c r="C35" s="23"/>
      <c r="D35" s="23"/>
      <c r="E35" s="23">
        <v>243.71199999999999</v>
      </c>
      <c r="F35" s="25"/>
      <c r="G35" s="23"/>
      <c r="H35" s="23"/>
      <c r="I35" s="23">
        <v>490.55799999999999</v>
      </c>
      <c r="J35" s="25"/>
      <c r="K35" s="23"/>
      <c r="L35" s="23"/>
      <c r="M35" s="23">
        <v>1113.5640000000001</v>
      </c>
      <c r="N35" s="25">
        <v>1782.5360000000001</v>
      </c>
      <c r="O35" s="23">
        <v>1809.057</v>
      </c>
      <c r="P35" s="23">
        <v>1841.694</v>
      </c>
      <c r="Q35" s="23">
        <v>2254.7849999999999</v>
      </c>
      <c r="R35" s="25">
        <v>2403</v>
      </c>
      <c r="S35" s="7">
        <v>2467</v>
      </c>
      <c r="T35" s="7">
        <v>3189</v>
      </c>
      <c r="U35" s="7">
        <v>3489</v>
      </c>
      <c r="V35" s="86">
        <v>3471</v>
      </c>
      <c r="W35" s="7">
        <v>5098</v>
      </c>
      <c r="X35" s="7">
        <v>7462</v>
      </c>
    </row>
    <row r="36" spans="1:24" s="7" customFormat="1" x14ac:dyDescent="0.15">
      <c r="A36" s="11" t="s">
        <v>70</v>
      </c>
      <c r="B36" s="23"/>
      <c r="C36" s="23"/>
      <c r="D36" s="23"/>
      <c r="E36" s="23">
        <f>37.237+11.158</f>
        <v>48.395000000000003</v>
      </c>
      <c r="F36" s="25"/>
      <c r="G36" s="23"/>
      <c r="H36" s="23"/>
      <c r="I36" s="23">
        <f>66.532+13.55</f>
        <v>80.081999999999994</v>
      </c>
      <c r="J36" s="25"/>
      <c r="K36" s="23"/>
      <c r="L36" s="23"/>
      <c r="M36" s="23">
        <f>94.754+17.71</f>
        <v>112.464</v>
      </c>
      <c r="N36" s="25">
        <f>113.576+19.071</f>
        <v>132.64699999999999</v>
      </c>
      <c r="O36" s="23">
        <f>132.38+20.476</f>
        <v>152.85599999999999</v>
      </c>
      <c r="P36" s="23">
        <f>146.947+22.669</f>
        <v>169.61600000000001</v>
      </c>
      <c r="Q36" s="23">
        <f>138.688+25.329</f>
        <v>164.017</v>
      </c>
      <c r="R36" s="25">
        <f>173+102</f>
        <v>275</v>
      </c>
      <c r="S36" s="7">
        <f>193+113</f>
        <v>306</v>
      </c>
      <c r="T36" s="7">
        <f>260+109</f>
        <v>369</v>
      </c>
      <c r="U36" s="7">
        <f>316+157</f>
        <v>473</v>
      </c>
      <c r="V36" s="86">
        <f>289+142</f>
        <v>431</v>
      </c>
      <c r="W36" s="7">
        <f>321+149</f>
        <v>470</v>
      </c>
      <c r="X36" s="7">
        <f>370+915</f>
        <v>1285</v>
      </c>
    </row>
    <row r="37" spans="1:24" s="7" customFormat="1" x14ac:dyDescent="0.15">
      <c r="A37" s="10"/>
      <c r="B37" s="23"/>
      <c r="C37" s="23"/>
      <c r="D37" s="23"/>
      <c r="E37" s="23"/>
      <c r="F37" s="25"/>
      <c r="G37" s="23"/>
      <c r="H37" s="23"/>
      <c r="I37" s="23"/>
      <c r="J37" s="25"/>
      <c r="K37" s="23"/>
      <c r="L37" s="23"/>
      <c r="M37" s="23"/>
      <c r="N37" s="25"/>
      <c r="O37" s="23"/>
      <c r="P37" s="23"/>
      <c r="Q37" s="23"/>
      <c r="R37" s="25"/>
      <c r="V37" s="86"/>
    </row>
    <row r="38" spans="1:24" s="7" customFormat="1" x14ac:dyDescent="0.15">
      <c r="A38" s="11" t="s">
        <v>71</v>
      </c>
      <c r="B38" s="23"/>
      <c r="C38" s="23"/>
      <c r="D38" s="23"/>
      <c r="E38" s="51">
        <f>E35-E34-E31</f>
        <v>45.339999999999975</v>
      </c>
      <c r="F38" s="25"/>
      <c r="G38" s="23"/>
      <c r="H38" s="23"/>
      <c r="I38" s="51">
        <f>I35-I34-I31</f>
        <v>76.203000000000031</v>
      </c>
      <c r="J38" s="25"/>
      <c r="K38" s="23"/>
      <c r="L38" s="23"/>
      <c r="M38" s="47">
        <f t="shared" ref="M38:V38" si="48">M35-M34-M31</f>
        <v>137.99800000000005</v>
      </c>
      <c r="N38" s="46">
        <f t="shared" si="48"/>
        <v>161.09800000000018</v>
      </c>
      <c r="O38" s="47">
        <f t="shared" si="48"/>
        <v>187.33900000000017</v>
      </c>
      <c r="P38" s="47">
        <f t="shared" si="48"/>
        <v>214.51499999999987</v>
      </c>
      <c r="Q38" s="47">
        <f t="shared" si="48"/>
        <v>221.02399999999989</v>
      </c>
      <c r="R38" s="46">
        <f t="shared" si="48"/>
        <v>338</v>
      </c>
      <c r="S38" s="47">
        <f t="shared" si="48"/>
        <v>381</v>
      </c>
      <c r="T38" s="47">
        <f t="shared" si="48"/>
        <v>448</v>
      </c>
      <c r="U38" s="47">
        <f t="shared" si="48"/>
        <v>555</v>
      </c>
      <c r="V38" s="46">
        <f t="shared" si="48"/>
        <v>640</v>
      </c>
      <c r="W38" s="47">
        <f t="shared" ref="W38:X38" si="49">W35-W34-W31</f>
        <v>634</v>
      </c>
      <c r="X38" s="47">
        <f t="shared" si="49"/>
        <v>885</v>
      </c>
    </row>
    <row r="39" spans="1:24" s="7" customFormat="1" x14ac:dyDescent="0.15">
      <c r="A39" s="11" t="s">
        <v>72</v>
      </c>
      <c r="B39" s="23"/>
      <c r="C39" s="23"/>
      <c r="D39" s="23"/>
      <c r="E39" s="51">
        <f>E35-E36</f>
        <v>195.31699999999998</v>
      </c>
      <c r="F39" s="25"/>
      <c r="G39" s="23"/>
      <c r="H39" s="23"/>
      <c r="I39" s="51">
        <f>I35-I36</f>
        <v>410.476</v>
      </c>
      <c r="J39" s="25"/>
      <c r="K39" s="23"/>
      <c r="L39" s="23"/>
      <c r="M39" s="47">
        <f t="shared" ref="M39:V39" si="50">M35-M36</f>
        <v>1001.1000000000001</v>
      </c>
      <c r="N39" s="46">
        <f t="shared" si="50"/>
        <v>1649.8890000000001</v>
      </c>
      <c r="O39" s="47">
        <f t="shared" si="50"/>
        <v>1656.201</v>
      </c>
      <c r="P39" s="47">
        <f t="shared" si="50"/>
        <v>1672.078</v>
      </c>
      <c r="Q39" s="47">
        <f t="shared" si="50"/>
        <v>2090.768</v>
      </c>
      <c r="R39" s="46">
        <f t="shared" si="50"/>
        <v>2128</v>
      </c>
      <c r="S39" s="47">
        <f t="shared" si="50"/>
        <v>2161</v>
      </c>
      <c r="T39" s="47">
        <f t="shared" si="50"/>
        <v>2820</v>
      </c>
      <c r="U39" s="47">
        <f t="shared" si="50"/>
        <v>3016</v>
      </c>
      <c r="V39" s="46">
        <f t="shared" si="50"/>
        <v>3040</v>
      </c>
      <c r="W39" s="47">
        <f t="shared" ref="W39:X39" si="51">W35-W36</f>
        <v>4628</v>
      </c>
      <c r="X39" s="47">
        <f t="shared" si="51"/>
        <v>6177</v>
      </c>
    </row>
    <row r="40" spans="1:24" s="7" customFormat="1" x14ac:dyDescent="0.15">
      <c r="A40" s="10"/>
      <c r="B40" s="23"/>
      <c r="C40" s="23"/>
      <c r="D40" s="23"/>
      <c r="E40" s="23"/>
      <c r="F40" s="25"/>
      <c r="G40" s="23"/>
      <c r="H40" s="23"/>
      <c r="I40" s="23"/>
      <c r="J40" s="25"/>
      <c r="K40" s="23"/>
      <c r="L40" s="23"/>
      <c r="M40" s="23"/>
      <c r="N40" s="25"/>
      <c r="O40" s="23"/>
      <c r="P40" s="23"/>
      <c r="Q40" s="23"/>
      <c r="R40" s="25"/>
      <c r="S40" s="30"/>
      <c r="V40" s="86"/>
    </row>
    <row r="41" spans="1:24" s="69" customFormat="1" x14ac:dyDescent="0.15">
      <c r="A41" s="75" t="s">
        <v>77</v>
      </c>
      <c r="B41" s="76"/>
      <c r="C41" s="76"/>
      <c r="D41" s="76"/>
      <c r="E41" s="52">
        <f>SUM(B17:E17)</f>
        <v>-18.789999999999992</v>
      </c>
      <c r="F41" s="25"/>
      <c r="G41" s="23"/>
      <c r="H41" s="23"/>
      <c r="I41" s="52">
        <f>SUM(F17:I17)</f>
        <v>-35.566000000000017</v>
      </c>
      <c r="J41" s="25"/>
      <c r="K41" s="23"/>
      <c r="L41" s="23"/>
      <c r="M41" s="50">
        <f t="shared" ref="M41:X41" si="52">SUM(J17:M17)</f>
        <v>-31.322999999999983</v>
      </c>
      <c r="N41" s="48">
        <f t="shared" si="52"/>
        <v>-41.898000000000025</v>
      </c>
      <c r="O41" s="50">
        <f t="shared" si="52"/>
        <v>-60.850000000000051</v>
      </c>
      <c r="P41" s="50">
        <f t="shared" si="52"/>
        <v>-71.157000000000082</v>
      </c>
      <c r="Q41" s="50">
        <f t="shared" si="52"/>
        <v>-69.684000000000125</v>
      </c>
      <c r="R41" s="48">
        <f t="shared" si="52"/>
        <v>-61.657000000000131</v>
      </c>
      <c r="S41" s="50">
        <f t="shared" si="52"/>
        <v>-55.306000000000111</v>
      </c>
      <c r="T41" s="50">
        <f t="shared" si="52"/>
        <v>-116.22300000000008</v>
      </c>
      <c r="U41" s="50">
        <f t="shared" si="52"/>
        <v>-110.70900000000003</v>
      </c>
      <c r="V41" s="48">
        <f t="shared" si="52"/>
        <v>-144</v>
      </c>
      <c r="W41" s="50">
        <f t="shared" si="52"/>
        <v>-84.966000000000008</v>
      </c>
      <c r="X41" s="50">
        <f t="shared" si="52"/>
        <v>184.18199999999996</v>
      </c>
    </row>
    <row r="42" spans="1:24" s="20" customFormat="1" x14ac:dyDescent="0.15">
      <c r="A42" s="53" t="s">
        <v>73</v>
      </c>
      <c r="B42" s="38"/>
      <c r="C42" s="38"/>
      <c r="D42" s="38"/>
      <c r="E42" s="20">
        <f>E41/E39</f>
        <v>-9.6202583492476304E-2</v>
      </c>
      <c r="F42" s="25"/>
      <c r="G42" s="23"/>
      <c r="H42" s="23"/>
      <c r="I42" s="20">
        <f>I41/I39</f>
        <v>-8.6645747863456121E-2</v>
      </c>
      <c r="J42" s="25"/>
      <c r="K42" s="23"/>
      <c r="L42" s="23"/>
      <c r="M42" s="38">
        <f t="shared" ref="M42:X42" si="53">M41/M39</f>
        <v>-3.1288582559184874E-2</v>
      </c>
      <c r="N42" s="37">
        <f t="shared" si="53"/>
        <v>-2.5394435625669377E-2</v>
      </c>
      <c r="O42" s="38">
        <f t="shared" si="53"/>
        <v>-3.6740709611937226E-2</v>
      </c>
      <c r="P42" s="38">
        <f t="shared" si="53"/>
        <v>-4.2556029084767626E-2</v>
      </c>
      <c r="Q42" s="38">
        <f t="shared" si="53"/>
        <v>-3.3329379443343368E-2</v>
      </c>
      <c r="R42" s="37">
        <f t="shared" si="53"/>
        <v>-2.8974154135338409E-2</v>
      </c>
      <c r="S42" s="38">
        <f t="shared" si="53"/>
        <v>-2.5592781119851971E-2</v>
      </c>
      <c r="T42" s="38">
        <f t="shared" si="53"/>
        <v>-4.121382978723407E-2</v>
      </c>
      <c r="U42" s="38">
        <f t="shared" si="53"/>
        <v>-3.6707228116710885E-2</v>
      </c>
      <c r="V42" s="37">
        <f t="shared" si="53"/>
        <v>-4.736842105263158E-2</v>
      </c>
      <c r="W42" s="38">
        <f t="shared" si="53"/>
        <v>-1.8359118409680211E-2</v>
      </c>
      <c r="X42" s="38">
        <f t="shared" si="53"/>
        <v>2.9817387081107326E-2</v>
      </c>
    </row>
    <row r="43" spans="1:24" s="20" customFormat="1" x14ac:dyDescent="0.15">
      <c r="A43" s="53" t="s">
        <v>74</v>
      </c>
      <c r="B43" s="38"/>
      <c r="C43" s="38"/>
      <c r="D43" s="38"/>
      <c r="E43" s="20">
        <f>E41/E35</f>
        <v>-7.7099199054621814E-2</v>
      </c>
      <c r="F43" s="25"/>
      <c r="G43" s="23"/>
      <c r="H43" s="23"/>
      <c r="I43" s="20">
        <f>I41/I35</f>
        <v>-7.2501110979741476E-2</v>
      </c>
      <c r="J43" s="25"/>
      <c r="K43" s="23"/>
      <c r="L43" s="23"/>
      <c r="M43" s="38">
        <f t="shared" ref="M43:V43" si="54">M41/M35</f>
        <v>-2.8128603295365134E-2</v>
      </c>
      <c r="N43" s="37">
        <f t="shared" si="54"/>
        <v>-2.3504714631289367E-2</v>
      </c>
      <c r="O43" s="38">
        <f t="shared" si="54"/>
        <v>-3.363630886146763E-2</v>
      </c>
      <c r="P43" s="38">
        <f t="shared" si="54"/>
        <v>-3.8636711636135038E-2</v>
      </c>
      <c r="Q43" s="38">
        <f t="shared" si="54"/>
        <v>-3.0904942156347558E-2</v>
      </c>
      <c r="R43" s="37">
        <f t="shared" si="54"/>
        <v>-2.5658343736995479E-2</v>
      </c>
      <c r="S43" s="38">
        <f t="shared" si="54"/>
        <v>-2.2418321848398912E-2</v>
      </c>
      <c r="T43" s="38">
        <f t="shared" si="54"/>
        <v>-3.6444967074317991E-2</v>
      </c>
      <c r="U43" s="38">
        <f t="shared" si="54"/>
        <v>-3.1730868443680144E-2</v>
      </c>
      <c r="V43" s="37">
        <f t="shared" si="54"/>
        <v>-4.1486603284356091E-2</v>
      </c>
      <c r="W43" s="38">
        <f t="shared" ref="W43:X43" si="55">W41/W35</f>
        <v>-1.6666535896429975E-2</v>
      </c>
      <c r="X43" s="38">
        <f t="shared" si="55"/>
        <v>2.4682658804610017E-2</v>
      </c>
    </row>
    <row r="44" spans="1:24" s="20" customFormat="1" x14ac:dyDescent="0.15">
      <c r="A44" s="53" t="s">
        <v>75</v>
      </c>
      <c r="B44" s="38"/>
      <c r="C44" s="38"/>
      <c r="D44" s="38"/>
      <c r="E44" s="20">
        <f>E41/(E39-E34)</f>
        <v>-0.10041791810515287</v>
      </c>
      <c r="F44" s="25"/>
      <c r="G44" s="23"/>
      <c r="H44" s="23"/>
      <c r="I44" s="20">
        <f>I41/(I39-I34)</f>
        <v>-9.1538728814649944E-2</v>
      </c>
      <c r="J44" s="25"/>
      <c r="K44" s="23"/>
      <c r="L44" s="23"/>
      <c r="M44" s="38">
        <f t="shared" ref="M44:V44" si="56">M41/(M39-M34)</f>
        <v>-3.2507137497626001E-2</v>
      </c>
      <c r="N44" s="37">
        <f t="shared" si="56"/>
        <v>-2.6048129791779104E-2</v>
      </c>
      <c r="O44" s="38">
        <f t="shared" si="56"/>
        <v>-3.7826725622897725E-2</v>
      </c>
      <c r="P44" s="38">
        <f t="shared" si="56"/>
        <v>-4.3839534132943683E-2</v>
      </c>
      <c r="Q44" s="38">
        <f t="shared" si="56"/>
        <v>-3.4383377321595951E-2</v>
      </c>
      <c r="R44" s="37">
        <f t="shared" si="56"/>
        <v>-2.9930582524271908E-2</v>
      </c>
      <c r="S44" s="38">
        <f t="shared" si="56"/>
        <v>-2.648754789272036E-2</v>
      </c>
      <c r="T44" s="38">
        <f t="shared" si="56"/>
        <v>-4.230906443392795E-2</v>
      </c>
      <c r="U44" s="38">
        <f t="shared" si="56"/>
        <v>-4.3637761135199064E-2</v>
      </c>
      <c r="V44" s="37">
        <f t="shared" si="56"/>
        <v>-5.6052938886726356E-2</v>
      </c>
      <c r="W44" s="38">
        <f t="shared" ref="W44:X44" si="57">W41/(W39-W34)</f>
        <v>-2.0400000000000001E-2</v>
      </c>
      <c r="X44" s="38">
        <f t="shared" si="57"/>
        <v>3.2194022024121652E-2</v>
      </c>
    </row>
    <row r="45" spans="1:24" s="20" customFormat="1" x14ac:dyDescent="0.15">
      <c r="A45" s="53" t="s">
        <v>76</v>
      </c>
      <c r="B45" s="38"/>
      <c r="C45" s="38"/>
      <c r="D45" s="38"/>
      <c r="E45" s="20">
        <f>E41/E38</f>
        <v>-0.41442434936038824</v>
      </c>
      <c r="F45" s="25"/>
      <c r="G45" s="23"/>
      <c r="H45" s="23"/>
      <c r="I45" s="20">
        <f>I41/I38</f>
        <v>-0.46672703174415708</v>
      </c>
      <c r="J45" s="25"/>
      <c r="K45" s="23"/>
      <c r="L45" s="23"/>
      <c r="M45" s="38">
        <f t="shared" ref="M45:V45" si="58">M41/M38</f>
        <v>-0.2269815504572528</v>
      </c>
      <c r="N45" s="37">
        <f t="shared" si="58"/>
        <v>-0.26007771666935642</v>
      </c>
      <c r="O45" s="38">
        <f t="shared" si="58"/>
        <v>-0.32481223877569537</v>
      </c>
      <c r="P45" s="38">
        <f t="shared" si="58"/>
        <v>-0.33171106915600368</v>
      </c>
      <c r="Q45" s="38">
        <f t="shared" si="58"/>
        <v>-0.31527797886202474</v>
      </c>
      <c r="R45" s="37">
        <f t="shared" si="58"/>
        <v>-0.18241715976331399</v>
      </c>
      <c r="S45" s="38">
        <f t="shared" si="58"/>
        <v>-0.14516010498687693</v>
      </c>
      <c r="T45" s="38">
        <f t="shared" si="58"/>
        <v>-0.25942633928571446</v>
      </c>
      <c r="U45" s="38">
        <f t="shared" si="58"/>
        <v>-0.19947567567567573</v>
      </c>
      <c r="V45" s="37">
        <f t="shared" si="58"/>
        <v>-0.22500000000000001</v>
      </c>
      <c r="W45" s="38">
        <f t="shared" ref="W45:X45" si="59">W41/W38</f>
        <v>-0.13401577287066246</v>
      </c>
      <c r="X45" s="38">
        <f t="shared" si="59"/>
        <v>0.20811525423728808</v>
      </c>
    </row>
    <row r="46" spans="1:24" x14ac:dyDescent="0.15">
      <c r="A46" s="3"/>
      <c r="R46" s="84"/>
      <c r="S46" s="54"/>
      <c r="T46" s="54"/>
      <c r="U46" s="54"/>
      <c r="V46" s="84"/>
      <c r="W46" s="54"/>
      <c r="X46" s="54"/>
    </row>
    <row r="47" spans="1:24" x14ac:dyDescent="0.15">
      <c r="A47" s="1" t="s">
        <v>78</v>
      </c>
      <c r="F47" s="39">
        <f t="shared" ref="F47:X48" si="60">F3/B3-1</f>
        <v>0.73165712240515401</v>
      </c>
      <c r="G47" s="20">
        <f t="shared" si="60"/>
        <v>0.71546407950037305</v>
      </c>
      <c r="H47" s="20">
        <f t="shared" si="60"/>
        <v>0.68602841677943172</v>
      </c>
      <c r="I47" s="20">
        <f t="shared" si="60"/>
        <v>0.62930536292186789</v>
      </c>
      <c r="J47" s="37">
        <f t="shared" si="60"/>
        <v>0.60388570247506834</v>
      </c>
      <c r="K47" s="38">
        <f t="shared" si="60"/>
        <v>0.63937354032147264</v>
      </c>
      <c r="L47" s="38">
        <f t="shared" si="60"/>
        <v>0.65402596360280119</v>
      </c>
      <c r="M47" s="38">
        <f t="shared" si="60"/>
        <v>0.6655966800858355</v>
      </c>
      <c r="N47" s="37">
        <f t="shared" si="60"/>
        <v>0.61401417525773194</v>
      </c>
      <c r="O47" s="38">
        <f t="shared" si="60"/>
        <v>0.54642587781781615</v>
      </c>
      <c r="P47" s="38">
        <f t="shared" si="60"/>
        <v>0.46196397161399871</v>
      </c>
      <c r="Q47" s="62">
        <f t="shared" ref="Q47:X47" si="61">Q3/M3-1</f>
        <v>0.4220916118315976</v>
      </c>
      <c r="R47" s="80">
        <f t="shared" si="61"/>
        <v>0.40173456556019094</v>
      </c>
      <c r="S47" s="62">
        <f t="shared" si="61"/>
        <v>0.38185168125287872</v>
      </c>
      <c r="T47" s="62">
        <f t="shared" si="61"/>
        <v>0.3773990391397064</v>
      </c>
      <c r="U47" s="62">
        <f t="shared" si="61"/>
        <v>0.37017070979335132</v>
      </c>
      <c r="V47" s="80">
        <f t="shared" si="61"/>
        <v>0.338545115378317</v>
      </c>
      <c r="W47" s="62">
        <f t="shared" si="61"/>
        <v>0.28388235294117647</v>
      </c>
      <c r="X47" s="62">
        <f t="shared" si="61"/>
        <v>0.47755421686746979</v>
      </c>
    </row>
    <row r="48" spans="1:24" x14ac:dyDescent="0.15">
      <c r="A48" s="1" t="s">
        <v>79</v>
      </c>
      <c r="F48" s="39">
        <f t="shared" si="60"/>
        <v>1.2683382235262735</v>
      </c>
      <c r="G48" s="20">
        <f t="shared" si="60"/>
        <v>1.2074793239841783</v>
      </c>
      <c r="H48" s="20">
        <f t="shared" si="60"/>
        <v>1.141522431757513</v>
      </c>
      <c r="I48" s="20">
        <f t="shared" si="60"/>
        <v>1.0805848446506396</v>
      </c>
      <c r="J48" s="37">
        <f t="shared" si="60"/>
        <v>0.91965545625587986</v>
      </c>
      <c r="K48" s="38">
        <f t="shared" si="60"/>
        <v>0.86296046354687839</v>
      </c>
      <c r="L48" s="38">
        <f t="shared" si="60"/>
        <v>0.78976256056615535</v>
      </c>
      <c r="M48" s="38">
        <f t="shared" si="60"/>
        <v>0.74193199632412554</v>
      </c>
      <c r="N48" s="37">
        <f t="shared" si="60"/>
        <v>0.74799001516102837</v>
      </c>
      <c r="O48" s="38">
        <f t="shared" si="60"/>
        <v>0.67683025844086075</v>
      </c>
      <c r="P48" s="38">
        <f t="shared" si="60"/>
        <v>0.67990698823873008</v>
      </c>
      <c r="Q48" s="62">
        <f t="shared" si="60"/>
        <v>0.63156343098311818</v>
      </c>
      <c r="R48" s="80">
        <f t="shared" si="60"/>
        <v>0.5772546477195073</v>
      </c>
      <c r="S48" s="62">
        <f t="shared" si="60"/>
        <v>0.55688979603998767</v>
      </c>
      <c r="T48" s="62">
        <f t="shared" si="60"/>
        <v>0.50454372204056264</v>
      </c>
      <c r="U48" s="62">
        <f t="shared" si="60"/>
        <v>0.53113142052857332</v>
      </c>
      <c r="V48" s="80">
        <f t="shared" si="60"/>
        <v>0.56639689831195739</v>
      </c>
      <c r="W48" s="62">
        <f t="shared" si="60"/>
        <v>1.4780239234449764</v>
      </c>
      <c r="X48" s="62">
        <f t="shared" si="60"/>
        <v>1.3205822222222219</v>
      </c>
    </row>
    <row r="50" spans="1:25" s="7" customFormat="1" x14ac:dyDescent="0.15">
      <c r="A50" s="67" t="s">
        <v>104</v>
      </c>
      <c r="B50" s="23"/>
      <c r="C50" s="23"/>
      <c r="D50" s="23"/>
      <c r="E50" s="23"/>
      <c r="F50" s="25"/>
      <c r="G50" s="23"/>
      <c r="H50" s="23"/>
      <c r="I50" s="23"/>
      <c r="J50" s="25">
        <v>20.724</v>
      </c>
      <c r="K50" s="23">
        <v>23.66</v>
      </c>
      <c r="L50" s="23">
        <v>26.837</v>
      </c>
      <c r="M50" s="23">
        <v>29.9</v>
      </c>
      <c r="N50" s="25">
        <v>32.460999999999999</v>
      </c>
      <c r="O50" s="23">
        <v>35.281999999999996</v>
      </c>
      <c r="P50" s="23">
        <v>37.854999999999997</v>
      </c>
      <c r="Q50" s="99">
        <v>40.9</v>
      </c>
      <c r="R50" s="25">
        <v>44.213000000000001</v>
      </c>
      <c r="S50" s="7">
        <v>47.122999999999998</v>
      </c>
      <c r="T50" s="7">
        <v>50.65</v>
      </c>
      <c r="U50" s="7">
        <v>53.9</v>
      </c>
      <c r="V50" s="86">
        <v>55.396999999999998</v>
      </c>
      <c r="W50" s="7">
        <v>57.027000000000001</v>
      </c>
      <c r="X50" s="7">
        <v>74.36</v>
      </c>
      <c r="Y50" s="7">
        <f>U50*1.45</f>
        <v>78.155000000000001</v>
      </c>
    </row>
    <row r="51" spans="1:25" s="7" customFormat="1" x14ac:dyDescent="0.15">
      <c r="A51" s="67" t="s">
        <v>105</v>
      </c>
      <c r="B51" s="23"/>
      <c r="C51" s="23"/>
      <c r="D51" s="23"/>
      <c r="E51" s="23"/>
      <c r="F51" s="25"/>
      <c r="G51" s="23"/>
      <c r="H51" s="23"/>
      <c r="I51" s="23"/>
      <c r="J51" s="25">
        <v>4852.4250000000002</v>
      </c>
      <c r="K51" s="23">
        <v>5865.8459999999995</v>
      </c>
      <c r="L51" s="23">
        <v>6430.9</v>
      </c>
      <c r="M51" s="23">
        <f>Q51-4900</f>
        <v>9100</v>
      </c>
      <c r="N51" s="25">
        <v>7952.4319999999998</v>
      </c>
      <c r="O51" s="23">
        <v>9135.6389999999992</v>
      </c>
      <c r="P51" s="23">
        <v>9994.6080000000002</v>
      </c>
      <c r="Q51" s="99">
        <f>U51-6600</f>
        <v>14000</v>
      </c>
      <c r="R51" s="25">
        <v>11913.825999999999</v>
      </c>
      <c r="S51" s="7">
        <v>13772.195</v>
      </c>
      <c r="T51" s="7">
        <v>14821.11</v>
      </c>
      <c r="U51" s="7">
        <v>20600</v>
      </c>
      <c r="V51" s="86">
        <v>17415.252</v>
      </c>
      <c r="W51" s="7">
        <v>30105.466</v>
      </c>
      <c r="X51" s="7">
        <v>30917.154999999999</v>
      </c>
      <c r="Y51" s="7">
        <f>U51*2</f>
        <v>41200</v>
      </c>
    </row>
    <row r="53" spans="1:25" s="20" customFormat="1" x14ac:dyDescent="0.15">
      <c r="A53" s="100" t="s">
        <v>106</v>
      </c>
      <c r="B53" s="38"/>
      <c r="C53" s="38"/>
      <c r="D53" s="38"/>
      <c r="E53" s="38"/>
      <c r="F53" s="37"/>
      <c r="G53" s="38"/>
      <c r="H53" s="38"/>
      <c r="I53" s="38"/>
      <c r="J53" s="37"/>
      <c r="K53" s="38"/>
      <c r="L53" s="38"/>
      <c r="M53" s="38"/>
      <c r="N53" s="39">
        <f>N50/J50-1</f>
        <v>0.56634819532908698</v>
      </c>
      <c r="O53" s="20">
        <f>O50/K50-1</f>
        <v>0.49120879120879102</v>
      </c>
      <c r="P53" s="20">
        <f>P50/L50-1</f>
        <v>0.41055259529753685</v>
      </c>
      <c r="Q53" s="20">
        <f>Q50/M50-1</f>
        <v>0.36789297658862874</v>
      </c>
      <c r="R53" s="39">
        <f>R50/N50-1</f>
        <v>0.3620344413295955</v>
      </c>
      <c r="S53" s="20">
        <f>S50/O50-1</f>
        <v>0.33561022617765435</v>
      </c>
      <c r="T53" s="20">
        <f>T50/P50-1</f>
        <v>0.33800026416589635</v>
      </c>
      <c r="U53" s="20">
        <f>U50/Q50-1</f>
        <v>0.31784841075794623</v>
      </c>
      <c r="V53" s="39">
        <f>V50/R50-1</f>
        <v>0.25295727500961251</v>
      </c>
      <c r="W53" s="20">
        <f>W50/S50-1</f>
        <v>0.21017337605840036</v>
      </c>
      <c r="X53" s="20">
        <f>X50/T50-1</f>
        <v>0.46811451135241855</v>
      </c>
      <c r="Y53" s="20">
        <f>Y50/U50-1</f>
        <v>0.44999999999999996</v>
      </c>
    </row>
    <row r="54" spans="1:25" s="20" customFormat="1" x14ac:dyDescent="0.15">
      <c r="A54" s="100" t="s">
        <v>107</v>
      </c>
      <c r="B54" s="38"/>
      <c r="C54" s="38"/>
      <c r="D54" s="38"/>
      <c r="E54" s="38"/>
      <c r="F54" s="37"/>
      <c r="G54" s="38"/>
      <c r="H54" s="38"/>
      <c r="I54" s="38"/>
      <c r="J54" s="37"/>
      <c r="K54" s="38"/>
      <c r="L54" s="38"/>
      <c r="M54" s="38"/>
      <c r="N54" s="39">
        <f>N51/J51-1</f>
        <v>0.63885727239473034</v>
      </c>
      <c r="O54" s="20">
        <f>O51/K51-1</f>
        <v>0.55742905626912131</v>
      </c>
      <c r="P54" s="20">
        <f>P51/L51-1</f>
        <v>0.55415385093843805</v>
      </c>
      <c r="Q54" s="20">
        <f>Q51/M51-1</f>
        <v>0.53846153846153855</v>
      </c>
      <c r="R54" s="39">
        <f>R51/N51-1</f>
        <v>0.49813616765286395</v>
      </c>
      <c r="S54" s="20">
        <f>S51/O51-1</f>
        <v>0.50752399476380372</v>
      </c>
      <c r="T54" s="20">
        <f>T51/P51-1</f>
        <v>0.48291058538764098</v>
      </c>
      <c r="U54" s="20">
        <f>U51/Q51-1</f>
        <v>0.47142857142857153</v>
      </c>
      <c r="V54" s="39">
        <f>V51/R51-1</f>
        <v>0.46176820107998906</v>
      </c>
      <c r="W54" s="20">
        <f>W51/S51-1</f>
        <v>1.1859598996383656</v>
      </c>
      <c r="X54" s="20">
        <f>X51/T51-1</f>
        <v>1.0860215597887066</v>
      </c>
      <c r="Y54" s="20">
        <f>Y51/U51-1</f>
        <v>1</v>
      </c>
    </row>
    <row r="56" spans="1:25" x14ac:dyDescent="0.15">
      <c r="A56" s="24" t="s">
        <v>108</v>
      </c>
      <c r="J56" s="39">
        <f>J6/J51</f>
        <v>2.6250586047182594E-2</v>
      </c>
      <c r="K56" s="20">
        <f>K6/K51</f>
        <v>2.5853900699063702E-2</v>
      </c>
      <c r="L56" s="20">
        <f>L6/L51</f>
        <v>2.6661276026683674E-2</v>
      </c>
      <c r="M56" s="20">
        <f>M6/M51</f>
        <v>2.4485054945054943E-2</v>
      </c>
      <c r="N56" s="39">
        <f>N6/N51</f>
        <v>2.6952761117605278E-2</v>
      </c>
      <c r="O56" s="20">
        <f>O6/O51</f>
        <v>2.6813997356944601E-2</v>
      </c>
      <c r="P56" s="20">
        <f>P6/P51</f>
        <v>2.702096970686594E-2</v>
      </c>
      <c r="Q56" s="20">
        <f>Q6/Q51</f>
        <v>2.4561571428571426E-2</v>
      </c>
      <c r="R56" s="39">
        <f>R6/R51</f>
        <v>2.6900006765249049E-2</v>
      </c>
      <c r="S56" s="20">
        <f>S6/S51</f>
        <v>2.628484420965576E-2</v>
      </c>
      <c r="T56" s="20">
        <f>T6/T51</f>
        <v>2.6381289930376334E-2</v>
      </c>
      <c r="U56" s="20">
        <f>U6/U51</f>
        <v>2.4514563106796117E-2</v>
      </c>
      <c r="V56" s="39">
        <f>V6/V51</f>
        <v>2.6987838016929069E-2</v>
      </c>
      <c r="W56" s="20">
        <f>W6/W51</f>
        <v>2.3727950266572855E-2</v>
      </c>
      <c r="X56" s="20">
        <f>X6/X51</f>
        <v>2.4821333010750828E-2</v>
      </c>
      <c r="Y56" s="20">
        <f>Y6/Y51</f>
        <v>2.4821333010750828E-2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44CA3-C7D7-E648-9FC8-7B256295A831}">
  <dimension ref="B4:C12"/>
  <sheetViews>
    <sheetView workbookViewId="0">
      <selection activeCell="C7" sqref="C7"/>
    </sheetView>
  </sheetViews>
  <sheetFormatPr baseColWidth="10" defaultRowHeight="13" x14ac:dyDescent="0.15"/>
  <cols>
    <col min="2" max="2" width="16.83203125" customWidth="1"/>
    <col min="3" max="3" width="34.83203125" bestFit="1" customWidth="1"/>
  </cols>
  <sheetData>
    <row r="4" spans="2:3" x14ac:dyDescent="0.15">
      <c r="B4" s="77" t="s">
        <v>95</v>
      </c>
    </row>
    <row r="6" spans="2:3" x14ac:dyDescent="0.15">
      <c r="B6" t="s">
        <v>96</v>
      </c>
      <c r="C6" t="s">
        <v>97</v>
      </c>
    </row>
    <row r="7" spans="2:3" x14ac:dyDescent="0.15">
      <c r="B7" t="s">
        <v>102</v>
      </c>
    </row>
    <row r="10" spans="2:3" x14ac:dyDescent="0.15">
      <c r="B10" s="77" t="s">
        <v>99</v>
      </c>
    </row>
    <row r="12" spans="2:3" x14ac:dyDescent="0.15">
      <c r="B12" t="s">
        <v>100</v>
      </c>
      <c r="C12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2021-02-01T12:35:38Z</dcterms:modified>
</cp:coreProperties>
</file>