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3A437D0B-2313-054F-9963-32D1EB6538D7}" xr6:coauthVersionLast="46" xr6:coauthVersionMax="46" xr10:uidLastSave="{00000000-0000-0000-0000-000000000000}"/>
  <bookViews>
    <workbookView xWindow="-52240" yWindow="-5940" windowWidth="2610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" i="2" l="1"/>
  <c r="S19" i="2" s="1"/>
  <c r="T19" i="2" s="1"/>
  <c r="U19" i="2" s="1"/>
  <c r="Q19" i="2"/>
  <c r="M20" i="2"/>
  <c r="N20" i="2" s="1"/>
  <c r="O20" i="2" s="1"/>
  <c r="P20" i="2" s="1"/>
  <c r="L20" i="2"/>
  <c r="H20" i="2"/>
  <c r="I20" i="2" s="1"/>
  <c r="J20" i="2" s="1"/>
  <c r="K20" i="2" s="1"/>
  <c r="H19" i="2"/>
  <c r="I19" i="2" s="1"/>
  <c r="J19" i="2" s="1"/>
  <c r="K19" i="2" s="1"/>
  <c r="H18" i="2"/>
  <c r="I18" i="2" s="1"/>
  <c r="J18" i="2" s="1"/>
  <c r="K18" i="2" s="1"/>
  <c r="L18" i="2" s="1"/>
  <c r="M18" i="2" s="1"/>
  <c r="N18" i="2" s="1"/>
  <c r="O18" i="2" s="1"/>
  <c r="P18" i="2" s="1"/>
  <c r="M15" i="2"/>
  <c r="N15" i="2" s="1"/>
  <c r="O15" i="2" s="1"/>
  <c r="P15" i="2" s="1"/>
  <c r="L15" i="2"/>
  <c r="G15" i="2"/>
  <c r="G34" i="2"/>
  <c r="C5" i="2"/>
  <c r="C3" i="2"/>
  <c r="U28" i="2"/>
  <c r="U9" i="2"/>
  <c r="P28" i="2"/>
  <c r="P9" i="2"/>
  <c r="K15" i="2"/>
  <c r="K13" i="2"/>
  <c r="K59" i="2" s="1"/>
  <c r="K12" i="2"/>
  <c r="K58" i="2" s="1"/>
  <c r="F53" i="2"/>
  <c r="F52" i="2"/>
  <c r="F51" i="2"/>
  <c r="F49" i="2"/>
  <c r="F48" i="2"/>
  <c r="F54" i="2" s="1"/>
  <c r="F46" i="2"/>
  <c r="F45" i="2"/>
  <c r="F44" i="2"/>
  <c r="F42" i="2"/>
  <c r="F41" i="2"/>
  <c r="F40" i="2" s="1"/>
  <c r="F28" i="2"/>
  <c r="F27" i="2" s="1"/>
  <c r="F24" i="2"/>
  <c r="F21" i="2"/>
  <c r="F22" i="2" s="1"/>
  <c r="F17" i="2"/>
  <c r="F25" i="2"/>
  <c r="F23" i="2"/>
  <c r="F20" i="2"/>
  <c r="F19" i="2"/>
  <c r="F18" i="2"/>
  <c r="G18" i="2" s="1"/>
  <c r="F16" i="2"/>
  <c r="F15" i="2"/>
  <c r="F10" i="2"/>
  <c r="R27" i="1"/>
  <c r="Q44" i="1"/>
  <c r="Q48" i="1" s="1"/>
  <c r="Q42" i="1"/>
  <c r="Q41" i="1"/>
  <c r="Q37" i="1"/>
  <c r="Q34" i="1"/>
  <c r="Q33" i="1" s="1"/>
  <c r="Q31" i="1"/>
  <c r="Q30" i="1"/>
  <c r="Q29" i="1"/>
  <c r="Q28" i="1"/>
  <c r="Q27" i="1"/>
  <c r="Q25" i="1"/>
  <c r="Q24" i="1"/>
  <c r="Q23" i="1"/>
  <c r="Q19" i="1"/>
  <c r="Q20" i="1" s="1"/>
  <c r="Q17" i="1"/>
  <c r="Q16" i="1"/>
  <c r="Q15" i="1"/>
  <c r="Q14" i="1"/>
  <c r="Q10" i="1"/>
  <c r="Q50" i="1"/>
  <c r="Q6" i="1"/>
  <c r="P53" i="1"/>
  <c r="O53" i="1"/>
  <c r="N53" i="1"/>
  <c r="M53" i="1"/>
  <c r="L53" i="1"/>
  <c r="G19" i="2"/>
  <c r="E59" i="2"/>
  <c r="E58" i="2"/>
  <c r="E15" i="2"/>
  <c r="D15" i="2"/>
  <c r="E13" i="2"/>
  <c r="E12" i="2"/>
  <c r="D13" i="2"/>
  <c r="D12" i="2"/>
  <c r="P8" i="1"/>
  <c r="P10" i="1" s="1"/>
  <c r="P23" i="1" s="1"/>
  <c r="O8" i="1"/>
  <c r="O10" i="1" s="1"/>
  <c r="O23" i="1" s="1"/>
  <c r="N8" i="1"/>
  <c r="M8" i="1"/>
  <c r="L8" i="1"/>
  <c r="K8" i="1"/>
  <c r="J8" i="1"/>
  <c r="I8" i="1"/>
  <c r="H8" i="1"/>
  <c r="P6" i="1"/>
  <c r="O6" i="1"/>
  <c r="N6" i="1"/>
  <c r="M6" i="1"/>
  <c r="L6" i="1"/>
  <c r="K6" i="1"/>
  <c r="J6" i="1"/>
  <c r="I6" i="1"/>
  <c r="H6" i="1"/>
  <c r="P52" i="1"/>
  <c r="O52" i="1"/>
  <c r="N52" i="1"/>
  <c r="M52" i="1"/>
  <c r="L52" i="1"/>
  <c r="P50" i="1"/>
  <c r="P42" i="1"/>
  <c r="P41" i="1"/>
  <c r="P37" i="1"/>
  <c r="P34" i="1"/>
  <c r="P33" i="1" s="1"/>
  <c r="P31" i="1"/>
  <c r="P30" i="1"/>
  <c r="P29" i="1"/>
  <c r="P28" i="1"/>
  <c r="P16" i="1"/>
  <c r="P14" i="1"/>
  <c r="O50" i="1"/>
  <c r="O42" i="1"/>
  <c r="O41" i="1"/>
  <c r="O37" i="1"/>
  <c r="O34" i="1"/>
  <c r="O33" i="1"/>
  <c r="O31" i="1"/>
  <c r="O30" i="1"/>
  <c r="O29" i="1"/>
  <c r="O28" i="1"/>
  <c r="O16" i="1"/>
  <c r="O14" i="1"/>
  <c r="E28" i="2"/>
  <c r="E20" i="2"/>
  <c r="G20" i="2" s="1"/>
  <c r="E19" i="2"/>
  <c r="E18" i="2"/>
  <c r="E16" i="2"/>
  <c r="E10" i="2"/>
  <c r="D28" i="2"/>
  <c r="D25" i="2"/>
  <c r="D23" i="2"/>
  <c r="D20" i="2"/>
  <c r="D19" i="2"/>
  <c r="D18" i="2"/>
  <c r="D16" i="2"/>
  <c r="D10" i="2"/>
  <c r="C25" i="2"/>
  <c r="C23" i="2"/>
  <c r="C20" i="2"/>
  <c r="C19" i="2"/>
  <c r="C18" i="2"/>
  <c r="C16" i="2"/>
  <c r="C10" i="2"/>
  <c r="L34" i="1"/>
  <c r="I34" i="1"/>
  <c r="N37" i="1"/>
  <c r="M34" i="1"/>
  <c r="N34" i="1"/>
  <c r="L19" i="2" l="1"/>
  <c r="M19" i="2" s="1"/>
  <c r="N19" i="2" s="1"/>
  <c r="O19" i="2" s="1"/>
  <c r="P19" i="2" s="1"/>
  <c r="P36" i="2" s="1"/>
  <c r="Q45" i="1"/>
  <c r="Q46" i="1"/>
  <c r="Q47" i="1"/>
  <c r="Q52" i="1"/>
  <c r="F12" i="2"/>
  <c r="F13" i="2" s="1"/>
  <c r="Q53" i="1"/>
  <c r="Q8" i="1"/>
  <c r="F58" i="2"/>
  <c r="G12" i="2"/>
  <c r="G58" i="2" s="1"/>
  <c r="G13" i="2"/>
  <c r="G59" i="2" s="1"/>
  <c r="F59" i="2"/>
  <c r="P27" i="1"/>
  <c r="P15" i="1"/>
  <c r="O15" i="1"/>
  <c r="O27" i="1"/>
  <c r="E46" i="2"/>
  <c r="E45" i="2"/>
  <c r="E49" i="2" s="1"/>
  <c r="E25" i="2"/>
  <c r="E23" i="2"/>
  <c r="N41" i="1"/>
  <c r="E44" i="2"/>
  <c r="E42" i="2"/>
  <c r="E41" i="2"/>
  <c r="M50" i="1"/>
  <c r="M42" i="1"/>
  <c r="M29" i="1"/>
  <c r="M28" i="1"/>
  <c r="M10" i="1"/>
  <c r="M23" i="1" s="1"/>
  <c r="U36" i="2" l="1"/>
  <c r="P37" i="2"/>
  <c r="Q20" i="2"/>
  <c r="R20" i="2" s="1"/>
  <c r="S20" i="2" s="1"/>
  <c r="T20" i="2" s="1"/>
  <c r="U20" i="2" s="1"/>
  <c r="H12" i="2"/>
  <c r="H13" i="2"/>
  <c r="P24" i="1"/>
  <c r="P17" i="1"/>
  <c r="O24" i="1"/>
  <c r="O17" i="1"/>
  <c r="M41" i="1"/>
  <c r="M33" i="1"/>
  <c r="M14" i="1"/>
  <c r="M15" i="1" s="1"/>
  <c r="F35" i="2"/>
  <c r="E40" i="2"/>
  <c r="E48" i="2"/>
  <c r="P21" i="2" l="1"/>
  <c r="P35" i="2"/>
  <c r="Q18" i="2"/>
  <c r="R18" i="2" s="1"/>
  <c r="S18" i="2" s="1"/>
  <c r="T18" i="2" s="1"/>
  <c r="U18" i="2" s="1"/>
  <c r="I12" i="2"/>
  <c r="H58" i="2"/>
  <c r="H15" i="2"/>
  <c r="I13" i="2"/>
  <c r="H59" i="2"/>
  <c r="P19" i="1"/>
  <c r="P20" i="1" s="1"/>
  <c r="P25" i="1"/>
  <c r="O25" i="1"/>
  <c r="O19" i="1"/>
  <c r="O20" i="1" s="1"/>
  <c r="M24" i="1"/>
  <c r="M17" i="1"/>
  <c r="M25" i="1" s="1"/>
  <c r="E17" i="2"/>
  <c r="U35" i="2" l="1"/>
  <c r="J12" i="2"/>
  <c r="J58" i="2" s="1"/>
  <c r="I58" i="2"/>
  <c r="J13" i="2"/>
  <c r="I15" i="2"/>
  <c r="I59" i="2"/>
  <c r="M19" i="1"/>
  <c r="J15" i="2" l="1"/>
  <c r="J59" i="2"/>
  <c r="M20" i="1"/>
  <c r="L42" i="1"/>
  <c r="L50" i="1"/>
  <c r="L14" i="1"/>
  <c r="L10" i="1"/>
  <c r="N50" i="1"/>
  <c r="N42" i="1"/>
  <c r="N29" i="1"/>
  <c r="N28" i="1"/>
  <c r="N14" i="1"/>
  <c r="P34" i="2" l="1"/>
  <c r="L41" i="1"/>
  <c r="L33" i="1"/>
  <c r="L15" i="1"/>
  <c r="L17" i="1" s="1"/>
  <c r="L19" i="1" s="1"/>
  <c r="N10" i="1"/>
  <c r="N30" i="1"/>
  <c r="N33" i="1"/>
  <c r="C4" i="2"/>
  <c r="L28" i="1"/>
  <c r="L29" i="1"/>
  <c r="K50" i="1"/>
  <c r="K29" i="1"/>
  <c r="K28" i="1"/>
  <c r="K10" i="1"/>
  <c r="E56" i="2"/>
  <c r="B15" i="2"/>
  <c r="B14" i="1"/>
  <c r="G14" i="1"/>
  <c r="D14" i="1"/>
  <c r="H14" i="1"/>
  <c r="M30" i="1"/>
  <c r="D44" i="2"/>
  <c r="D41" i="2"/>
  <c r="J50" i="1"/>
  <c r="H10" i="1"/>
  <c r="H23" i="1" s="1"/>
  <c r="G8" i="1"/>
  <c r="G10" i="1" s="1"/>
  <c r="F14" i="1"/>
  <c r="J29" i="1"/>
  <c r="J28" i="1"/>
  <c r="F8" i="1"/>
  <c r="F10" i="1" s="1"/>
  <c r="F23" i="1" s="1"/>
  <c r="E14" i="1"/>
  <c r="J10" i="1"/>
  <c r="D45" i="2"/>
  <c r="I42" i="1"/>
  <c r="D42" i="2"/>
  <c r="D46" i="2"/>
  <c r="E8" i="1"/>
  <c r="E10" i="1" s="1"/>
  <c r="E23" i="1" s="1"/>
  <c r="I50" i="1"/>
  <c r="H50" i="1"/>
  <c r="G50" i="1"/>
  <c r="F50" i="1"/>
  <c r="B8" i="1"/>
  <c r="B10" i="1" s="1"/>
  <c r="C8" i="1"/>
  <c r="D8" i="1"/>
  <c r="I29" i="1"/>
  <c r="I28" i="1"/>
  <c r="F29" i="1"/>
  <c r="F28" i="1"/>
  <c r="G29" i="1"/>
  <c r="G28" i="1"/>
  <c r="H29" i="1"/>
  <c r="H28" i="1"/>
  <c r="G28" i="2"/>
  <c r="H28" i="2" s="1"/>
  <c r="I28" i="2" s="1"/>
  <c r="J28" i="2" s="1"/>
  <c r="K28" i="2" s="1"/>
  <c r="L28" i="2" s="1"/>
  <c r="M28" i="2" s="1"/>
  <c r="N28" i="2" s="1"/>
  <c r="O28" i="2" s="1"/>
  <c r="Q28" i="2" s="1"/>
  <c r="R28" i="2" s="1"/>
  <c r="S28" i="2" s="1"/>
  <c r="T28" i="2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Q9" i="2" s="1"/>
  <c r="R9" i="2" s="1"/>
  <c r="S9" i="2" s="1"/>
  <c r="T9" i="2" s="1"/>
  <c r="L20" i="1" l="1"/>
  <c r="C15" i="2"/>
  <c r="C17" i="2" s="1"/>
  <c r="C30" i="2" s="1"/>
  <c r="I30" i="1"/>
  <c r="I41" i="1"/>
  <c r="F30" i="1"/>
  <c r="C21" i="2"/>
  <c r="B15" i="1"/>
  <c r="B24" i="1" s="1"/>
  <c r="J14" i="1"/>
  <c r="N31" i="1" s="1"/>
  <c r="I14" i="1"/>
  <c r="H30" i="1"/>
  <c r="I10" i="1"/>
  <c r="I23" i="1" s="1"/>
  <c r="M27" i="1"/>
  <c r="H27" i="1"/>
  <c r="J27" i="1"/>
  <c r="N27" i="1"/>
  <c r="D35" i="2"/>
  <c r="D40" i="2"/>
  <c r="D36" i="2"/>
  <c r="N15" i="1"/>
  <c r="N23" i="1"/>
  <c r="G15" i="1"/>
  <c r="G17" i="1" s="1"/>
  <c r="G23" i="1"/>
  <c r="D56" i="2"/>
  <c r="G30" i="1"/>
  <c r="D49" i="2"/>
  <c r="D48" i="2"/>
  <c r="E15" i="1"/>
  <c r="E24" i="1" s="1"/>
  <c r="C56" i="2"/>
  <c r="C36" i="2"/>
  <c r="B23" i="1"/>
  <c r="F27" i="1"/>
  <c r="I33" i="1"/>
  <c r="H31" i="1"/>
  <c r="C35" i="2"/>
  <c r="F31" i="1"/>
  <c r="L30" i="1"/>
  <c r="K23" i="1"/>
  <c r="H15" i="1"/>
  <c r="I27" i="1"/>
  <c r="D10" i="1"/>
  <c r="F15" i="1"/>
  <c r="C14" i="1"/>
  <c r="C34" i="2"/>
  <c r="K27" i="1"/>
  <c r="K14" i="1"/>
  <c r="K31" i="1" s="1"/>
  <c r="B17" i="2"/>
  <c r="J30" i="1"/>
  <c r="C6" i="2"/>
  <c r="C7" i="2" s="1"/>
  <c r="C10" i="1"/>
  <c r="J23" i="1"/>
  <c r="K30" i="1"/>
  <c r="G27" i="1"/>
  <c r="L31" i="1"/>
  <c r="J15" i="1" l="1"/>
  <c r="J17" i="1" s="1"/>
  <c r="D37" i="2"/>
  <c r="B17" i="1"/>
  <c r="B25" i="1" s="1"/>
  <c r="G24" i="1"/>
  <c r="J31" i="1"/>
  <c r="I15" i="1"/>
  <c r="I24" i="1" s="1"/>
  <c r="E21" i="2"/>
  <c r="E22" i="2" s="1"/>
  <c r="E24" i="2" s="1"/>
  <c r="M31" i="1"/>
  <c r="I31" i="1"/>
  <c r="N24" i="1"/>
  <c r="N17" i="1"/>
  <c r="J24" i="1"/>
  <c r="G31" i="1"/>
  <c r="E17" i="1"/>
  <c r="E25" i="1" s="1"/>
  <c r="G19" i="1"/>
  <c r="G25" i="1"/>
  <c r="L27" i="1"/>
  <c r="C15" i="1"/>
  <c r="C23" i="1"/>
  <c r="C22" i="2"/>
  <c r="J25" i="1"/>
  <c r="J19" i="1"/>
  <c r="F24" i="1"/>
  <c r="F17" i="1"/>
  <c r="D23" i="1"/>
  <c r="D15" i="1"/>
  <c r="B30" i="2"/>
  <c r="E36" i="2"/>
  <c r="H17" i="1"/>
  <c r="H24" i="1"/>
  <c r="D34" i="2"/>
  <c r="D17" i="2"/>
  <c r="C37" i="2"/>
  <c r="K15" i="1"/>
  <c r="D21" i="2"/>
  <c r="D38" i="2" s="1"/>
  <c r="B21" i="2"/>
  <c r="B19" i="1" l="1"/>
  <c r="I17" i="1"/>
  <c r="I19" i="1" s="1"/>
  <c r="E19" i="1"/>
  <c r="J20" i="1"/>
  <c r="N19" i="1"/>
  <c r="N25" i="1"/>
  <c r="E35" i="2"/>
  <c r="K17" i="1"/>
  <c r="K24" i="1"/>
  <c r="F36" i="2"/>
  <c r="B22" i="2"/>
  <c r="C31" i="2"/>
  <c r="C24" i="2"/>
  <c r="H19" i="1"/>
  <c r="H25" i="1"/>
  <c r="C38" i="2"/>
  <c r="L23" i="1"/>
  <c r="D24" i="1"/>
  <c r="D17" i="1"/>
  <c r="E20" i="1"/>
  <c r="B20" i="1"/>
  <c r="E37" i="2"/>
  <c r="D22" i="2"/>
  <c r="D30" i="2"/>
  <c r="F25" i="1"/>
  <c r="F19" i="1"/>
  <c r="C24" i="1"/>
  <c r="C17" i="1"/>
  <c r="G20" i="1"/>
  <c r="E38" i="2"/>
  <c r="P44" i="1" l="1"/>
  <c r="O44" i="1"/>
  <c r="I25" i="1"/>
  <c r="I20" i="1"/>
  <c r="N20" i="1"/>
  <c r="L24" i="1"/>
  <c r="F37" i="2"/>
  <c r="G21" i="2"/>
  <c r="F56" i="2"/>
  <c r="K25" i="1"/>
  <c r="K19" i="1"/>
  <c r="C26" i="2"/>
  <c r="C32" i="2"/>
  <c r="B31" i="2"/>
  <c r="B24" i="2"/>
  <c r="G36" i="2"/>
  <c r="E34" i="2"/>
  <c r="H20" i="1"/>
  <c r="C19" i="1"/>
  <c r="C25" i="1"/>
  <c r="D25" i="1"/>
  <c r="D19" i="1"/>
  <c r="F20" i="1"/>
  <c r="I44" i="1"/>
  <c r="D31" i="2"/>
  <c r="D24" i="2"/>
  <c r="F38" i="2"/>
  <c r="O48" i="1" l="1"/>
  <c r="O45" i="1"/>
  <c r="O47" i="1"/>
  <c r="O46" i="1"/>
  <c r="P48" i="1"/>
  <c r="P45" i="1"/>
  <c r="P47" i="1"/>
  <c r="P46" i="1"/>
  <c r="K20" i="1"/>
  <c r="M44" i="1"/>
  <c r="L44" i="1"/>
  <c r="G38" i="2"/>
  <c r="G35" i="2"/>
  <c r="E30" i="2"/>
  <c r="G37" i="2"/>
  <c r="H36" i="2"/>
  <c r="B32" i="2"/>
  <c r="B26" i="2"/>
  <c r="F34" i="2"/>
  <c r="D32" i="2"/>
  <c r="D26" i="2"/>
  <c r="I48" i="1"/>
  <c r="I47" i="1"/>
  <c r="I46" i="1"/>
  <c r="I45" i="1"/>
  <c r="D20" i="1"/>
  <c r="C20" i="1"/>
  <c r="L47" i="1" l="1"/>
  <c r="L45" i="1"/>
  <c r="L48" i="1"/>
  <c r="L46" i="1"/>
  <c r="M48" i="1"/>
  <c r="M47" i="1"/>
  <c r="M45" i="1"/>
  <c r="M46" i="1"/>
  <c r="H21" i="2"/>
  <c r="H38" i="2" s="1"/>
  <c r="D54" i="2"/>
  <c r="D53" i="2"/>
  <c r="D51" i="2"/>
  <c r="H35" i="2"/>
  <c r="L25" i="1"/>
  <c r="D27" i="2"/>
  <c r="D52" i="2"/>
  <c r="I36" i="2"/>
  <c r="E31" i="2"/>
  <c r="H37" i="2"/>
  <c r="F31" i="2" l="1"/>
  <c r="F30" i="2"/>
  <c r="G17" i="2" s="1"/>
  <c r="G22" i="2" s="1"/>
  <c r="I21" i="2"/>
  <c r="I38" i="2" s="1"/>
  <c r="I35" i="2"/>
  <c r="E32" i="2"/>
  <c r="H34" i="2"/>
  <c r="J36" i="2"/>
  <c r="I37" i="2"/>
  <c r="Q35" i="2" l="1"/>
  <c r="G16" i="2"/>
  <c r="G30" i="2"/>
  <c r="H17" i="2" s="1"/>
  <c r="H16" i="2" s="1"/>
  <c r="E26" i="2"/>
  <c r="N44" i="1"/>
  <c r="J35" i="2"/>
  <c r="I34" i="2"/>
  <c r="J37" i="2"/>
  <c r="J21" i="2"/>
  <c r="J38" i="2" s="1"/>
  <c r="K36" i="2"/>
  <c r="G31" i="2"/>
  <c r="R35" i="2" l="1"/>
  <c r="H30" i="2"/>
  <c r="I17" i="2" s="1"/>
  <c r="I16" i="2" s="1"/>
  <c r="H22" i="2"/>
  <c r="H31" i="2" s="1"/>
  <c r="N48" i="1"/>
  <c r="N47" i="1"/>
  <c r="E27" i="2"/>
  <c r="E51" i="2"/>
  <c r="E53" i="2"/>
  <c r="E52" i="2"/>
  <c r="E54" i="2"/>
  <c r="N46" i="1"/>
  <c r="N45" i="1"/>
  <c r="K35" i="2"/>
  <c r="L21" i="2"/>
  <c r="K37" i="2"/>
  <c r="J34" i="2"/>
  <c r="K21" i="2"/>
  <c r="K38" i="2" s="1"/>
  <c r="L36" i="2"/>
  <c r="S35" i="2" l="1"/>
  <c r="I30" i="2"/>
  <c r="J17" i="2" s="1"/>
  <c r="J16" i="2" s="1"/>
  <c r="I22" i="2"/>
  <c r="I31" i="2" s="1"/>
  <c r="L35" i="2"/>
  <c r="F32" i="2"/>
  <c r="K34" i="2"/>
  <c r="L38" i="2"/>
  <c r="M36" i="2"/>
  <c r="L37" i="2"/>
  <c r="T35" i="2" l="1"/>
  <c r="J30" i="2"/>
  <c r="K17" i="2" s="1"/>
  <c r="K22" i="2" s="1"/>
  <c r="J22" i="2"/>
  <c r="J31" i="2" s="1"/>
  <c r="F26" i="2"/>
  <c r="M35" i="2"/>
  <c r="L34" i="2"/>
  <c r="N36" i="2"/>
  <c r="K30" i="2"/>
  <c r="L17" i="2" s="1"/>
  <c r="K16" i="2"/>
  <c r="M37" i="2"/>
  <c r="M21" i="2"/>
  <c r="M38" i="2" s="1"/>
  <c r="N35" i="2" l="1"/>
  <c r="L22" i="2"/>
  <c r="L30" i="2"/>
  <c r="M17" i="2" s="1"/>
  <c r="L16" i="2"/>
  <c r="N37" i="2"/>
  <c r="K31" i="2"/>
  <c r="N21" i="2"/>
  <c r="N38" i="2" s="1"/>
  <c r="O36" i="2"/>
  <c r="M34" i="2"/>
  <c r="O21" i="2" l="1"/>
  <c r="Q36" i="2"/>
  <c r="O35" i="2"/>
  <c r="M30" i="2"/>
  <c r="N17" i="2" s="1"/>
  <c r="N16" i="2" s="1"/>
  <c r="M22" i="2"/>
  <c r="M16" i="2"/>
  <c r="N34" i="2"/>
  <c r="G23" i="2"/>
  <c r="G24" i="2" s="1"/>
  <c r="O37" i="2"/>
  <c r="L31" i="2"/>
  <c r="O38" i="2" l="1"/>
  <c r="P38" i="2"/>
  <c r="Q15" i="2"/>
  <c r="R36" i="2"/>
  <c r="G32" i="2"/>
  <c r="M31" i="2"/>
  <c r="O34" i="2"/>
  <c r="N22" i="2"/>
  <c r="N30" i="2"/>
  <c r="O17" i="2" s="1"/>
  <c r="Q34" i="2" l="1"/>
  <c r="R15" i="2"/>
  <c r="Q37" i="2"/>
  <c r="Q21" i="2"/>
  <c r="S36" i="2"/>
  <c r="G26" i="2"/>
  <c r="O22" i="2"/>
  <c r="O30" i="2"/>
  <c r="P17" i="2" s="1"/>
  <c r="O16" i="2"/>
  <c r="N31" i="2"/>
  <c r="P30" i="2" l="1"/>
  <c r="Q17" i="2" s="1"/>
  <c r="Q22" i="2" s="1"/>
  <c r="Q31" i="2" s="1"/>
  <c r="P22" i="2"/>
  <c r="P16" i="2"/>
  <c r="S15" i="2"/>
  <c r="R34" i="2"/>
  <c r="Q38" i="2"/>
  <c r="R37" i="2"/>
  <c r="R21" i="2"/>
  <c r="T36" i="2"/>
  <c r="G27" i="2"/>
  <c r="G40" i="2"/>
  <c r="H23" i="2" s="1"/>
  <c r="H24" i="2" s="1"/>
  <c r="O31" i="2"/>
  <c r="P31" i="2" l="1"/>
  <c r="S34" i="2"/>
  <c r="T15" i="2"/>
  <c r="U15" i="2" s="1"/>
  <c r="Q30" i="2"/>
  <c r="R17" i="2" s="1"/>
  <c r="R22" i="2" s="1"/>
  <c r="R31" i="2" s="1"/>
  <c r="Q16" i="2"/>
  <c r="R38" i="2"/>
  <c r="S37" i="2"/>
  <c r="S21" i="2"/>
  <c r="H32" i="2"/>
  <c r="U37" i="2" l="1"/>
  <c r="U21" i="2"/>
  <c r="U34" i="2"/>
  <c r="R30" i="2"/>
  <c r="S17" i="2" s="1"/>
  <c r="S22" i="2" s="1"/>
  <c r="S31" i="2" s="1"/>
  <c r="R16" i="2"/>
  <c r="T34" i="2"/>
  <c r="S38" i="2"/>
  <c r="T37" i="2"/>
  <c r="T21" i="2"/>
  <c r="U38" i="2" s="1"/>
  <c r="H26" i="2"/>
  <c r="S30" i="2" l="1"/>
  <c r="T17" i="2" s="1"/>
  <c r="T22" i="2" s="1"/>
  <c r="T31" i="2" s="1"/>
  <c r="S16" i="2"/>
  <c r="T38" i="2"/>
  <c r="H40" i="2"/>
  <c r="I23" i="2" s="1"/>
  <c r="I24" i="2" s="1"/>
  <c r="H27" i="2"/>
  <c r="T30" i="2" l="1"/>
  <c r="U17" i="2" s="1"/>
  <c r="T16" i="2"/>
  <c r="I32" i="2"/>
  <c r="U22" i="2" l="1"/>
  <c r="U30" i="2"/>
  <c r="U16" i="2"/>
  <c r="I26" i="2"/>
  <c r="U31" i="2" l="1"/>
  <c r="I27" i="2"/>
  <c r="I40" i="2"/>
  <c r="J23" i="2" s="1"/>
  <c r="J24" i="2" s="1"/>
  <c r="J25" i="2" s="1"/>
  <c r="J32" i="2" l="1"/>
  <c r="J26" i="2" l="1"/>
  <c r="J40" i="2" s="1"/>
  <c r="J27" i="2" l="1"/>
  <c r="K23" i="2"/>
  <c r="K24" i="2" s="1"/>
  <c r="K25" i="2" s="1"/>
  <c r="K32" i="2" l="1"/>
  <c r="K26" i="2" l="1"/>
  <c r="K27" i="2" s="1"/>
  <c r="K40" i="2" l="1"/>
  <c r="L23" i="2"/>
  <c r="L24" i="2" s="1"/>
  <c r="L25" i="2" s="1"/>
  <c r="L32" i="2" l="1"/>
  <c r="L26" i="2" l="1"/>
  <c r="L27" i="2" l="1"/>
  <c r="L40" i="2"/>
  <c r="M23" i="2" l="1"/>
  <c r="M24" i="2" s="1"/>
  <c r="M25" i="2" s="1"/>
  <c r="M32" i="2" l="1"/>
  <c r="M26" i="2" l="1"/>
  <c r="M27" i="2" s="1"/>
  <c r="M40" i="2"/>
  <c r="N23" i="2" l="1"/>
  <c r="N24" i="2" s="1"/>
  <c r="N25" i="2" s="1"/>
  <c r="N32" i="2" l="1"/>
  <c r="N26" i="2" l="1"/>
  <c r="N27" i="2" s="1"/>
  <c r="N40" i="2"/>
  <c r="O23" i="2" l="1"/>
  <c r="O24" i="2" s="1"/>
  <c r="O25" i="2" s="1"/>
  <c r="O32" i="2" l="1"/>
  <c r="O26" i="2" l="1"/>
  <c r="O27" i="2" l="1"/>
  <c r="O40" i="2"/>
  <c r="P23" i="2" l="1"/>
  <c r="P24" i="2" s="1"/>
  <c r="P25" i="2" l="1"/>
  <c r="P32" i="2" s="1"/>
  <c r="P26" i="2"/>
  <c r="P27" i="2" l="1"/>
  <c r="P40" i="2"/>
  <c r="Q23" i="2" s="1"/>
  <c r="Q24" i="2" s="1"/>
  <c r="Q25" i="2" s="1"/>
  <c r="Q32" i="2" s="1"/>
  <c r="Q26" i="2" l="1"/>
  <c r="Q27" i="2"/>
  <c r="Q40" i="2"/>
  <c r="R23" i="2" l="1"/>
  <c r="R24" i="2" s="1"/>
  <c r="R25" i="2" s="1"/>
  <c r="R32" i="2" l="1"/>
  <c r="R26" i="2"/>
  <c r="R27" i="2" l="1"/>
  <c r="R40" i="2"/>
  <c r="S23" i="2" l="1"/>
  <c r="S24" i="2" s="1"/>
  <c r="S25" i="2" s="1"/>
  <c r="S32" i="2" l="1"/>
  <c r="S26" i="2"/>
  <c r="S27" i="2" l="1"/>
  <c r="S40" i="2"/>
  <c r="T23" i="2" l="1"/>
  <c r="T24" i="2" s="1"/>
  <c r="T25" i="2" s="1"/>
  <c r="T32" i="2" l="1"/>
  <c r="T26" i="2" l="1"/>
  <c r="T27" i="2"/>
  <c r="T40" i="2"/>
  <c r="U23" i="2" l="1"/>
  <c r="U24" i="2" s="1"/>
  <c r="U25" i="2" l="1"/>
  <c r="U32" i="2" s="1"/>
  <c r="U26" i="2" l="1"/>
  <c r="U27" i="2"/>
  <c r="V26" i="2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F5" i="2" s="1"/>
  <c r="F6" i="2" s="1"/>
  <c r="F7" i="2" s="1"/>
  <c r="G7" i="2" s="1"/>
  <c r="U40" i="2"/>
</calcChain>
</file>

<file path=xl/sharedStrings.xml><?xml version="1.0" encoding="utf-8"?>
<sst xmlns="http://schemas.openxmlformats.org/spreadsheetml/2006/main" count="130" uniqueCount="84">
  <si>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</si>
  <si>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</si>
  <si>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</si>
  <si>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</si>
  <si>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</si>
  <si>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</si>
  <si>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</si>
  <si>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</si>
  <si>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</si>
  <si>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</si>
  <si>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</si>
  <si>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</si>
  <si>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</si>
  <si>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</si>
  <si>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</si>
  <si>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</si>
  <si>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</si>
  <si>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</si>
  <si>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</si>
  <si>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</si>
  <si>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</si>
  <si>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</si>
  <si>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</si>
  <si>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</si>
  <si>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</si>
  <si>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</si>
  <si>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</si>
  <si>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</si>
  <si>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</si>
  <si>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</si>
  <si>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</si>
  <si>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</si>
  <si>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</si>
  <si>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</si>
  <si>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</si>
  <si>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</si>
  <si>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</si>
  <si>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</si>
  <si>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</si>
  <si>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</si>
  <si>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</si>
  <si>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</si>
  <si>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</si>
  <si>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</si>
  <si>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</si>
  <si>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</si>
  <si>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</si>
  <si>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</si>
  <si>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</si>
  <si>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</si>
  <si>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</si>
  <si>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</si>
  <si>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</si>
  <si>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</si>
  <si>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</si>
  <si>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</si>
  <si>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</si>
  <si>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</si>
  <si>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</si>
  <si>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ARPU</t>
  </si>
  <si>
    <t>ARPU y/y</t>
  </si>
  <si>
    <t>Subscription</t>
  </si>
  <si>
    <t>Subscription y/y</t>
  </si>
  <si>
    <t>Operating Expenses y/y</t>
  </si>
  <si>
    <t>Q120</t>
  </si>
  <si>
    <t>Q221</t>
  </si>
  <si>
    <t>Q321</t>
  </si>
  <si>
    <t>Q420</t>
  </si>
  <si>
    <t>Products</t>
  </si>
  <si>
    <t>2019-09-31</t>
  </si>
  <si>
    <t>2018-09-31</t>
  </si>
  <si>
    <t>2017-09-31</t>
  </si>
  <si>
    <t>Cloudflare Inc (NET)</t>
  </si>
  <si>
    <t>Matthew Prince</t>
  </si>
  <si>
    <t>Cloudflare.com</t>
  </si>
  <si>
    <t>Security and threat management platform</t>
  </si>
  <si>
    <t>https://www.cloudflare.com/</t>
  </si>
  <si>
    <t>Paying customers</t>
  </si>
  <si>
    <t>Paying customers y/y</t>
  </si>
  <si>
    <t>Q320</t>
  </si>
  <si>
    <t>Q121</t>
  </si>
  <si>
    <t>Q220</t>
  </si>
  <si>
    <t>Q421</t>
  </si>
  <si>
    <t>NRR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</si>
</sst>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00"/>
  </numFmts>
  <fonts count="8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9" fontId="6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4" fillId="0" borderId="0" xfId="4" applyBorder="1"/>
    <xf numFmtId="14" fontId="6" fillId="0" borderId="1" xfId="0" applyNumberFormat="1" applyFont="1" applyBorder="1" applyAlignment="1">
      <alignment horizontal="right"/>
    </xf>
    <xf numFmtId="3" fontId="0" fillId="0" borderId="0" xfId="0" applyNumberFormat="1" applyFont="1" applyBorder="1"/>
    <xf numFmtId="14" fontId="6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/>
    <xf numFmtId="0" fontId="0" fillId="0" borderId="0" xfId="0" applyFont="1"/>
    <xf numFmtId="3" fontId="0" fillId="0" borderId="0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166" fontId="6" fillId="0" borderId="0" xfId="0" applyNumberFormat="1" applyFont="1" applyBorder="1" applyAlignment="1">
      <alignment horizontal="right"/>
    </xf>
    <xf numFmtId="166" fontId="6" fillId="0" borderId="0" xfId="0" applyNumberFormat="1" applyFont="1" applyBorder="1"/>
    <xf numFmtId="166" fontId="6" fillId="0" borderId="1" xfId="0" applyNumberFormat="1" applyFont="1" applyBorder="1" applyAlignment="1">
      <alignment horizontal="right"/>
    </xf>
    <xf numFmtId="3" fontId="0" fillId="2" borderId="0" xfId="0" applyNumberFormat="1" applyFont="1" applyFill="1" applyBorder="1" applyAlignment="1">
      <alignment horizontal="right"/>
    </xf>
    <xf numFmtId="3" fontId="0" fillId="2" borderId="1" xfId="0" applyNumberFormat="1" applyFont="1" applyFill="1" applyBorder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 applyAlignment="1">
      <alignment horizontal="right"/>
    </xf>
    <xf numFmtId="166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9" fontId="0" fillId="0" borderId="0" xfId="0" applyNumberFormat="1" applyFont="1" applyFill="1" applyBorder="1"/>
    <xf numFmtId="3" fontId="6" fillId="0" borderId="0" xfId="0" applyNumberFormat="1" applyFont="1" applyFill="1" applyBorder="1"/>
    <xf numFmtId="3" fontId="5" fillId="0" borderId="0" xfId="0" applyNumberFormat="1" applyFont="1" applyFill="1" applyBorder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126022</xdr:colOff>
      <xdr:row>7</xdr:row>
      <xdr:rowOff>152400</xdr:rowOff>
    </xdr:from>
    <xdr:to>
      <xdr:col>6</xdr:col>
      <xdr:colOff>126022</xdr:colOff>
      <xdr:row>60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831253" y="1314938"/>
          <a:ext cx="0" cy="866237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190143</xdr:colOff>
      <xdr:row>0</xdr:row>
      <xdr:rowOff>152400</xdr:rowOff>
    </xdr:from>
    <xdr:to>
      <xdr:col>17</xdr:col>
      <xdr:colOff>190143</xdr:colOff>
      <xdr:row>56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5029605" y="152400"/>
          <a:ext cx="0" cy="914790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mprince/" TargetMode="External"/><Relationship Id="rId2" Type="http://schemas.openxmlformats.org/officeDocument/2006/relationships/hyperlink" Target="https://www.linkedin.com/in/mprince/" TargetMode="External"/><Relationship Id="rId1" Type="http://schemas.openxmlformats.org/officeDocument/2006/relationships/hyperlink" Target="https://cloudflare.net/home/default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cloudflare&amp;owner=exclude&amp;action=getcompan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oudfla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59"/>
  <sheetViews>
    <sheetView tabSelected="1" zoomScale="130" zoomScaleNormal="130" workbookViewId="0">
      <pane xSplit="1" ySplit="9" topLeftCell="B11" activePane="bottomRight" state="frozen"/>
      <selection pane="topRight" activeCell="B1" sqref="B1"/>
      <selection pane="bottomLeft" activeCell="A11" sqref="A11"/>
      <selection pane="bottomRight" activeCell="H2" sqref="H2"/>
    </sheetView>
  </sheetViews>
  <sheetFormatPr baseColWidth="10" defaultRowHeight="13" x14ac:dyDescent="0.15"/>
  <cols>
    <col min="1" max="1" width="20.33203125" style="3" customWidth="1"/>
    <col min="2" max="16384" width="10.83203125" style="3"/>
  </cols>
  <sheetData>
    <row r="1" spans="1:116" x14ac:dyDescent="0.15">
      <c r="A1" s="58" t="s">
        <v>58</v>
      </c>
      <c r="B1" s="2" t="s">
        <v>72</v>
      </c>
    </row>
    <row r="2" spans="1:116" x14ac:dyDescent="0.15">
      <c r="B2" s="3" t="s">
        <v>40</v>
      </c>
      <c r="C2" s="4">
        <v>71.72</v>
      </c>
      <c r="D2" s="63">
        <v>44252</v>
      </c>
      <c r="E2" s="6" t="s">
        <v>25</v>
      </c>
      <c r="F2" s="7">
        <v>5.0000000000000001E-3</v>
      </c>
      <c r="I2" s="16"/>
      <c r="L2" s="2"/>
    </row>
    <row r="3" spans="1:116" x14ac:dyDescent="0.15">
      <c r="A3" s="2" t="s">
        <v>38</v>
      </c>
      <c r="B3" s="3" t="s">
        <v>17</v>
      </c>
      <c r="C3" s="8">
        <f>Reports!Q21</f>
        <v>303.81299999999999</v>
      </c>
      <c r="D3" s="64" t="s">
        <v>67</v>
      </c>
      <c r="E3" s="6" t="s">
        <v>26</v>
      </c>
      <c r="F3" s="7">
        <v>0.02</v>
      </c>
      <c r="G3" s="5"/>
      <c r="I3" s="16"/>
    </row>
    <row r="4" spans="1:116" x14ac:dyDescent="0.15">
      <c r="A4" s="65" t="s">
        <v>73</v>
      </c>
      <c r="B4" s="3" t="s">
        <v>41</v>
      </c>
      <c r="C4" s="10">
        <f>C2*C3</f>
        <v>21789.468359999999</v>
      </c>
      <c r="D4" s="64"/>
      <c r="E4" s="6" t="s">
        <v>27</v>
      </c>
      <c r="F4" s="7">
        <v>0.06</v>
      </c>
      <c r="G4" s="5"/>
      <c r="I4" s="20"/>
      <c r="L4" s="9"/>
    </row>
    <row r="5" spans="1:116" x14ac:dyDescent="0.15">
      <c r="B5" s="3" t="s">
        <v>22</v>
      </c>
      <c r="C5" s="8">
        <f>Reports!Q33</f>
        <v>649</v>
      </c>
      <c r="D5" s="64" t="s">
        <v>67</v>
      </c>
      <c r="E5" s="6" t="s">
        <v>28</v>
      </c>
      <c r="F5" s="11">
        <f>NPV(F4,F26:GQ26)</f>
        <v>15520.580374280578</v>
      </c>
      <c r="G5" s="5"/>
      <c r="I5" s="20"/>
    </row>
    <row r="6" spans="1:116" x14ac:dyDescent="0.15">
      <c r="A6" s="2" t="s">
        <v>39</v>
      </c>
      <c r="B6" s="3" t="s">
        <v>42</v>
      </c>
      <c r="C6" s="10">
        <f>C4-C5</f>
        <v>21140.468359999999</v>
      </c>
      <c r="D6" s="64"/>
      <c r="E6" s="12" t="s">
        <v>29</v>
      </c>
      <c r="F6" s="13">
        <f>F5+C5</f>
        <v>16169.580374280578</v>
      </c>
      <c r="I6" s="20"/>
    </row>
    <row r="7" spans="1:116" x14ac:dyDescent="0.15">
      <c r="A7" s="65" t="s">
        <v>73</v>
      </c>
      <c r="B7" s="5" t="s">
        <v>43</v>
      </c>
      <c r="C7" s="45">
        <f>C6/C3</f>
        <v>69.583817545661304</v>
      </c>
      <c r="D7" s="64"/>
      <c r="E7" s="14" t="s">
        <v>43</v>
      </c>
      <c r="F7" s="44">
        <f>F6/C3</f>
        <v>53.222147749703204</v>
      </c>
      <c r="G7" s="20">
        <f>F7/C2-1</f>
        <v>-0.25791762758361403</v>
      </c>
    </row>
    <row r="8" spans="1:116" x14ac:dyDescent="0.15">
      <c r="A8" s="9"/>
      <c r="D8" s="6"/>
      <c r="E8" s="15"/>
    </row>
    <row r="9" spans="1:116" x14ac:dyDescent="0.15">
      <c r="B9" s="40">
        <v>2016</v>
      </c>
      <c r="C9" s="40">
        <v>2017</v>
      </c>
      <c r="D9" s="40">
        <f>C9+1</f>
        <v>2018</v>
      </c>
      <c r="E9" s="40">
        <f t="shared" ref="E9:U9" si="0">D9+1</f>
        <v>2019</v>
      </c>
      <c r="F9" s="40">
        <f t="shared" si="0"/>
        <v>2020</v>
      </c>
      <c r="G9" s="40">
        <f t="shared" si="0"/>
        <v>2021</v>
      </c>
      <c r="H9" s="40">
        <f t="shared" si="0"/>
        <v>2022</v>
      </c>
      <c r="I9" s="40">
        <f t="shared" si="0"/>
        <v>2023</v>
      </c>
      <c r="J9" s="40">
        <f t="shared" si="0"/>
        <v>2024</v>
      </c>
      <c r="K9" s="40">
        <f t="shared" si="0"/>
        <v>2025</v>
      </c>
      <c r="L9" s="40">
        <f t="shared" si="0"/>
        <v>2026</v>
      </c>
      <c r="M9" s="40">
        <f t="shared" si="0"/>
        <v>2027</v>
      </c>
      <c r="N9" s="40">
        <f t="shared" si="0"/>
        <v>2028</v>
      </c>
      <c r="O9" s="40">
        <f t="shared" si="0"/>
        <v>2029</v>
      </c>
      <c r="P9" s="40">
        <f t="shared" si="0"/>
        <v>2030</v>
      </c>
      <c r="Q9" s="40">
        <f t="shared" si="0"/>
        <v>2031</v>
      </c>
      <c r="R9" s="40">
        <f t="shared" si="0"/>
        <v>2032</v>
      </c>
      <c r="S9" s="40">
        <f t="shared" si="0"/>
        <v>2033</v>
      </c>
      <c r="T9" s="40">
        <f t="shared" si="0"/>
        <v>2034</v>
      </c>
      <c r="U9" s="40">
        <f t="shared" si="0"/>
        <v>2035</v>
      </c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</row>
    <row r="10" spans="1:116" x14ac:dyDescent="0.15">
      <c r="A10" s="8" t="s">
        <v>61</v>
      </c>
      <c r="B10" s="24">
        <v>84.790999999999997</v>
      </c>
      <c r="C10" s="39">
        <f>SUM(Reports!B3:E3)</f>
        <v>134.51</v>
      </c>
      <c r="D10" s="39">
        <f>SUM(Reports!F3:I3)</f>
        <v>192.85</v>
      </c>
      <c r="E10" s="39">
        <f>SUM(Reports!J3:M3)</f>
        <v>287.02200000000005</v>
      </c>
      <c r="F10" s="39">
        <f>SUM(Reports!N3:Q3)</f>
        <v>431.05900000000003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</row>
    <row r="11" spans="1:116" x14ac:dyDescent="0.15">
      <c r="B11" s="24"/>
      <c r="C11" s="39"/>
      <c r="D11" s="39"/>
      <c r="E11" s="39"/>
      <c r="F11" s="39"/>
      <c r="G11" s="39"/>
      <c r="H11" s="3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</row>
    <row r="12" spans="1:116" s="76" customFormat="1" x14ac:dyDescent="0.15">
      <c r="A12" s="76" t="s">
        <v>77</v>
      </c>
      <c r="B12" s="77"/>
      <c r="C12" s="78"/>
      <c r="D12" s="78">
        <f>Reports!I5</f>
        <v>6.7899000000000001E-2</v>
      </c>
      <c r="E12" s="78">
        <f>Reports!M5</f>
        <v>8.2881999999999997E-2</v>
      </c>
      <c r="F12" s="78">
        <f>Reports!Q5</f>
        <v>0.111</v>
      </c>
      <c r="G12" s="78">
        <f>F12*1.25</f>
        <v>0.13875000000000001</v>
      </c>
      <c r="H12" s="78">
        <f t="shared" ref="H12:K12" si="1">G12*1.25</f>
        <v>0.17343750000000002</v>
      </c>
      <c r="I12" s="78">
        <f t="shared" si="1"/>
        <v>0.21679687500000003</v>
      </c>
      <c r="J12" s="78">
        <f t="shared" si="1"/>
        <v>0.27099609375000006</v>
      </c>
      <c r="K12" s="78">
        <f t="shared" si="1"/>
        <v>0.33874511718750006</v>
      </c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</row>
    <row r="13" spans="1:116" s="16" customFormat="1" x14ac:dyDescent="0.15">
      <c r="A13" s="16" t="s">
        <v>59</v>
      </c>
      <c r="B13" s="24"/>
      <c r="C13" s="39"/>
      <c r="D13" s="55">
        <f>SUM(D10)/D12</f>
        <v>2840.2480154346895</v>
      </c>
      <c r="E13" s="55">
        <f>SUM(E10)/E12</f>
        <v>3463.0197147752233</v>
      </c>
      <c r="F13" s="55">
        <f>SUM(F10)/F12</f>
        <v>3883.4144144144148</v>
      </c>
      <c r="G13" s="39">
        <f>F13*1.1</f>
        <v>4271.7558558558567</v>
      </c>
      <c r="H13" s="39">
        <f t="shared" ref="H13:K13" si="2">G13*1.1</f>
        <v>4698.931441441443</v>
      </c>
      <c r="I13" s="39">
        <f t="shared" si="2"/>
        <v>5168.8245855855876</v>
      </c>
      <c r="J13" s="39">
        <f t="shared" si="2"/>
        <v>5685.7070441441465</v>
      </c>
      <c r="K13" s="39">
        <f t="shared" si="2"/>
        <v>6254.2777485585621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</row>
    <row r="14" spans="1:116" s="69" customFormat="1" x14ac:dyDescent="0.15">
      <c r="E14" s="70"/>
      <c r="F14" s="70">
        <v>422.5</v>
      </c>
      <c r="G14" s="70">
        <v>589</v>
      </c>
      <c r="H14" s="70"/>
    </row>
    <row r="15" spans="1:116" x14ac:dyDescent="0.15">
      <c r="A15" s="2" t="s">
        <v>4</v>
      </c>
      <c r="B15" s="25">
        <f t="shared" ref="B15:C15" si="3">SUM(B10:B10)</f>
        <v>84.790999999999997</v>
      </c>
      <c r="C15" s="25">
        <f t="shared" si="3"/>
        <v>134.51</v>
      </c>
      <c r="D15" s="25">
        <f t="shared" ref="D15:K15" si="4">D13*D12</f>
        <v>192.85</v>
      </c>
      <c r="E15" s="25">
        <f t="shared" si="4"/>
        <v>287.02200000000005</v>
      </c>
      <c r="F15" s="25">
        <f t="shared" si="4"/>
        <v>431.05900000000003</v>
      </c>
      <c r="G15" s="48">
        <f>G13*G12</f>
        <v>592.70612500000016</v>
      </c>
      <c r="H15" s="48">
        <f t="shared" si="4"/>
        <v>814.97092187500039</v>
      </c>
      <c r="I15" s="48">
        <f t="shared" si="4"/>
        <v>1120.5850175781256</v>
      </c>
      <c r="J15" s="48">
        <f t="shared" si="4"/>
        <v>1540.8043991699228</v>
      </c>
      <c r="K15" s="48">
        <f t="shared" si="4"/>
        <v>2118.606048858644</v>
      </c>
      <c r="L15" s="48">
        <f>K15*1.2</f>
        <v>2542.3272586303729</v>
      </c>
      <c r="M15" s="48">
        <f t="shared" ref="M15:P15" si="5">L15*1.2</f>
        <v>3050.7927103564475</v>
      </c>
      <c r="N15" s="48">
        <f t="shared" si="5"/>
        <v>3660.951252427737</v>
      </c>
      <c r="O15" s="48">
        <f t="shared" si="5"/>
        <v>4393.1415029132841</v>
      </c>
      <c r="P15" s="48">
        <f t="shared" si="5"/>
        <v>5271.7698034959403</v>
      </c>
      <c r="Q15" s="48">
        <f t="shared" ref="P15:U15" si="6">P15*1.1</f>
        <v>5798.9467838455348</v>
      </c>
      <c r="R15" s="48">
        <f t="shared" si="6"/>
        <v>6378.8414622300888</v>
      </c>
      <c r="S15" s="48">
        <f t="shared" si="6"/>
        <v>7016.7256084530982</v>
      </c>
      <c r="T15" s="48">
        <f t="shared" si="6"/>
        <v>7718.3981692984089</v>
      </c>
      <c r="U15" s="48">
        <f t="shared" si="6"/>
        <v>8490.2379862282505</v>
      </c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</row>
    <row r="16" spans="1:116" x14ac:dyDescent="0.15">
      <c r="A16" s="3" t="s">
        <v>5</v>
      </c>
      <c r="B16" s="24">
        <v>23.962</v>
      </c>
      <c r="C16" s="39">
        <f>SUM(Reports!B9:E9)</f>
        <v>28.788</v>
      </c>
      <c r="D16" s="39">
        <f>SUM(Reports!F9:I9)</f>
        <v>43.53</v>
      </c>
      <c r="E16" s="39">
        <f>SUM(Reports!J9:M9)</f>
        <v>63.591000000000001</v>
      </c>
      <c r="F16" s="39">
        <f>SUM(Reports!N9:Q9)</f>
        <v>101.05499999999999</v>
      </c>
      <c r="G16" s="24">
        <f t="shared" ref="G16" si="7">G15-G17</f>
        <v>138.95062500000006</v>
      </c>
      <c r="H16" s="24">
        <f t="shared" ref="H16:O16" si="8">H15-H17</f>
        <v>191.0571093750001</v>
      </c>
      <c r="I16" s="24">
        <f t="shared" si="8"/>
        <v>262.70352539062515</v>
      </c>
      <c r="J16" s="24">
        <f>J15-J17</f>
        <v>361.21734741210958</v>
      </c>
      <c r="K16" s="24">
        <f t="shared" si="8"/>
        <v>496.67385269165084</v>
      </c>
      <c r="L16" s="24">
        <f t="shared" si="8"/>
        <v>596.00862322998091</v>
      </c>
      <c r="M16" s="24">
        <f t="shared" si="8"/>
        <v>715.21034787597728</v>
      </c>
      <c r="N16" s="24">
        <f t="shared" si="8"/>
        <v>858.25241745117273</v>
      </c>
      <c r="O16" s="24">
        <f t="shared" si="8"/>
        <v>1029.9029009414071</v>
      </c>
      <c r="P16" s="24">
        <f t="shared" ref="P16" si="9">P15-P17</f>
        <v>1235.8834811296883</v>
      </c>
      <c r="Q16" s="24">
        <f t="shared" ref="P16:T16" si="10">Q15-Q17</f>
        <v>1359.4718292426569</v>
      </c>
      <c r="R16" s="24">
        <f t="shared" si="10"/>
        <v>1495.4190121669235</v>
      </c>
      <c r="S16" s="24">
        <f t="shared" si="10"/>
        <v>1644.9609133836166</v>
      </c>
      <c r="T16" s="24">
        <f t="shared" si="10"/>
        <v>1809.4570047219777</v>
      </c>
      <c r="U16" s="24">
        <f t="shared" ref="U16" si="11">U15-U17</f>
        <v>1990.4027051941757</v>
      </c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</row>
    <row r="17" spans="1:199" x14ac:dyDescent="0.15">
      <c r="A17" s="3" t="s">
        <v>6</v>
      </c>
      <c r="B17" s="27">
        <f>B15-B16</f>
        <v>60.828999999999994</v>
      </c>
      <c r="C17" s="27">
        <f>C15-C16</f>
        <v>105.72199999999999</v>
      </c>
      <c r="D17" s="27">
        <f>D15-D16</f>
        <v>149.32</v>
      </c>
      <c r="E17" s="27">
        <f>E15-E16</f>
        <v>223.43100000000004</v>
      </c>
      <c r="F17" s="27">
        <f>F15-F16</f>
        <v>330.00400000000002</v>
      </c>
      <c r="G17" s="24">
        <f t="shared" ref="G17:U17" si="12">G15*F30</f>
        <v>453.7555000000001</v>
      </c>
      <c r="H17" s="24">
        <f t="shared" si="12"/>
        <v>623.91381250000029</v>
      </c>
      <c r="I17" s="24">
        <f t="shared" si="12"/>
        <v>857.8814921875005</v>
      </c>
      <c r="J17" s="24">
        <f>J15*I30</f>
        <v>1179.5870517578132</v>
      </c>
      <c r="K17" s="24">
        <f t="shared" si="12"/>
        <v>1621.9321961669932</v>
      </c>
      <c r="L17" s="24">
        <f t="shared" si="12"/>
        <v>1946.3186354003919</v>
      </c>
      <c r="M17" s="24">
        <f t="shared" si="12"/>
        <v>2335.5823624804702</v>
      </c>
      <c r="N17" s="24">
        <f t="shared" si="12"/>
        <v>2802.6988349765643</v>
      </c>
      <c r="O17" s="24">
        <f t="shared" si="12"/>
        <v>3363.238601971877</v>
      </c>
      <c r="P17" s="24">
        <f t="shared" si="12"/>
        <v>4035.886322366252</v>
      </c>
      <c r="Q17" s="24">
        <f t="shared" si="12"/>
        <v>4439.4749546028779</v>
      </c>
      <c r="R17" s="24">
        <f t="shared" si="12"/>
        <v>4883.4224500631653</v>
      </c>
      <c r="S17" s="24">
        <f t="shared" si="12"/>
        <v>5371.7646950694816</v>
      </c>
      <c r="T17" s="24">
        <f t="shared" si="12"/>
        <v>5908.9411645764312</v>
      </c>
      <c r="U17" s="24">
        <f t="shared" si="12"/>
        <v>6499.8352810340748</v>
      </c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</row>
    <row r="18" spans="1:199" x14ac:dyDescent="0.15">
      <c r="A18" s="3" t="s">
        <v>7</v>
      </c>
      <c r="B18" s="24">
        <v>24</v>
      </c>
      <c r="C18" s="39">
        <f>SUM(Reports!B11:E11)</f>
        <v>32</v>
      </c>
      <c r="D18" s="39">
        <f>SUM(Reports!F11:I11)</f>
        <v>54</v>
      </c>
      <c r="E18" s="39">
        <f>SUM(Reports!J11:M11)</f>
        <v>91</v>
      </c>
      <c r="F18" s="39">
        <f>SUM(Reports!N11:Q11)</f>
        <v>127</v>
      </c>
      <c r="G18" s="24">
        <f t="shared" ref="G18:J18" si="13">F18*1.35</f>
        <v>171.45000000000002</v>
      </c>
      <c r="H18" s="24">
        <f t="shared" ref="H18" si="14">G18*1.35</f>
        <v>231.45750000000004</v>
      </c>
      <c r="I18" s="24">
        <f t="shared" ref="I18" si="15">H18*1.35</f>
        <v>312.46762500000006</v>
      </c>
      <c r="J18" s="24">
        <f t="shared" ref="J18" si="16">I18*1.35</f>
        <v>421.8312937500001</v>
      </c>
      <c r="K18" s="24">
        <f t="shared" ref="K18" si="17">J18*1.35</f>
        <v>569.47224656250012</v>
      </c>
      <c r="L18" s="24">
        <f>K18*1.2</f>
        <v>683.36669587500012</v>
      </c>
      <c r="M18" s="24">
        <f t="shared" ref="M18:P18" si="18">L18*1.2</f>
        <v>820.04003505000014</v>
      </c>
      <c r="N18" s="24">
        <f t="shared" si="18"/>
        <v>984.04804206000017</v>
      </c>
      <c r="O18" s="24">
        <f t="shared" si="18"/>
        <v>1180.8576504720002</v>
      </c>
      <c r="P18" s="24">
        <f t="shared" si="18"/>
        <v>1417.0291805664001</v>
      </c>
      <c r="Q18" s="24">
        <f t="shared" ref="L18:U19" si="19">P18*1.1</f>
        <v>1558.7320986230402</v>
      </c>
      <c r="R18" s="24">
        <f t="shared" si="19"/>
        <v>1714.6053084853443</v>
      </c>
      <c r="S18" s="24">
        <f t="shared" si="19"/>
        <v>1886.0658393338788</v>
      </c>
      <c r="T18" s="24">
        <f t="shared" si="19"/>
        <v>2074.6724232672668</v>
      </c>
      <c r="U18" s="24">
        <f t="shared" si="19"/>
        <v>2282.1396655939939</v>
      </c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</row>
    <row r="19" spans="1:199" x14ac:dyDescent="0.15">
      <c r="A19" s="3" t="s">
        <v>8</v>
      </c>
      <c r="B19" s="24">
        <v>40</v>
      </c>
      <c r="C19" s="39">
        <f>SUM(Reports!B12:E12)</f>
        <v>62</v>
      </c>
      <c r="D19" s="39">
        <f>SUM(Reports!F12:I12)</f>
        <v>94</v>
      </c>
      <c r="E19" s="39">
        <f>SUM(Reports!J12:M12)</f>
        <v>160</v>
      </c>
      <c r="F19" s="39">
        <f>SUM(Reports!N12:Q12)</f>
        <v>218</v>
      </c>
      <c r="G19" s="24">
        <f t="shared" ref="G19:J19" si="20">F19*1.25</f>
        <v>272.5</v>
      </c>
      <c r="H19" s="24">
        <f t="shared" ref="H19" si="21">G19*1.25</f>
        <v>340.625</v>
      </c>
      <c r="I19" s="24">
        <f t="shared" ref="I19" si="22">H19*1.25</f>
        <v>425.78125</v>
      </c>
      <c r="J19" s="24">
        <f t="shared" ref="J19" si="23">I19*1.25</f>
        <v>532.2265625</v>
      </c>
      <c r="K19" s="24">
        <f t="shared" ref="K19" si="24">J19*1.25</f>
        <v>665.283203125</v>
      </c>
      <c r="L19" s="24">
        <f t="shared" ref="L19:P19" si="25">K19*1.15</f>
        <v>765.07568359374989</v>
      </c>
      <c r="M19" s="24">
        <f t="shared" si="25"/>
        <v>879.83703613281227</v>
      </c>
      <c r="N19" s="24">
        <f t="shared" si="25"/>
        <v>1011.812591552734</v>
      </c>
      <c r="O19" s="24">
        <f t="shared" si="25"/>
        <v>1163.5844802856441</v>
      </c>
      <c r="P19" s="24">
        <f t="shared" si="25"/>
        <v>1338.1221523284905</v>
      </c>
      <c r="Q19" s="24">
        <f>P19*1.1</f>
        <v>1471.9343675613397</v>
      </c>
      <c r="R19" s="24">
        <f t="shared" si="19"/>
        <v>1619.1278043174739</v>
      </c>
      <c r="S19" s="24">
        <f t="shared" si="19"/>
        <v>1781.0405847492214</v>
      </c>
      <c r="T19" s="24">
        <f t="shared" si="19"/>
        <v>1959.1446432241437</v>
      </c>
      <c r="U19" s="24">
        <f t="shared" si="19"/>
        <v>2155.0591075465582</v>
      </c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</row>
    <row r="20" spans="1:199" x14ac:dyDescent="0.15">
      <c r="A20" s="3" t="s">
        <v>9</v>
      </c>
      <c r="B20" s="24">
        <v>14</v>
      </c>
      <c r="C20" s="39">
        <f>SUM(Reports!B13:E13)</f>
        <v>20</v>
      </c>
      <c r="D20" s="39">
        <f>SUM(Reports!F13:I13)</f>
        <v>86</v>
      </c>
      <c r="E20" s="39">
        <f>SUM(Reports!J13:M13)</f>
        <v>82</v>
      </c>
      <c r="F20" s="39">
        <f>SUM(Reports!N13:Q13)</f>
        <v>92</v>
      </c>
      <c r="G20" s="24">
        <f t="shared" ref="G20:J20" si="26">F20*1.15</f>
        <v>105.8</v>
      </c>
      <c r="H20" s="24">
        <f t="shared" ref="H20" si="27">G20*1.15</f>
        <v>121.66999999999999</v>
      </c>
      <c r="I20" s="24">
        <f t="shared" ref="I20" si="28">H20*1.15</f>
        <v>139.92049999999998</v>
      </c>
      <c r="J20" s="24">
        <f t="shared" ref="J20" si="29">I20*1.15</f>
        <v>160.90857499999996</v>
      </c>
      <c r="K20" s="24">
        <f t="shared" ref="K20" si="30">J20*1.15</f>
        <v>185.04486124999994</v>
      </c>
      <c r="L20" s="24">
        <f>K20*1.1</f>
        <v>203.54934737499994</v>
      </c>
      <c r="M20" s="24">
        <f t="shared" ref="M20:P20" si="31">L20*1.1</f>
        <v>223.90428211249994</v>
      </c>
      <c r="N20" s="24">
        <f t="shared" si="31"/>
        <v>246.29471032374997</v>
      </c>
      <c r="O20" s="24">
        <f t="shared" si="31"/>
        <v>270.92418135612496</v>
      </c>
      <c r="P20" s="24">
        <f t="shared" si="31"/>
        <v>298.01659949173751</v>
      </c>
      <c r="Q20" s="24">
        <f>P20*1.05</f>
        <v>312.91742946632439</v>
      </c>
      <c r="R20" s="24">
        <f t="shared" ref="P19:U20" si="32">Q20*1.05</f>
        <v>328.56330093964061</v>
      </c>
      <c r="S20" s="24">
        <f t="shared" si="32"/>
        <v>344.99146598662264</v>
      </c>
      <c r="T20" s="24">
        <f t="shared" si="32"/>
        <v>362.24103928595378</v>
      </c>
      <c r="U20" s="24">
        <f t="shared" si="32"/>
        <v>380.35309125025145</v>
      </c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</row>
    <row r="21" spans="1:199" x14ac:dyDescent="0.15">
      <c r="A21" s="3" t="s">
        <v>10</v>
      </c>
      <c r="B21" s="27">
        <f>SUM(B18:B20)</f>
        <v>78</v>
      </c>
      <c r="C21" s="27">
        <f>SUM(C18:C20)</f>
        <v>114</v>
      </c>
      <c r="D21" s="27">
        <f>SUM(D18:D20)</f>
        <v>234</v>
      </c>
      <c r="E21" s="27">
        <f>SUM(E18:E20)</f>
        <v>333</v>
      </c>
      <c r="F21" s="27">
        <f>SUM(F18:F20)</f>
        <v>437</v>
      </c>
      <c r="G21" s="24">
        <f t="shared" ref="F21:G21" si="33">SUM(G18:G20)</f>
        <v>549.75</v>
      </c>
      <c r="H21" s="24">
        <f t="shared" ref="H21:O21" si="34">SUM(H18:H20)</f>
        <v>693.75249999999994</v>
      </c>
      <c r="I21" s="24">
        <f t="shared" si="34"/>
        <v>878.16937499999995</v>
      </c>
      <c r="J21" s="24">
        <f t="shared" si="34"/>
        <v>1114.9664312500001</v>
      </c>
      <c r="K21" s="24">
        <f t="shared" si="34"/>
        <v>1419.8003109374999</v>
      </c>
      <c r="L21" s="24">
        <f t="shared" si="34"/>
        <v>1651.99172684375</v>
      </c>
      <c r="M21" s="24">
        <f t="shared" si="34"/>
        <v>1923.7813532953123</v>
      </c>
      <c r="N21" s="24">
        <f t="shared" si="34"/>
        <v>2242.1553439364839</v>
      </c>
      <c r="O21" s="24">
        <f t="shared" si="34"/>
        <v>2615.3663121137688</v>
      </c>
      <c r="P21" s="24">
        <f t="shared" ref="P21" si="35">SUM(P18:P20)</f>
        <v>3053.1679323866279</v>
      </c>
      <c r="Q21" s="24">
        <f t="shared" ref="P21:T21" si="36">SUM(Q18:Q20)</f>
        <v>3343.5838956507041</v>
      </c>
      <c r="R21" s="24">
        <f t="shared" si="36"/>
        <v>3662.2964137424588</v>
      </c>
      <c r="S21" s="24">
        <f t="shared" si="36"/>
        <v>4012.0978900697228</v>
      </c>
      <c r="T21" s="24">
        <f t="shared" si="36"/>
        <v>4396.0581057773643</v>
      </c>
      <c r="U21" s="24">
        <f t="shared" ref="U21" si="37">SUM(U18:U20)</f>
        <v>4817.5518643908026</v>
      </c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</row>
    <row r="22" spans="1:199" x14ac:dyDescent="0.15">
      <c r="A22" s="3" t="s">
        <v>11</v>
      </c>
      <c r="B22" s="27">
        <f>B17-B21</f>
        <v>-17.171000000000006</v>
      </c>
      <c r="C22" s="27">
        <f>C17-C21</f>
        <v>-8.2780000000000058</v>
      </c>
      <c r="D22" s="27">
        <f>D17-D21</f>
        <v>-84.68</v>
      </c>
      <c r="E22" s="27">
        <f>E17-E21</f>
        <v>-109.56899999999996</v>
      </c>
      <c r="F22" s="27">
        <f>F17-F21</f>
        <v>-106.99599999999998</v>
      </c>
      <c r="G22" s="24">
        <f t="shared" ref="F22:G22" si="38">G17-G21</f>
        <v>-95.994499999999903</v>
      </c>
      <c r="H22" s="24">
        <f t="shared" ref="H22:O22" si="39">H17-H21</f>
        <v>-69.838687499999651</v>
      </c>
      <c r="I22" s="24">
        <f t="shared" si="39"/>
        <v>-20.287882812499447</v>
      </c>
      <c r="J22" s="24">
        <f t="shared" si="39"/>
        <v>64.620620507813101</v>
      </c>
      <c r="K22" s="24">
        <f t="shared" si="39"/>
        <v>202.13188522949326</v>
      </c>
      <c r="L22" s="24">
        <f t="shared" si="39"/>
        <v>294.32690855664191</v>
      </c>
      <c r="M22" s="24">
        <f t="shared" si="39"/>
        <v>411.80100918515791</v>
      </c>
      <c r="N22" s="24">
        <f t="shared" si="39"/>
        <v>560.54349104008043</v>
      </c>
      <c r="O22" s="24">
        <f t="shared" si="39"/>
        <v>747.87228985810816</v>
      </c>
      <c r="P22" s="24">
        <f t="shared" ref="P22" si="40">P17-P21</f>
        <v>982.71838997962413</v>
      </c>
      <c r="Q22" s="24">
        <f t="shared" ref="P22:T22" si="41">Q17-Q21</f>
        <v>1095.8910589521738</v>
      </c>
      <c r="R22" s="24">
        <f t="shared" si="41"/>
        <v>1221.1260363207066</v>
      </c>
      <c r="S22" s="24">
        <f t="shared" si="41"/>
        <v>1359.6668049997588</v>
      </c>
      <c r="T22" s="24">
        <f t="shared" si="41"/>
        <v>1512.8830587990669</v>
      </c>
      <c r="U22" s="24">
        <f t="shared" ref="U22" si="42">U17-U21</f>
        <v>1682.2834166432722</v>
      </c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</row>
    <row r="23" spans="1:199" x14ac:dyDescent="0.15">
      <c r="A23" s="3" t="s">
        <v>12</v>
      </c>
      <c r="B23" s="24">
        <v>0</v>
      </c>
      <c r="C23" s="39">
        <f>SUM(Reports!B16:E16)</f>
        <v>0</v>
      </c>
      <c r="D23" s="39">
        <f>SUM(Reports!F16:I16)</f>
        <v>1.7690000000000001</v>
      </c>
      <c r="E23" s="39">
        <f>SUM(Reports!J16:M16)</f>
        <v>2</v>
      </c>
      <c r="F23" s="39">
        <f>SUM(Reports!N16:Q16)</f>
        <v>-18</v>
      </c>
      <c r="G23" s="24">
        <f t="shared" ref="F23:U23" si="43">F40*$F$3</f>
        <v>12.98</v>
      </c>
      <c r="H23" s="24">
        <f t="shared" si="43"/>
        <v>11.319710000000002</v>
      </c>
      <c r="I23" s="24">
        <f t="shared" si="43"/>
        <v>10.14933045000001</v>
      </c>
      <c r="J23" s="24">
        <f t="shared" si="43"/>
        <v>9.9465594027500206</v>
      </c>
      <c r="K23" s="24">
        <f t="shared" si="43"/>
        <v>11.214201461229592</v>
      </c>
      <c r="L23" s="24">
        <f t="shared" si="43"/>
        <v>14.841084934971882</v>
      </c>
      <c r="M23" s="24">
        <f t="shared" si="43"/>
        <v>20.096940824329319</v>
      </c>
      <c r="N23" s="24">
        <f t="shared" si="43"/>
        <v>27.439205974490601</v>
      </c>
      <c r="O23" s="24">
        <f t="shared" si="43"/>
        <v>37.434911823738311</v>
      </c>
      <c r="P23" s="24">
        <f t="shared" si="43"/>
        <v>50.785134252329698</v>
      </c>
      <c r="Q23" s="24">
        <f t="shared" si="43"/>
        <v>68.354694164272914</v>
      </c>
      <c r="R23" s="24">
        <f t="shared" si="43"/>
        <v>88.146871967252508</v>
      </c>
      <c r="S23" s="24">
        <f t="shared" si="43"/>
        <v>110.40451140814781</v>
      </c>
      <c r="T23" s="24">
        <f t="shared" si="43"/>
        <v>135.39572378708223</v>
      </c>
      <c r="U23" s="24">
        <f t="shared" si="43"/>
        <v>163.41646309104675</v>
      </c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</row>
    <row r="24" spans="1:199" x14ac:dyDescent="0.15">
      <c r="A24" s="3" t="s">
        <v>13</v>
      </c>
      <c r="B24" s="27">
        <f>B22+B23</f>
        <v>-17.171000000000006</v>
      </c>
      <c r="C24" s="27">
        <f>C22+C23</f>
        <v>-8.2780000000000058</v>
      </c>
      <c r="D24" s="27">
        <f>D22+D23</f>
        <v>-82.911000000000001</v>
      </c>
      <c r="E24" s="27">
        <f>E22+E23</f>
        <v>-107.56899999999996</v>
      </c>
      <c r="F24" s="27">
        <f>F22+F23</f>
        <v>-124.99599999999998</v>
      </c>
      <c r="G24" s="24">
        <f t="shared" ref="F24:G24" si="44">G22+G23</f>
        <v>-83.014499999999899</v>
      </c>
      <c r="H24" s="24">
        <f t="shared" ref="H24" si="45">H22+H23</f>
        <v>-58.51897749999965</v>
      </c>
      <c r="I24" s="24">
        <f t="shared" ref="I24" si="46">I22+I23</f>
        <v>-10.138552362499437</v>
      </c>
      <c r="J24" s="24">
        <f t="shared" ref="J24" si="47">J22+J23</f>
        <v>74.567179910563127</v>
      </c>
      <c r="K24" s="24">
        <f t="shared" ref="K24" si="48">K22+K23</f>
        <v>213.34608669072287</v>
      </c>
      <c r="L24" s="24">
        <f t="shared" ref="L24" si="49">L22+L23</f>
        <v>309.1679934916138</v>
      </c>
      <c r="M24" s="24">
        <f t="shared" ref="M24" si="50">M22+M23</f>
        <v>431.8979500094872</v>
      </c>
      <c r="N24" s="24">
        <f t="shared" ref="N24" si="51">N22+N23</f>
        <v>587.98269701457104</v>
      </c>
      <c r="O24" s="24">
        <f t="shared" ref="O24:P24" si="52">O22+O23</f>
        <v>785.30720168184644</v>
      </c>
      <c r="P24" s="24">
        <f t="shared" ref="P24" si="53">P22+P23</f>
        <v>1033.5035242319539</v>
      </c>
      <c r="Q24" s="24">
        <f t="shared" ref="Q24:T24" si="54">Q22+Q23</f>
        <v>1164.2457531164466</v>
      </c>
      <c r="R24" s="24">
        <f t="shared" si="54"/>
        <v>1309.2729082879591</v>
      </c>
      <c r="S24" s="24">
        <f t="shared" si="54"/>
        <v>1470.0713164079066</v>
      </c>
      <c r="T24" s="24">
        <f t="shared" si="54"/>
        <v>1648.2787825861492</v>
      </c>
      <c r="U24" s="24">
        <f t="shared" ref="U24" si="55">U22+U23</f>
        <v>1845.699879734319</v>
      </c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</row>
    <row r="25" spans="1:199" x14ac:dyDescent="0.15">
      <c r="A25" s="3" t="s">
        <v>14</v>
      </c>
      <c r="B25" s="24">
        <v>0</v>
      </c>
      <c r="C25" s="39">
        <f>SUM(Reports!B18:E18)</f>
        <v>1</v>
      </c>
      <c r="D25" s="39">
        <f>SUM(Reports!F18:I18)</f>
        <v>0</v>
      </c>
      <c r="E25" s="39">
        <f>SUM(Reports!J18:M18)</f>
        <v>1</v>
      </c>
      <c r="F25" s="39">
        <f>SUM(Reports!N18:Q18)</f>
        <v>-6</v>
      </c>
      <c r="G25" s="24">
        <v>0</v>
      </c>
      <c r="H25" s="24">
        <v>0</v>
      </c>
      <c r="I25" s="24">
        <v>0</v>
      </c>
      <c r="J25" s="24">
        <f t="shared" ref="I25:T25" si="56">J24*0.15</f>
        <v>11.185076986584468</v>
      </c>
      <c r="K25" s="24">
        <f t="shared" si="56"/>
        <v>32.001913003608429</v>
      </c>
      <c r="L25" s="24">
        <f t="shared" si="56"/>
        <v>46.37519902374207</v>
      </c>
      <c r="M25" s="24">
        <f t="shared" si="56"/>
        <v>64.784692501423081</v>
      </c>
      <c r="N25" s="24">
        <f t="shared" si="56"/>
        <v>88.19740455218566</v>
      </c>
      <c r="O25" s="24">
        <f t="shared" si="56"/>
        <v>117.79608025227697</v>
      </c>
      <c r="P25" s="24">
        <f t="shared" ref="P25" si="57">P24*0.15</f>
        <v>155.02552863479306</v>
      </c>
      <c r="Q25" s="24">
        <f t="shared" si="56"/>
        <v>174.63686296746698</v>
      </c>
      <c r="R25" s="24">
        <f t="shared" si="56"/>
        <v>196.39093624319386</v>
      </c>
      <c r="S25" s="24">
        <f t="shared" si="56"/>
        <v>220.51069746118597</v>
      </c>
      <c r="T25" s="24">
        <f t="shared" si="56"/>
        <v>247.24181738792237</v>
      </c>
      <c r="U25" s="24">
        <f t="shared" ref="U25" si="58">U24*0.15</f>
        <v>276.85498196014782</v>
      </c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</row>
    <row r="26" spans="1:199" s="2" customFormat="1" x14ac:dyDescent="0.15">
      <c r="A26" s="2" t="s">
        <v>15</v>
      </c>
      <c r="B26" s="25">
        <f>B24-B25</f>
        <v>-17.171000000000006</v>
      </c>
      <c r="C26" s="25">
        <f>C24-C25</f>
        <v>-9.2780000000000058</v>
      </c>
      <c r="D26" s="25">
        <f>D24-D25</f>
        <v>-82.911000000000001</v>
      </c>
      <c r="E26" s="25">
        <f t="shared" ref="E26:G26" si="59">E24-E25</f>
        <v>-108.56899999999996</v>
      </c>
      <c r="F26" s="25">
        <f>F24-F25</f>
        <v>-118.99599999999998</v>
      </c>
      <c r="G26" s="25">
        <f t="shared" si="59"/>
        <v>-83.014499999999899</v>
      </c>
      <c r="H26" s="25">
        <f t="shared" ref="H26:O26" si="60">H24-H25</f>
        <v>-58.51897749999965</v>
      </c>
      <c r="I26" s="25">
        <f t="shared" si="60"/>
        <v>-10.138552362499437</v>
      </c>
      <c r="J26" s="25">
        <f t="shared" si="60"/>
        <v>63.382102923978657</v>
      </c>
      <c r="K26" s="25">
        <f t="shared" si="60"/>
        <v>181.34417368711445</v>
      </c>
      <c r="L26" s="25">
        <f t="shared" si="60"/>
        <v>262.79279446787172</v>
      </c>
      <c r="M26" s="25">
        <f t="shared" si="60"/>
        <v>367.11325750806412</v>
      </c>
      <c r="N26" s="25">
        <f t="shared" si="60"/>
        <v>499.78529246238537</v>
      </c>
      <c r="O26" s="25">
        <f t="shared" si="60"/>
        <v>667.51112142956947</v>
      </c>
      <c r="P26" s="25">
        <f t="shared" ref="P26" si="61">P24-P25</f>
        <v>878.47799559716077</v>
      </c>
      <c r="Q26" s="25">
        <f t="shared" ref="P26:T26" si="62">Q24-Q25</f>
        <v>989.60889014897964</v>
      </c>
      <c r="R26" s="25">
        <f t="shared" si="62"/>
        <v>1112.8819720447652</v>
      </c>
      <c r="S26" s="25">
        <f t="shared" si="62"/>
        <v>1249.5606189467205</v>
      </c>
      <c r="T26" s="25">
        <f t="shared" si="62"/>
        <v>1401.0369651982269</v>
      </c>
      <c r="U26" s="25">
        <f t="shared" ref="U26" si="63">U24-U25</f>
        <v>1568.8448977741712</v>
      </c>
      <c r="V26" s="25">
        <f t="shared" ref="U26:AZ26" si="64">U26*($F$2+1)</f>
        <v>1576.6891222630418</v>
      </c>
      <c r="W26" s="25">
        <f t="shared" si="64"/>
        <v>1584.5725678743568</v>
      </c>
      <c r="X26" s="25">
        <f t="shared" si="64"/>
        <v>1592.4954307137284</v>
      </c>
      <c r="Y26" s="25">
        <f t="shared" si="64"/>
        <v>1600.4579078672969</v>
      </c>
      <c r="Z26" s="25">
        <f t="shared" si="64"/>
        <v>1608.4601974066331</v>
      </c>
      <c r="AA26" s="25">
        <f t="shared" si="64"/>
        <v>1616.5024983936662</v>
      </c>
      <c r="AB26" s="25">
        <f t="shared" si="64"/>
        <v>1624.5850108856343</v>
      </c>
      <c r="AC26" s="25">
        <f t="shared" si="64"/>
        <v>1632.7079359400623</v>
      </c>
      <c r="AD26" s="25">
        <f t="shared" si="64"/>
        <v>1640.8714756197624</v>
      </c>
      <c r="AE26" s="25">
        <f t="shared" si="64"/>
        <v>1649.075832997861</v>
      </c>
      <c r="AF26" s="25">
        <f t="shared" si="64"/>
        <v>1657.3212121628501</v>
      </c>
      <c r="AG26" s="25">
        <f t="shared" si="64"/>
        <v>1665.6078182236643</v>
      </c>
      <c r="AH26" s="25">
        <f t="shared" si="64"/>
        <v>1673.9358573147824</v>
      </c>
      <c r="AI26" s="25">
        <f t="shared" si="64"/>
        <v>1682.3055366013562</v>
      </c>
      <c r="AJ26" s="25">
        <f t="shared" si="64"/>
        <v>1690.7170642843628</v>
      </c>
      <c r="AK26" s="25">
        <f t="shared" si="64"/>
        <v>1699.1706496057843</v>
      </c>
      <c r="AL26" s="25">
        <f t="shared" si="64"/>
        <v>1707.666502853813</v>
      </c>
      <c r="AM26" s="25">
        <f t="shared" si="64"/>
        <v>1716.2048353680818</v>
      </c>
      <c r="AN26" s="25">
        <f t="shared" si="64"/>
        <v>1724.785859544922</v>
      </c>
      <c r="AO26" s="25">
        <f t="shared" si="64"/>
        <v>1733.4097888426463</v>
      </c>
      <c r="AP26" s="25">
        <f t="shared" si="64"/>
        <v>1742.0768377868594</v>
      </c>
      <c r="AQ26" s="25">
        <f t="shared" si="64"/>
        <v>1750.7872219757935</v>
      </c>
      <c r="AR26" s="25">
        <f t="shared" si="64"/>
        <v>1759.5411580856724</v>
      </c>
      <c r="AS26" s="25">
        <f t="shared" si="64"/>
        <v>1768.3388638761005</v>
      </c>
      <c r="AT26" s="25">
        <f t="shared" si="64"/>
        <v>1777.1805581954809</v>
      </c>
      <c r="AU26" s="25">
        <f t="shared" si="64"/>
        <v>1786.0664609864582</v>
      </c>
      <c r="AV26" s="25">
        <f t="shared" si="64"/>
        <v>1794.9967932913903</v>
      </c>
      <c r="AW26" s="25">
        <f t="shared" si="64"/>
        <v>1803.971777257847</v>
      </c>
      <c r="AX26" s="25">
        <f t="shared" si="64"/>
        <v>1812.991636144136</v>
      </c>
      <c r="AY26" s="25">
        <f t="shared" si="64"/>
        <v>1822.0565943248564</v>
      </c>
      <c r="AZ26" s="25">
        <f t="shared" si="64"/>
        <v>1831.1668772964806</v>
      </c>
      <c r="BA26" s="25">
        <f t="shared" ref="BA26:CF26" si="65">AZ26*($F$2+1)</f>
        <v>1840.3227116829628</v>
      </c>
      <c r="BB26" s="25">
        <f t="shared" si="65"/>
        <v>1849.5243252413775</v>
      </c>
      <c r="BC26" s="25">
        <f t="shared" si="65"/>
        <v>1858.7719468675841</v>
      </c>
      <c r="BD26" s="25">
        <f t="shared" si="65"/>
        <v>1868.0658066019218</v>
      </c>
      <c r="BE26" s="25">
        <f t="shared" si="65"/>
        <v>1877.4061356349312</v>
      </c>
      <c r="BF26" s="25">
        <f t="shared" si="65"/>
        <v>1886.7931663131055</v>
      </c>
      <c r="BG26" s="25">
        <f t="shared" si="65"/>
        <v>1896.2271321446708</v>
      </c>
      <c r="BH26" s="25">
        <f t="shared" si="65"/>
        <v>1905.7082678053939</v>
      </c>
      <c r="BI26" s="25">
        <f t="shared" si="65"/>
        <v>1915.2368091444207</v>
      </c>
      <c r="BJ26" s="25">
        <f t="shared" si="65"/>
        <v>1924.8129931901426</v>
      </c>
      <c r="BK26" s="25">
        <f t="shared" si="65"/>
        <v>1934.4370581560931</v>
      </c>
      <c r="BL26" s="25">
        <f t="shared" si="65"/>
        <v>1944.1092434468735</v>
      </c>
      <c r="BM26" s="25">
        <f t="shared" si="65"/>
        <v>1953.8297896641077</v>
      </c>
      <c r="BN26" s="25">
        <f t="shared" si="65"/>
        <v>1963.5989386124281</v>
      </c>
      <c r="BO26" s="25">
        <f t="shared" si="65"/>
        <v>1973.4169333054901</v>
      </c>
      <c r="BP26" s="25">
        <f t="shared" si="65"/>
        <v>1983.2840179720174</v>
      </c>
      <c r="BQ26" s="25">
        <f t="shared" si="65"/>
        <v>1993.2004380618773</v>
      </c>
      <c r="BR26" s="25">
        <f t="shared" si="65"/>
        <v>2003.1664402521865</v>
      </c>
      <c r="BS26" s="25">
        <f t="shared" si="65"/>
        <v>2013.1822724534472</v>
      </c>
      <c r="BT26" s="25">
        <f t="shared" si="65"/>
        <v>2023.2481838157144</v>
      </c>
      <c r="BU26" s="25">
        <f t="shared" si="65"/>
        <v>2033.3644247347927</v>
      </c>
      <c r="BV26" s="25">
        <f t="shared" si="65"/>
        <v>2043.5312468584664</v>
      </c>
      <c r="BW26" s="25">
        <f t="shared" si="65"/>
        <v>2053.7489030927586</v>
      </c>
      <c r="BX26" s="25">
        <f t="shared" si="65"/>
        <v>2064.017647608222</v>
      </c>
      <c r="BY26" s="25">
        <f t="shared" si="65"/>
        <v>2074.3377358462631</v>
      </c>
      <c r="BZ26" s="25">
        <f t="shared" si="65"/>
        <v>2084.7094245254943</v>
      </c>
      <c r="CA26" s="25">
        <f t="shared" si="65"/>
        <v>2095.1329716481214</v>
      </c>
      <c r="CB26" s="25">
        <f t="shared" si="65"/>
        <v>2105.6086365063616</v>
      </c>
      <c r="CC26" s="25">
        <f t="shared" si="65"/>
        <v>2116.1366796888933</v>
      </c>
      <c r="CD26" s="25">
        <f t="shared" si="65"/>
        <v>2126.7173630873376</v>
      </c>
      <c r="CE26" s="25">
        <f t="shared" si="65"/>
        <v>2137.3509499027741</v>
      </c>
      <c r="CF26" s="25">
        <f t="shared" si="65"/>
        <v>2148.0377046522876</v>
      </c>
      <c r="CG26" s="25">
        <f t="shared" ref="CG26:DL26" si="66">CF26*($F$2+1)</f>
        <v>2158.7778931755488</v>
      </c>
      <c r="CH26" s="25">
        <f t="shared" si="66"/>
        <v>2169.5717826414261</v>
      </c>
      <c r="CI26" s="25">
        <f t="shared" si="66"/>
        <v>2180.419641554633</v>
      </c>
      <c r="CJ26" s="25">
        <f t="shared" si="66"/>
        <v>2191.3217397624057</v>
      </c>
      <c r="CK26" s="25">
        <f t="shared" si="66"/>
        <v>2202.2783484612173</v>
      </c>
      <c r="CL26" s="25">
        <f t="shared" si="66"/>
        <v>2213.2897402035233</v>
      </c>
      <c r="CM26" s="25">
        <f t="shared" si="66"/>
        <v>2224.3561889045404</v>
      </c>
      <c r="CN26" s="25">
        <f t="shared" si="66"/>
        <v>2235.4779698490629</v>
      </c>
      <c r="CO26" s="25">
        <f t="shared" si="66"/>
        <v>2246.6553596983081</v>
      </c>
      <c r="CP26" s="25">
        <f t="shared" si="66"/>
        <v>2257.8886364967993</v>
      </c>
      <c r="CQ26" s="25">
        <f t="shared" si="66"/>
        <v>2269.1780796792832</v>
      </c>
      <c r="CR26" s="25">
        <f t="shared" si="66"/>
        <v>2280.5239700776792</v>
      </c>
      <c r="CS26" s="25">
        <f t="shared" si="66"/>
        <v>2291.9265899280672</v>
      </c>
      <c r="CT26" s="25">
        <f t="shared" si="66"/>
        <v>2303.3862228777075</v>
      </c>
      <c r="CU26" s="25">
        <f t="shared" si="66"/>
        <v>2314.9031539920957</v>
      </c>
      <c r="CV26" s="25">
        <f t="shared" si="66"/>
        <v>2326.4776697620559</v>
      </c>
      <c r="CW26" s="25">
        <f t="shared" si="66"/>
        <v>2338.1100581108658</v>
      </c>
      <c r="CX26" s="25">
        <f t="shared" si="66"/>
        <v>2349.80060840142</v>
      </c>
      <c r="CY26" s="25">
        <f t="shared" si="66"/>
        <v>2361.5496114434268</v>
      </c>
      <c r="CZ26" s="25">
        <f t="shared" si="66"/>
        <v>2373.3573595006437</v>
      </c>
      <c r="DA26" s="25">
        <f t="shared" si="66"/>
        <v>2385.2241462981465</v>
      </c>
      <c r="DB26" s="25">
        <f t="shared" si="66"/>
        <v>2397.1502670296368</v>
      </c>
      <c r="DC26" s="25">
        <f t="shared" si="66"/>
        <v>2409.1360183647848</v>
      </c>
      <c r="DD26" s="25">
        <f t="shared" si="66"/>
        <v>2421.1816984566085</v>
      </c>
      <c r="DE26" s="25">
        <f t="shared" si="66"/>
        <v>2433.2876069488912</v>
      </c>
      <c r="DF26" s="25">
        <f t="shared" si="66"/>
        <v>2445.4540449836354</v>
      </c>
      <c r="DG26" s="25">
        <f t="shared" si="66"/>
        <v>2457.6813152085533</v>
      </c>
      <c r="DH26" s="25">
        <f t="shared" si="66"/>
        <v>2469.969721784596</v>
      </c>
      <c r="DI26" s="25">
        <f t="shared" si="66"/>
        <v>2482.3195703935189</v>
      </c>
      <c r="DJ26" s="25">
        <f t="shared" si="66"/>
        <v>2494.7311682454861</v>
      </c>
      <c r="DK26" s="25">
        <f t="shared" si="66"/>
        <v>2507.2048240867134</v>
      </c>
      <c r="DL26" s="25">
        <f t="shared" si="66"/>
        <v>2519.7408482071469</v>
      </c>
      <c r="DM26" s="25">
        <f t="shared" ref="DM26:ER26" si="67">DL26*($F$2+1)</f>
        <v>2532.3395524481825</v>
      </c>
      <c r="DN26" s="25">
        <f t="shared" si="67"/>
        <v>2545.0012502104232</v>
      </c>
      <c r="DO26" s="25">
        <f t="shared" si="67"/>
        <v>2557.7262564614753</v>
      </c>
      <c r="DP26" s="25">
        <f t="shared" si="67"/>
        <v>2570.5148877437823</v>
      </c>
      <c r="DQ26" s="25">
        <f t="shared" si="67"/>
        <v>2583.3674621825007</v>
      </c>
      <c r="DR26" s="25">
        <f t="shared" si="67"/>
        <v>2596.2842994934131</v>
      </c>
      <c r="DS26" s="25">
        <f t="shared" si="67"/>
        <v>2609.2657209908798</v>
      </c>
      <c r="DT26" s="25">
        <f t="shared" si="67"/>
        <v>2622.3120495958337</v>
      </c>
      <c r="DU26" s="25">
        <f t="shared" si="67"/>
        <v>2635.4236098438128</v>
      </c>
      <c r="DV26" s="25">
        <f t="shared" si="67"/>
        <v>2648.6007278930315</v>
      </c>
      <c r="DW26" s="25">
        <f t="shared" si="67"/>
        <v>2661.8437315324963</v>
      </c>
      <c r="DX26" s="25">
        <f t="shared" si="67"/>
        <v>2675.1529501901587</v>
      </c>
      <c r="DY26" s="25">
        <f t="shared" si="67"/>
        <v>2688.5287149411092</v>
      </c>
      <c r="DZ26" s="25">
        <f t="shared" si="67"/>
        <v>2701.9713585158147</v>
      </c>
      <c r="EA26" s="25">
        <f t="shared" si="67"/>
        <v>2715.4812153083935</v>
      </c>
      <c r="EB26" s="25">
        <f t="shared" si="67"/>
        <v>2729.0586213849351</v>
      </c>
      <c r="EC26" s="25">
        <f t="shared" si="67"/>
        <v>2742.7039144918595</v>
      </c>
      <c r="ED26" s="25">
        <f t="shared" si="67"/>
        <v>2756.4174340643185</v>
      </c>
      <c r="EE26" s="25">
        <f t="shared" si="67"/>
        <v>2770.1995212346396</v>
      </c>
      <c r="EF26" s="25">
        <f t="shared" si="67"/>
        <v>2784.0505188408124</v>
      </c>
      <c r="EG26" s="25">
        <f t="shared" si="67"/>
        <v>2797.9707714350161</v>
      </c>
      <c r="EH26" s="25">
        <f t="shared" si="67"/>
        <v>2811.9606252921908</v>
      </c>
      <c r="EI26" s="25">
        <f t="shared" si="67"/>
        <v>2826.0204284186516</v>
      </c>
      <c r="EJ26" s="25">
        <f t="shared" si="67"/>
        <v>2840.1505305607448</v>
      </c>
      <c r="EK26" s="25">
        <f t="shared" si="67"/>
        <v>2854.351283213548</v>
      </c>
      <c r="EL26" s="25">
        <f t="shared" si="67"/>
        <v>2868.6230396296155</v>
      </c>
      <c r="EM26" s="25">
        <f t="shared" si="67"/>
        <v>2882.9661548277631</v>
      </c>
      <c r="EN26" s="25">
        <f t="shared" si="67"/>
        <v>2897.3809856019016</v>
      </c>
      <c r="EO26" s="25">
        <f t="shared" si="67"/>
        <v>2911.8678905299107</v>
      </c>
      <c r="EP26" s="25">
        <f t="shared" si="67"/>
        <v>2926.4272299825598</v>
      </c>
      <c r="EQ26" s="25">
        <f t="shared" si="67"/>
        <v>2941.0593661324724</v>
      </c>
      <c r="ER26" s="25">
        <f t="shared" si="67"/>
        <v>2955.7646629631345</v>
      </c>
      <c r="ES26" s="25">
        <f t="shared" ref="ES26:FX26" si="68">ER26*($F$2+1)</f>
        <v>2970.5434862779498</v>
      </c>
      <c r="ET26" s="25">
        <f t="shared" si="68"/>
        <v>2985.3962037093393</v>
      </c>
      <c r="EU26" s="25">
        <f t="shared" si="68"/>
        <v>3000.3231847278857</v>
      </c>
      <c r="EV26" s="25">
        <f t="shared" si="68"/>
        <v>3015.324800651525</v>
      </c>
      <c r="EW26" s="25">
        <f t="shared" si="68"/>
        <v>3030.4014246547822</v>
      </c>
      <c r="EX26" s="25">
        <f t="shared" si="68"/>
        <v>3045.5534317780557</v>
      </c>
      <c r="EY26" s="25">
        <f t="shared" si="68"/>
        <v>3060.7811989369457</v>
      </c>
      <c r="EZ26" s="25">
        <f t="shared" si="68"/>
        <v>3076.0851049316302</v>
      </c>
      <c r="FA26" s="25">
        <f t="shared" si="68"/>
        <v>3091.465530456288</v>
      </c>
      <c r="FB26" s="25">
        <f t="shared" si="68"/>
        <v>3106.922858108569</v>
      </c>
      <c r="FC26" s="25">
        <f t="shared" si="68"/>
        <v>3122.4574723991113</v>
      </c>
      <c r="FD26" s="25">
        <f t="shared" si="68"/>
        <v>3138.0697597611065</v>
      </c>
      <c r="FE26" s="25">
        <f t="shared" si="68"/>
        <v>3153.7601085599117</v>
      </c>
      <c r="FF26" s="25">
        <f t="shared" si="68"/>
        <v>3169.5289091027107</v>
      </c>
      <c r="FG26" s="25">
        <f t="shared" si="68"/>
        <v>3185.3765536482238</v>
      </c>
      <c r="FH26" s="25">
        <f t="shared" si="68"/>
        <v>3201.3034364164646</v>
      </c>
      <c r="FI26" s="25">
        <f t="shared" si="68"/>
        <v>3217.3099535985466</v>
      </c>
      <c r="FJ26" s="25">
        <f t="shared" si="68"/>
        <v>3233.396503366539</v>
      </c>
      <c r="FK26" s="25">
        <f t="shared" si="68"/>
        <v>3249.5634858833714</v>
      </c>
      <c r="FL26" s="25">
        <f t="shared" si="68"/>
        <v>3265.8113033127879</v>
      </c>
      <c r="FM26" s="25">
        <f t="shared" si="68"/>
        <v>3282.1403598293514</v>
      </c>
      <c r="FN26" s="25">
        <f t="shared" si="68"/>
        <v>3298.5510616284978</v>
      </c>
      <c r="FO26" s="25">
        <f t="shared" si="68"/>
        <v>3315.0438169366398</v>
      </c>
      <c r="FP26" s="25">
        <f t="shared" si="68"/>
        <v>3331.6190360213227</v>
      </c>
      <c r="FQ26" s="25">
        <f t="shared" si="68"/>
        <v>3348.2771312014288</v>
      </c>
      <c r="FR26" s="25">
        <f t="shared" si="68"/>
        <v>3365.0185168574358</v>
      </c>
      <c r="FS26" s="25">
        <f t="shared" si="68"/>
        <v>3381.8436094417225</v>
      </c>
      <c r="FT26" s="25">
        <f t="shared" si="68"/>
        <v>3398.752827488931</v>
      </c>
      <c r="FU26" s="25">
        <f t="shared" si="68"/>
        <v>3415.7465916263754</v>
      </c>
      <c r="FV26" s="25">
        <f t="shared" si="68"/>
        <v>3432.8253245845071</v>
      </c>
      <c r="FW26" s="25">
        <f t="shared" si="68"/>
        <v>3449.9894512074293</v>
      </c>
      <c r="FX26" s="25">
        <f t="shared" si="68"/>
        <v>3467.2393984634659</v>
      </c>
      <c r="FY26" s="25">
        <f t="shared" ref="FY26:GQ26" si="69">FX26*($F$2+1)</f>
        <v>3484.5755954557831</v>
      </c>
      <c r="FZ26" s="25">
        <f t="shared" si="69"/>
        <v>3501.9984734330615</v>
      </c>
      <c r="GA26" s="25">
        <f t="shared" si="69"/>
        <v>3519.5084658002265</v>
      </c>
      <c r="GB26" s="25">
        <f t="shared" si="69"/>
        <v>3537.1060081292271</v>
      </c>
      <c r="GC26" s="25">
        <f t="shared" si="69"/>
        <v>3554.7915381698731</v>
      </c>
      <c r="GD26" s="25">
        <f t="shared" si="69"/>
        <v>3572.565495860722</v>
      </c>
      <c r="GE26" s="25">
        <f t="shared" si="69"/>
        <v>3590.4283233400251</v>
      </c>
      <c r="GF26" s="25">
        <f t="shared" si="69"/>
        <v>3608.3804649567251</v>
      </c>
      <c r="GG26" s="25">
        <f t="shared" si="69"/>
        <v>3626.4223672815083</v>
      </c>
      <c r="GH26" s="25">
        <f t="shared" si="69"/>
        <v>3644.5544791179154</v>
      </c>
      <c r="GI26" s="25">
        <f t="shared" si="69"/>
        <v>3662.7772515135048</v>
      </c>
      <c r="GJ26" s="25">
        <f t="shared" si="69"/>
        <v>3681.0911377710718</v>
      </c>
      <c r="GK26" s="25">
        <f t="shared" si="69"/>
        <v>3699.4965934599268</v>
      </c>
      <c r="GL26" s="25">
        <f t="shared" si="69"/>
        <v>3717.994076427226</v>
      </c>
      <c r="GM26" s="25">
        <f t="shared" si="69"/>
        <v>3736.5840468093616</v>
      </c>
      <c r="GN26" s="25">
        <f t="shared" si="69"/>
        <v>3755.2669670434079</v>
      </c>
      <c r="GO26" s="25">
        <f t="shared" si="69"/>
        <v>3774.0433018786248</v>
      </c>
      <c r="GP26" s="25">
        <f t="shared" si="69"/>
        <v>3792.9135183880176</v>
      </c>
      <c r="GQ26" s="25">
        <f t="shared" si="69"/>
        <v>3811.8780859799572</v>
      </c>
    </row>
    <row r="27" spans="1:199" x14ac:dyDescent="0.15">
      <c r="A27" s="3" t="s">
        <v>16</v>
      </c>
      <c r="B27" s="24"/>
      <c r="C27" s="24"/>
      <c r="D27" s="29">
        <f t="shared" ref="D27:F27" si="70">D26/D28</f>
        <v>-0.97982698716585126</v>
      </c>
      <c r="E27" s="29">
        <f t="shared" si="70"/>
        <v>-0.36875802430557902</v>
      </c>
      <c r="F27" s="29">
        <f t="shared" si="70"/>
        <v>-0.39167514227501782</v>
      </c>
      <c r="G27" s="49">
        <f t="shared" ref="G27" si="71">G26/G28</f>
        <v>-0.27324209299799518</v>
      </c>
      <c r="H27" s="49">
        <f t="shared" ref="H27:O27" si="72">H26/H28</f>
        <v>-0.19261512015614754</v>
      </c>
      <c r="I27" s="49">
        <f t="shared" si="72"/>
        <v>-3.3371028766048319E-2</v>
      </c>
      <c r="J27" s="49">
        <f t="shared" si="72"/>
        <v>0.20862208965376286</v>
      </c>
      <c r="K27" s="49">
        <f t="shared" si="72"/>
        <v>0.5968940555114971</v>
      </c>
      <c r="L27" s="49">
        <f t="shared" si="72"/>
        <v>0.86498205958228158</v>
      </c>
      <c r="M27" s="49">
        <f t="shared" si="72"/>
        <v>1.2083526955991486</v>
      </c>
      <c r="N27" s="49">
        <f t="shared" si="72"/>
        <v>1.6450424848916452</v>
      </c>
      <c r="O27" s="49">
        <f t="shared" si="72"/>
        <v>2.1971117806992115</v>
      </c>
      <c r="P27" s="49">
        <f t="shared" ref="P27" si="73">P26/P28</f>
        <v>2.8915089071144449</v>
      </c>
      <c r="Q27" s="49">
        <f t="shared" ref="P27:T27" si="74">Q26/Q28</f>
        <v>3.2572960674789417</v>
      </c>
      <c r="R27" s="49">
        <f t="shared" si="74"/>
        <v>3.6630492179227527</v>
      </c>
      <c r="S27" s="49">
        <f t="shared" si="74"/>
        <v>4.1129267639854801</v>
      </c>
      <c r="T27" s="49">
        <f t="shared" si="74"/>
        <v>4.6115109136153718</v>
      </c>
      <c r="U27" s="49">
        <f t="shared" ref="U27" si="75">U26/U28</f>
        <v>5.1638504533188874</v>
      </c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</row>
    <row r="28" spans="1:199" s="16" customFormat="1" x14ac:dyDescent="0.15">
      <c r="A28" s="16" t="s">
        <v>17</v>
      </c>
      <c r="B28" s="24"/>
      <c r="C28" s="24"/>
      <c r="D28" s="24">
        <f>Reports!I21</f>
        <v>84.617999999999995</v>
      </c>
      <c r="E28" s="24">
        <f>Reports!M21</f>
        <v>294.41800000000001</v>
      </c>
      <c r="F28" s="24">
        <f>Reports!Q21</f>
        <v>303.81299999999999</v>
      </c>
      <c r="G28" s="24">
        <f t="shared" ref="G28" si="76">F28</f>
        <v>303.81299999999999</v>
      </c>
      <c r="H28" s="24">
        <f t="shared" ref="H28" si="77">G28</f>
        <v>303.81299999999999</v>
      </c>
      <c r="I28" s="24">
        <f t="shared" ref="I28" si="78">H28</f>
        <v>303.81299999999999</v>
      </c>
      <c r="J28" s="24">
        <f t="shared" ref="J28" si="79">I28</f>
        <v>303.81299999999999</v>
      </c>
      <c r="K28" s="24">
        <f t="shared" ref="K28" si="80">J28</f>
        <v>303.81299999999999</v>
      </c>
      <c r="L28" s="24">
        <f t="shared" ref="L28" si="81">K28</f>
        <v>303.81299999999999</v>
      </c>
      <c r="M28" s="24">
        <f t="shared" ref="M28" si="82">L28</f>
        <v>303.81299999999999</v>
      </c>
      <c r="N28" s="24">
        <f t="shared" ref="N28" si="83">M28</f>
        <v>303.81299999999999</v>
      </c>
      <c r="O28" s="24">
        <f t="shared" ref="O28:U28" si="84">N28</f>
        <v>303.81299999999999</v>
      </c>
      <c r="P28" s="24">
        <f t="shared" si="84"/>
        <v>303.81299999999999</v>
      </c>
      <c r="Q28" s="24">
        <f t="shared" si="84"/>
        <v>303.81299999999999</v>
      </c>
      <c r="R28" s="24">
        <f t="shared" si="84"/>
        <v>303.81299999999999</v>
      </c>
      <c r="S28" s="24">
        <f t="shared" si="84"/>
        <v>303.81299999999999</v>
      </c>
      <c r="T28" s="24">
        <f t="shared" si="84"/>
        <v>303.81299999999999</v>
      </c>
      <c r="U28" s="24">
        <f t="shared" si="84"/>
        <v>303.81299999999999</v>
      </c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</row>
    <row r="29" spans="1:199" x14ac:dyDescent="0.1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</row>
    <row r="30" spans="1:199" x14ac:dyDescent="0.15">
      <c r="A30" s="3" t="s">
        <v>19</v>
      </c>
      <c r="B30" s="35">
        <f t="shared" ref="B30:O30" si="85">IFERROR(B17/B15,0)</f>
        <v>0.71739925227913337</v>
      </c>
      <c r="C30" s="35">
        <f t="shared" si="85"/>
        <v>0.78597873764032411</v>
      </c>
      <c r="D30" s="35">
        <f>IFERROR(D17/D15,0)</f>
        <v>0.77428052890847809</v>
      </c>
      <c r="E30" s="35">
        <f t="shared" si="85"/>
        <v>0.77844555469615573</v>
      </c>
      <c r="F30" s="35">
        <f t="shared" si="85"/>
        <v>0.76556573462101474</v>
      </c>
      <c r="G30" s="35">
        <f>IFERROR(G17/G15,0)</f>
        <v>0.76556573462101474</v>
      </c>
      <c r="H30" s="35">
        <f t="shared" si="85"/>
        <v>0.76556573462101474</v>
      </c>
      <c r="I30" s="35">
        <f t="shared" si="85"/>
        <v>0.76556573462101474</v>
      </c>
      <c r="J30" s="35">
        <f t="shared" si="85"/>
        <v>0.76556573462101474</v>
      </c>
      <c r="K30" s="35">
        <f t="shared" si="85"/>
        <v>0.76556573462101474</v>
      </c>
      <c r="L30" s="35">
        <f t="shared" si="85"/>
        <v>0.76556573462101474</v>
      </c>
      <c r="M30" s="35">
        <f t="shared" si="85"/>
        <v>0.76556573462101474</v>
      </c>
      <c r="N30" s="35">
        <f t="shared" si="85"/>
        <v>0.76556573462101474</v>
      </c>
      <c r="O30" s="35">
        <f t="shared" si="85"/>
        <v>0.76556573462101474</v>
      </c>
      <c r="P30" s="35">
        <f t="shared" ref="P30" si="86">IFERROR(P17/P15,0)</f>
        <v>0.76556573462101474</v>
      </c>
      <c r="Q30" s="35">
        <f t="shared" ref="P30:T30" si="87">IFERROR(Q17/Q15,0)</f>
        <v>0.76556573462101474</v>
      </c>
      <c r="R30" s="35">
        <f t="shared" si="87"/>
        <v>0.76556573462101463</v>
      </c>
      <c r="S30" s="35">
        <f t="shared" si="87"/>
        <v>0.76556573462101463</v>
      </c>
      <c r="T30" s="35">
        <f t="shared" si="87"/>
        <v>0.76556573462101463</v>
      </c>
      <c r="U30" s="35">
        <f t="shared" ref="U30" si="88">IFERROR(U17/U15,0)</f>
        <v>0.76556573462101463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</row>
    <row r="31" spans="1:199" x14ac:dyDescent="0.15">
      <c r="A31" s="3" t="s">
        <v>20</v>
      </c>
      <c r="B31" s="37">
        <f t="shared" ref="B31:O31" si="89">IFERROR(B22/B15,0)</f>
        <v>-0.20250970032196822</v>
      </c>
      <c r="C31" s="37">
        <f t="shared" si="89"/>
        <v>-6.1541892796074686E-2</v>
      </c>
      <c r="D31" s="37">
        <f>IFERROR(D22/D15,0)</f>
        <v>-0.43909774436090232</v>
      </c>
      <c r="E31" s="37">
        <f t="shared" si="89"/>
        <v>-0.38174425653782618</v>
      </c>
      <c r="F31" s="37">
        <f>IFERROR(F22/F15,0)</f>
        <v>-0.24821660143971006</v>
      </c>
      <c r="G31" s="37">
        <f t="shared" si="89"/>
        <v>-0.16195968955103995</v>
      </c>
      <c r="H31" s="37">
        <f t="shared" si="89"/>
        <v>-8.5694698578106396E-2</v>
      </c>
      <c r="I31" s="37">
        <f t="shared" si="89"/>
        <v>-1.8104724312972536E-2</v>
      </c>
      <c r="J31" s="37">
        <f t="shared" si="89"/>
        <v>4.1939535311961824E-2</v>
      </c>
      <c r="K31" s="37">
        <f t="shared" si="89"/>
        <v>9.5407961918350853E-2</v>
      </c>
      <c r="L31" s="37">
        <f t="shared" si="89"/>
        <v>0.11577066152970587</v>
      </c>
      <c r="M31" s="37">
        <f t="shared" si="89"/>
        <v>0.13498164191464979</v>
      </c>
      <c r="N31" s="37">
        <f t="shared" si="89"/>
        <v>0.15311416415838902</v>
      </c>
      <c r="O31" s="37">
        <f t="shared" si="89"/>
        <v>0.17023633073557073</v>
      </c>
      <c r="P31" s="37">
        <f t="shared" ref="P31" si="90">IFERROR(P22/P15,0)</f>
        <v>0.18641147595783503</v>
      </c>
      <c r="Q31" s="37">
        <f t="shared" ref="P31:T31" si="91">IFERROR(Q22/Q15,0)</f>
        <v>0.18898105118071812</v>
      </c>
      <c r="R31" s="37">
        <f t="shared" si="91"/>
        <v>0.19143382752983362</v>
      </c>
      <c r="S31" s="37">
        <f t="shared" si="91"/>
        <v>0.1937751140448985</v>
      </c>
      <c r="T31" s="37">
        <f t="shared" si="91"/>
        <v>0.19600997844564241</v>
      </c>
      <c r="U31" s="37">
        <f t="shared" ref="U31" si="92">IFERROR(U22/U15,0)</f>
        <v>0.19814325810089795</v>
      </c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</row>
    <row r="32" spans="1:199" x14ac:dyDescent="0.15">
      <c r="A32" s="3" t="s">
        <v>21</v>
      </c>
      <c r="B32" s="37">
        <f t="shared" ref="B32:O32" si="93">IFERROR(B25/B24,0)</f>
        <v>0</v>
      </c>
      <c r="C32" s="37">
        <f t="shared" si="93"/>
        <v>-0.12080212611741958</v>
      </c>
      <c r="D32" s="37">
        <f>IFERROR(D25/D24,0)</f>
        <v>0</v>
      </c>
      <c r="E32" s="37">
        <f t="shared" si="93"/>
        <v>-9.2963586163299864E-3</v>
      </c>
      <c r="F32" s="37">
        <f t="shared" si="93"/>
        <v>4.8001536049153581E-2</v>
      </c>
      <c r="G32" s="37">
        <f t="shared" si="93"/>
        <v>0</v>
      </c>
      <c r="H32" s="37">
        <f t="shared" si="93"/>
        <v>0</v>
      </c>
      <c r="I32" s="37">
        <f t="shared" si="93"/>
        <v>0</v>
      </c>
      <c r="J32" s="37">
        <f t="shared" si="93"/>
        <v>0.15</v>
      </c>
      <c r="K32" s="37">
        <f t="shared" si="93"/>
        <v>0.15</v>
      </c>
      <c r="L32" s="37">
        <f t="shared" si="93"/>
        <v>0.15</v>
      </c>
      <c r="M32" s="37">
        <f t="shared" si="93"/>
        <v>0.15</v>
      </c>
      <c r="N32" s="37">
        <f t="shared" si="93"/>
        <v>0.15</v>
      </c>
      <c r="O32" s="37">
        <f t="shared" si="93"/>
        <v>0.15</v>
      </c>
      <c r="P32" s="37">
        <f t="shared" ref="P32" si="94">IFERROR(P25/P24,0)</f>
        <v>0.15</v>
      </c>
      <c r="Q32" s="37">
        <f t="shared" ref="P32:T32" si="95">IFERROR(Q25/Q24,0)</f>
        <v>0.15</v>
      </c>
      <c r="R32" s="37">
        <f t="shared" si="95"/>
        <v>0.15</v>
      </c>
      <c r="S32" s="37">
        <f t="shared" si="95"/>
        <v>0.15</v>
      </c>
      <c r="T32" s="37">
        <f t="shared" si="95"/>
        <v>0.15</v>
      </c>
      <c r="U32" s="37">
        <f t="shared" ref="U32" si="96">IFERROR(U25/U24,0)</f>
        <v>0.15</v>
      </c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</row>
    <row r="33" spans="1:116" x14ac:dyDescent="0.1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</row>
    <row r="34" spans="1:116" x14ac:dyDescent="0.15">
      <c r="A34" s="2" t="s">
        <v>18</v>
      </c>
      <c r="B34" s="50"/>
      <c r="C34" s="50">
        <f t="shared" ref="C34:U34" si="97">C15/B15-1</f>
        <v>0.58637119505607904</v>
      </c>
      <c r="D34" s="50">
        <f t="shared" si="97"/>
        <v>0.43372239982157468</v>
      </c>
      <c r="E34" s="50">
        <f>E15/D15-1</f>
        <v>0.48831734508685543</v>
      </c>
      <c r="F34" s="50">
        <f t="shared" si="97"/>
        <v>0.50183261213426134</v>
      </c>
      <c r="G34" s="50">
        <f>G15/F15-1</f>
        <v>0.37500000000000022</v>
      </c>
      <c r="H34" s="50">
        <f t="shared" si="97"/>
        <v>0.37500000000000022</v>
      </c>
      <c r="I34" s="50">
        <f t="shared" si="97"/>
        <v>0.37500000000000022</v>
      </c>
      <c r="J34" s="50">
        <f t="shared" si="97"/>
        <v>0.375</v>
      </c>
      <c r="K34" s="50">
        <f t="shared" si="97"/>
        <v>0.375</v>
      </c>
      <c r="L34" s="50">
        <f t="shared" si="97"/>
        <v>0.19999999999999996</v>
      </c>
      <c r="M34" s="50">
        <f t="shared" si="97"/>
        <v>0.19999999999999996</v>
      </c>
      <c r="N34" s="50">
        <f t="shared" si="97"/>
        <v>0.19999999999999996</v>
      </c>
      <c r="O34" s="50">
        <f t="shared" si="97"/>
        <v>0.19999999999999996</v>
      </c>
      <c r="P34" s="50">
        <f t="shared" si="97"/>
        <v>0.19999999999999996</v>
      </c>
      <c r="Q34" s="50">
        <f t="shared" si="97"/>
        <v>0.10000000000000009</v>
      </c>
      <c r="R34" s="50">
        <f t="shared" si="97"/>
        <v>0.10000000000000009</v>
      </c>
      <c r="S34" s="50">
        <f t="shared" si="97"/>
        <v>0.10000000000000009</v>
      </c>
      <c r="T34" s="50">
        <f t="shared" si="97"/>
        <v>0.10000000000000009</v>
      </c>
      <c r="U34" s="50">
        <f t="shared" si="97"/>
        <v>0.10000000000000009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</row>
    <row r="35" spans="1:116" x14ac:dyDescent="0.15">
      <c r="A35" s="3" t="s">
        <v>34</v>
      </c>
      <c r="B35" s="37"/>
      <c r="C35" s="37">
        <f t="shared" ref="C35:U35" si="98">C18/B18-1</f>
        <v>0.33333333333333326</v>
      </c>
      <c r="D35" s="37">
        <f t="shared" si="98"/>
        <v>0.6875</v>
      </c>
      <c r="E35" s="37">
        <f t="shared" si="98"/>
        <v>0.68518518518518512</v>
      </c>
      <c r="F35" s="37">
        <f t="shared" si="98"/>
        <v>0.39560439560439553</v>
      </c>
      <c r="G35" s="37">
        <f t="shared" si="98"/>
        <v>0.35000000000000009</v>
      </c>
      <c r="H35" s="37">
        <f t="shared" si="98"/>
        <v>0.35000000000000009</v>
      </c>
      <c r="I35" s="37">
        <f t="shared" si="98"/>
        <v>0.35000000000000009</v>
      </c>
      <c r="J35" s="37">
        <f t="shared" si="98"/>
        <v>0.35000000000000009</v>
      </c>
      <c r="K35" s="37">
        <f t="shared" si="98"/>
        <v>0.34999999999999987</v>
      </c>
      <c r="L35" s="37">
        <f t="shared" si="98"/>
        <v>0.19999999999999996</v>
      </c>
      <c r="M35" s="37">
        <f t="shared" si="98"/>
        <v>0.19999999999999996</v>
      </c>
      <c r="N35" s="37">
        <f t="shared" si="98"/>
        <v>0.19999999999999996</v>
      </c>
      <c r="O35" s="37">
        <f t="shared" si="98"/>
        <v>0.19999999999999996</v>
      </c>
      <c r="P35" s="37">
        <f t="shared" si="98"/>
        <v>0.19999999999999996</v>
      </c>
      <c r="Q35" s="37">
        <f t="shared" si="98"/>
        <v>0.10000000000000009</v>
      </c>
      <c r="R35" s="37">
        <f t="shared" si="98"/>
        <v>0.10000000000000009</v>
      </c>
      <c r="S35" s="37">
        <f t="shared" si="98"/>
        <v>0.10000000000000009</v>
      </c>
      <c r="T35" s="37">
        <f t="shared" si="98"/>
        <v>0.10000000000000009</v>
      </c>
      <c r="U35" s="37">
        <f t="shared" si="98"/>
        <v>0.10000000000000009</v>
      </c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</row>
    <row r="36" spans="1:116" x14ac:dyDescent="0.15">
      <c r="A36" s="3" t="s">
        <v>35</v>
      </c>
      <c r="B36" s="37"/>
      <c r="C36" s="37">
        <f t="shared" ref="C36:U36" si="99">C19/B19-1</f>
        <v>0.55000000000000004</v>
      </c>
      <c r="D36" s="37">
        <f t="shared" si="99"/>
        <v>0.5161290322580645</v>
      </c>
      <c r="E36" s="37">
        <f t="shared" si="99"/>
        <v>0.7021276595744681</v>
      </c>
      <c r="F36" s="37">
        <f t="shared" si="99"/>
        <v>0.36250000000000004</v>
      </c>
      <c r="G36" s="37">
        <f t="shared" si="99"/>
        <v>0.25</v>
      </c>
      <c r="H36" s="37">
        <f t="shared" si="99"/>
        <v>0.25</v>
      </c>
      <c r="I36" s="37">
        <f t="shared" si="99"/>
        <v>0.25</v>
      </c>
      <c r="J36" s="37">
        <f t="shared" si="99"/>
        <v>0.25</v>
      </c>
      <c r="K36" s="37">
        <f t="shared" si="99"/>
        <v>0.25</v>
      </c>
      <c r="L36" s="37">
        <f t="shared" si="99"/>
        <v>0.14999999999999991</v>
      </c>
      <c r="M36" s="37">
        <f t="shared" si="99"/>
        <v>0.14999999999999991</v>
      </c>
      <c r="N36" s="37">
        <f t="shared" si="99"/>
        <v>0.14999999999999991</v>
      </c>
      <c r="O36" s="37">
        <f t="shared" si="99"/>
        <v>0.14999999999999991</v>
      </c>
      <c r="P36" s="37">
        <f t="shared" si="99"/>
        <v>0.14999999999999991</v>
      </c>
      <c r="Q36" s="37">
        <f t="shared" si="99"/>
        <v>0.10000000000000009</v>
      </c>
      <c r="R36" s="37">
        <f t="shared" si="99"/>
        <v>0.10000000000000009</v>
      </c>
      <c r="S36" s="37">
        <f t="shared" si="99"/>
        <v>0.10000000000000009</v>
      </c>
      <c r="T36" s="37">
        <f t="shared" si="99"/>
        <v>0.10000000000000009</v>
      </c>
      <c r="U36" s="37">
        <f t="shared" si="99"/>
        <v>0.10000000000000009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</row>
    <row r="37" spans="1:116" x14ac:dyDescent="0.15">
      <c r="A37" s="3" t="s">
        <v>36</v>
      </c>
      <c r="B37" s="37"/>
      <c r="C37" s="37">
        <f>C20/B20-1</f>
        <v>0.4285714285714286</v>
      </c>
      <c r="D37" s="37">
        <f t="shared" ref="D37:U37" si="100">D20/C20-1</f>
        <v>3.3</v>
      </c>
      <c r="E37" s="37">
        <f t="shared" si="100"/>
        <v>-4.6511627906976716E-2</v>
      </c>
      <c r="F37" s="37">
        <f t="shared" si="100"/>
        <v>0.12195121951219523</v>
      </c>
      <c r="G37" s="37">
        <f t="shared" si="100"/>
        <v>0.14999999999999991</v>
      </c>
      <c r="H37" s="37">
        <f t="shared" si="100"/>
        <v>0.14999999999999991</v>
      </c>
      <c r="I37" s="37">
        <f t="shared" si="100"/>
        <v>0.14999999999999991</v>
      </c>
      <c r="J37" s="37">
        <f t="shared" si="100"/>
        <v>0.14999999999999991</v>
      </c>
      <c r="K37" s="37">
        <f t="shared" si="100"/>
        <v>0.14999999999999991</v>
      </c>
      <c r="L37" s="37">
        <f t="shared" si="100"/>
        <v>0.10000000000000009</v>
      </c>
      <c r="M37" s="37">
        <f t="shared" si="100"/>
        <v>0.10000000000000009</v>
      </c>
      <c r="N37" s="37">
        <f t="shared" si="100"/>
        <v>0.10000000000000009</v>
      </c>
      <c r="O37" s="37">
        <f t="shared" si="100"/>
        <v>0.10000000000000009</v>
      </c>
      <c r="P37" s="37">
        <f t="shared" si="100"/>
        <v>0.10000000000000009</v>
      </c>
      <c r="Q37" s="37">
        <f t="shared" si="100"/>
        <v>5.0000000000000044E-2</v>
      </c>
      <c r="R37" s="37">
        <f t="shared" si="100"/>
        <v>5.0000000000000044E-2</v>
      </c>
      <c r="S37" s="37">
        <f t="shared" si="100"/>
        <v>5.0000000000000044E-2</v>
      </c>
      <c r="T37" s="37">
        <f t="shared" si="100"/>
        <v>5.0000000000000044E-2</v>
      </c>
      <c r="U37" s="37">
        <f t="shared" si="100"/>
        <v>5.0000000000000044E-2</v>
      </c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</row>
    <row r="38" spans="1:116" x14ac:dyDescent="0.15">
      <c r="A38" s="6" t="s">
        <v>63</v>
      </c>
      <c r="B38" s="46"/>
      <c r="C38" s="46">
        <f>C21/B21-1</f>
        <v>0.46153846153846145</v>
      </c>
      <c r="D38" s="46">
        <f>D21/C21-1</f>
        <v>1.0526315789473686</v>
      </c>
      <c r="E38" s="46">
        <f t="shared" ref="E38:U38" si="101">E21/D21-1</f>
        <v>0.42307692307692313</v>
      </c>
      <c r="F38" s="46">
        <f t="shared" si="101"/>
        <v>0.31231231231231238</v>
      </c>
      <c r="G38" s="46">
        <f t="shared" si="101"/>
        <v>0.25800915331807772</v>
      </c>
      <c r="H38" s="46">
        <f t="shared" si="101"/>
        <v>0.26194179172351051</v>
      </c>
      <c r="I38" s="46">
        <f t="shared" si="101"/>
        <v>0.26582516819759205</v>
      </c>
      <c r="J38" s="46">
        <f t="shared" si="101"/>
        <v>0.26964850174831057</v>
      </c>
      <c r="K38" s="46">
        <f>K21/J21-1</f>
        <v>0.27340184524277333</v>
      </c>
      <c r="L38" s="46">
        <f t="shared" si="101"/>
        <v>0.16353807934647735</v>
      </c>
      <c r="M38" s="46">
        <f t="shared" si="101"/>
        <v>0.16452238957082188</v>
      </c>
      <c r="N38" s="46">
        <f t="shared" si="101"/>
        <v>0.16549385412007322</v>
      </c>
      <c r="O38" s="46">
        <f t="shared" si="101"/>
        <v>0.16645187818344898</v>
      </c>
      <c r="P38" s="46">
        <f t="shared" si="101"/>
        <v>0.16739590865151999</v>
      </c>
      <c r="Q38" s="46">
        <f t="shared" si="101"/>
        <v>9.51195511335865E-2</v>
      </c>
      <c r="R38" s="46">
        <f t="shared" si="101"/>
        <v>9.5320628415016762E-2</v>
      </c>
      <c r="S38" s="46">
        <f t="shared" si="101"/>
        <v>9.5514244836836015E-2</v>
      </c>
      <c r="T38" s="46">
        <f t="shared" si="101"/>
        <v>9.5700610061876912E-2</v>
      </c>
      <c r="U38" s="46">
        <f t="shared" si="101"/>
        <v>9.5879933447536869E-2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</row>
    <row r="39" spans="1:116" x14ac:dyDescent="0.15"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</row>
    <row r="40" spans="1:116" x14ac:dyDescent="0.15">
      <c r="A40" s="2" t="s">
        <v>22</v>
      </c>
      <c r="B40" s="46"/>
      <c r="C40" s="46"/>
      <c r="D40" s="25">
        <f>D41-D42</f>
        <v>151</v>
      </c>
      <c r="E40" s="25">
        <f>E41-E42</f>
        <v>637</v>
      </c>
      <c r="F40" s="25">
        <f>F41-F42</f>
        <v>649</v>
      </c>
      <c r="G40" s="51">
        <f>F40+G26</f>
        <v>565.98550000000012</v>
      </c>
      <c r="H40" s="51">
        <f t="shared" ref="H40:U40" si="102">G40+H26</f>
        <v>507.46652250000045</v>
      </c>
      <c r="I40" s="51">
        <f t="shared" si="102"/>
        <v>497.32797013750104</v>
      </c>
      <c r="J40" s="51">
        <f t="shared" si="102"/>
        <v>560.71007306147965</v>
      </c>
      <c r="K40" s="51">
        <f t="shared" si="102"/>
        <v>742.0542467485941</v>
      </c>
      <c r="L40" s="51">
        <f t="shared" si="102"/>
        <v>1004.8470412164659</v>
      </c>
      <c r="M40" s="51">
        <f t="shared" si="102"/>
        <v>1371.96029872453</v>
      </c>
      <c r="N40" s="51">
        <f t="shared" si="102"/>
        <v>1871.7455911869154</v>
      </c>
      <c r="O40" s="51">
        <f t="shared" si="102"/>
        <v>2539.2567126164849</v>
      </c>
      <c r="P40" s="51">
        <f t="shared" si="102"/>
        <v>3417.7347082136457</v>
      </c>
      <c r="Q40" s="51">
        <f t="shared" si="102"/>
        <v>4407.343598362625</v>
      </c>
      <c r="R40" s="51">
        <f t="shared" si="102"/>
        <v>5520.2255704073905</v>
      </c>
      <c r="S40" s="51">
        <f t="shared" si="102"/>
        <v>6769.7861893541112</v>
      </c>
      <c r="T40" s="51">
        <f t="shared" si="102"/>
        <v>8170.8231545523377</v>
      </c>
      <c r="U40" s="51">
        <f t="shared" si="102"/>
        <v>9739.6680523265095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</row>
    <row r="41" spans="1:116" x14ac:dyDescent="0.15">
      <c r="A41" s="3" t="s">
        <v>23</v>
      </c>
      <c r="B41" s="46"/>
      <c r="C41" s="46"/>
      <c r="D41" s="52">
        <f>Reports!I34</f>
        <v>151</v>
      </c>
      <c r="E41" s="52">
        <f>Reports!M34</f>
        <v>637</v>
      </c>
      <c r="F41" s="52">
        <f>Reports!Q34</f>
        <v>1032</v>
      </c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</row>
    <row r="42" spans="1:116" x14ac:dyDescent="0.15">
      <c r="A42" s="3" t="s">
        <v>24</v>
      </c>
      <c r="B42" s="46"/>
      <c r="C42" s="46"/>
      <c r="D42" s="52">
        <f>Reports!I35</f>
        <v>0</v>
      </c>
      <c r="E42" s="52">
        <f>Reports!M35</f>
        <v>0</v>
      </c>
      <c r="F42" s="52">
        <f>Reports!Q35</f>
        <v>383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</row>
    <row r="43" spans="1:116" x14ac:dyDescent="0.15">
      <c r="B43" s="46"/>
      <c r="C43" s="46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</row>
    <row r="44" spans="1:116" x14ac:dyDescent="0.15">
      <c r="A44" s="3" t="s">
        <v>48</v>
      </c>
      <c r="B44" s="46"/>
      <c r="C44" s="46"/>
      <c r="D44" s="52">
        <f>Reports!I37</f>
        <v>4</v>
      </c>
      <c r="E44" s="52">
        <f>Reports!M37</f>
        <v>4</v>
      </c>
      <c r="F44" s="52">
        <f>Reports!Q37</f>
        <v>20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</row>
    <row r="45" spans="1:116" x14ac:dyDescent="0.15">
      <c r="A45" s="3" t="s">
        <v>49</v>
      </c>
      <c r="B45" s="46"/>
      <c r="C45" s="46"/>
      <c r="D45" s="52">
        <f>Reports!I38</f>
        <v>298</v>
      </c>
      <c r="E45" s="52">
        <f>Reports!M38</f>
        <v>831</v>
      </c>
      <c r="F45" s="52">
        <f>Reports!Q38</f>
        <v>1381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</row>
    <row r="46" spans="1:116" x14ac:dyDescent="0.15">
      <c r="A46" s="3" t="s">
        <v>50</v>
      </c>
      <c r="B46" s="46"/>
      <c r="C46" s="46"/>
      <c r="D46" s="52">
        <f>Reports!I39</f>
        <v>80</v>
      </c>
      <c r="E46" s="52">
        <f>Reports!M39</f>
        <v>105</v>
      </c>
      <c r="F46" s="52">
        <f>Reports!Q39</f>
        <v>564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</row>
    <row r="47" spans="1:116" x14ac:dyDescent="0.15">
      <c r="B47" s="46"/>
      <c r="C47" s="46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</row>
    <row r="48" spans="1:116" x14ac:dyDescent="0.15">
      <c r="A48" s="3" t="s">
        <v>51</v>
      </c>
      <c r="B48" s="46"/>
      <c r="C48" s="46"/>
      <c r="D48" s="55">
        <f>D45-D44-D41</f>
        <v>143</v>
      </c>
      <c r="E48" s="55">
        <f>E45-E44-E41</f>
        <v>190</v>
      </c>
      <c r="F48" s="55">
        <f>F45-F44-F41</f>
        <v>329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</row>
    <row r="49" spans="1:116" x14ac:dyDescent="0.15">
      <c r="A49" s="3" t="s">
        <v>52</v>
      </c>
      <c r="B49" s="46"/>
      <c r="C49" s="46"/>
      <c r="D49" s="55">
        <f>D45-D46</f>
        <v>218</v>
      </c>
      <c r="E49" s="55">
        <f>E45-E46</f>
        <v>726</v>
      </c>
      <c r="F49" s="55">
        <f>F45-F46</f>
        <v>817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</row>
    <row r="50" spans="1:116" x14ac:dyDescent="0.15">
      <c r="B50" s="46"/>
      <c r="C50" s="46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</row>
    <row r="51" spans="1:116" x14ac:dyDescent="0.15">
      <c r="A51" s="19" t="s">
        <v>54</v>
      </c>
      <c r="B51" s="46"/>
      <c r="C51" s="46"/>
      <c r="D51" s="56">
        <f>D26/D49</f>
        <v>-0.38032568807339451</v>
      </c>
      <c r="E51" s="56">
        <f>E26/E49</f>
        <v>-0.14954407713498616</v>
      </c>
      <c r="F51" s="56">
        <f>F26/F49</f>
        <v>-0.14564993880048957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</row>
    <row r="52" spans="1:116" x14ac:dyDescent="0.15">
      <c r="A52" s="19" t="s">
        <v>55</v>
      </c>
      <c r="B52" s="46"/>
      <c r="C52" s="46"/>
      <c r="D52" s="56">
        <f>D26/D45</f>
        <v>-0.27822483221476513</v>
      </c>
      <c r="E52" s="56">
        <f>E26/E45</f>
        <v>-0.13064861612515039</v>
      </c>
      <c r="F52" s="56">
        <f>F26/F45</f>
        <v>-8.6166545981173043E-2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</row>
    <row r="53" spans="1:116" x14ac:dyDescent="0.15">
      <c r="A53" s="19" t="s">
        <v>56</v>
      </c>
      <c r="B53" s="46"/>
      <c r="C53" s="46"/>
      <c r="D53" s="56">
        <f>D26/(D49-D44)</f>
        <v>-0.38743457943925236</v>
      </c>
      <c r="E53" s="56">
        <f>E26/(E49-E44)</f>
        <v>-0.15037257617728525</v>
      </c>
      <c r="F53" s="56">
        <f>F26/(F49-F44)</f>
        <v>-0.14930489335006272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</row>
    <row r="54" spans="1:116" x14ac:dyDescent="0.15">
      <c r="A54" s="19" t="s">
        <v>57</v>
      </c>
      <c r="B54" s="46"/>
      <c r="C54" s="46"/>
      <c r="D54" s="56">
        <f>D26/D48</f>
        <v>-0.57979720279720282</v>
      </c>
      <c r="E54" s="56">
        <f>E26/E48</f>
        <v>-0.57141578947368399</v>
      </c>
      <c r="F54" s="56">
        <f>F26/F48</f>
        <v>-0.36168996960486316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</row>
    <row r="55" spans="1:116" x14ac:dyDescent="0.15">
      <c r="B55" s="46"/>
      <c r="C55" s="46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</row>
    <row r="56" spans="1:116" x14ac:dyDescent="0.15">
      <c r="A56" s="6" t="s">
        <v>62</v>
      </c>
      <c r="B56" s="56"/>
      <c r="C56" s="56">
        <f t="shared" ref="C56:K56" si="103">C10/B10-1</f>
        <v>0.58637119505607904</v>
      </c>
      <c r="D56" s="56">
        <f t="shared" si="103"/>
        <v>0.43372239982157468</v>
      </c>
      <c r="E56" s="56">
        <f t="shared" si="103"/>
        <v>0.48831734508685543</v>
      </c>
      <c r="F56" s="56">
        <f t="shared" si="103"/>
        <v>0.50183261213426134</v>
      </c>
      <c r="G56" s="56"/>
      <c r="H56" s="56"/>
      <c r="I56" s="56"/>
      <c r="J56" s="56"/>
      <c r="K56" s="56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</row>
    <row r="57" spans="1:116" x14ac:dyDescent="0.15"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</row>
    <row r="58" spans="1:116" s="20" customFormat="1" x14ac:dyDescent="0.15">
      <c r="A58" s="20" t="s">
        <v>78</v>
      </c>
      <c r="B58" s="56"/>
      <c r="C58" s="56"/>
      <c r="D58" s="56"/>
      <c r="E58" s="56">
        <f>E12/D12-1</f>
        <v>0.22066598918982594</v>
      </c>
      <c r="F58" s="56">
        <f t="shared" ref="F58:K58" si="104">F12/E12-1</f>
        <v>0.33925339639487473</v>
      </c>
      <c r="G58" s="56">
        <f t="shared" si="104"/>
        <v>0.25</v>
      </c>
      <c r="H58" s="56">
        <f t="shared" si="104"/>
        <v>0.25</v>
      </c>
      <c r="I58" s="56">
        <f t="shared" si="104"/>
        <v>0.25</v>
      </c>
      <c r="J58" s="56">
        <f t="shared" si="104"/>
        <v>0.25</v>
      </c>
      <c r="K58" s="56">
        <f t="shared" si="104"/>
        <v>0.25</v>
      </c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6"/>
      <c r="DJ58" s="56"/>
      <c r="DK58" s="56"/>
      <c r="DL58" s="56"/>
    </row>
    <row r="59" spans="1:116" s="20" customFormat="1" x14ac:dyDescent="0.15">
      <c r="A59" s="20" t="s">
        <v>60</v>
      </c>
      <c r="B59" s="56"/>
      <c r="C59" s="56"/>
      <c r="D59" s="56"/>
      <c r="E59" s="56">
        <f>E13/D13-1</f>
        <v>0.21926666120571903</v>
      </c>
      <c r="F59" s="56">
        <f t="shared" ref="F59:K59" si="105">F13/E13-1</f>
        <v>0.12139541044064717</v>
      </c>
      <c r="G59" s="56">
        <f t="shared" si="105"/>
        <v>0.10000000000000009</v>
      </c>
      <c r="H59" s="56">
        <f t="shared" si="105"/>
        <v>0.10000000000000009</v>
      </c>
      <c r="I59" s="56">
        <f t="shared" si="105"/>
        <v>0.10000000000000009</v>
      </c>
      <c r="J59" s="56">
        <f t="shared" si="105"/>
        <v>0.10000000000000009</v>
      </c>
      <c r="K59" s="56">
        <f t="shared" si="105"/>
        <v>0.10000000000000009</v>
      </c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  <c r="DF59" s="56"/>
      <c r="DG59" s="56"/>
      <c r="DH59" s="56"/>
      <c r="DI59" s="56"/>
      <c r="DJ59" s="56"/>
      <c r="DK59" s="56"/>
      <c r="DL59" s="56"/>
    </row>
  </sheetData>
  <hyperlinks>
    <hyperlink ref="A1" r:id="rId1" xr:uid="{00000000-0004-0000-0000-000000000000}"/>
    <hyperlink ref="A4" r:id="rId2" xr:uid="{A56A9D7B-6BD6-D44F-9673-748C22FE360B}"/>
    <hyperlink ref="A7" r:id="rId3" xr:uid="{37EAD5F7-5EDB-5B49-8C94-A612F5F134DD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5"/>
  <sheetViews>
    <sheetView zoomScale="130" zoomScaleNormal="13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T42" sqref="T42"/>
    </sheetView>
  </sheetViews>
  <sheetFormatPr baseColWidth="10" defaultRowHeight="13" x14ac:dyDescent="0.15"/>
  <cols>
    <col min="1" max="1" width="20.33203125" style="6" customWidth="1"/>
    <col min="2" max="2" width="10.83203125" style="22"/>
    <col min="3" max="5" width="10.83203125" style="21"/>
    <col min="6" max="6" width="10.83203125" style="22"/>
    <col min="7" max="9" width="10.83203125" style="21"/>
    <col min="10" max="10" width="10.83203125" style="22"/>
    <col min="11" max="13" width="10.83203125" style="21"/>
    <col min="14" max="14" width="10.83203125" style="22"/>
    <col min="15" max="17" width="10.83203125" style="21"/>
    <col min="18" max="16384" width="10.83203125" style="6"/>
  </cols>
  <sheetData>
    <row r="1" spans="1:21" x14ac:dyDescent="0.15">
      <c r="A1" s="58" t="s">
        <v>37</v>
      </c>
      <c r="B1" s="23" t="s">
        <v>0</v>
      </c>
      <c r="C1" s="24" t="s">
        <v>1</v>
      </c>
      <c r="D1" s="24" t="s">
        <v>2</v>
      </c>
      <c r="E1" s="24" t="s">
        <v>3</v>
      </c>
      <c r="F1" s="23" t="s">
        <v>30</v>
      </c>
      <c r="G1" s="24" t="s">
        <v>31</v>
      </c>
      <c r="H1" s="24" t="s">
        <v>32</v>
      </c>
      <c r="I1" s="24" t="s">
        <v>33</v>
      </c>
      <c r="J1" s="23" t="s">
        <v>44</v>
      </c>
      <c r="K1" s="24" t="s">
        <v>45</v>
      </c>
      <c r="L1" s="24" t="s">
        <v>46</v>
      </c>
      <c r="M1" s="24" t="s">
        <v>47</v>
      </c>
      <c r="N1" s="23" t="s">
        <v>64</v>
      </c>
      <c r="O1" s="24" t="s">
        <v>81</v>
      </c>
      <c r="P1" s="24" t="s">
        <v>79</v>
      </c>
      <c r="Q1" s="24" t="s">
        <v>67</v>
      </c>
      <c r="R1" s="79" t="s">
        <v>80</v>
      </c>
      <c r="S1" s="79" t="s">
        <v>65</v>
      </c>
      <c r="T1" s="79" t="s">
        <v>66</v>
      </c>
      <c r="U1" s="79" t="s">
        <v>82</v>
      </c>
    </row>
    <row r="2" spans="1:21" s="21" customFormat="1" x14ac:dyDescent="0.15">
      <c r="A2" s="1"/>
      <c r="B2" s="59">
        <v>42825</v>
      </c>
      <c r="C2" s="61">
        <v>42916</v>
      </c>
      <c r="D2" s="62" t="s">
        <v>71</v>
      </c>
      <c r="E2" s="61">
        <v>43100</v>
      </c>
      <c r="F2" s="59">
        <v>43190</v>
      </c>
      <c r="G2" s="61">
        <v>43281</v>
      </c>
      <c r="H2" s="62" t="s">
        <v>70</v>
      </c>
      <c r="I2" s="61">
        <v>43465</v>
      </c>
      <c r="J2" s="59">
        <v>43555</v>
      </c>
      <c r="K2" s="61">
        <v>43646</v>
      </c>
      <c r="L2" s="62" t="s">
        <v>69</v>
      </c>
      <c r="M2" s="61">
        <v>43830</v>
      </c>
      <c r="N2" s="59">
        <v>43921</v>
      </c>
      <c r="O2" s="61">
        <v>44012</v>
      </c>
      <c r="P2" s="61">
        <v>44104</v>
      </c>
      <c r="Q2" s="61">
        <v>44196</v>
      </c>
    </row>
    <row r="3" spans="1:21" s="8" customFormat="1" x14ac:dyDescent="0.15">
      <c r="A3" s="60" t="s">
        <v>61</v>
      </c>
      <c r="B3" s="23">
        <v>25.036000000000001</v>
      </c>
      <c r="C3" s="24">
        <v>28.803999999999998</v>
      </c>
      <c r="D3" s="24">
        <v>42</v>
      </c>
      <c r="E3" s="24">
        <v>38.67</v>
      </c>
      <c r="F3" s="23">
        <v>42</v>
      </c>
      <c r="G3" s="24">
        <v>45.280999999999999</v>
      </c>
      <c r="H3" s="24">
        <v>50.07</v>
      </c>
      <c r="I3" s="24">
        <v>55.499000000000002</v>
      </c>
      <c r="J3" s="23">
        <v>61.726999999999997</v>
      </c>
      <c r="K3" s="24">
        <v>67.424000000000007</v>
      </c>
      <c r="L3" s="24">
        <v>73.941000000000003</v>
      </c>
      <c r="M3" s="24">
        <v>83.93</v>
      </c>
      <c r="N3" s="23">
        <v>91.25</v>
      </c>
      <c r="O3" s="24">
        <v>99.721000000000004</v>
      </c>
      <c r="P3" s="24">
        <v>114.16200000000001</v>
      </c>
      <c r="Q3" s="24">
        <v>125.926</v>
      </c>
    </row>
    <row r="4" spans="1:21" x14ac:dyDescent="0.15">
      <c r="B4" s="23"/>
      <c r="C4" s="24"/>
      <c r="D4" s="24"/>
      <c r="E4" s="24"/>
      <c r="F4" s="23"/>
      <c r="G4" s="24"/>
      <c r="H4" s="24"/>
      <c r="I4" s="24"/>
    </row>
    <row r="5" spans="1:21" s="72" customFormat="1" x14ac:dyDescent="0.15">
      <c r="A5" s="72" t="s">
        <v>77</v>
      </c>
      <c r="B5" s="73"/>
      <c r="C5" s="71"/>
      <c r="D5" s="71"/>
      <c r="E5" s="71"/>
      <c r="F5" s="73"/>
      <c r="G5" s="71"/>
      <c r="H5" s="71">
        <v>6.7642999999999995E-2</v>
      </c>
      <c r="I5" s="71">
        <v>6.7899000000000001E-2</v>
      </c>
      <c r="J5" s="73">
        <v>7.3554999999999995E-2</v>
      </c>
      <c r="K5" s="71">
        <v>7.7626000000000001E-2</v>
      </c>
      <c r="L5" s="71">
        <v>8.0986000000000002E-2</v>
      </c>
      <c r="M5" s="71">
        <v>8.2881999999999997E-2</v>
      </c>
      <c r="N5" s="73">
        <v>8.9222999999999997E-2</v>
      </c>
      <c r="O5" s="71">
        <v>9.6178E-2</v>
      </c>
      <c r="P5" s="71">
        <v>0.100968</v>
      </c>
      <c r="Q5" s="71">
        <v>0.111</v>
      </c>
    </row>
    <row r="6" spans="1:21" s="60" customFormat="1" x14ac:dyDescent="0.15">
      <c r="A6" s="60" t="s">
        <v>59</v>
      </c>
      <c r="B6" s="68"/>
      <c r="C6" s="67"/>
      <c r="D6" s="67"/>
      <c r="E6" s="67"/>
      <c r="F6" s="68"/>
      <c r="G6" s="67"/>
      <c r="H6" s="74">
        <f t="shared" ref="H6:Q6" si="0">SUM(H3)/H5</f>
        <v>740.20962996910259</v>
      </c>
      <c r="I6" s="74">
        <f t="shared" si="0"/>
        <v>817.37580818568756</v>
      </c>
      <c r="J6" s="75">
        <f t="shared" si="0"/>
        <v>839.19516008429071</v>
      </c>
      <c r="K6" s="74">
        <f t="shared" si="0"/>
        <v>868.57496199726904</v>
      </c>
      <c r="L6" s="74">
        <f t="shared" si="0"/>
        <v>913.00965598992423</v>
      </c>
      <c r="M6" s="74">
        <f t="shared" si="0"/>
        <v>1012.6444825173139</v>
      </c>
      <c r="N6" s="75">
        <f t="shared" si="0"/>
        <v>1022.7183573742196</v>
      </c>
      <c r="O6" s="74">
        <f t="shared" si="0"/>
        <v>1036.8379463078875</v>
      </c>
      <c r="P6" s="74">
        <f t="shared" si="0"/>
        <v>1130.675065367245</v>
      </c>
      <c r="Q6" s="74">
        <f t="shared" si="0"/>
        <v>1134.4684684684685</v>
      </c>
    </row>
    <row r="7" spans="1:21" s="67" customFormat="1" x14ac:dyDescent="0.15">
      <c r="B7" s="68"/>
      <c r="F7" s="68"/>
      <c r="J7" s="68"/>
      <c r="N7" s="68">
        <v>87</v>
      </c>
      <c r="O7" s="67">
        <v>94</v>
      </c>
      <c r="P7" s="67">
        <v>102.5</v>
      </c>
      <c r="Q7" s="67">
        <v>117.5</v>
      </c>
      <c r="R7" s="67">
        <v>130</v>
      </c>
    </row>
    <row r="8" spans="1:21" s="17" customFormat="1" x14ac:dyDescent="0.15">
      <c r="A8" s="17" t="s">
        <v>4</v>
      </c>
      <c r="B8" s="26">
        <f t="shared" ref="B8:G8" si="1">SUM(B3:B3)</f>
        <v>25.036000000000001</v>
      </c>
      <c r="C8" s="25">
        <f t="shared" si="1"/>
        <v>28.803999999999998</v>
      </c>
      <c r="D8" s="25">
        <f t="shared" si="1"/>
        <v>42</v>
      </c>
      <c r="E8" s="25">
        <f t="shared" si="1"/>
        <v>38.67</v>
      </c>
      <c r="F8" s="26">
        <f t="shared" si="1"/>
        <v>42</v>
      </c>
      <c r="G8" s="25">
        <f t="shared" si="1"/>
        <v>45.280999999999999</v>
      </c>
      <c r="H8" s="25">
        <f t="shared" ref="H8:Q8" si="2">H6*H5</f>
        <v>50.07</v>
      </c>
      <c r="I8" s="25">
        <f t="shared" si="2"/>
        <v>55.499000000000002</v>
      </c>
      <c r="J8" s="26">
        <f t="shared" si="2"/>
        <v>61.726999999999997</v>
      </c>
      <c r="K8" s="25">
        <f t="shared" si="2"/>
        <v>67.424000000000007</v>
      </c>
      <c r="L8" s="25">
        <f t="shared" si="2"/>
        <v>73.941000000000003</v>
      </c>
      <c r="M8" s="25">
        <f t="shared" si="2"/>
        <v>83.93</v>
      </c>
      <c r="N8" s="26">
        <f t="shared" si="2"/>
        <v>91.25</v>
      </c>
      <c r="O8" s="25">
        <f t="shared" si="2"/>
        <v>99.721000000000004</v>
      </c>
      <c r="P8" s="25">
        <f t="shared" si="2"/>
        <v>114.16199999999999</v>
      </c>
      <c r="Q8" s="25">
        <f t="shared" si="2"/>
        <v>125.926</v>
      </c>
      <c r="R8" s="17">
        <v>130</v>
      </c>
    </row>
    <row r="9" spans="1:21" s="8" customFormat="1" x14ac:dyDescent="0.15">
      <c r="A9" s="8" t="s">
        <v>5</v>
      </c>
      <c r="B9" s="23">
        <v>6.3010000000000002</v>
      </c>
      <c r="C9" s="24">
        <v>6.7880000000000003</v>
      </c>
      <c r="D9" s="24">
        <v>7.2519999999999998</v>
      </c>
      <c r="E9" s="24">
        <v>8.4469999999999992</v>
      </c>
      <c r="F9" s="23">
        <v>9</v>
      </c>
      <c r="G9" s="24">
        <v>10.365</v>
      </c>
      <c r="H9" s="24">
        <v>11.209</v>
      </c>
      <c r="I9" s="24">
        <v>12.956</v>
      </c>
      <c r="J9" s="23">
        <v>14.36</v>
      </c>
      <c r="K9" s="24">
        <v>15</v>
      </c>
      <c r="L9" s="52">
        <v>16.033000000000001</v>
      </c>
      <c r="M9" s="52">
        <v>18.198</v>
      </c>
      <c r="N9" s="23">
        <v>20.821000000000002</v>
      </c>
      <c r="O9" s="52">
        <v>24.164000000000001</v>
      </c>
      <c r="P9" s="52">
        <v>27.004999999999999</v>
      </c>
      <c r="Q9" s="52">
        <v>29.065000000000001</v>
      </c>
    </row>
    <row r="10" spans="1:21" s="8" customFormat="1" x14ac:dyDescent="0.15">
      <c r="A10" s="8" t="s">
        <v>6</v>
      </c>
      <c r="B10" s="28">
        <f t="shared" ref="B10:D10" si="3">B8-B9</f>
        <v>18.734999999999999</v>
      </c>
      <c r="C10" s="27">
        <f t="shared" si="3"/>
        <v>22.015999999999998</v>
      </c>
      <c r="D10" s="27">
        <f t="shared" si="3"/>
        <v>34.747999999999998</v>
      </c>
      <c r="E10" s="27">
        <f t="shared" ref="E10" si="4">E8-E9</f>
        <v>30.223000000000003</v>
      </c>
      <c r="F10" s="28">
        <f>F8-F9</f>
        <v>33</v>
      </c>
      <c r="G10" s="27">
        <f>G8-G9</f>
        <v>34.915999999999997</v>
      </c>
      <c r="H10" s="27">
        <f t="shared" ref="H10:J10" si="5">H8-H9</f>
        <v>38.861000000000004</v>
      </c>
      <c r="I10" s="27">
        <f t="shared" si="5"/>
        <v>42.543000000000006</v>
      </c>
      <c r="J10" s="28">
        <f t="shared" si="5"/>
        <v>47.366999999999997</v>
      </c>
      <c r="K10" s="27">
        <f t="shared" ref="K10:Q10" si="6">K8-K9</f>
        <v>52.424000000000007</v>
      </c>
      <c r="L10" s="27">
        <f t="shared" si="6"/>
        <v>57.908000000000001</v>
      </c>
      <c r="M10" s="27">
        <f t="shared" si="6"/>
        <v>65.731999999999999</v>
      </c>
      <c r="N10" s="28">
        <f t="shared" ref="N10" si="7">N8-N9</f>
        <v>70.429000000000002</v>
      </c>
      <c r="O10" s="27">
        <f t="shared" si="6"/>
        <v>75.557000000000002</v>
      </c>
      <c r="P10" s="27">
        <f t="shared" si="6"/>
        <v>87.156999999999996</v>
      </c>
      <c r="Q10" s="27">
        <f t="shared" si="6"/>
        <v>96.861000000000004</v>
      </c>
    </row>
    <row r="11" spans="1:21" s="8" customFormat="1" x14ac:dyDescent="0.15">
      <c r="A11" s="8" t="s">
        <v>7</v>
      </c>
      <c r="B11" s="23">
        <v>7</v>
      </c>
      <c r="C11" s="24">
        <v>8</v>
      </c>
      <c r="D11" s="24">
        <v>8</v>
      </c>
      <c r="E11" s="24">
        <v>9</v>
      </c>
      <c r="F11" s="23">
        <v>11</v>
      </c>
      <c r="G11" s="24">
        <v>13</v>
      </c>
      <c r="H11" s="24">
        <v>15</v>
      </c>
      <c r="I11" s="24">
        <v>15</v>
      </c>
      <c r="J11" s="23">
        <v>18</v>
      </c>
      <c r="K11" s="24">
        <v>19</v>
      </c>
      <c r="L11" s="52">
        <v>28</v>
      </c>
      <c r="M11" s="52">
        <v>26</v>
      </c>
      <c r="N11" s="23">
        <v>33</v>
      </c>
      <c r="O11" s="52">
        <v>28</v>
      </c>
      <c r="P11" s="52">
        <v>31</v>
      </c>
      <c r="Q11" s="52">
        <v>35</v>
      </c>
    </row>
    <row r="12" spans="1:21" s="8" customFormat="1" x14ac:dyDescent="0.15">
      <c r="A12" s="8" t="s">
        <v>8</v>
      </c>
      <c r="B12" s="23">
        <v>13</v>
      </c>
      <c r="C12" s="24">
        <v>15</v>
      </c>
      <c r="D12" s="24">
        <v>17</v>
      </c>
      <c r="E12" s="24">
        <v>17</v>
      </c>
      <c r="F12" s="23">
        <v>19</v>
      </c>
      <c r="G12" s="24">
        <v>23</v>
      </c>
      <c r="H12" s="24">
        <v>24</v>
      </c>
      <c r="I12" s="24">
        <v>28</v>
      </c>
      <c r="J12" s="23">
        <v>31</v>
      </c>
      <c r="K12" s="24">
        <v>36</v>
      </c>
      <c r="L12" s="52">
        <v>46</v>
      </c>
      <c r="M12" s="52">
        <v>47</v>
      </c>
      <c r="N12" s="23">
        <v>47</v>
      </c>
      <c r="O12" s="52">
        <v>51</v>
      </c>
      <c r="P12" s="52">
        <v>56</v>
      </c>
      <c r="Q12" s="52">
        <v>64</v>
      </c>
    </row>
    <row r="13" spans="1:21" s="8" customFormat="1" x14ac:dyDescent="0.15">
      <c r="A13" s="8" t="s">
        <v>9</v>
      </c>
      <c r="B13" s="23">
        <v>4</v>
      </c>
      <c r="C13" s="24">
        <v>4</v>
      </c>
      <c r="D13" s="24">
        <v>5</v>
      </c>
      <c r="E13" s="24">
        <v>7</v>
      </c>
      <c r="F13" s="23">
        <v>14</v>
      </c>
      <c r="G13" s="24">
        <v>20</v>
      </c>
      <c r="H13" s="24">
        <v>36</v>
      </c>
      <c r="I13" s="24">
        <v>16</v>
      </c>
      <c r="J13" s="23">
        <v>16</v>
      </c>
      <c r="K13" s="24">
        <v>18</v>
      </c>
      <c r="L13" s="52">
        <v>26</v>
      </c>
      <c r="M13" s="52">
        <v>22</v>
      </c>
      <c r="N13" s="23">
        <v>26</v>
      </c>
      <c r="O13" s="52">
        <v>21</v>
      </c>
      <c r="P13" s="52">
        <v>22</v>
      </c>
      <c r="Q13" s="52">
        <v>23</v>
      </c>
    </row>
    <row r="14" spans="1:21" s="8" customFormat="1" x14ac:dyDescent="0.15">
      <c r="A14" s="8" t="s">
        <v>10</v>
      </c>
      <c r="B14" s="28">
        <f t="shared" ref="B14:D14" si="8">SUM(B11:B13)</f>
        <v>24</v>
      </c>
      <c r="C14" s="27">
        <f t="shared" si="8"/>
        <v>27</v>
      </c>
      <c r="D14" s="27">
        <f t="shared" si="8"/>
        <v>30</v>
      </c>
      <c r="E14" s="27">
        <f t="shared" ref="E14:F14" si="9">SUM(E11:E13)</f>
        <v>33</v>
      </c>
      <c r="F14" s="28">
        <f t="shared" si="9"/>
        <v>44</v>
      </c>
      <c r="G14" s="27">
        <f t="shared" ref="G14:H14" si="10">SUM(G11:G13)</f>
        <v>56</v>
      </c>
      <c r="H14" s="27">
        <f t="shared" si="10"/>
        <v>75</v>
      </c>
      <c r="I14" s="27">
        <f t="shared" ref="I14:K14" si="11">SUM(I11:I13)</f>
        <v>59</v>
      </c>
      <c r="J14" s="28">
        <f t="shared" si="11"/>
        <v>65</v>
      </c>
      <c r="K14" s="27">
        <f t="shared" si="11"/>
        <v>73</v>
      </c>
      <c r="L14" s="27">
        <f t="shared" ref="L14:M14" si="12">SUM(L11:L13)</f>
        <v>100</v>
      </c>
      <c r="M14" s="27">
        <f t="shared" si="12"/>
        <v>95</v>
      </c>
      <c r="N14" s="28">
        <f t="shared" ref="N14:O14" si="13">SUM(N11:N13)</f>
        <v>106</v>
      </c>
      <c r="O14" s="27">
        <f t="shared" si="13"/>
        <v>100</v>
      </c>
      <c r="P14" s="27">
        <f t="shared" ref="P14:Q14" si="14">SUM(P11:P13)</f>
        <v>109</v>
      </c>
      <c r="Q14" s="27">
        <f t="shared" si="14"/>
        <v>122</v>
      </c>
    </row>
    <row r="15" spans="1:21" s="8" customFormat="1" x14ac:dyDescent="0.15">
      <c r="A15" s="8" t="s">
        <v>11</v>
      </c>
      <c r="B15" s="28">
        <f t="shared" ref="B15:H15" si="15">B10-B14</f>
        <v>-5.2650000000000006</v>
      </c>
      <c r="C15" s="27">
        <f t="shared" si="15"/>
        <v>-4.9840000000000018</v>
      </c>
      <c r="D15" s="27">
        <f t="shared" si="15"/>
        <v>4.7479999999999976</v>
      </c>
      <c r="E15" s="27">
        <f t="shared" si="15"/>
        <v>-2.7769999999999975</v>
      </c>
      <c r="F15" s="28">
        <f t="shared" si="15"/>
        <v>-11</v>
      </c>
      <c r="G15" s="27">
        <f t="shared" si="15"/>
        <v>-21.084000000000003</v>
      </c>
      <c r="H15" s="27">
        <f t="shared" si="15"/>
        <v>-36.138999999999996</v>
      </c>
      <c r="I15" s="27">
        <f t="shared" ref="I15:K15" si="16">I10-I14</f>
        <v>-16.456999999999994</v>
      </c>
      <c r="J15" s="28">
        <f t="shared" si="16"/>
        <v>-17.633000000000003</v>
      </c>
      <c r="K15" s="27">
        <f t="shared" si="16"/>
        <v>-20.575999999999993</v>
      </c>
      <c r="L15" s="27">
        <f t="shared" ref="L15:M15" si="17">L10-L14</f>
        <v>-42.091999999999999</v>
      </c>
      <c r="M15" s="27">
        <f t="shared" si="17"/>
        <v>-29.268000000000001</v>
      </c>
      <c r="N15" s="28">
        <f t="shared" ref="N15:O15" si="18">N10-N14</f>
        <v>-35.570999999999998</v>
      </c>
      <c r="O15" s="27">
        <f t="shared" si="18"/>
        <v>-24.442999999999998</v>
      </c>
      <c r="P15" s="27">
        <f t="shared" ref="P15:Q15" si="19">P10-P14</f>
        <v>-21.843000000000004</v>
      </c>
      <c r="Q15" s="27">
        <f t="shared" si="19"/>
        <v>-25.138999999999996</v>
      </c>
    </row>
    <row r="16" spans="1:21" s="8" customFormat="1" x14ac:dyDescent="0.15">
      <c r="A16" s="8" t="s">
        <v>12</v>
      </c>
      <c r="B16" s="23">
        <v>0</v>
      </c>
      <c r="C16" s="24">
        <v>0</v>
      </c>
      <c r="D16" s="24">
        <v>0</v>
      </c>
      <c r="E16" s="24">
        <v>0</v>
      </c>
      <c r="F16" s="23">
        <v>-0.23100000000000001</v>
      </c>
      <c r="G16" s="24">
        <v>0</v>
      </c>
      <c r="H16" s="24">
        <v>1</v>
      </c>
      <c r="I16" s="24">
        <v>1</v>
      </c>
      <c r="J16" s="23">
        <v>0</v>
      </c>
      <c r="K16" s="24">
        <v>0</v>
      </c>
      <c r="L16" s="52">
        <v>0</v>
      </c>
      <c r="M16" s="52">
        <v>2</v>
      </c>
      <c r="N16" s="23">
        <v>3</v>
      </c>
      <c r="O16" s="52">
        <f>2-5+0</f>
        <v>-3</v>
      </c>
      <c r="P16" s="52">
        <f>1-10+0</f>
        <v>-9</v>
      </c>
      <c r="Q16" s="52">
        <f>1-10+0</f>
        <v>-9</v>
      </c>
    </row>
    <row r="17" spans="1:18" s="8" customFormat="1" x14ac:dyDescent="0.15">
      <c r="A17" s="8" t="s">
        <v>13</v>
      </c>
      <c r="B17" s="28">
        <f t="shared" ref="B17:C17" si="20">B15+B16</f>
        <v>-5.2650000000000006</v>
      </c>
      <c r="C17" s="27">
        <f t="shared" si="20"/>
        <v>-4.9840000000000018</v>
      </c>
      <c r="D17" s="27">
        <f t="shared" ref="D17:F17" si="21">D15+D16</f>
        <v>4.7479999999999976</v>
      </c>
      <c r="E17" s="27">
        <f>E15+E16</f>
        <v>-2.7769999999999975</v>
      </c>
      <c r="F17" s="28">
        <f t="shared" si="21"/>
        <v>-11.231</v>
      </c>
      <c r="G17" s="27">
        <f t="shared" ref="G17" si="22">G15+G16</f>
        <v>-21.084000000000003</v>
      </c>
      <c r="H17" s="27">
        <f t="shared" ref="H17:L17" si="23">H15+H16</f>
        <v>-35.138999999999996</v>
      </c>
      <c r="I17" s="27">
        <f t="shared" si="23"/>
        <v>-15.456999999999994</v>
      </c>
      <c r="J17" s="28">
        <f t="shared" si="23"/>
        <v>-17.633000000000003</v>
      </c>
      <c r="K17" s="27">
        <f t="shared" si="23"/>
        <v>-20.575999999999993</v>
      </c>
      <c r="L17" s="27">
        <f t="shared" si="23"/>
        <v>-42.091999999999999</v>
      </c>
      <c r="M17" s="27">
        <f t="shared" ref="M17" si="24">M15+M16</f>
        <v>-27.268000000000001</v>
      </c>
      <c r="N17" s="28">
        <f t="shared" ref="N17:Q17" si="25">N15+N16</f>
        <v>-32.570999999999998</v>
      </c>
      <c r="O17" s="27">
        <f t="shared" si="25"/>
        <v>-27.442999999999998</v>
      </c>
      <c r="P17" s="27">
        <f t="shared" si="25"/>
        <v>-30.843000000000004</v>
      </c>
      <c r="Q17" s="27">
        <f t="shared" si="25"/>
        <v>-34.138999999999996</v>
      </c>
    </row>
    <row r="18" spans="1:18" s="8" customFormat="1" x14ac:dyDescent="0.15">
      <c r="A18" s="8" t="s">
        <v>14</v>
      </c>
      <c r="B18" s="23">
        <v>1</v>
      </c>
      <c r="C18" s="24">
        <v>1</v>
      </c>
      <c r="D18" s="24">
        <v>-1</v>
      </c>
      <c r="E18" s="24">
        <v>0</v>
      </c>
      <c r="F18" s="23">
        <v>0</v>
      </c>
      <c r="G18" s="24">
        <v>0</v>
      </c>
      <c r="H18" s="24">
        <v>0</v>
      </c>
      <c r="I18" s="24">
        <v>0</v>
      </c>
      <c r="J18" s="23">
        <v>0</v>
      </c>
      <c r="K18" s="24">
        <v>0</v>
      </c>
      <c r="L18" s="24">
        <v>0</v>
      </c>
      <c r="M18" s="24">
        <v>1</v>
      </c>
      <c r="N18" s="23">
        <v>0</v>
      </c>
      <c r="O18" s="24">
        <v>-2</v>
      </c>
      <c r="P18" s="24">
        <v>-4</v>
      </c>
      <c r="Q18" s="24">
        <v>0</v>
      </c>
    </row>
    <row r="19" spans="1:18" s="17" customFormat="1" x14ac:dyDescent="0.15">
      <c r="A19" s="17" t="s">
        <v>15</v>
      </c>
      <c r="B19" s="26">
        <f t="shared" ref="B19:P19" si="26">B17-B18</f>
        <v>-6.2650000000000006</v>
      </c>
      <c r="C19" s="25">
        <f t="shared" si="26"/>
        <v>-5.9840000000000018</v>
      </c>
      <c r="D19" s="25">
        <f t="shared" si="26"/>
        <v>5.7479999999999976</v>
      </c>
      <c r="E19" s="25">
        <f t="shared" si="26"/>
        <v>-2.7769999999999975</v>
      </c>
      <c r="F19" s="26">
        <f t="shared" si="26"/>
        <v>-11.231</v>
      </c>
      <c r="G19" s="25">
        <f t="shared" si="26"/>
        <v>-21.084000000000003</v>
      </c>
      <c r="H19" s="25">
        <f t="shared" si="26"/>
        <v>-35.138999999999996</v>
      </c>
      <c r="I19" s="25">
        <f t="shared" si="26"/>
        <v>-15.456999999999994</v>
      </c>
      <c r="J19" s="26">
        <f t="shared" si="26"/>
        <v>-17.633000000000003</v>
      </c>
      <c r="K19" s="25">
        <f t="shared" si="26"/>
        <v>-20.575999999999993</v>
      </c>
      <c r="L19" s="25">
        <f t="shared" si="26"/>
        <v>-42.091999999999999</v>
      </c>
      <c r="M19" s="25">
        <f t="shared" si="26"/>
        <v>-28.268000000000001</v>
      </c>
      <c r="N19" s="26">
        <f t="shared" si="26"/>
        <v>-32.570999999999998</v>
      </c>
      <c r="O19" s="25">
        <f t="shared" si="26"/>
        <v>-25.442999999999998</v>
      </c>
      <c r="P19" s="25">
        <f t="shared" si="26"/>
        <v>-26.843000000000004</v>
      </c>
      <c r="Q19" s="25">
        <f t="shared" ref="Q19" si="27">Q17-Q18</f>
        <v>-34.138999999999996</v>
      </c>
    </row>
    <row r="20" spans="1:18" x14ac:dyDescent="0.15">
      <c r="A20" s="6" t="s">
        <v>16</v>
      </c>
      <c r="B20" s="30">
        <f t="shared" ref="B20:D20" si="28">IFERROR(B19/B21,0)</f>
        <v>0</v>
      </c>
      <c r="C20" s="29">
        <f t="shared" si="28"/>
        <v>0</v>
      </c>
      <c r="D20" s="29">
        <f t="shared" si="28"/>
        <v>0</v>
      </c>
      <c r="E20" s="29">
        <f t="shared" ref="E20" si="29">IFERROR(E19/E21,0)</f>
        <v>0</v>
      </c>
      <c r="F20" s="30">
        <f t="shared" ref="F20:K20" si="30">IFERROR(F19/F21,0)</f>
        <v>0</v>
      </c>
      <c r="G20" s="29">
        <f t="shared" si="30"/>
        <v>0</v>
      </c>
      <c r="H20" s="29">
        <f t="shared" si="30"/>
        <v>-0.43073585113816054</v>
      </c>
      <c r="I20" s="29">
        <f t="shared" si="30"/>
        <v>-0.18266799026211911</v>
      </c>
      <c r="J20" s="30">
        <f t="shared" si="30"/>
        <v>-0.20725687016620045</v>
      </c>
      <c r="K20" s="29">
        <f t="shared" si="30"/>
        <v>0</v>
      </c>
      <c r="L20" s="29">
        <f t="shared" ref="L20:M20" si="31">IFERROR(L19/L21,0)</f>
        <v>-0.35654265772175914</v>
      </c>
      <c r="M20" s="29">
        <f t="shared" si="31"/>
        <v>-9.6013151369821137E-2</v>
      </c>
      <c r="N20" s="30">
        <f t="shared" ref="N20:P20" si="32">IFERROR(N19/N21,0)</f>
        <v>-0.1100085450744232</v>
      </c>
      <c r="O20" s="29">
        <f t="shared" si="32"/>
        <v>-8.5002388739847848E-2</v>
      </c>
      <c r="P20" s="29">
        <f t="shared" si="32"/>
        <v>-8.8975733288253797E-2</v>
      </c>
      <c r="Q20" s="29">
        <f t="shared" ref="Q20" si="33">IFERROR(Q19/Q21,0)</f>
        <v>-0.1123684634956371</v>
      </c>
    </row>
    <row r="21" spans="1:18" s="8" customFormat="1" x14ac:dyDescent="0.15">
      <c r="A21" s="8" t="s">
        <v>17</v>
      </c>
      <c r="B21" s="23"/>
      <c r="C21" s="24"/>
      <c r="D21" s="24"/>
      <c r="E21" s="24"/>
      <c r="F21" s="23"/>
      <c r="G21" s="24"/>
      <c r="H21" s="24">
        <v>81.578999999999994</v>
      </c>
      <c r="I21" s="24">
        <v>84.617999999999995</v>
      </c>
      <c r="J21" s="23">
        <v>85.078000000000003</v>
      </c>
      <c r="K21" s="24"/>
      <c r="L21" s="52">
        <v>118.056</v>
      </c>
      <c r="M21" s="52">
        <v>294.41800000000001</v>
      </c>
      <c r="N21" s="23">
        <v>296.077</v>
      </c>
      <c r="O21" s="52">
        <v>299.32100000000003</v>
      </c>
      <c r="P21" s="52">
        <v>301.68900000000002</v>
      </c>
      <c r="Q21" s="52">
        <v>303.81299999999999</v>
      </c>
    </row>
    <row r="22" spans="1:18" s="43" customFormat="1" x14ac:dyDescent="0.15">
      <c r="B22" s="42"/>
      <c r="C22" s="41"/>
      <c r="D22" s="41"/>
      <c r="E22" s="41"/>
      <c r="F22" s="57"/>
      <c r="I22" s="41"/>
      <c r="J22" s="57"/>
      <c r="N22" s="57"/>
    </row>
    <row r="23" spans="1:18" x14ac:dyDescent="0.15">
      <c r="A23" s="6" t="s">
        <v>19</v>
      </c>
      <c r="B23" s="36">
        <f t="shared" ref="B23:N23" si="34">IFERROR(B10/B8,0)</f>
        <v>0.74832241572136116</v>
      </c>
      <c r="C23" s="35">
        <f t="shared" si="34"/>
        <v>0.76433828634911816</v>
      </c>
      <c r="D23" s="35">
        <f t="shared" si="34"/>
        <v>0.82733333333333325</v>
      </c>
      <c r="E23" s="35">
        <f t="shared" si="34"/>
        <v>0.78156193431600729</v>
      </c>
      <c r="F23" s="36">
        <f t="shared" si="34"/>
        <v>0.7857142857142857</v>
      </c>
      <c r="G23" s="35">
        <f t="shared" si="34"/>
        <v>0.77109604469865944</v>
      </c>
      <c r="H23" s="35">
        <f t="shared" si="34"/>
        <v>0.77613341322148999</v>
      </c>
      <c r="I23" s="35">
        <f t="shared" si="34"/>
        <v>0.76655435233067271</v>
      </c>
      <c r="J23" s="36">
        <f t="shared" si="34"/>
        <v>0.76736274239797819</v>
      </c>
      <c r="K23" s="35">
        <f t="shared" si="34"/>
        <v>0.77752728998576182</v>
      </c>
      <c r="L23" s="35">
        <f t="shared" si="34"/>
        <v>0.78316495584317225</v>
      </c>
      <c r="M23" s="35">
        <f t="shared" si="34"/>
        <v>0.78317645657095192</v>
      </c>
      <c r="N23" s="36">
        <f t="shared" si="34"/>
        <v>0.77182465753424656</v>
      </c>
      <c r="O23" s="35">
        <f t="shared" ref="O23:P23" si="35">IFERROR(O10/O8,0)</f>
        <v>0.7576839381875432</v>
      </c>
      <c r="P23" s="35">
        <f t="shared" si="35"/>
        <v>0.76345018482507321</v>
      </c>
      <c r="Q23" s="35">
        <f t="shared" ref="Q23" si="36">IFERROR(Q10/Q8,0)</f>
        <v>0.76918984165303439</v>
      </c>
    </row>
    <row r="24" spans="1:18" x14ac:dyDescent="0.15">
      <c r="A24" s="6" t="s">
        <v>20</v>
      </c>
      <c r="B24" s="38">
        <f t="shared" ref="B24:N24" si="37">IFERROR(B15/B8,0)</f>
        <v>-0.21029717207221602</v>
      </c>
      <c r="C24" s="37">
        <f t="shared" si="37"/>
        <v>-0.1730315233995279</v>
      </c>
      <c r="D24" s="37">
        <f t="shared" si="37"/>
        <v>0.11304761904761899</v>
      </c>
      <c r="E24" s="37">
        <f t="shared" si="37"/>
        <v>-7.1812774760796408E-2</v>
      </c>
      <c r="F24" s="38">
        <f t="shared" si="37"/>
        <v>-0.26190476190476192</v>
      </c>
      <c r="G24" s="37">
        <f t="shared" si="37"/>
        <v>-0.4656257591484288</v>
      </c>
      <c r="H24" s="37">
        <f t="shared" si="37"/>
        <v>-0.72176952266826433</v>
      </c>
      <c r="I24" s="37">
        <f t="shared" si="37"/>
        <v>-0.29652786536694342</v>
      </c>
      <c r="J24" s="38">
        <f t="shared" si="37"/>
        <v>-0.28566105593986429</v>
      </c>
      <c r="K24" s="37">
        <f t="shared" si="37"/>
        <v>-0.30517323208353098</v>
      </c>
      <c r="L24" s="37">
        <f t="shared" si="37"/>
        <v>-0.56926468400481456</v>
      </c>
      <c r="M24" s="37">
        <f t="shared" si="37"/>
        <v>-0.34871917073751935</v>
      </c>
      <c r="N24" s="38">
        <f t="shared" si="37"/>
        <v>-0.38981917808219174</v>
      </c>
      <c r="O24" s="37">
        <f t="shared" ref="O24:P24" si="38">IFERROR(O15/O8,0)</f>
        <v>-0.24511386769085747</v>
      </c>
      <c r="P24" s="37">
        <f t="shared" si="38"/>
        <v>-0.19133336837126194</v>
      </c>
      <c r="Q24" s="37">
        <f t="shared" ref="Q24" si="39">IFERROR(Q15/Q8,0)</f>
        <v>-0.1996331178628718</v>
      </c>
    </row>
    <row r="25" spans="1:18" x14ac:dyDescent="0.15">
      <c r="A25" s="6" t="s">
        <v>21</v>
      </c>
      <c r="B25" s="38">
        <f t="shared" ref="B25:N25" si="40">IFERROR(B18/B17,0)</f>
        <v>-0.18993352326685659</v>
      </c>
      <c r="C25" s="37">
        <f t="shared" si="40"/>
        <v>-0.20064205457463877</v>
      </c>
      <c r="D25" s="37">
        <f t="shared" si="40"/>
        <v>-0.21061499578770018</v>
      </c>
      <c r="E25" s="37">
        <f t="shared" si="40"/>
        <v>0</v>
      </c>
      <c r="F25" s="38">
        <f t="shared" si="40"/>
        <v>0</v>
      </c>
      <c r="G25" s="37">
        <f t="shared" si="40"/>
        <v>0</v>
      </c>
      <c r="H25" s="37">
        <f t="shared" si="40"/>
        <v>0</v>
      </c>
      <c r="I25" s="37">
        <f t="shared" si="40"/>
        <v>0</v>
      </c>
      <c r="J25" s="38">
        <f t="shared" si="40"/>
        <v>0</v>
      </c>
      <c r="K25" s="37">
        <f t="shared" si="40"/>
        <v>0</v>
      </c>
      <c r="L25" s="37">
        <f t="shared" si="40"/>
        <v>0</v>
      </c>
      <c r="M25" s="37">
        <f t="shared" si="40"/>
        <v>-3.6673023324042833E-2</v>
      </c>
      <c r="N25" s="38">
        <f t="shared" si="40"/>
        <v>0</v>
      </c>
      <c r="O25" s="37">
        <f t="shared" ref="O25:P25" si="41">IFERROR(O18/O17,0)</f>
        <v>7.2878329628684915E-2</v>
      </c>
      <c r="P25" s="37">
        <f t="shared" si="41"/>
        <v>0.12968907045358752</v>
      </c>
      <c r="Q25" s="37">
        <f t="shared" ref="Q25" si="42">IFERROR(Q18/Q17,0)</f>
        <v>0</v>
      </c>
    </row>
    <row r="26" spans="1:18" s="43" customFormat="1" x14ac:dyDescent="0.15">
      <c r="B26" s="42"/>
      <c r="C26" s="41"/>
      <c r="D26" s="41"/>
      <c r="E26" s="41"/>
      <c r="F26" s="57"/>
      <c r="I26" s="41"/>
      <c r="J26" s="57"/>
      <c r="N26" s="57"/>
    </row>
    <row r="27" spans="1:18" s="12" customFormat="1" x14ac:dyDescent="0.15">
      <c r="A27" s="12" t="s">
        <v>18</v>
      </c>
      <c r="B27" s="32"/>
      <c r="C27" s="31"/>
      <c r="D27" s="31"/>
      <c r="E27" s="31"/>
      <c r="F27" s="32">
        <f t="shared" ref="F27:R27" si="43">IFERROR((F8/B8)-1,0)</f>
        <v>0.67758427863876003</v>
      </c>
      <c r="G27" s="31">
        <f t="shared" si="43"/>
        <v>0.57203860574920151</v>
      </c>
      <c r="H27" s="31">
        <f t="shared" si="43"/>
        <v>0.19214285714285717</v>
      </c>
      <c r="I27" s="31">
        <f t="shared" si="43"/>
        <v>0.43519524178950086</v>
      </c>
      <c r="J27" s="32">
        <f t="shared" si="43"/>
        <v>0.4696904761904761</v>
      </c>
      <c r="K27" s="31">
        <f t="shared" si="43"/>
        <v>0.48901305183189425</v>
      </c>
      <c r="L27" s="31">
        <f t="shared" si="43"/>
        <v>0.4767525464349911</v>
      </c>
      <c r="M27" s="31">
        <f t="shared" si="43"/>
        <v>0.51227950053154125</v>
      </c>
      <c r="N27" s="32">
        <f t="shared" si="43"/>
        <v>0.47828340920504808</v>
      </c>
      <c r="O27" s="31">
        <f t="shared" si="43"/>
        <v>0.47901340768865674</v>
      </c>
      <c r="P27" s="31">
        <f t="shared" si="43"/>
        <v>0.54396072544325857</v>
      </c>
      <c r="Q27" s="31">
        <f t="shared" si="43"/>
        <v>0.50036935541522687</v>
      </c>
      <c r="R27" s="31">
        <f t="shared" si="43"/>
        <v>0.42465753424657526</v>
      </c>
    </row>
    <row r="28" spans="1:18" s="12" customFormat="1" x14ac:dyDescent="0.15">
      <c r="A28" s="6" t="s">
        <v>34</v>
      </c>
      <c r="B28" s="34"/>
      <c r="C28" s="33"/>
      <c r="D28" s="33"/>
      <c r="E28" s="33"/>
      <c r="F28" s="34">
        <f t="shared" ref="F28:Q31" si="44">F11/B11-1</f>
        <v>0.5714285714285714</v>
      </c>
      <c r="G28" s="33">
        <f t="shared" si="44"/>
        <v>0.625</v>
      </c>
      <c r="H28" s="33">
        <f t="shared" si="44"/>
        <v>0.875</v>
      </c>
      <c r="I28" s="33">
        <f t="shared" si="44"/>
        <v>0.66666666666666674</v>
      </c>
      <c r="J28" s="34">
        <f t="shared" si="44"/>
        <v>0.63636363636363646</v>
      </c>
      <c r="K28" s="33">
        <f t="shared" si="44"/>
        <v>0.46153846153846145</v>
      </c>
      <c r="L28" s="33">
        <f t="shared" si="44"/>
        <v>0.8666666666666667</v>
      </c>
      <c r="M28" s="33">
        <f t="shared" si="44"/>
        <v>0.73333333333333339</v>
      </c>
      <c r="N28" s="34">
        <f t="shared" si="44"/>
        <v>0.83333333333333326</v>
      </c>
      <c r="O28" s="33">
        <f t="shared" si="44"/>
        <v>0.47368421052631571</v>
      </c>
      <c r="P28" s="33">
        <f t="shared" si="44"/>
        <v>0.10714285714285721</v>
      </c>
      <c r="Q28" s="33">
        <f t="shared" si="44"/>
        <v>0.34615384615384626</v>
      </c>
    </row>
    <row r="29" spans="1:18" s="12" customFormat="1" x14ac:dyDescent="0.15">
      <c r="A29" s="6" t="s">
        <v>35</v>
      </c>
      <c r="B29" s="34"/>
      <c r="C29" s="33"/>
      <c r="D29" s="33"/>
      <c r="E29" s="33"/>
      <c r="F29" s="34">
        <f t="shared" si="44"/>
        <v>0.46153846153846145</v>
      </c>
      <c r="G29" s="33">
        <f t="shared" si="44"/>
        <v>0.53333333333333344</v>
      </c>
      <c r="H29" s="33">
        <f t="shared" si="44"/>
        <v>0.41176470588235303</v>
      </c>
      <c r="I29" s="33">
        <f t="shared" si="44"/>
        <v>0.64705882352941169</v>
      </c>
      <c r="J29" s="34">
        <f t="shared" si="44"/>
        <v>0.63157894736842102</v>
      </c>
      <c r="K29" s="33">
        <f t="shared" si="44"/>
        <v>0.56521739130434789</v>
      </c>
      <c r="L29" s="33">
        <f t="shared" si="44"/>
        <v>0.91666666666666674</v>
      </c>
      <c r="M29" s="33">
        <f t="shared" si="44"/>
        <v>0.6785714285714286</v>
      </c>
      <c r="N29" s="34">
        <f t="shared" si="44"/>
        <v>0.5161290322580645</v>
      </c>
      <c r="O29" s="33">
        <f t="shared" si="44"/>
        <v>0.41666666666666674</v>
      </c>
      <c r="P29" s="33">
        <f t="shared" si="44"/>
        <v>0.21739130434782616</v>
      </c>
      <c r="Q29" s="33">
        <f t="shared" si="44"/>
        <v>0.36170212765957444</v>
      </c>
    </row>
    <row r="30" spans="1:18" s="12" customFormat="1" x14ac:dyDescent="0.15">
      <c r="A30" s="6" t="s">
        <v>36</v>
      </c>
      <c r="B30" s="34"/>
      <c r="C30" s="33"/>
      <c r="D30" s="33"/>
      <c r="E30" s="33"/>
      <c r="F30" s="34">
        <f t="shared" si="44"/>
        <v>2.5</v>
      </c>
      <c r="G30" s="33">
        <f t="shared" si="44"/>
        <v>4</v>
      </c>
      <c r="H30" s="33">
        <f t="shared" si="44"/>
        <v>6.2</v>
      </c>
      <c r="I30" s="33">
        <f t="shared" si="44"/>
        <v>1.2857142857142856</v>
      </c>
      <c r="J30" s="34">
        <f t="shared" si="44"/>
        <v>0.14285714285714279</v>
      </c>
      <c r="K30" s="33">
        <f t="shared" si="44"/>
        <v>-9.9999999999999978E-2</v>
      </c>
      <c r="L30" s="33">
        <f t="shared" si="44"/>
        <v>-0.27777777777777779</v>
      </c>
      <c r="M30" s="33">
        <f t="shared" si="44"/>
        <v>0.375</v>
      </c>
      <c r="N30" s="34">
        <f t="shared" si="44"/>
        <v>0.625</v>
      </c>
      <c r="O30" s="33">
        <f t="shared" si="44"/>
        <v>0.16666666666666674</v>
      </c>
      <c r="P30" s="33">
        <f t="shared" si="44"/>
        <v>-0.15384615384615385</v>
      </c>
      <c r="Q30" s="33">
        <f t="shared" si="44"/>
        <v>4.5454545454545414E-2</v>
      </c>
    </row>
    <row r="31" spans="1:18" x14ac:dyDescent="0.15">
      <c r="A31" s="6" t="s">
        <v>63</v>
      </c>
      <c r="B31" s="36"/>
      <c r="C31" s="35"/>
      <c r="D31" s="35"/>
      <c r="E31" s="35"/>
      <c r="F31" s="36">
        <f t="shared" si="44"/>
        <v>0.83333333333333326</v>
      </c>
      <c r="G31" s="35">
        <f t="shared" si="44"/>
        <v>1.074074074074074</v>
      </c>
      <c r="H31" s="35">
        <f t="shared" si="44"/>
        <v>1.5</v>
      </c>
      <c r="I31" s="35">
        <f t="shared" si="44"/>
        <v>0.78787878787878785</v>
      </c>
      <c r="J31" s="36">
        <f t="shared" si="44"/>
        <v>0.47727272727272729</v>
      </c>
      <c r="K31" s="35">
        <f t="shared" si="44"/>
        <v>0.3035714285714286</v>
      </c>
      <c r="L31" s="35">
        <f t="shared" si="44"/>
        <v>0.33333333333333326</v>
      </c>
      <c r="M31" s="35">
        <f t="shared" si="44"/>
        <v>0.61016949152542366</v>
      </c>
      <c r="N31" s="36">
        <f t="shared" si="44"/>
        <v>0.63076923076923075</v>
      </c>
      <c r="O31" s="35">
        <f t="shared" si="44"/>
        <v>0.36986301369863006</v>
      </c>
      <c r="P31" s="35">
        <f t="shared" si="44"/>
        <v>9.000000000000008E-2</v>
      </c>
      <c r="Q31" s="35">
        <f t="shared" si="44"/>
        <v>0.28421052631578947</v>
      </c>
    </row>
    <row r="32" spans="1:18" x14ac:dyDescent="0.15">
      <c r="B32" s="47"/>
      <c r="C32" s="46"/>
      <c r="D32" s="46"/>
      <c r="E32" s="46"/>
      <c r="F32" s="47"/>
      <c r="G32" s="46"/>
      <c r="H32" s="46"/>
      <c r="I32" s="46"/>
      <c r="K32" s="46"/>
    </row>
    <row r="33" spans="1:17" s="17" customFormat="1" x14ac:dyDescent="0.15">
      <c r="A33" s="17" t="s">
        <v>22</v>
      </c>
      <c r="B33" s="23"/>
      <c r="C33" s="24"/>
      <c r="D33" s="24"/>
      <c r="E33" s="41"/>
      <c r="F33" s="42"/>
      <c r="G33" s="41"/>
      <c r="H33" s="41"/>
      <c r="I33" s="25">
        <f t="shared" ref="I33" si="45">I34-I35</f>
        <v>151</v>
      </c>
      <c r="J33" s="23"/>
      <c r="K33" s="41"/>
      <c r="L33" s="25">
        <f t="shared" ref="L33" si="46">L34-L35</f>
        <v>645</v>
      </c>
      <c r="M33" s="25">
        <f t="shared" ref="M33" si="47">M34-M35</f>
        <v>637</v>
      </c>
      <c r="N33" s="26">
        <f t="shared" ref="N33:Q33" si="48">N34-N35</f>
        <v>588</v>
      </c>
      <c r="O33" s="25">
        <f t="shared" si="48"/>
        <v>694</v>
      </c>
      <c r="P33" s="25">
        <f t="shared" si="48"/>
        <v>676</v>
      </c>
      <c r="Q33" s="25">
        <f t="shared" si="48"/>
        <v>649</v>
      </c>
    </row>
    <row r="34" spans="1:17" s="8" customFormat="1" x14ac:dyDescent="0.15">
      <c r="A34" s="8" t="s">
        <v>23</v>
      </c>
      <c r="B34" s="23"/>
      <c r="C34" s="24"/>
      <c r="D34" s="24"/>
      <c r="E34" s="41"/>
      <c r="F34" s="42"/>
      <c r="G34" s="41"/>
      <c r="H34" s="41"/>
      <c r="I34" s="24">
        <f>25+126</f>
        <v>151</v>
      </c>
      <c r="J34" s="23"/>
      <c r="K34" s="41"/>
      <c r="L34" s="24">
        <f>502+143</f>
        <v>645</v>
      </c>
      <c r="M34" s="24">
        <f>139+498</f>
        <v>637</v>
      </c>
      <c r="N34" s="23">
        <f>109+479</f>
        <v>588</v>
      </c>
      <c r="O34" s="24">
        <f>314+755</f>
        <v>1069</v>
      </c>
      <c r="P34" s="24">
        <f>112+939</f>
        <v>1051</v>
      </c>
      <c r="Q34" s="24">
        <f>109+923</f>
        <v>1032</v>
      </c>
    </row>
    <row r="35" spans="1:17" s="8" customFormat="1" x14ac:dyDescent="0.15">
      <c r="A35" s="8" t="s">
        <v>24</v>
      </c>
      <c r="B35" s="23"/>
      <c r="C35" s="24"/>
      <c r="D35" s="24"/>
      <c r="E35" s="41"/>
      <c r="F35" s="42"/>
      <c r="G35" s="41"/>
      <c r="H35" s="41"/>
      <c r="I35" s="24">
        <v>0</v>
      </c>
      <c r="J35" s="23"/>
      <c r="K35" s="41"/>
      <c r="L35" s="24">
        <v>0</v>
      </c>
      <c r="M35" s="24">
        <v>0</v>
      </c>
      <c r="N35" s="23">
        <v>0</v>
      </c>
      <c r="O35" s="24">
        <v>375</v>
      </c>
      <c r="P35" s="24">
        <v>375</v>
      </c>
      <c r="Q35" s="24">
        <v>383</v>
      </c>
    </row>
    <row r="36" spans="1:17" s="8" customFormat="1" x14ac:dyDescent="0.15">
      <c r="B36" s="23"/>
      <c r="C36" s="24"/>
      <c r="D36" s="24"/>
      <c r="E36" s="41"/>
      <c r="F36" s="42"/>
      <c r="G36" s="41"/>
      <c r="H36" s="41"/>
      <c r="I36" s="24"/>
      <c r="J36" s="23"/>
      <c r="K36" s="41"/>
      <c r="L36" s="24"/>
      <c r="M36" s="24"/>
      <c r="N36" s="23"/>
      <c r="O36" s="24"/>
      <c r="P36" s="24"/>
      <c r="Q36" s="24"/>
    </row>
    <row r="37" spans="1:17" s="8" customFormat="1" x14ac:dyDescent="0.15">
      <c r="A37" s="81" t="s">
        <v>48</v>
      </c>
      <c r="B37" s="23"/>
      <c r="C37" s="24"/>
      <c r="D37" s="24"/>
      <c r="E37" s="41"/>
      <c r="F37" s="42"/>
      <c r="G37" s="41"/>
      <c r="H37" s="41"/>
      <c r="I37" s="24">
        <v>4</v>
      </c>
      <c r="J37" s="23"/>
      <c r="K37" s="41"/>
      <c r="L37" s="24">
        <v>4</v>
      </c>
      <c r="M37" s="24">
        <v>4</v>
      </c>
      <c r="N37" s="23">
        <f>16+5</f>
        <v>21</v>
      </c>
      <c r="O37" s="24">
        <f>17+4</f>
        <v>21</v>
      </c>
      <c r="P37" s="24">
        <f>17+4</f>
        <v>21</v>
      </c>
      <c r="Q37" s="24">
        <f>17+3</f>
        <v>20</v>
      </c>
    </row>
    <row r="38" spans="1:17" s="8" customFormat="1" x14ac:dyDescent="0.15">
      <c r="A38" s="81" t="s">
        <v>49</v>
      </c>
      <c r="B38" s="23"/>
      <c r="C38" s="24"/>
      <c r="D38" s="24"/>
      <c r="E38" s="41"/>
      <c r="F38" s="42"/>
      <c r="G38" s="41"/>
      <c r="H38" s="41"/>
      <c r="I38" s="24">
        <v>298</v>
      </c>
      <c r="J38" s="23"/>
      <c r="K38" s="41"/>
      <c r="L38" s="24">
        <v>840</v>
      </c>
      <c r="M38" s="24">
        <v>831</v>
      </c>
      <c r="N38" s="23">
        <v>859</v>
      </c>
      <c r="O38" s="24">
        <v>1364</v>
      </c>
      <c r="P38" s="24">
        <v>1371</v>
      </c>
      <c r="Q38" s="24">
        <v>1381</v>
      </c>
    </row>
    <row r="39" spans="1:17" s="8" customFormat="1" x14ac:dyDescent="0.15">
      <c r="A39" s="81" t="s">
        <v>50</v>
      </c>
      <c r="B39" s="23"/>
      <c r="C39" s="24"/>
      <c r="D39" s="24"/>
      <c r="E39" s="41"/>
      <c r="F39" s="42"/>
      <c r="G39" s="41"/>
      <c r="H39" s="41"/>
      <c r="I39" s="24">
        <v>80</v>
      </c>
      <c r="J39" s="23"/>
      <c r="K39" s="41"/>
      <c r="L39" s="24">
        <v>99</v>
      </c>
      <c r="M39" s="24">
        <v>105</v>
      </c>
      <c r="N39" s="23">
        <v>152</v>
      </c>
      <c r="O39" s="24">
        <v>528</v>
      </c>
      <c r="P39" s="24">
        <v>545</v>
      </c>
      <c r="Q39" s="24">
        <v>564</v>
      </c>
    </row>
    <row r="40" spans="1:17" s="8" customFormat="1" x14ac:dyDescent="0.15">
      <c r="B40" s="23"/>
      <c r="C40" s="24"/>
      <c r="D40" s="24"/>
      <c r="E40" s="41"/>
      <c r="F40" s="42"/>
      <c r="G40" s="41"/>
      <c r="H40" s="41"/>
      <c r="I40" s="24"/>
      <c r="J40" s="23"/>
      <c r="K40" s="41"/>
      <c r="L40" s="24"/>
      <c r="M40" s="24"/>
      <c r="N40" s="23"/>
      <c r="O40" s="24"/>
      <c r="P40" s="24"/>
      <c r="Q40" s="24"/>
    </row>
    <row r="41" spans="1:17" s="8" customFormat="1" x14ac:dyDescent="0.15">
      <c r="A41" s="81" t="s">
        <v>51</v>
      </c>
      <c r="B41" s="23"/>
      <c r="C41" s="24"/>
      <c r="D41" s="24"/>
      <c r="E41" s="41"/>
      <c r="F41" s="42"/>
      <c r="G41" s="41"/>
      <c r="H41" s="41"/>
      <c r="I41" s="27">
        <f t="shared" ref="I41:N41" si="49">I38-I34-I37</f>
        <v>143</v>
      </c>
      <c r="J41" s="23"/>
      <c r="K41" s="41"/>
      <c r="L41" s="27">
        <f t="shared" si="49"/>
        <v>191</v>
      </c>
      <c r="M41" s="27">
        <f t="shared" si="49"/>
        <v>190</v>
      </c>
      <c r="N41" s="28">
        <f t="shared" si="49"/>
        <v>250</v>
      </c>
      <c r="O41" s="27">
        <f t="shared" ref="O41:P41" si="50">O38-O34-O37</f>
        <v>274</v>
      </c>
      <c r="P41" s="27">
        <f t="shared" si="50"/>
        <v>299</v>
      </c>
      <c r="Q41" s="27">
        <f t="shared" ref="Q41" si="51">Q38-Q34-Q37</f>
        <v>329</v>
      </c>
    </row>
    <row r="42" spans="1:17" s="8" customFormat="1" x14ac:dyDescent="0.15">
      <c r="A42" s="81" t="s">
        <v>52</v>
      </c>
      <c r="B42" s="23"/>
      <c r="C42" s="24"/>
      <c r="D42" s="24"/>
      <c r="E42" s="41"/>
      <c r="F42" s="42"/>
      <c r="G42" s="41"/>
      <c r="H42" s="41"/>
      <c r="I42" s="27">
        <f t="shared" ref="I42" si="52">I38-I39</f>
        <v>218</v>
      </c>
      <c r="J42" s="23"/>
      <c r="K42" s="41"/>
      <c r="L42" s="27">
        <f>L38-L39</f>
        <v>741</v>
      </c>
      <c r="M42" s="27">
        <f>M38-M39</f>
        <v>726</v>
      </c>
      <c r="N42" s="28">
        <f t="shared" ref="N42" si="53">N38-N39</f>
        <v>707</v>
      </c>
      <c r="O42" s="27">
        <f>O38-O39</f>
        <v>836</v>
      </c>
      <c r="P42" s="27">
        <f>P38-P39</f>
        <v>826</v>
      </c>
      <c r="Q42" s="27">
        <f>Q38-Q39</f>
        <v>817</v>
      </c>
    </row>
    <row r="43" spans="1:17" s="8" customFormat="1" x14ac:dyDescent="0.15">
      <c r="B43" s="23"/>
      <c r="C43" s="24"/>
      <c r="D43" s="24"/>
      <c r="E43" s="41"/>
      <c r="F43" s="42"/>
      <c r="G43" s="41"/>
      <c r="H43" s="41"/>
      <c r="I43" s="24"/>
      <c r="J43" s="23"/>
      <c r="K43" s="41"/>
      <c r="L43" s="24"/>
      <c r="M43" s="24"/>
      <c r="N43" s="23"/>
      <c r="O43" s="24"/>
      <c r="P43" s="24"/>
      <c r="Q43" s="24"/>
    </row>
    <row r="44" spans="1:17" s="17" customFormat="1" x14ac:dyDescent="0.15">
      <c r="A44" s="82" t="s">
        <v>53</v>
      </c>
      <c r="B44" s="23"/>
      <c r="C44" s="24"/>
      <c r="D44" s="24"/>
      <c r="E44" s="41"/>
      <c r="F44" s="42"/>
      <c r="G44" s="41"/>
      <c r="H44" s="41"/>
      <c r="I44" s="25">
        <f t="shared" ref="I44:Q44" si="54">SUM(F19:I19)</f>
        <v>-82.911000000000001</v>
      </c>
      <c r="J44" s="23"/>
      <c r="K44" s="41"/>
      <c r="L44" s="25">
        <f t="shared" si="54"/>
        <v>-95.757999999999981</v>
      </c>
      <c r="M44" s="25">
        <f t="shared" si="54"/>
        <v>-108.56899999999999</v>
      </c>
      <c r="N44" s="26">
        <f t="shared" ref="N44" si="55">SUM(K19:N19)</f>
        <v>-123.50699999999999</v>
      </c>
      <c r="O44" s="25">
        <f t="shared" si="54"/>
        <v>-128.374</v>
      </c>
      <c r="P44" s="25">
        <f t="shared" si="54"/>
        <v>-113.125</v>
      </c>
      <c r="Q44" s="25">
        <f t="shared" si="54"/>
        <v>-118.996</v>
      </c>
    </row>
    <row r="45" spans="1:17" x14ac:dyDescent="0.15">
      <c r="A45" s="19" t="s">
        <v>54</v>
      </c>
      <c r="B45" s="23"/>
      <c r="C45" s="24"/>
      <c r="D45" s="24"/>
      <c r="E45" s="46"/>
      <c r="F45" s="47"/>
      <c r="G45" s="46"/>
      <c r="H45" s="46"/>
      <c r="I45" s="35">
        <f t="shared" ref="I45:N45" si="56">I44/I42</f>
        <v>-0.38032568807339451</v>
      </c>
      <c r="K45" s="46"/>
      <c r="L45" s="35">
        <f t="shared" si="56"/>
        <v>-0.12922807017543858</v>
      </c>
      <c r="M45" s="35">
        <f t="shared" si="56"/>
        <v>-0.14954407713498621</v>
      </c>
      <c r="N45" s="36">
        <f t="shared" si="56"/>
        <v>-0.17469165487977367</v>
      </c>
      <c r="O45" s="35">
        <f t="shared" ref="O45:P45" si="57">O44/O42</f>
        <v>-0.15355741626794259</v>
      </c>
      <c r="P45" s="35">
        <f t="shared" si="57"/>
        <v>-0.13695520581113801</v>
      </c>
      <c r="Q45" s="35">
        <f t="shared" ref="Q45" si="58">Q44/Q42</f>
        <v>-0.1456499388004896</v>
      </c>
    </row>
    <row r="46" spans="1:17" x14ac:dyDescent="0.15">
      <c r="A46" s="19" t="s">
        <v>55</v>
      </c>
      <c r="B46" s="23"/>
      <c r="C46" s="24"/>
      <c r="D46" s="24"/>
      <c r="E46" s="46"/>
      <c r="F46" s="47"/>
      <c r="G46" s="46"/>
      <c r="H46" s="46"/>
      <c r="I46" s="35">
        <f t="shared" ref="I46:N46" si="59">I44/I38</f>
        <v>-0.27822483221476513</v>
      </c>
      <c r="K46" s="46"/>
      <c r="L46" s="35">
        <f t="shared" si="59"/>
        <v>-0.11399761904761903</v>
      </c>
      <c r="M46" s="35">
        <f t="shared" si="59"/>
        <v>-0.13064861612515041</v>
      </c>
      <c r="N46" s="36">
        <f t="shared" si="59"/>
        <v>-0.1437799767171129</v>
      </c>
      <c r="O46" s="35">
        <f t="shared" ref="O46:P46" si="60">O44/O38</f>
        <v>-9.4115835777126094E-2</v>
      </c>
      <c r="P46" s="35">
        <f t="shared" si="60"/>
        <v>-8.2512764405543393E-2</v>
      </c>
      <c r="Q46" s="35">
        <f t="shared" ref="Q46" si="61">Q44/Q38</f>
        <v>-8.6166545981173057E-2</v>
      </c>
    </row>
    <row r="47" spans="1:17" x14ac:dyDescent="0.15">
      <c r="A47" s="19" t="s">
        <v>56</v>
      </c>
      <c r="B47" s="23"/>
      <c r="C47" s="24"/>
      <c r="D47" s="24"/>
      <c r="E47" s="46"/>
      <c r="F47" s="47"/>
      <c r="G47" s="46"/>
      <c r="H47" s="46"/>
      <c r="I47" s="35">
        <f t="shared" ref="I47:N47" si="62">I44/(I42-I37)</f>
        <v>-0.38743457943925236</v>
      </c>
      <c r="K47" s="46"/>
      <c r="L47" s="35">
        <f t="shared" si="62"/>
        <v>-0.12992944369063769</v>
      </c>
      <c r="M47" s="35">
        <f t="shared" si="62"/>
        <v>-0.15037257617728531</v>
      </c>
      <c r="N47" s="36">
        <f t="shared" si="62"/>
        <v>-0.18003935860058307</v>
      </c>
      <c r="O47" s="35">
        <f t="shared" ref="O47:P47" si="63">O44/(O42-O37)</f>
        <v>-0.15751411042944785</v>
      </c>
      <c r="P47" s="35">
        <f t="shared" si="63"/>
        <v>-0.14052795031055901</v>
      </c>
      <c r="Q47" s="35">
        <f t="shared" ref="Q47" si="64">Q44/(Q42-Q37)</f>
        <v>-0.14930489335006272</v>
      </c>
    </row>
    <row r="48" spans="1:17" x14ac:dyDescent="0.15">
      <c r="A48" s="19" t="s">
        <v>57</v>
      </c>
      <c r="B48" s="23"/>
      <c r="C48" s="24"/>
      <c r="D48" s="24"/>
      <c r="E48" s="46"/>
      <c r="F48" s="47"/>
      <c r="G48" s="46"/>
      <c r="H48" s="46"/>
      <c r="I48" s="35">
        <f t="shared" ref="I48:N48" si="65">I44/I41</f>
        <v>-0.57979720279720282</v>
      </c>
      <c r="K48" s="46"/>
      <c r="L48" s="35">
        <f t="shared" si="65"/>
        <v>-0.50135078534031408</v>
      </c>
      <c r="M48" s="35">
        <f t="shared" si="65"/>
        <v>-0.5714157894736841</v>
      </c>
      <c r="N48" s="36">
        <f t="shared" si="65"/>
        <v>-0.49402799999999997</v>
      </c>
      <c r="O48" s="35">
        <f t="shared" ref="O48:P48" si="66">O44/O41</f>
        <v>-0.46851824817518245</v>
      </c>
      <c r="P48" s="35">
        <f t="shared" si="66"/>
        <v>-0.37834448160535117</v>
      </c>
      <c r="Q48" s="35">
        <f t="shared" ref="Q48" si="67">Q44/Q41</f>
        <v>-0.36168996960486322</v>
      </c>
    </row>
    <row r="50" spans="1:17" x14ac:dyDescent="0.15">
      <c r="A50" s="6" t="s">
        <v>62</v>
      </c>
      <c r="B50" s="36"/>
      <c r="C50" s="35"/>
      <c r="D50" s="35"/>
      <c r="E50" s="35"/>
      <c r="F50" s="36">
        <f t="shared" ref="F50:Q50" si="68">F3/B3-1</f>
        <v>0.67758427863876003</v>
      </c>
      <c r="G50" s="35">
        <f t="shared" si="68"/>
        <v>0.57203860574920151</v>
      </c>
      <c r="H50" s="35">
        <f t="shared" si="68"/>
        <v>0.19214285714285717</v>
      </c>
      <c r="I50" s="35">
        <f t="shared" si="68"/>
        <v>0.43519524178950086</v>
      </c>
      <c r="J50" s="36">
        <f t="shared" si="68"/>
        <v>0.4696904761904761</v>
      </c>
      <c r="K50" s="35">
        <f t="shared" si="68"/>
        <v>0.48901305183189425</v>
      </c>
      <c r="L50" s="35">
        <f t="shared" si="68"/>
        <v>0.4767525464349911</v>
      </c>
      <c r="M50" s="35">
        <f t="shared" si="68"/>
        <v>0.51227950053154125</v>
      </c>
      <c r="N50" s="36">
        <f t="shared" si="68"/>
        <v>0.47828340920504808</v>
      </c>
      <c r="O50" s="35">
        <f t="shared" si="68"/>
        <v>0.47901340768865674</v>
      </c>
      <c r="P50" s="35">
        <f t="shared" si="68"/>
        <v>0.5439607254432588</v>
      </c>
      <c r="Q50" s="35">
        <f>Q3/M3-1</f>
        <v>0.50036935541522687</v>
      </c>
    </row>
    <row r="52" spans="1:17" s="18" customFormat="1" x14ac:dyDescent="0.15">
      <c r="A52" s="18" t="s">
        <v>78</v>
      </c>
      <c r="B52" s="36"/>
      <c r="C52" s="35"/>
      <c r="D52" s="35"/>
      <c r="E52" s="35"/>
      <c r="F52" s="36"/>
      <c r="G52" s="35"/>
      <c r="H52" s="35"/>
      <c r="I52" s="35"/>
      <c r="J52" s="36"/>
      <c r="K52" s="35"/>
      <c r="L52" s="35">
        <f t="shared" ref="L52:Q53" si="69">L5/H5-1</f>
        <v>0.19725618319707894</v>
      </c>
      <c r="M52" s="35">
        <f t="shared" si="69"/>
        <v>0.22066598918982594</v>
      </c>
      <c r="N52" s="36">
        <f t="shared" si="69"/>
        <v>0.21301067228604453</v>
      </c>
      <c r="O52" s="35">
        <f t="shared" si="69"/>
        <v>0.23899209027903012</v>
      </c>
      <c r="P52" s="35">
        <f t="shared" si="69"/>
        <v>0.24673400340799634</v>
      </c>
      <c r="Q52" s="35">
        <f t="shared" si="69"/>
        <v>0.33925339639487473</v>
      </c>
    </row>
    <row r="53" spans="1:17" s="18" customFormat="1" x14ac:dyDescent="0.15">
      <c r="A53" s="18" t="s">
        <v>60</v>
      </c>
      <c r="B53" s="36"/>
      <c r="C53" s="35"/>
      <c r="D53" s="35"/>
      <c r="E53" s="35"/>
      <c r="F53" s="36"/>
      <c r="G53" s="35"/>
      <c r="H53" s="35"/>
      <c r="I53" s="35"/>
      <c r="J53" s="36"/>
      <c r="K53" s="35"/>
      <c r="L53" s="35">
        <f t="shared" si="69"/>
        <v>0.23344741681898218</v>
      </c>
      <c r="M53" s="35">
        <f t="shared" si="69"/>
        <v>0.23889705613512136</v>
      </c>
      <c r="N53" s="36">
        <f t="shared" si="69"/>
        <v>0.21868953256533974</v>
      </c>
      <c r="O53" s="35">
        <f t="shared" si="69"/>
        <v>0.19372304253820705</v>
      </c>
      <c r="P53" s="35">
        <f t="shared" si="69"/>
        <v>0.2384042796801733</v>
      </c>
      <c r="Q53" s="35">
        <f t="shared" si="69"/>
        <v>0.12030281905878226</v>
      </c>
    </row>
    <row r="55" spans="1:17" s="18" customFormat="1" x14ac:dyDescent="0.15">
      <c r="A55" s="80" t="s">
        <v>83</v>
      </c>
      <c r="B55" s="36"/>
      <c r="C55" s="35"/>
      <c r="D55" s="35"/>
      <c r="E55" s="35"/>
      <c r="F55" s="36"/>
      <c r="G55" s="35"/>
      <c r="H55" s="35"/>
      <c r="I55" s="35"/>
      <c r="J55" s="36"/>
      <c r="K55" s="35"/>
      <c r="L55" s="35"/>
      <c r="M55" s="35"/>
      <c r="N55" s="36"/>
      <c r="O55" s="35"/>
      <c r="P55" s="35"/>
      <c r="Q55" s="35">
        <v>1.19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6"/>
  <sheetViews>
    <sheetView zoomScale="110" zoomScaleNormal="110" workbookViewId="0">
      <selection activeCell="C10" sqref="C10:C11"/>
    </sheetView>
  </sheetViews>
  <sheetFormatPr baseColWidth="10" defaultRowHeight="13" x14ac:dyDescent="0.15"/>
  <cols>
    <col min="1" max="1" width="10.83203125" style="3"/>
    <col min="2" max="2" width="14.6640625" style="3" customWidth="1"/>
    <col min="3" max="3" width="33.83203125" style="3" bestFit="1" customWidth="1"/>
    <col min="4" max="4" width="22.5" style="3" bestFit="1" customWidth="1"/>
    <col min="5" max="16384" width="10.83203125" style="3"/>
  </cols>
  <sheetData>
    <row r="4" spans="2:4" x14ac:dyDescent="0.15">
      <c r="B4" s="2" t="s">
        <v>68</v>
      </c>
    </row>
    <row r="6" spans="2:4" x14ac:dyDescent="0.15">
      <c r="B6" s="66" t="s">
        <v>74</v>
      </c>
      <c r="C6" s="66" t="s">
        <v>75</v>
      </c>
      <c r="D6" s="65" t="s">
        <v>76</v>
      </c>
    </row>
  </sheetData>
  <hyperlinks>
    <hyperlink ref="D6" r:id="rId1" xr:uid="{54214917-DB52-F64D-A790-E2C24013AC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2021-02-25T23:56:20Z</dcterms:modified>
</cp:coreProperties>
</file>