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294E21EE-8E46-C846-BA2C-7C148C312709}" xr6:coauthVersionLast="46" xr6:coauthVersionMax="46" xr10:uidLastSave="{00000000-0000-0000-0000-000000000000}"/>
  <bookViews>
    <workbookView xWindow="-51780" yWindow="-5940" windowWidth="25640" windowHeight="26900" tabRatio="500" activeTab="1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2" l="1"/>
  <c r="J53" i="1"/>
  <c r="N53" i="1"/>
  <c r="M53" i="1"/>
  <c r="L53" i="1"/>
  <c r="K53" i="1"/>
  <c r="P53" i="1"/>
  <c r="O53" i="1"/>
  <c r="R53" i="1"/>
  <c r="Q53" i="1"/>
  <c r="S53" i="1"/>
  <c r="T53" i="1"/>
  <c r="I52" i="1"/>
  <c r="F52" i="1"/>
  <c r="J52" i="1"/>
  <c r="H52" i="1"/>
  <c r="G52" i="1"/>
  <c r="N52" i="1"/>
  <c r="M52" i="1"/>
  <c r="L52" i="1"/>
  <c r="K52" i="1"/>
  <c r="R52" i="1"/>
  <c r="Q52" i="1"/>
  <c r="P52" i="1"/>
  <c r="O52" i="1"/>
  <c r="S52" i="1"/>
  <c r="T52" i="1"/>
  <c r="D4" i="2"/>
  <c r="U23" i="1"/>
  <c r="V23" i="1" s="1"/>
  <c r="V13" i="1"/>
  <c r="V31" i="1" s="1"/>
  <c r="U13" i="1"/>
  <c r="U31" i="1" s="1"/>
  <c r="V12" i="1"/>
  <c r="V30" i="1" s="1"/>
  <c r="U12" i="1"/>
  <c r="U30" i="1" s="1"/>
  <c r="V7" i="1"/>
  <c r="V58" i="1" s="1"/>
  <c r="U7" i="1"/>
  <c r="U58" i="1" s="1"/>
  <c r="V6" i="1"/>
  <c r="V57" i="1" s="1"/>
  <c r="U6" i="1"/>
  <c r="U57" i="1" s="1"/>
  <c r="V5" i="1"/>
  <c r="V56" i="1" s="1"/>
  <c r="U5" i="1"/>
  <c r="U56" i="1" s="1"/>
  <c r="V4" i="1"/>
  <c r="V55" i="1" s="1"/>
  <c r="U4" i="1"/>
  <c r="U55" i="1" s="1"/>
  <c r="F46" i="2"/>
  <c r="F29" i="2"/>
  <c r="F26" i="2"/>
  <c r="F20" i="2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F19" i="2"/>
  <c r="F14" i="2"/>
  <c r="F13" i="2"/>
  <c r="F12" i="2"/>
  <c r="F11" i="2"/>
  <c r="E29" i="2"/>
  <c r="E26" i="2"/>
  <c r="E20" i="2"/>
  <c r="E19" i="2"/>
  <c r="E14" i="2"/>
  <c r="E13" i="2"/>
  <c r="E12" i="2"/>
  <c r="E11" i="2"/>
  <c r="C26" i="2"/>
  <c r="C20" i="2"/>
  <c r="C19" i="2"/>
  <c r="C46" i="2"/>
  <c r="C50" i="2" s="1"/>
  <c r="D29" i="2"/>
  <c r="D20" i="2"/>
  <c r="D19" i="2"/>
  <c r="D14" i="2"/>
  <c r="D13" i="2"/>
  <c r="D12" i="2"/>
  <c r="C29" i="2"/>
  <c r="C14" i="2"/>
  <c r="C13" i="2"/>
  <c r="C12" i="2"/>
  <c r="C17" i="1"/>
  <c r="C14" i="1"/>
  <c r="C10" i="1"/>
  <c r="C4" i="1"/>
  <c r="D17" i="1"/>
  <c r="D14" i="1"/>
  <c r="D10" i="1"/>
  <c r="D4" i="1"/>
  <c r="E17" i="1"/>
  <c r="E14" i="1"/>
  <c r="E10" i="1"/>
  <c r="I17" i="1"/>
  <c r="I14" i="1"/>
  <c r="I10" i="1"/>
  <c r="E4" i="1"/>
  <c r="I4" i="1"/>
  <c r="D11" i="2" s="1"/>
  <c r="F41" i="1"/>
  <c r="C47" i="2" s="1"/>
  <c r="F39" i="1"/>
  <c r="C45" i="2" s="1"/>
  <c r="F37" i="1"/>
  <c r="C43" i="2" s="1"/>
  <c r="F36" i="1"/>
  <c r="F35" i="1" s="1"/>
  <c r="F44" i="1"/>
  <c r="J58" i="1"/>
  <c r="I58" i="1"/>
  <c r="H58" i="1"/>
  <c r="G58" i="1"/>
  <c r="F17" i="1"/>
  <c r="F14" i="1"/>
  <c r="F10" i="1"/>
  <c r="J17" i="1"/>
  <c r="J14" i="1"/>
  <c r="J10" i="1"/>
  <c r="G17" i="1"/>
  <c r="G14" i="1"/>
  <c r="G10" i="1"/>
  <c r="K17" i="1"/>
  <c r="K14" i="1"/>
  <c r="K10" i="1"/>
  <c r="J41" i="1"/>
  <c r="J39" i="1"/>
  <c r="J37" i="1"/>
  <c r="J36" i="1"/>
  <c r="H17" i="1"/>
  <c r="H14" i="1"/>
  <c r="H10" i="1"/>
  <c r="D17" i="2" s="1"/>
  <c r="L17" i="1"/>
  <c r="L14" i="1"/>
  <c r="L10" i="1"/>
  <c r="M17" i="1"/>
  <c r="M14" i="1"/>
  <c r="M10" i="1"/>
  <c r="Q17" i="1"/>
  <c r="Q14" i="1"/>
  <c r="U14" i="1" s="1"/>
  <c r="U32" i="1" s="1"/>
  <c r="Q10" i="1"/>
  <c r="N41" i="1"/>
  <c r="N39" i="1"/>
  <c r="N37" i="1"/>
  <c r="N36" i="1"/>
  <c r="N17" i="1"/>
  <c r="N14" i="1"/>
  <c r="N10" i="1"/>
  <c r="R58" i="1"/>
  <c r="R57" i="1"/>
  <c r="R56" i="1"/>
  <c r="R55" i="1"/>
  <c r="R31" i="1"/>
  <c r="R30" i="1"/>
  <c r="R17" i="1"/>
  <c r="R14" i="1"/>
  <c r="R15" i="1" s="1"/>
  <c r="R10" i="1"/>
  <c r="R9" i="1"/>
  <c r="R11" i="1" s="1"/>
  <c r="R25" i="1" s="1"/>
  <c r="S31" i="1"/>
  <c r="S30" i="1"/>
  <c r="S58" i="1"/>
  <c r="S57" i="1"/>
  <c r="S56" i="1"/>
  <c r="S55" i="1"/>
  <c r="S41" i="1"/>
  <c r="S44" i="1" s="1"/>
  <c r="S39" i="1"/>
  <c r="S43" i="1" s="1"/>
  <c r="S37" i="1"/>
  <c r="S36" i="1"/>
  <c r="O17" i="1"/>
  <c r="O14" i="1"/>
  <c r="O10" i="1"/>
  <c r="S17" i="1"/>
  <c r="S14" i="1"/>
  <c r="S15" i="1" s="1"/>
  <c r="S10" i="1"/>
  <c r="S9" i="1"/>
  <c r="S11" i="1" s="1"/>
  <c r="S25" i="1" s="1"/>
  <c r="R41" i="1"/>
  <c r="R44" i="1" s="1"/>
  <c r="R39" i="1"/>
  <c r="R37" i="1"/>
  <c r="R36" i="1"/>
  <c r="F42" i="2" s="1"/>
  <c r="T58" i="1"/>
  <c r="T57" i="1"/>
  <c r="T56" i="1"/>
  <c r="T55" i="1"/>
  <c r="T41" i="1"/>
  <c r="T44" i="1" s="1"/>
  <c r="T39" i="1"/>
  <c r="T37" i="1"/>
  <c r="T36" i="1"/>
  <c r="T35" i="1"/>
  <c r="D6" i="2" s="1"/>
  <c r="T31" i="1"/>
  <c r="T30" i="1"/>
  <c r="P17" i="1"/>
  <c r="P14" i="1"/>
  <c r="P15" i="1" s="1"/>
  <c r="P10" i="1"/>
  <c r="T17" i="1"/>
  <c r="U17" i="1" s="1"/>
  <c r="T14" i="1"/>
  <c r="T15" i="1" s="1"/>
  <c r="T10" i="1"/>
  <c r="P9" i="1"/>
  <c r="T29" i="1" s="1"/>
  <c r="T9" i="1"/>
  <c r="P58" i="1"/>
  <c r="P57" i="1"/>
  <c r="P56" i="1"/>
  <c r="P55" i="1"/>
  <c r="P31" i="1"/>
  <c r="P30" i="1"/>
  <c r="Q58" i="1"/>
  <c r="Q57" i="1"/>
  <c r="Q56" i="1"/>
  <c r="Q55" i="1"/>
  <c r="Q31" i="1"/>
  <c r="Q30" i="1"/>
  <c r="Q9" i="1"/>
  <c r="D24" i="2" l="1"/>
  <c r="G11" i="2"/>
  <c r="H11" i="2" s="1"/>
  <c r="I11" i="2" s="1"/>
  <c r="J11" i="2" s="1"/>
  <c r="K11" i="2" s="1"/>
  <c r="K57" i="2" s="1"/>
  <c r="E17" i="2"/>
  <c r="T32" i="1"/>
  <c r="T11" i="1"/>
  <c r="T25" i="1" s="1"/>
  <c r="F16" i="2"/>
  <c r="C21" i="2"/>
  <c r="E21" i="2"/>
  <c r="S32" i="1"/>
  <c r="F17" i="2"/>
  <c r="E24" i="2"/>
  <c r="F24" i="2"/>
  <c r="F47" i="2"/>
  <c r="F50" i="2" s="1"/>
  <c r="G12" i="2"/>
  <c r="H12" i="2" s="1"/>
  <c r="I12" i="2" s="1"/>
  <c r="J12" i="2" s="1"/>
  <c r="K12" i="2" s="1"/>
  <c r="K58" i="2" s="1"/>
  <c r="C11" i="2"/>
  <c r="C16" i="2" s="1"/>
  <c r="T43" i="1"/>
  <c r="C17" i="2"/>
  <c r="D21" i="2"/>
  <c r="R32" i="1"/>
  <c r="C24" i="2"/>
  <c r="R16" i="1"/>
  <c r="S16" i="1"/>
  <c r="T16" i="1"/>
  <c r="T33" i="1"/>
  <c r="V17" i="1"/>
  <c r="G14" i="2"/>
  <c r="H14" i="2" s="1"/>
  <c r="I14" i="2" s="1"/>
  <c r="J14" i="2" s="1"/>
  <c r="K14" i="2" s="1"/>
  <c r="K60" i="2" s="1"/>
  <c r="F21" i="2"/>
  <c r="G21" i="2" s="1"/>
  <c r="H21" i="2" s="1"/>
  <c r="I21" i="2" s="1"/>
  <c r="J21" i="2" s="1"/>
  <c r="K21" i="2" s="1"/>
  <c r="U9" i="1"/>
  <c r="S35" i="1"/>
  <c r="V14" i="1"/>
  <c r="V32" i="1" s="1"/>
  <c r="R43" i="1"/>
  <c r="C42" i="2"/>
  <c r="C41" i="2" s="1"/>
  <c r="U15" i="1"/>
  <c r="G19" i="2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R35" i="1"/>
  <c r="G13" i="2"/>
  <c r="H13" i="2" s="1"/>
  <c r="I13" i="2" s="1"/>
  <c r="J13" i="2" s="1"/>
  <c r="K13" i="2" s="1"/>
  <c r="K59" i="2" s="1"/>
  <c r="Q11" i="1"/>
  <c r="Q25" i="1" s="1"/>
  <c r="V9" i="1"/>
  <c r="F43" i="2"/>
  <c r="F41" i="2" s="1"/>
  <c r="F45" i="2"/>
  <c r="F49" i="2" s="1"/>
  <c r="F43" i="1"/>
  <c r="Q15" i="1"/>
  <c r="P11" i="1"/>
  <c r="P25" i="1" s="1"/>
  <c r="O58" i="1"/>
  <c r="O57" i="1"/>
  <c r="O56" i="1"/>
  <c r="O55" i="1"/>
  <c r="O31" i="1"/>
  <c r="O30" i="1"/>
  <c r="O15" i="1"/>
  <c r="S33" i="1" s="1"/>
  <c r="O9" i="1"/>
  <c r="S29" i="1" s="1"/>
  <c r="N9" i="1"/>
  <c r="R29" i="1" s="1"/>
  <c r="F18" i="2" l="1"/>
  <c r="V15" i="1"/>
  <c r="C18" i="2"/>
  <c r="C49" i="2"/>
  <c r="Q16" i="1"/>
  <c r="T18" i="1"/>
  <c r="T26" i="1"/>
  <c r="K16" i="2"/>
  <c r="L16" i="2" s="1"/>
  <c r="M16" i="2" s="1"/>
  <c r="N16" i="2" s="1"/>
  <c r="O16" i="2" s="1"/>
  <c r="P16" i="2" s="1"/>
  <c r="Q16" i="2" s="1"/>
  <c r="R16" i="2" s="1"/>
  <c r="S16" i="2" s="1"/>
  <c r="T16" i="2" s="1"/>
  <c r="V11" i="1"/>
  <c r="V25" i="1" s="1"/>
  <c r="V29" i="1"/>
  <c r="U16" i="1"/>
  <c r="U33" i="1"/>
  <c r="V16" i="1"/>
  <c r="V33" i="1"/>
  <c r="S26" i="1"/>
  <c r="S18" i="1"/>
  <c r="F22" i="2"/>
  <c r="F23" i="2" s="1"/>
  <c r="F25" i="2" s="1"/>
  <c r="G16" i="2"/>
  <c r="U29" i="1"/>
  <c r="U11" i="1"/>
  <c r="U25" i="1" s="1"/>
  <c r="R26" i="1"/>
  <c r="R18" i="1"/>
  <c r="N15" i="1"/>
  <c r="R33" i="1" s="1"/>
  <c r="O11" i="1"/>
  <c r="O25" i="1" s="1"/>
  <c r="N11" i="1"/>
  <c r="N16" i="1" s="1"/>
  <c r="N18" i="1" s="1"/>
  <c r="Q18" i="1"/>
  <c r="Q26" i="1"/>
  <c r="P16" i="1"/>
  <c r="E47" i="2"/>
  <c r="E46" i="2"/>
  <c r="E43" i="2"/>
  <c r="Q37" i="2"/>
  <c r="D47" i="2"/>
  <c r="D46" i="2"/>
  <c r="D43" i="2"/>
  <c r="N31" i="1"/>
  <c r="N30" i="1"/>
  <c r="N58" i="1"/>
  <c r="N55" i="1"/>
  <c r="N57" i="1"/>
  <c r="N56" i="1"/>
  <c r="N44" i="1"/>
  <c r="N35" i="1"/>
  <c r="J57" i="1"/>
  <c r="J56" i="1"/>
  <c r="I57" i="1"/>
  <c r="I56" i="1"/>
  <c r="H57" i="1"/>
  <c r="H56" i="1"/>
  <c r="G57" i="1"/>
  <c r="G56" i="1"/>
  <c r="J55" i="1"/>
  <c r="C9" i="1"/>
  <c r="D9" i="1"/>
  <c r="E9" i="1"/>
  <c r="F9" i="1"/>
  <c r="F15" i="1"/>
  <c r="J9" i="1"/>
  <c r="S27" i="1" l="1"/>
  <c r="S21" i="1"/>
  <c r="S22" i="1" s="1"/>
  <c r="V26" i="1"/>
  <c r="V18" i="1"/>
  <c r="U10" i="1"/>
  <c r="U26" i="1"/>
  <c r="U18" i="1"/>
  <c r="U16" i="2"/>
  <c r="T35" i="2"/>
  <c r="V10" i="1"/>
  <c r="R21" i="1"/>
  <c r="R22" i="1" s="1"/>
  <c r="R27" i="1"/>
  <c r="T21" i="1"/>
  <c r="T22" i="1" s="1"/>
  <c r="T27" i="1"/>
  <c r="O16" i="1"/>
  <c r="P26" i="1"/>
  <c r="P18" i="1"/>
  <c r="D58" i="2"/>
  <c r="Q27" i="1"/>
  <c r="Q21" i="1"/>
  <c r="E16" i="2"/>
  <c r="E50" i="2"/>
  <c r="E58" i="2"/>
  <c r="E59" i="2"/>
  <c r="N43" i="1"/>
  <c r="D57" i="2"/>
  <c r="E42" i="2"/>
  <c r="E41" i="2" s="1"/>
  <c r="D59" i="2"/>
  <c r="E45" i="2"/>
  <c r="F60" i="2"/>
  <c r="H60" i="2"/>
  <c r="E60" i="2"/>
  <c r="D16" i="2"/>
  <c r="E57" i="2"/>
  <c r="F11" i="1"/>
  <c r="G9" i="1"/>
  <c r="O32" i="1"/>
  <c r="K58" i="1"/>
  <c r="K57" i="1"/>
  <c r="K56" i="1"/>
  <c r="K55" i="1"/>
  <c r="K32" i="1"/>
  <c r="K31" i="1"/>
  <c r="K30" i="1"/>
  <c r="K9" i="1"/>
  <c r="H9" i="1"/>
  <c r="L58" i="1"/>
  <c r="L57" i="1"/>
  <c r="L56" i="1"/>
  <c r="L55" i="1"/>
  <c r="L31" i="1"/>
  <c r="L30" i="1"/>
  <c r="L9" i="1"/>
  <c r="M58" i="1"/>
  <c r="M57" i="1"/>
  <c r="D45" i="2"/>
  <c r="D42" i="2"/>
  <c r="I9" i="1"/>
  <c r="M9" i="1"/>
  <c r="M56" i="1"/>
  <c r="M55" i="1"/>
  <c r="M31" i="1"/>
  <c r="M30" i="1"/>
  <c r="U35" i="2" l="1"/>
  <c r="U19" i="1"/>
  <c r="U27" i="1" s="1"/>
  <c r="V19" i="1" s="1"/>
  <c r="V27" i="1" s="1"/>
  <c r="U21" i="1"/>
  <c r="U22" i="1" s="1"/>
  <c r="S37" i="2"/>
  <c r="T36" i="2"/>
  <c r="Q22" i="1"/>
  <c r="T46" i="1"/>
  <c r="S46" i="1"/>
  <c r="N32" i="1"/>
  <c r="Q32" i="1"/>
  <c r="O26" i="1"/>
  <c r="O18" i="1"/>
  <c r="O29" i="1"/>
  <c r="Q29" i="1"/>
  <c r="L32" i="1"/>
  <c r="P32" i="1"/>
  <c r="L11" i="1"/>
  <c r="L25" i="1" s="1"/>
  <c r="P29" i="1"/>
  <c r="R37" i="2"/>
  <c r="P21" i="1"/>
  <c r="P27" i="1"/>
  <c r="F57" i="2"/>
  <c r="E49" i="2"/>
  <c r="G60" i="2"/>
  <c r="F58" i="2"/>
  <c r="N29" i="1"/>
  <c r="M32" i="1"/>
  <c r="K15" i="1"/>
  <c r="F59" i="2"/>
  <c r="M15" i="1"/>
  <c r="L15" i="1"/>
  <c r="F25" i="1"/>
  <c r="F16" i="1"/>
  <c r="K11" i="1"/>
  <c r="I15" i="1"/>
  <c r="J15" i="1"/>
  <c r="G29" i="2"/>
  <c r="H29" i="2" s="1"/>
  <c r="I29" i="2" s="1"/>
  <c r="J29" i="2" s="1"/>
  <c r="K29" i="2" s="1"/>
  <c r="L29" i="2" s="1"/>
  <c r="M29" i="2" s="1"/>
  <c r="N29" i="2" s="1"/>
  <c r="O29" i="2" s="1"/>
  <c r="P29" i="2" s="1"/>
  <c r="Q29" i="2" s="1"/>
  <c r="R29" i="2" s="1"/>
  <c r="S29" i="2" s="1"/>
  <c r="T29" i="2" s="1"/>
  <c r="U29" i="2" s="1"/>
  <c r="J43" i="1"/>
  <c r="J44" i="1"/>
  <c r="J35" i="1"/>
  <c r="J32" i="1"/>
  <c r="G55" i="1"/>
  <c r="K29" i="1"/>
  <c r="G15" i="1"/>
  <c r="G33" i="1" s="1"/>
  <c r="G32" i="1"/>
  <c r="G31" i="1"/>
  <c r="G30" i="1"/>
  <c r="H55" i="1"/>
  <c r="H15" i="1"/>
  <c r="H32" i="1"/>
  <c r="H31" i="1"/>
  <c r="H30" i="1"/>
  <c r="L29" i="1"/>
  <c r="D11" i="1"/>
  <c r="C15" i="1"/>
  <c r="D15" i="1"/>
  <c r="E15" i="1"/>
  <c r="J30" i="1"/>
  <c r="J31" i="1"/>
  <c r="I55" i="1"/>
  <c r="I32" i="1"/>
  <c r="I31" i="1"/>
  <c r="I30" i="1"/>
  <c r="D5" i="2"/>
  <c r="D10" i="2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V21" i="1" l="1"/>
  <c r="V22" i="1" s="1"/>
  <c r="T37" i="2"/>
  <c r="U37" i="2"/>
  <c r="U36" i="2"/>
  <c r="S49" i="1"/>
  <c r="S50" i="1"/>
  <c r="S48" i="1"/>
  <c r="S47" i="1"/>
  <c r="T47" i="1"/>
  <c r="T48" i="1"/>
  <c r="T49" i="1"/>
  <c r="T50" i="1"/>
  <c r="I33" i="1"/>
  <c r="H33" i="1"/>
  <c r="F35" i="2"/>
  <c r="M33" i="1"/>
  <c r="Q33" i="1"/>
  <c r="K33" i="1"/>
  <c r="O33" i="1"/>
  <c r="J33" i="1"/>
  <c r="N33" i="1"/>
  <c r="O27" i="1"/>
  <c r="O21" i="1"/>
  <c r="L16" i="1"/>
  <c r="L26" i="1" s="1"/>
  <c r="L33" i="1"/>
  <c r="P33" i="1"/>
  <c r="P22" i="1"/>
  <c r="G35" i="2"/>
  <c r="I60" i="2"/>
  <c r="Q10" i="2"/>
  <c r="R10" i="2" s="1"/>
  <c r="S10" i="2" s="1"/>
  <c r="T10" i="2" s="1"/>
  <c r="U10" i="2" s="1"/>
  <c r="Q36" i="2"/>
  <c r="G57" i="2"/>
  <c r="G58" i="2"/>
  <c r="H58" i="2"/>
  <c r="L21" i="2"/>
  <c r="M21" i="2" s="1"/>
  <c r="N21" i="2" s="1"/>
  <c r="O21" i="2" s="1"/>
  <c r="P21" i="2" s="1"/>
  <c r="Q21" i="2" s="1"/>
  <c r="R21" i="2" s="1"/>
  <c r="S21" i="2" s="1"/>
  <c r="T21" i="2" s="1"/>
  <c r="E22" i="2"/>
  <c r="E38" i="2"/>
  <c r="G59" i="2"/>
  <c r="H57" i="2"/>
  <c r="J60" i="2"/>
  <c r="D41" i="2"/>
  <c r="D50" i="2"/>
  <c r="F26" i="1"/>
  <c r="F18" i="1"/>
  <c r="K25" i="1"/>
  <c r="K16" i="1"/>
  <c r="I29" i="1"/>
  <c r="D22" i="2"/>
  <c r="M29" i="1"/>
  <c r="M11" i="1"/>
  <c r="D7" i="2"/>
  <c r="D8" i="2" s="1"/>
  <c r="E36" i="2"/>
  <c r="E37" i="2"/>
  <c r="J11" i="1"/>
  <c r="D16" i="1"/>
  <c r="D25" i="1"/>
  <c r="G11" i="1"/>
  <c r="G29" i="1"/>
  <c r="H11" i="1"/>
  <c r="H29" i="1"/>
  <c r="C11" i="1"/>
  <c r="J29" i="1"/>
  <c r="E11" i="1"/>
  <c r="I11" i="1"/>
  <c r="D38" i="2"/>
  <c r="D49" i="2"/>
  <c r="T38" i="2" l="1"/>
  <c r="U21" i="2"/>
  <c r="T22" i="2"/>
  <c r="O22" i="1"/>
  <c r="R46" i="1"/>
  <c r="L18" i="1"/>
  <c r="L21" i="1" s="1"/>
  <c r="H16" i="2"/>
  <c r="R36" i="2"/>
  <c r="H59" i="2"/>
  <c r="E39" i="2"/>
  <c r="J22" i="2"/>
  <c r="I57" i="2"/>
  <c r="F21" i="1"/>
  <c r="F22" i="1" s="1"/>
  <c r="F27" i="1"/>
  <c r="K26" i="1"/>
  <c r="K18" i="1"/>
  <c r="M25" i="1"/>
  <c r="M16" i="1"/>
  <c r="D37" i="2"/>
  <c r="F38" i="2"/>
  <c r="C16" i="1"/>
  <c r="C25" i="1"/>
  <c r="H16" i="1"/>
  <c r="H25" i="1"/>
  <c r="D18" i="1"/>
  <c r="D26" i="1"/>
  <c r="J16" i="1"/>
  <c r="J25" i="1"/>
  <c r="C22" i="2"/>
  <c r="D39" i="2" s="1"/>
  <c r="D36" i="2"/>
  <c r="F37" i="2"/>
  <c r="E25" i="1"/>
  <c r="E16" i="1"/>
  <c r="F39" i="2"/>
  <c r="F36" i="2"/>
  <c r="G16" i="1"/>
  <c r="G25" i="1"/>
  <c r="I16" i="1"/>
  <c r="I25" i="1"/>
  <c r="U38" i="2" l="1"/>
  <c r="U22" i="2"/>
  <c r="U39" i="2" s="1"/>
  <c r="R50" i="1"/>
  <c r="R48" i="1"/>
  <c r="R49" i="1"/>
  <c r="R47" i="1"/>
  <c r="L27" i="1"/>
  <c r="I58" i="2"/>
  <c r="I16" i="2"/>
  <c r="Q38" i="2"/>
  <c r="Q22" i="2"/>
  <c r="S36" i="2"/>
  <c r="E18" i="2"/>
  <c r="E23" i="2" s="1"/>
  <c r="E25" i="2" s="1"/>
  <c r="N25" i="1"/>
  <c r="J59" i="2"/>
  <c r="I59" i="2"/>
  <c r="J57" i="2"/>
  <c r="D35" i="2"/>
  <c r="K21" i="1"/>
  <c r="K27" i="1"/>
  <c r="L22" i="1"/>
  <c r="M26" i="1"/>
  <c r="M18" i="1"/>
  <c r="J18" i="1"/>
  <c r="J26" i="1"/>
  <c r="D21" i="1"/>
  <c r="D27" i="1"/>
  <c r="I18" i="1"/>
  <c r="I26" i="1"/>
  <c r="H26" i="1"/>
  <c r="H18" i="1"/>
  <c r="G26" i="1"/>
  <c r="G18" i="1"/>
  <c r="G38" i="2"/>
  <c r="E26" i="1"/>
  <c r="E18" i="1"/>
  <c r="G37" i="2"/>
  <c r="D18" i="2"/>
  <c r="C18" i="1"/>
  <c r="C26" i="1"/>
  <c r="G36" i="2"/>
  <c r="G22" i="2"/>
  <c r="G39" i="2" s="1"/>
  <c r="J58" i="2" l="1"/>
  <c r="J16" i="2"/>
  <c r="R38" i="2"/>
  <c r="R22" i="2"/>
  <c r="R39" i="2" s="1"/>
  <c r="N26" i="1"/>
  <c r="C31" i="2"/>
  <c r="K22" i="1"/>
  <c r="M27" i="1"/>
  <c r="M21" i="1"/>
  <c r="H22" i="2"/>
  <c r="H39" i="2" s="1"/>
  <c r="H36" i="2"/>
  <c r="D23" i="2"/>
  <c r="D31" i="2"/>
  <c r="E35" i="2"/>
  <c r="D22" i="1"/>
  <c r="J27" i="1"/>
  <c r="J21" i="1"/>
  <c r="J22" i="1" s="1"/>
  <c r="E27" i="1"/>
  <c r="I19" i="1" s="1"/>
  <c r="E21" i="1"/>
  <c r="G27" i="1"/>
  <c r="G21" i="1"/>
  <c r="H21" i="1"/>
  <c r="H22" i="1" s="1"/>
  <c r="H27" i="1"/>
  <c r="H37" i="2"/>
  <c r="C27" i="1"/>
  <c r="C21" i="1"/>
  <c r="H38" i="2"/>
  <c r="D26" i="2" l="1"/>
  <c r="I20" i="1"/>
  <c r="I27" i="1"/>
  <c r="I21" i="1"/>
  <c r="I22" i="1" s="1"/>
  <c r="F46" i="1"/>
  <c r="F49" i="1" s="1"/>
  <c r="S38" i="2"/>
  <c r="S22" i="2"/>
  <c r="N27" i="1"/>
  <c r="N21" i="1"/>
  <c r="C23" i="2"/>
  <c r="C25" i="2" s="1"/>
  <c r="C27" i="2" s="1"/>
  <c r="M22" i="1"/>
  <c r="J46" i="1"/>
  <c r="G22" i="1"/>
  <c r="I22" i="2"/>
  <c r="I39" i="2" s="1"/>
  <c r="I36" i="2"/>
  <c r="I38" i="2"/>
  <c r="I37" i="2"/>
  <c r="E22" i="1"/>
  <c r="D32" i="2"/>
  <c r="D25" i="2"/>
  <c r="C22" i="1"/>
  <c r="S39" i="2" l="1"/>
  <c r="T39" i="2"/>
  <c r="C53" i="2"/>
  <c r="C55" i="2"/>
  <c r="C52" i="2"/>
  <c r="C54" i="2"/>
  <c r="F50" i="1"/>
  <c r="F48" i="1"/>
  <c r="F47" i="1"/>
  <c r="Q35" i="2"/>
  <c r="N22" i="1"/>
  <c r="R35" i="2"/>
  <c r="N46" i="1"/>
  <c r="C32" i="2"/>
  <c r="E31" i="2"/>
  <c r="J37" i="2"/>
  <c r="J50" i="1"/>
  <c r="J49" i="1"/>
  <c r="J48" i="1"/>
  <c r="J47" i="1"/>
  <c r="J38" i="2"/>
  <c r="D27" i="2"/>
  <c r="D33" i="2"/>
  <c r="J36" i="2"/>
  <c r="J39" i="2"/>
  <c r="C33" i="2"/>
  <c r="E32" i="2"/>
  <c r="S35" i="2" l="1"/>
  <c r="N49" i="1"/>
  <c r="N48" i="1"/>
  <c r="N50" i="1"/>
  <c r="N47" i="1"/>
  <c r="D55" i="2"/>
  <c r="D54" i="2"/>
  <c r="D53" i="2"/>
  <c r="D52" i="2"/>
  <c r="D28" i="2"/>
  <c r="K38" i="2"/>
  <c r="K37" i="2"/>
  <c r="K22" i="2"/>
  <c r="K39" i="2" s="1"/>
  <c r="K36" i="2"/>
  <c r="E33" i="2"/>
  <c r="H35" i="2"/>
  <c r="C28" i="2"/>
  <c r="F31" i="2" l="1"/>
  <c r="G18" i="2" s="1"/>
  <c r="G17" i="2" s="1"/>
  <c r="F32" i="2"/>
  <c r="E27" i="2"/>
  <c r="E28" i="2" s="1"/>
  <c r="L37" i="2"/>
  <c r="L38" i="2"/>
  <c r="I35" i="2"/>
  <c r="L36" i="2"/>
  <c r="L22" i="2"/>
  <c r="L39" i="2" s="1"/>
  <c r="G23" i="2" l="1"/>
  <c r="G32" i="2" s="1"/>
  <c r="G31" i="2"/>
  <c r="H18" i="2" s="1"/>
  <c r="H23" i="2" s="1"/>
  <c r="H32" i="2" s="1"/>
  <c r="E53" i="2"/>
  <c r="E54" i="2"/>
  <c r="E55" i="2"/>
  <c r="E52" i="2"/>
  <c r="M38" i="2"/>
  <c r="M22" i="2"/>
  <c r="M39" i="2" s="1"/>
  <c r="M36" i="2"/>
  <c r="J35" i="2"/>
  <c r="M37" i="2"/>
  <c r="H17" i="2" l="1"/>
  <c r="H31" i="2"/>
  <c r="I18" i="2" s="1"/>
  <c r="I17" i="2" s="1"/>
  <c r="F33" i="2"/>
  <c r="K35" i="2"/>
  <c r="N36" i="2"/>
  <c r="N22" i="2"/>
  <c r="N39" i="2" s="1"/>
  <c r="N37" i="2"/>
  <c r="N38" i="2"/>
  <c r="I31" i="2" l="1"/>
  <c r="J18" i="2" s="1"/>
  <c r="J23" i="2" s="1"/>
  <c r="J32" i="2" s="1"/>
  <c r="I23" i="2"/>
  <c r="I32" i="2" s="1"/>
  <c r="F27" i="2"/>
  <c r="O37" i="2"/>
  <c r="P37" i="2"/>
  <c r="O36" i="2"/>
  <c r="O22" i="2"/>
  <c r="O39" i="2" s="1"/>
  <c r="L35" i="2"/>
  <c r="O38" i="2"/>
  <c r="P38" i="2"/>
  <c r="F54" i="2" l="1"/>
  <c r="F53" i="2"/>
  <c r="F55" i="2"/>
  <c r="F52" i="2"/>
  <c r="G24" i="2"/>
  <c r="G25" i="2" s="1"/>
  <c r="F28" i="2"/>
  <c r="J31" i="2"/>
  <c r="K18" i="2" s="1"/>
  <c r="J17" i="2"/>
  <c r="M35" i="2"/>
  <c r="P36" i="2"/>
  <c r="P22" i="2"/>
  <c r="P39" i="2" l="1"/>
  <c r="Q39" i="2"/>
  <c r="K17" i="2"/>
  <c r="K31" i="2"/>
  <c r="L18" i="2" s="1"/>
  <c r="K23" i="2"/>
  <c r="K32" i="2" s="1"/>
  <c r="N35" i="2"/>
  <c r="G26" i="2"/>
  <c r="G33" i="2" s="1"/>
  <c r="L17" i="2" l="1"/>
  <c r="L23" i="2"/>
  <c r="L32" i="2" s="1"/>
  <c r="L31" i="2"/>
  <c r="M18" i="2" s="1"/>
  <c r="G27" i="2"/>
  <c r="O35" i="2"/>
  <c r="M17" i="2" l="1"/>
  <c r="M31" i="2"/>
  <c r="N18" i="2" s="1"/>
  <c r="M23" i="2"/>
  <c r="M32" i="2" s="1"/>
  <c r="G28" i="2"/>
  <c r="G41" i="2"/>
  <c r="H24" i="2" s="1"/>
  <c r="H25" i="2" s="1"/>
  <c r="P35" i="2"/>
  <c r="N31" i="2" l="1"/>
  <c r="O18" i="2" s="1"/>
  <c r="N23" i="2"/>
  <c r="N32" i="2" s="1"/>
  <c r="N17" i="2"/>
  <c r="H26" i="2"/>
  <c r="H33" i="2" s="1"/>
  <c r="O17" i="2" l="1"/>
  <c r="O23" i="2"/>
  <c r="O32" i="2" s="1"/>
  <c r="O31" i="2"/>
  <c r="P18" i="2" s="1"/>
  <c r="H27" i="2"/>
  <c r="P17" i="2" l="1"/>
  <c r="P31" i="2"/>
  <c r="Q18" i="2" s="1"/>
  <c r="P23" i="2"/>
  <c r="P32" i="2" s="1"/>
  <c r="H28" i="2"/>
  <c r="H41" i="2"/>
  <c r="I24" i="2" s="1"/>
  <c r="I25" i="2" s="1"/>
  <c r="Q23" i="2" l="1"/>
  <c r="Q31" i="2"/>
  <c r="R18" i="2" s="1"/>
  <c r="Q17" i="2"/>
  <c r="I26" i="2"/>
  <c r="I33" i="2" s="1"/>
  <c r="R23" i="2" l="1"/>
  <c r="R31" i="2"/>
  <c r="S18" i="2" s="1"/>
  <c r="R17" i="2"/>
  <c r="Q32" i="2"/>
  <c r="I27" i="2"/>
  <c r="S31" i="2" l="1"/>
  <c r="T18" i="2" s="1"/>
  <c r="S23" i="2"/>
  <c r="S17" i="2"/>
  <c r="R32" i="2"/>
  <c r="I28" i="2"/>
  <c r="I41" i="2"/>
  <c r="J24" i="2" s="1"/>
  <c r="J25" i="2" s="1"/>
  <c r="T17" i="2" l="1"/>
  <c r="T31" i="2"/>
  <c r="U18" i="2" s="1"/>
  <c r="T23" i="2"/>
  <c r="T32" i="2" s="1"/>
  <c r="S32" i="2"/>
  <c r="J26" i="2"/>
  <c r="J33" i="2" s="1"/>
  <c r="U31" i="2" l="1"/>
  <c r="U17" i="2"/>
  <c r="U23" i="2"/>
  <c r="U32" i="2" s="1"/>
  <c r="J27" i="2"/>
  <c r="J28" i="2" l="1"/>
  <c r="J41" i="2"/>
  <c r="K24" i="2" s="1"/>
  <c r="K25" i="2" s="1"/>
  <c r="K26" i="2" l="1"/>
  <c r="K33" i="2" s="1"/>
  <c r="K27" i="2" l="1"/>
  <c r="K28" i="2" l="1"/>
  <c r="K41" i="2"/>
  <c r="L24" i="2" l="1"/>
  <c r="L25" i="2" s="1"/>
  <c r="L26" i="2" l="1"/>
  <c r="L33" i="2" s="1"/>
  <c r="L27" i="2" l="1"/>
  <c r="L28" i="2" s="1"/>
  <c r="L41" i="2" l="1"/>
  <c r="M24" i="2" s="1"/>
  <c r="M25" i="2" s="1"/>
  <c r="M26" i="2" l="1"/>
  <c r="M33" i="2" s="1"/>
  <c r="M27" i="2" l="1"/>
  <c r="M28" i="2" s="1"/>
  <c r="M41" i="2" l="1"/>
  <c r="N24" i="2" s="1"/>
  <c r="N25" i="2" s="1"/>
  <c r="N26" i="2" l="1"/>
  <c r="N33" i="2" s="1"/>
  <c r="N27" i="2"/>
  <c r="N28" i="2" l="1"/>
  <c r="N41" i="2"/>
  <c r="O24" i="2" l="1"/>
  <c r="O25" i="2" s="1"/>
  <c r="O26" i="2" l="1"/>
  <c r="O33" i="2" s="1"/>
  <c r="O27" i="2" l="1"/>
  <c r="O28" i="2" s="1"/>
  <c r="O41" i="2" l="1"/>
  <c r="P24" i="2" s="1"/>
  <c r="P25" i="2" s="1"/>
  <c r="P26" i="2" l="1"/>
  <c r="P33" i="2" s="1"/>
  <c r="P27" i="2" l="1"/>
  <c r="P28" i="2" s="1"/>
  <c r="P41" i="2" l="1"/>
  <c r="Q24" i="2"/>
  <c r="Q25" i="2" s="1"/>
  <c r="Q26" i="2" l="1"/>
  <c r="Q33" i="2" s="1"/>
  <c r="Q27" i="2" l="1"/>
  <c r="Q28" i="2" s="1"/>
  <c r="Q41" i="2"/>
  <c r="R24" i="2" l="1"/>
  <c r="R25" i="2" s="1"/>
  <c r="R26" i="2" l="1"/>
  <c r="R33" i="2" s="1"/>
  <c r="R27" i="2" l="1"/>
  <c r="R28" i="2" s="1"/>
  <c r="R41" i="2"/>
  <c r="S24" i="2" l="1"/>
  <c r="S25" i="2" s="1"/>
  <c r="S26" i="2" l="1"/>
  <c r="S33" i="2" s="1"/>
  <c r="S27" i="2"/>
  <c r="S28" i="2" l="1"/>
  <c r="S41" i="2"/>
  <c r="T24" i="2" l="1"/>
  <c r="T25" i="2" s="1"/>
  <c r="T26" i="2" l="1"/>
  <c r="T33" i="2" s="1"/>
  <c r="T27" i="2" l="1"/>
  <c r="T28" i="2" l="1"/>
  <c r="T41" i="2"/>
  <c r="U24" i="2" l="1"/>
  <c r="U25" i="2" s="1"/>
  <c r="U26" i="2" l="1"/>
  <c r="U33" i="2" s="1"/>
  <c r="U27" i="2" l="1"/>
  <c r="U28" i="2" l="1"/>
  <c r="V27" i="2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CG27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X27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DM27" i="2" s="1"/>
  <c r="DN27" i="2" s="1"/>
  <c r="DO27" i="2" s="1"/>
  <c r="DP27" i="2" s="1"/>
  <c r="DQ27" i="2" s="1"/>
  <c r="DR27" i="2" s="1"/>
  <c r="DS27" i="2" s="1"/>
  <c r="DT27" i="2" s="1"/>
  <c r="DU27" i="2" s="1"/>
  <c r="DV27" i="2" s="1"/>
  <c r="DW27" i="2" s="1"/>
  <c r="DX27" i="2" s="1"/>
  <c r="DY27" i="2" s="1"/>
  <c r="DZ27" i="2" s="1"/>
  <c r="EA27" i="2" s="1"/>
  <c r="EB27" i="2" s="1"/>
  <c r="EC27" i="2" s="1"/>
  <c r="ED27" i="2" s="1"/>
  <c r="EE27" i="2" s="1"/>
  <c r="EF27" i="2" s="1"/>
  <c r="EG27" i="2" s="1"/>
  <c r="EH27" i="2" s="1"/>
  <c r="EI27" i="2" s="1"/>
  <c r="EJ27" i="2" s="1"/>
  <c r="EK27" i="2" s="1"/>
  <c r="EL27" i="2" s="1"/>
  <c r="EM27" i="2" s="1"/>
  <c r="EN27" i="2" s="1"/>
  <c r="EO27" i="2" s="1"/>
  <c r="EP27" i="2" s="1"/>
  <c r="EQ27" i="2" s="1"/>
  <c r="ER27" i="2" s="1"/>
  <c r="ES27" i="2" s="1"/>
  <c r="ET27" i="2" s="1"/>
  <c r="EU27" i="2" s="1"/>
  <c r="EV27" i="2" s="1"/>
  <c r="EW27" i="2" s="1"/>
  <c r="EX27" i="2" s="1"/>
  <c r="EY27" i="2" s="1"/>
  <c r="EZ27" i="2" s="1"/>
  <c r="FA27" i="2" s="1"/>
  <c r="FB27" i="2" s="1"/>
  <c r="FC27" i="2" s="1"/>
  <c r="FD27" i="2" s="1"/>
  <c r="FE27" i="2" s="1"/>
  <c r="FF27" i="2" s="1"/>
  <c r="FG27" i="2" s="1"/>
  <c r="FH27" i="2" s="1"/>
  <c r="FI27" i="2" s="1"/>
  <c r="FJ27" i="2" s="1"/>
  <c r="FK27" i="2" s="1"/>
  <c r="FL27" i="2" s="1"/>
  <c r="FM27" i="2" s="1"/>
  <c r="FN27" i="2" s="1"/>
  <c r="FO27" i="2" s="1"/>
  <c r="FP27" i="2" s="1"/>
  <c r="FQ27" i="2" s="1"/>
  <c r="FR27" i="2" s="1"/>
  <c r="FS27" i="2" s="1"/>
  <c r="FT27" i="2" s="1"/>
  <c r="FU27" i="2" s="1"/>
  <c r="FV27" i="2" s="1"/>
  <c r="FW27" i="2" s="1"/>
  <c r="FX27" i="2" s="1"/>
  <c r="FY27" i="2" s="1"/>
  <c r="FZ27" i="2" s="1"/>
  <c r="GA27" i="2" s="1"/>
  <c r="GB27" i="2" s="1"/>
  <c r="GC27" i="2" s="1"/>
  <c r="GD27" i="2" s="1"/>
  <c r="GE27" i="2" s="1"/>
  <c r="GF27" i="2" s="1"/>
  <c r="GG27" i="2" s="1"/>
  <c r="GH27" i="2" s="1"/>
  <c r="GI27" i="2" s="1"/>
  <c r="GJ27" i="2" s="1"/>
  <c r="GK27" i="2" s="1"/>
  <c r="GL27" i="2" s="1"/>
  <c r="GM27" i="2" s="1"/>
  <c r="GN27" i="2" s="1"/>
  <c r="GO27" i="2" s="1"/>
  <c r="GP27" i="2" s="1"/>
  <c r="GQ27" i="2" s="1"/>
  <c r="GR27" i="2" s="1"/>
  <c r="GS27" i="2" s="1"/>
  <c r="GT27" i="2" s="1"/>
  <c r="GU27" i="2" s="1"/>
  <c r="GV27" i="2" s="1"/>
  <c r="GW27" i="2" s="1"/>
  <c r="GX27" i="2" s="1"/>
  <c r="GY27" i="2" s="1"/>
  <c r="GZ27" i="2" s="1"/>
  <c r="HA27" i="2" s="1"/>
  <c r="HB27" i="2" s="1"/>
  <c r="HC27" i="2" s="1"/>
  <c r="HD27" i="2" s="1"/>
  <c r="HE27" i="2" s="1"/>
  <c r="HF27" i="2" s="1"/>
  <c r="HG27" i="2" s="1"/>
  <c r="HH27" i="2" s="1"/>
  <c r="HI27" i="2" s="1"/>
  <c r="HJ27" i="2" s="1"/>
  <c r="HK27" i="2" s="1"/>
  <c r="HL27" i="2" s="1"/>
  <c r="HM27" i="2" s="1"/>
  <c r="HN27" i="2" s="1"/>
  <c r="HO27" i="2" s="1"/>
  <c r="HP27" i="2" s="1"/>
  <c r="HQ27" i="2" s="1"/>
  <c r="HR27" i="2" s="1"/>
  <c r="HS27" i="2" s="1"/>
  <c r="HT27" i="2" s="1"/>
  <c r="HU27" i="2" s="1"/>
  <c r="HV27" i="2" s="1"/>
  <c r="HW27" i="2" s="1"/>
  <c r="HX27" i="2" s="1"/>
  <c r="HY27" i="2" s="1"/>
  <c r="HZ27" i="2" s="1"/>
  <c r="IA27" i="2" s="1"/>
  <c r="IB27" i="2" s="1"/>
  <c r="IC27" i="2" s="1"/>
  <c r="ID27" i="2" s="1"/>
  <c r="IE27" i="2" s="1"/>
  <c r="IF27" i="2" s="1"/>
  <c r="IG27" i="2" s="1"/>
  <c r="IH27" i="2" s="1"/>
  <c r="II27" i="2" s="1"/>
  <c r="IJ27" i="2" s="1"/>
  <c r="U41" i="2"/>
  <c r="G7" i="2" l="1"/>
  <c r="G8" i="2" s="1"/>
  <c r="H8" i="2" s="1"/>
</calcChain>
</file>

<file path=xl/sharedStrings.xml><?xml version="1.0" encoding="utf-8"?>
<sst xmlns="http://schemas.openxmlformats.org/spreadsheetml/2006/main" count="142" uniqueCount="95">
  <si>
    <t>Q117</t>
  </si>
  <si>
    <t>Q217</t>
  </si>
  <si>
    <t>Q317</t>
  </si>
  <si>
    <t>Q417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</si>
  <si>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</si>
  <si>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</si>
  <si>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</si>
  <si>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</si>
  <si>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</si>
  <si>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</si>
  <si>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</si>
  <si>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</si>
  <si>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</si>
  <si>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</si>
  <si>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</si>
  <si>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</si>
  <si>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</si>
  <si>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</si>
  <si>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</si>
  <si>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</si>
  <si>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</si>
  <si>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</si>
  <si>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Net Cash</t>
  </si>
  <si>
    <t>Cash</t>
  </si>
  <si>
    <t>Debt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</si>
  <si>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</si>
  <si>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</si>
  <si>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</si>
  <si>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</si>
  <si>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</si>
  <si>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</si>
  <si>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</si>
  <si>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</si>
  <si>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</si>
  <si>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R&amp;D y/y</t>
  </si>
  <si>
    <t>S&amp;M y/y</t>
  </si>
  <si>
    <t>G&amp;A y/y</t>
  </si>
  <si>
    <t>EDGAR</t>
  </si>
  <si>
    <t>CEO</t>
  </si>
  <si>
    <t>Founder</t>
  </si>
  <si>
    <t>Price</t>
  </si>
  <si>
    <t>Market Cap</t>
  </si>
  <si>
    <t>EV</t>
  </si>
  <si>
    <t>per share</t>
  </si>
  <si>
    <t>Intangibles</t>
  </si>
  <si>
    <t>Total assets</t>
  </si>
  <si>
    <t>Total liabilities</t>
  </si>
  <si>
    <t>TWC</t>
  </si>
  <si>
    <t>Equity</t>
  </si>
  <si>
    <t>ROE</t>
  </si>
  <si>
    <t>ROA</t>
  </si>
  <si>
    <t>ROTB</t>
  </si>
  <si>
    <t>ROTWC</t>
  </si>
  <si>
    <t>Q119</t>
  </si>
  <si>
    <t>Q219</t>
  </si>
  <si>
    <t>Q319</t>
  </si>
  <si>
    <t>Q419</t>
  </si>
  <si>
    <t>Hardware</t>
  </si>
  <si>
    <t>Hardware y/y</t>
  </si>
  <si>
    <t>OE y/y</t>
  </si>
  <si>
    <t>Square Reader</t>
  </si>
  <si>
    <t>Mobile payment card reader</t>
  </si>
  <si>
    <t>Square Stand</t>
  </si>
  <si>
    <t>Point of sale system</t>
  </si>
  <si>
    <t>Cash App</t>
  </si>
  <si>
    <t>Caviar</t>
  </si>
  <si>
    <t>Food delivery service (aquired by DoorDash)</t>
  </si>
  <si>
    <t>Square Capital</t>
  </si>
  <si>
    <t>Credit lending to companies</t>
  </si>
  <si>
    <t>Q120</t>
  </si>
  <si>
    <t>Q220</t>
  </si>
  <si>
    <t>Q320</t>
  </si>
  <si>
    <t>Q420</t>
  </si>
  <si>
    <t>PRODUCTS</t>
  </si>
  <si>
    <t>OTHER</t>
  </si>
  <si>
    <t>P2P for bitcoin, cash card, direct deposits, stocks</t>
  </si>
  <si>
    <t>Safra Catz</t>
  </si>
  <si>
    <t>Larry Ellison</t>
  </si>
  <si>
    <t>Bob Miner</t>
  </si>
  <si>
    <t>Cloud services</t>
  </si>
  <si>
    <t>Cloud license</t>
  </si>
  <si>
    <t>Other services</t>
  </si>
  <si>
    <t>Q121</t>
  </si>
  <si>
    <t>Q221</t>
  </si>
  <si>
    <t>Q321</t>
  </si>
  <si>
    <t>Q421</t>
  </si>
  <si>
    <t>Cloud services y/y</t>
  </si>
  <si>
    <t>Cloud license y/y</t>
  </si>
  <si>
    <t>Other services y/y</t>
  </si>
  <si>
    <t>Tax anomaly</t>
  </si>
  <si>
    <t>Oracle Corporation (ORCL)</t>
  </si>
  <si>
    <t>Net Income TTM</t>
  </si>
  <si>
    <t>Revenue TTM</t>
  </si>
  <si>
    <t>Revenue TTM y/y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</si>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</sst>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"/>
  </numFmts>
  <fonts count="13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9">
    <xf numFmtId="0" fontId="0" fillId="0" borderId="0" xfId="0"/>
    <xf numFmtId="0" fontId="4" fillId="0" borderId="0" xfId="0" applyFont="1"/>
    <xf numFmtId="4" fontId="4" fillId="0" borderId="0" xfId="0" applyNumberFormat="1" applyFont="1" applyBorder="1"/>
    <xf numFmtId="0" fontId="4" fillId="0" borderId="0" xfId="0" applyFont="1" applyBorder="1"/>
    <xf numFmtId="10" fontId="4" fillId="0" borderId="0" xfId="0" applyNumberFormat="1" applyFont="1"/>
    <xf numFmtId="3" fontId="4" fillId="0" borderId="0" xfId="0" applyNumberFormat="1" applyFont="1" applyBorder="1"/>
    <xf numFmtId="0" fontId="5" fillId="0" borderId="0" xfId="0" applyFont="1"/>
    <xf numFmtId="3" fontId="4" fillId="2" borderId="0" xfId="0" applyNumberFormat="1" applyFont="1" applyFill="1" applyBorder="1"/>
    <xf numFmtId="164" fontId="4" fillId="2" borderId="0" xfId="0" applyNumberFormat="1" applyFont="1" applyFill="1"/>
    <xf numFmtId="0" fontId="6" fillId="0" borderId="0" xfId="0" applyFont="1" applyBorder="1"/>
    <xf numFmtId="164" fontId="6" fillId="2" borderId="0" xfId="0" applyNumberFormat="1" applyFont="1" applyFill="1"/>
    <xf numFmtId="4" fontId="4" fillId="2" borderId="0" xfId="0" applyNumberFormat="1" applyFont="1" applyFill="1" applyBorder="1"/>
    <xf numFmtId="0" fontId="5" fillId="0" borderId="0" xfId="0" applyFont="1" applyBorder="1"/>
    <xf numFmtId="4" fontId="4" fillId="2" borderId="0" xfId="0" applyNumberFormat="1" applyFont="1" applyFill="1"/>
    <xf numFmtId="9" fontId="4" fillId="0" borderId="0" xfId="0" applyNumberFormat="1" applyFont="1"/>
    <xf numFmtId="0" fontId="6" fillId="0" borderId="0" xfId="0" applyFont="1"/>
    <xf numFmtId="3" fontId="4" fillId="0" borderId="0" xfId="0" applyNumberFormat="1" applyFont="1"/>
    <xf numFmtId="3" fontId="6" fillId="0" borderId="0" xfId="0" applyNumberFormat="1" applyFont="1" applyBorder="1"/>
    <xf numFmtId="2" fontId="4" fillId="0" borderId="0" xfId="0" applyNumberFormat="1" applyFont="1" applyBorder="1"/>
    <xf numFmtId="9" fontId="6" fillId="0" borderId="0" xfId="1" applyFont="1" applyBorder="1"/>
    <xf numFmtId="9" fontId="4" fillId="0" borderId="0" xfId="1" applyFont="1" applyBorder="1"/>
    <xf numFmtId="9" fontId="4" fillId="0" borderId="0" xfId="0" applyNumberFormat="1" applyFont="1" applyBorder="1"/>
    <xf numFmtId="3" fontId="6" fillId="2" borderId="0" xfId="0" applyNumberFormat="1" applyFont="1" applyFill="1" applyBorder="1"/>
    <xf numFmtId="2" fontId="4" fillId="2" borderId="0" xfId="0" applyNumberFormat="1" applyFont="1" applyFill="1" applyBorder="1"/>
    <xf numFmtId="3" fontId="4" fillId="2" borderId="0" xfId="0" applyNumberFormat="1" applyFont="1" applyFill="1"/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Fill="1" applyAlignment="1">
      <alignment horizontal="right"/>
    </xf>
    <xf numFmtId="0" fontId="8" fillId="0" borderId="0" xfId="0" applyFont="1"/>
    <xf numFmtId="0" fontId="9" fillId="0" borderId="0" xfId="4" applyFont="1"/>
    <xf numFmtId="0" fontId="8" fillId="0" borderId="0" xfId="0" applyFont="1" applyFill="1" applyAlignment="1">
      <alignment horizontal="right"/>
    </xf>
    <xf numFmtId="3" fontId="8" fillId="0" borderId="0" xfId="0" applyNumberFormat="1" applyFont="1"/>
    <xf numFmtId="3" fontId="8" fillId="0" borderId="0" xfId="0" applyNumberFormat="1" applyFont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3" fontId="10" fillId="0" borderId="0" xfId="0" applyNumberFormat="1" applyFont="1"/>
    <xf numFmtId="3" fontId="10" fillId="2" borderId="0" xfId="0" applyNumberFormat="1" applyFont="1" applyFill="1" applyBorder="1" applyAlignment="1">
      <alignment horizontal="right"/>
    </xf>
    <xf numFmtId="3" fontId="10" fillId="2" borderId="1" xfId="0" applyNumberFormat="1" applyFont="1" applyFill="1" applyBorder="1" applyAlignment="1">
      <alignment horizontal="right"/>
    </xf>
    <xf numFmtId="3" fontId="8" fillId="2" borderId="0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/>
    </xf>
    <xf numFmtId="2" fontId="8" fillId="2" borderId="0" xfId="0" applyNumberFormat="1" applyFont="1" applyFill="1" applyBorder="1" applyAlignment="1">
      <alignment horizontal="right"/>
    </xf>
    <xf numFmtId="2" fontId="8" fillId="2" borderId="1" xfId="0" applyNumberFormat="1" applyFont="1" applyFill="1" applyBorder="1" applyAlignment="1">
      <alignment horizontal="right"/>
    </xf>
    <xf numFmtId="9" fontId="8" fillId="0" borderId="0" xfId="0" applyNumberFormat="1" applyFont="1" applyBorder="1" applyAlignment="1">
      <alignment horizontal="right"/>
    </xf>
    <xf numFmtId="9" fontId="8" fillId="0" borderId="1" xfId="0" applyNumberFormat="1" applyFont="1" applyBorder="1" applyAlignment="1">
      <alignment horizontal="right"/>
    </xf>
    <xf numFmtId="9" fontId="8" fillId="0" borderId="0" xfId="0" applyNumberFormat="1" applyFont="1" applyFill="1" applyBorder="1" applyAlignment="1">
      <alignment horizontal="right"/>
    </xf>
    <xf numFmtId="9" fontId="8" fillId="0" borderId="0" xfId="1" applyFont="1" applyBorder="1" applyAlignment="1">
      <alignment horizontal="right"/>
    </xf>
    <xf numFmtId="9" fontId="8" fillId="0" borderId="1" xfId="1" applyFont="1" applyBorder="1" applyAlignment="1">
      <alignment horizontal="right"/>
    </xf>
    <xf numFmtId="9" fontId="8" fillId="0" borderId="0" xfId="1" applyFont="1" applyFill="1" applyBorder="1" applyAlignment="1">
      <alignment horizontal="right"/>
    </xf>
    <xf numFmtId="0" fontId="10" fillId="0" borderId="0" xfId="0" applyFont="1"/>
    <xf numFmtId="9" fontId="10" fillId="0" borderId="0" xfId="1" applyNumberFormat="1" applyFont="1" applyBorder="1" applyAlignment="1">
      <alignment horizontal="right"/>
    </xf>
    <xf numFmtId="9" fontId="10" fillId="0" borderId="1" xfId="1" applyNumberFormat="1" applyFont="1" applyBorder="1" applyAlignment="1">
      <alignment horizontal="right"/>
    </xf>
    <xf numFmtId="9" fontId="10" fillId="0" borderId="0" xfId="1" applyNumberFormat="1" applyFont="1" applyFill="1" applyBorder="1" applyAlignment="1">
      <alignment horizontal="right"/>
    </xf>
    <xf numFmtId="9" fontId="8" fillId="0" borderId="0" xfId="1" applyNumberFormat="1" applyFont="1" applyBorder="1" applyAlignment="1">
      <alignment horizontal="right"/>
    </xf>
    <xf numFmtId="9" fontId="8" fillId="0" borderId="1" xfId="1" applyNumberFormat="1" applyFont="1" applyBorder="1" applyAlignment="1">
      <alignment horizontal="right"/>
    </xf>
    <xf numFmtId="9" fontId="8" fillId="0" borderId="0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3" fontId="10" fillId="0" borderId="0" xfId="0" applyNumberFormat="1" applyFont="1" applyBorder="1" applyAlignment="1">
      <alignment horizontal="right"/>
    </xf>
    <xf numFmtId="3" fontId="10" fillId="0" borderId="1" xfId="0" applyNumberFormat="1" applyFont="1" applyBorder="1" applyAlignment="1">
      <alignment horizontal="right"/>
    </xf>
    <xf numFmtId="9" fontId="8" fillId="0" borderId="0" xfId="0" applyNumberFormat="1" applyFont="1" applyFill="1" applyBorder="1"/>
    <xf numFmtId="9" fontId="8" fillId="0" borderId="0" xfId="0" applyNumberFormat="1" applyFont="1"/>
    <xf numFmtId="165" fontId="8" fillId="0" borderId="1" xfId="0" applyNumberFormat="1" applyFont="1" applyBorder="1" applyAlignment="1">
      <alignment horizontal="right"/>
    </xf>
    <xf numFmtId="0" fontId="0" fillId="0" borderId="0" xfId="0" applyFont="1"/>
    <xf numFmtId="3" fontId="0" fillId="0" borderId="1" xfId="0" applyNumberFormat="1" applyFont="1" applyFill="1" applyBorder="1" applyAlignment="1">
      <alignment horizontal="right"/>
    </xf>
    <xf numFmtId="14" fontId="4" fillId="0" borderId="0" xfId="0" applyNumberFormat="1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/>
    <xf numFmtId="3" fontId="0" fillId="0" borderId="1" xfId="0" applyNumberFormat="1" applyFont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0" fontId="11" fillId="0" borderId="0" xfId="0" applyFont="1"/>
    <xf numFmtId="3" fontId="6" fillId="0" borderId="0" xfId="0" applyNumberFormat="1" applyFont="1"/>
    <xf numFmtId="3" fontId="6" fillId="2" borderId="1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0" fontId="7" fillId="0" borderId="0" xfId="4"/>
    <xf numFmtId="14" fontId="8" fillId="0" borderId="0" xfId="0" applyNumberFormat="1" applyFont="1" applyFill="1" applyAlignment="1">
      <alignment horizontal="right"/>
    </xf>
    <xf numFmtId="14" fontId="8" fillId="0" borderId="0" xfId="0" applyNumberFormat="1" applyFont="1" applyAlignment="1">
      <alignment horizontal="right"/>
    </xf>
    <xf numFmtId="14" fontId="8" fillId="0" borderId="1" xfId="0" applyNumberFormat="1" applyFont="1" applyBorder="1" applyAlignment="1">
      <alignment horizontal="right"/>
    </xf>
    <xf numFmtId="3" fontId="5" fillId="0" borderId="0" xfId="0" applyNumberFormat="1" applyFont="1"/>
    <xf numFmtId="3" fontId="5" fillId="0" borderId="1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12" fillId="0" borderId="0" xfId="0" applyNumberFormat="1" applyFont="1"/>
    <xf numFmtId="3" fontId="0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9" fontId="8" fillId="0" borderId="0" xfId="0" applyNumberFormat="1" applyFont="1" applyAlignment="1">
      <alignment horizontal="right"/>
    </xf>
    <xf numFmtId="9" fontId="6" fillId="0" borderId="0" xfId="0" applyNumberFormat="1" applyFont="1" applyFill="1" applyBorder="1"/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Alignment="1">
      <alignment horizontal="right"/>
    </xf>
    <xf numFmtId="9" fontId="6" fillId="0" borderId="0" xfId="0" applyNumberFormat="1" applyFont="1"/>
    <xf numFmtId="9" fontId="6" fillId="0" borderId="1" xfId="0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0" xfId="0" applyNumberFormat="1" applyFont="1" applyAlignment="1">
      <alignment horizontal="right"/>
    </xf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 customBuiltin="1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137746</xdr:colOff>
      <xdr:row>9</xdr:row>
      <xdr:rowOff>0</xdr:rowOff>
    </xdr:from>
    <xdr:to>
      <xdr:col>6</xdr:col>
      <xdr:colOff>137746</xdr:colOff>
      <xdr:row>61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110284" y="1328615"/>
          <a:ext cx="0" cy="8636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274516</xdr:colOff>
      <xdr:row>2</xdr:row>
      <xdr:rowOff>12700</xdr:rowOff>
    </xdr:from>
    <xdr:to>
      <xdr:col>20</xdr:col>
      <xdr:colOff>274516</xdr:colOff>
      <xdr:row>63</xdr:row>
      <xdr:rowOff>156308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7087362" y="178777"/>
          <a:ext cx="0" cy="960999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larryellison" TargetMode="External"/><Relationship Id="rId2" Type="http://schemas.openxmlformats.org/officeDocument/2006/relationships/hyperlink" Target="https://en.wikipedia.org/wiki/Safra_Catz" TargetMode="External"/><Relationship Id="rId1" Type="http://schemas.openxmlformats.org/officeDocument/2006/relationships/hyperlink" Target="https://investor.oracle.com/home/default.aspx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n.wikipedia.org/wiki/Bob_Min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IK=1341439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60"/>
  <sheetViews>
    <sheetView zoomScale="130" zoomScaleNormal="130" workbookViewId="0">
      <pane xSplit="2" ySplit="10" topLeftCell="C11" activePane="bottomRight" state="frozen"/>
      <selection pane="topRight" activeCell="B1" sqref="B1"/>
      <selection pane="bottomLeft" activeCell="A11" sqref="A11"/>
      <selection pane="bottomRight" activeCell="G6" sqref="G6"/>
    </sheetView>
  </sheetViews>
  <sheetFormatPr baseColWidth="10" defaultRowHeight="13" x14ac:dyDescent="0.15"/>
  <cols>
    <col min="1" max="1" width="9.83203125" style="1" bestFit="1" customWidth="1"/>
    <col min="2" max="2" width="21.6640625" style="1" customWidth="1"/>
    <col min="3" max="16384" width="10.83203125" style="1"/>
  </cols>
  <sheetData>
    <row r="1" spans="1:21" x14ac:dyDescent="0.15">
      <c r="A1" s="76" t="s">
        <v>94</v>
      </c>
    </row>
    <row r="2" spans="1:21" x14ac:dyDescent="0.15">
      <c r="C2" s="15" t="s">
        <v>90</v>
      </c>
    </row>
    <row r="3" spans="1:21" x14ac:dyDescent="0.15">
      <c r="C3" s="1" t="s">
        <v>40</v>
      </c>
      <c r="D3" s="2">
        <v>64.510000000000005</v>
      </c>
      <c r="E3" s="65">
        <v>44253</v>
      </c>
      <c r="F3" s="3" t="s">
        <v>25</v>
      </c>
      <c r="G3" s="4">
        <v>-0.02</v>
      </c>
      <c r="J3" s="16"/>
    </row>
    <row r="4" spans="1:21" x14ac:dyDescent="0.15">
      <c r="B4" s="15" t="s">
        <v>38</v>
      </c>
      <c r="C4" s="1" t="s">
        <v>17</v>
      </c>
      <c r="D4" s="5">
        <f>Reports!T23</f>
        <v>3046</v>
      </c>
      <c r="E4" s="66" t="s">
        <v>83</v>
      </c>
      <c r="F4" s="3" t="s">
        <v>26</v>
      </c>
      <c r="G4" s="4">
        <v>0.02</v>
      </c>
      <c r="H4" s="6"/>
      <c r="J4" s="16"/>
    </row>
    <row r="5" spans="1:21" x14ac:dyDescent="0.15">
      <c r="B5" s="76" t="s">
        <v>76</v>
      </c>
      <c r="C5" s="1" t="s">
        <v>41</v>
      </c>
      <c r="D5" s="7">
        <f>D3*D4</f>
        <v>196497.46000000002</v>
      </c>
      <c r="E5" s="67"/>
      <c r="F5" s="3" t="s">
        <v>27</v>
      </c>
      <c r="G5" s="4">
        <v>0.05</v>
      </c>
      <c r="H5" s="6"/>
      <c r="J5" s="14"/>
    </row>
    <row r="6" spans="1:21" x14ac:dyDescent="0.15">
      <c r="C6" s="1" t="s">
        <v>22</v>
      </c>
      <c r="D6" s="5">
        <f>Reports!T35</f>
        <v>-32189</v>
      </c>
      <c r="E6" s="66" t="s">
        <v>83</v>
      </c>
      <c r="F6" s="3" t="s">
        <v>28</v>
      </c>
      <c r="G6" s="8">
        <f>NPV(G5,G27:DQ27)</f>
        <v>244414.57237179435</v>
      </c>
      <c r="H6" s="6"/>
      <c r="J6" s="14"/>
    </row>
    <row r="7" spans="1:21" x14ac:dyDescent="0.15">
      <c r="B7" s="15" t="s">
        <v>39</v>
      </c>
      <c r="C7" s="1" t="s">
        <v>42</v>
      </c>
      <c r="D7" s="7">
        <f>D5-D6</f>
        <v>228686.46000000002</v>
      </c>
      <c r="E7" s="67"/>
      <c r="F7" s="9" t="s">
        <v>29</v>
      </c>
      <c r="G7" s="10">
        <f>G6+D6</f>
        <v>212225.57237179435</v>
      </c>
      <c r="J7" s="14"/>
    </row>
    <row r="8" spans="1:21" x14ac:dyDescent="0.15">
      <c r="B8" s="76" t="s">
        <v>77</v>
      </c>
      <c r="C8" s="6" t="s">
        <v>43</v>
      </c>
      <c r="D8" s="11">
        <f>D7/D4</f>
        <v>75.07762967826659</v>
      </c>
      <c r="E8" s="67"/>
      <c r="F8" s="12" t="s">
        <v>43</v>
      </c>
      <c r="G8" s="13">
        <f>G7/D4</f>
        <v>69.67352999730609</v>
      </c>
      <c r="H8" s="14">
        <f>G8/D3-1</f>
        <v>8.00423189785473E-2</v>
      </c>
    </row>
    <row r="9" spans="1:21" x14ac:dyDescent="0.15">
      <c r="B9" s="76" t="s">
        <v>78</v>
      </c>
    </row>
    <row r="10" spans="1:21" x14ac:dyDescent="0.15">
      <c r="C10" s="1">
        <v>2017</v>
      </c>
      <c r="D10" s="1">
        <f>C10+1</f>
        <v>2018</v>
      </c>
      <c r="E10" s="1">
        <f t="shared" ref="E10:U10" si="0">D10+1</f>
        <v>2019</v>
      </c>
      <c r="F10" s="1">
        <f t="shared" si="0"/>
        <v>2020</v>
      </c>
      <c r="G10" s="1">
        <f t="shared" si="0"/>
        <v>2021</v>
      </c>
      <c r="H10" s="1">
        <f t="shared" si="0"/>
        <v>2022</v>
      </c>
      <c r="I10" s="1">
        <f t="shared" si="0"/>
        <v>2023</v>
      </c>
      <c r="J10" s="1">
        <f t="shared" si="0"/>
        <v>2024</v>
      </c>
      <c r="K10" s="1">
        <f t="shared" si="0"/>
        <v>2025</v>
      </c>
      <c r="L10" s="1">
        <f t="shared" si="0"/>
        <v>2026</v>
      </c>
      <c r="M10" s="1">
        <f t="shared" si="0"/>
        <v>2027</v>
      </c>
      <c r="N10" s="1">
        <f t="shared" si="0"/>
        <v>2028</v>
      </c>
      <c r="O10" s="1">
        <f t="shared" si="0"/>
        <v>2029</v>
      </c>
      <c r="P10" s="1">
        <f t="shared" si="0"/>
        <v>2030</v>
      </c>
      <c r="Q10" s="1">
        <f t="shared" si="0"/>
        <v>2031</v>
      </c>
      <c r="R10" s="1">
        <f t="shared" si="0"/>
        <v>2032</v>
      </c>
      <c r="S10" s="1">
        <f t="shared" si="0"/>
        <v>2033</v>
      </c>
      <c r="T10" s="1">
        <f t="shared" si="0"/>
        <v>2034</v>
      </c>
      <c r="U10" s="1">
        <f t="shared" si="0"/>
        <v>2035</v>
      </c>
    </row>
    <row r="11" spans="1:21" x14ac:dyDescent="0.15">
      <c r="B11" s="69" t="s">
        <v>79</v>
      </c>
      <c r="C11" s="16">
        <f>SUM(Reports!C4:F4)</f>
        <v>23800</v>
      </c>
      <c r="D11" s="16">
        <f>SUM(Reports!G4:J4)</f>
        <v>26231</v>
      </c>
      <c r="E11" s="16">
        <f>SUM(Reports!K4:N4)</f>
        <v>26707</v>
      </c>
      <c r="F11" s="16">
        <f>SUM(Reports!O4:R4)</f>
        <v>27391</v>
      </c>
      <c r="G11" s="16">
        <f>SUM(Reports!S4:V4)</f>
        <v>28109.5</v>
      </c>
      <c r="H11" s="16">
        <f>G11*1.02</f>
        <v>28671.69</v>
      </c>
      <c r="I11" s="16">
        <f t="shared" ref="I11:K11" si="1">H11*1.02</f>
        <v>29245.123799999998</v>
      </c>
      <c r="J11" s="16">
        <f t="shared" si="1"/>
        <v>29830.026275999997</v>
      </c>
      <c r="K11" s="16">
        <f t="shared" si="1"/>
        <v>30426.626801519997</v>
      </c>
    </row>
    <row r="12" spans="1:21" x14ac:dyDescent="0.15">
      <c r="B12" s="69" t="s">
        <v>80</v>
      </c>
      <c r="C12" s="16">
        <f>SUM(Reports!C5:F5)</f>
        <v>6417</v>
      </c>
      <c r="D12" s="16">
        <f>SUM(Reports!G5:J5)</f>
        <v>6096</v>
      </c>
      <c r="E12" s="16">
        <f>SUM(Reports!K5:N5)</f>
        <v>5855</v>
      </c>
      <c r="F12" s="16">
        <f>SUM(Reports!O5:R5)</f>
        <v>5128</v>
      </c>
      <c r="G12" s="16">
        <f>SUM(Reports!S5:V5)</f>
        <v>5008.5</v>
      </c>
      <c r="H12" s="16">
        <f>G12*0.95</f>
        <v>4758.0749999999998</v>
      </c>
      <c r="I12" s="16">
        <f t="shared" ref="I12:K12" si="2">H12*0.95</f>
        <v>4520.1712499999994</v>
      </c>
      <c r="J12" s="16">
        <f t="shared" si="2"/>
        <v>4294.1626874999993</v>
      </c>
      <c r="K12" s="16">
        <f t="shared" si="2"/>
        <v>4079.4545531249992</v>
      </c>
    </row>
    <row r="13" spans="1:21" x14ac:dyDescent="0.15">
      <c r="B13" s="69" t="s">
        <v>57</v>
      </c>
      <c r="C13" s="16">
        <f>SUM(Reports!C6:F6)</f>
        <v>4152</v>
      </c>
      <c r="D13" s="16">
        <f>SUM(Reports!G6:J6)</f>
        <v>3993</v>
      </c>
      <c r="E13" s="16">
        <f>SUM(Reports!K6:N6)</f>
        <v>3704</v>
      </c>
      <c r="F13" s="16">
        <f>SUM(Reports!O6:R6)</f>
        <v>3444</v>
      </c>
      <c r="G13" s="16">
        <f>SUM(Reports!S6:V6)</f>
        <v>3328.1</v>
      </c>
      <c r="H13" s="16">
        <f>G13*0.95</f>
        <v>3161.6949999999997</v>
      </c>
      <c r="I13" s="16">
        <f t="shared" ref="I13:K13" si="3">H13*0.95</f>
        <v>3003.6102499999997</v>
      </c>
      <c r="J13" s="16">
        <f t="shared" si="3"/>
        <v>2853.4297374999996</v>
      </c>
      <c r="K13" s="16">
        <f t="shared" si="3"/>
        <v>2710.7582506249996</v>
      </c>
    </row>
    <row r="14" spans="1:21" x14ac:dyDescent="0.15">
      <c r="B14" s="69" t="s">
        <v>81</v>
      </c>
      <c r="C14" s="16">
        <f>SUM(Reports!C7:F7)</f>
        <v>3358</v>
      </c>
      <c r="D14" s="16">
        <f>SUM(Reports!G7:J7)</f>
        <v>3395</v>
      </c>
      <c r="E14" s="16">
        <f>SUM(Reports!K7:N7)</f>
        <v>3239</v>
      </c>
      <c r="F14" s="16">
        <f>SUM(Reports!O7:R7)</f>
        <v>3105</v>
      </c>
      <c r="G14" s="16">
        <f>SUM(Reports!S7:V7)</f>
        <v>2833.7</v>
      </c>
      <c r="H14" s="16">
        <f>G14*0.9</f>
        <v>2550.33</v>
      </c>
      <c r="I14" s="16">
        <f t="shared" ref="I14:K14" si="4">H14*0.9</f>
        <v>2295.297</v>
      </c>
      <c r="J14" s="16">
        <f t="shared" si="4"/>
        <v>2065.7673</v>
      </c>
      <c r="K14" s="16">
        <f t="shared" si="4"/>
        <v>1859.19057</v>
      </c>
    </row>
    <row r="15" spans="1:21" x14ac:dyDescent="0.15">
      <c r="C15" s="16"/>
      <c r="D15" s="16"/>
      <c r="E15" s="16"/>
      <c r="F15" s="16"/>
      <c r="G15" s="16"/>
      <c r="H15" s="16"/>
    </row>
    <row r="16" spans="1:21" x14ac:dyDescent="0.15">
      <c r="B16" s="15" t="s">
        <v>4</v>
      </c>
      <c r="C16" s="22">
        <f>SUM(C11:C14)</f>
        <v>37727</v>
      </c>
      <c r="D16" s="22">
        <f t="shared" ref="D16:K16" si="5">SUM(D11:D14)</f>
        <v>39715</v>
      </c>
      <c r="E16" s="22">
        <f t="shared" si="5"/>
        <v>39505</v>
      </c>
      <c r="F16" s="22">
        <f>SUM(F11:F14)</f>
        <v>39068</v>
      </c>
      <c r="G16" s="17">
        <f>SUM(G11:G14)</f>
        <v>39279.799999999996</v>
      </c>
      <c r="H16" s="17">
        <f t="shared" si="5"/>
        <v>39141.79</v>
      </c>
      <c r="I16" s="17">
        <f t="shared" si="5"/>
        <v>39064.202299999997</v>
      </c>
      <c r="J16" s="17">
        <f t="shared" si="5"/>
        <v>39043.386000999999</v>
      </c>
      <c r="K16" s="17">
        <f t="shared" si="5"/>
        <v>39076.030175269989</v>
      </c>
      <c r="L16" s="17">
        <f>K16*0.98</f>
        <v>38294.509571764589</v>
      </c>
      <c r="M16" s="17">
        <f t="shared" ref="M16:S16" si="6">L16*0.98</f>
        <v>37528.619380329299</v>
      </c>
      <c r="N16" s="17">
        <f t="shared" si="6"/>
        <v>36778.04699272271</v>
      </c>
      <c r="O16" s="17">
        <f t="shared" si="6"/>
        <v>36042.486052868255</v>
      </c>
      <c r="P16" s="17">
        <f t="shared" si="6"/>
        <v>35321.636331810892</v>
      </c>
      <c r="Q16" s="17">
        <f t="shared" si="6"/>
        <v>34615.203605174676</v>
      </c>
      <c r="R16" s="17">
        <f t="shared" si="6"/>
        <v>33922.899533071184</v>
      </c>
      <c r="S16" s="17">
        <f t="shared" si="6"/>
        <v>33244.441542409761</v>
      </c>
      <c r="T16" s="17">
        <f t="shared" ref="T16:U16" si="7">S16*0.98</f>
        <v>32579.552711561566</v>
      </c>
      <c r="U16" s="17">
        <f t="shared" si="7"/>
        <v>31927.961657330336</v>
      </c>
    </row>
    <row r="17" spans="2:244" x14ac:dyDescent="0.15">
      <c r="B17" s="1" t="s">
        <v>5</v>
      </c>
      <c r="C17" s="84">
        <f>SUM(Reports!C10:F10)</f>
        <v>7468</v>
      </c>
      <c r="D17" s="16">
        <f>SUM(Reports!G10:J10)</f>
        <v>8069</v>
      </c>
      <c r="E17" s="16">
        <f>SUM(Reports!K10:N10)</f>
        <v>7993</v>
      </c>
      <c r="F17" s="16">
        <f>SUM(Reports!O10:R10)</f>
        <v>7938</v>
      </c>
      <c r="G17" s="5">
        <f t="shared" ref="G17" si="8">G16-G18</f>
        <v>7981.0344117948189</v>
      </c>
      <c r="H17" s="5">
        <f t="shared" ref="H17:P17" si="9">H16-H18</f>
        <v>7952.9929615030196</v>
      </c>
      <c r="I17" s="5">
        <f t="shared" si="9"/>
        <v>7937.2283673953098</v>
      </c>
      <c r="J17" s="5">
        <f t="shared" si="9"/>
        <v>7932.9988245095228</v>
      </c>
      <c r="K17" s="5">
        <f t="shared" si="9"/>
        <v>7939.631604671169</v>
      </c>
      <c r="L17" s="5">
        <f t="shared" si="9"/>
        <v>7780.8389725777452</v>
      </c>
      <c r="M17" s="5">
        <f t="shared" si="9"/>
        <v>7625.222193126192</v>
      </c>
      <c r="N17" s="5">
        <f t="shared" si="9"/>
        <v>7472.7177492636656</v>
      </c>
      <c r="O17" s="5">
        <f t="shared" si="9"/>
        <v>7323.2633942783941</v>
      </c>
      <c r="P17" s="5">
        <f t="shared" si="9"/>
        <v>7176.7981263928268</v>
      </c>
      <c r="Q17" s="5">
        <f t="shared" ref="Q17:S17" si="10">Q16-Q18</f>
        <v>7033.2621638649689</v>
      </c>
      <c r="R17" s="5">
        <f t="shared" si="10"/>
        <v>6892.5969205876681</v>
      </c>
      <c r="S17" s="5">
        <f t="shared" si="10"/>
        <v>6754.7449821759183</v>
      </c>
      <c r="T17" s="5">
        <f t="shared" ref="T17:U17" si="11">T16-T18</f>
        <v>6619.6500825323965</v>
      </c>
      <c r="U17" s="5">
        <f t="shared" si="11"/>
        <v>6487.2570808817472</v>
      </c>
    </row>
    <row r="18" spans="2:244" x14ac:dyDescent="0.15">
      <c r="B18" s="1" t="s">
        <v>6</v>
      </c>
      <c r="C18" s="7">
        <f>C16-C17</f>
        <v>30259</v>
      </c>
      <c r="D18" s="7">
        <f>D16-D17</f>
        <v>31646</v>
      </c>
      <c r="E18" s="7">
        <f>E16-E17</f>
        <v>31512</v>
      </c>
      <c r="F18" s="7">
        <f>F16-F17</f>
        <v>31130</v>
      </c>
      <c r="G18" s="5">
        <f t="shared" ref="G18:U18" si="12">G16*F31</f>
        <v>31298.765588205177</v>
      </c>
      <c r="H18" s="5">
        <f t="shared" si="12"/>
        <v>31188.797038496981</v>
      </c>
      <c r="I18" s="5">
        <f t="shared" si="12"/>
        <v>31126.973932604687</v>
      </c>
      <c r="J18" s="5">
        <f t="shared" si="12"/>
        <v>31110.387176490476</v>
      </c>
      <c r="K18" s="5">
        <f t="shared" si="12"/>
        <v>31136.39857059882</v>
      </c>
      <c r="L18" s="5">
        <f t="shared" si="12"/>
        <v>30513.670599186844</v>
      </c>
      <c r="M18" s="5">
        <f t="shared" si="12"/>
        <v>29903.397187203107</v>
      </c>
      <c r="N18" s="5">
        <f t="shared" si="12"/>
        <v>29305.329243459044</v>
      </c>
      <c r="O18" s="5">
        <f t="shared" si="12"/>
        <v>28719.222658589861</v>
      </c>
      <c r="P18" s="5">
        <f t="shared" si="12"/>
        <v>28144.838205418066</v>
      </c>
      <c r="Q18" s="5">
        <f t="shared" si="12"/>
        <v>27581.941441309707</v>
      </c>
      <c r="R18" s="5">
        <f t="shared" si="12"/>
        <v>27030.302612483516</v>
      </c>
      <c r="S18" s="5">
        <f t="shared" si="12"/>
        <v>26489.696560233842</v>
      </c>
      <c r="T18" s="5">
        <f t="shared" si="12"/>
        <v>25959.902629029169</v>
      </c>
      <c r="U18" s="5">
        <f t="shared" si="12"/>
        <v>25440.704576448588</v>
      </c>
    </row>
    <row r="19" spans="2:244" x14ac:dyDescent="0.15">
      <c r="B19" s="1" t="s">
        <v>7</v>
      </c>
      <c r="C19" s="84">
        <f>SUM(Reports!C12:F12)</f>
        <v>6160</v>
      </c>
      <c r="D19" s="16">
        <f>SUM(Reports!G12:J12)</f>
        <v>6087</v>
      </c>
      <c r="E19" s="16">
        <f>SUM(Reports!K12:N12)</f>
        <v>6027</v>
      </c>
      <c r="F19" s="16">
        <f>SUM(Reports!O12:R12)</f>
        <v>6067</v>
      </c>
      <c r="G19" s="5">
        <f>F19*1.02</f>
        <v>6188.34</v>
      </c>
      <c r="H19" s="5">
        <f t="shared" ref="H19:K19" si="13">G19*1.02</f>
        <v>6312.1068000000005</v>
      </c>
      <c r="I19" s="5">
        <f t="shared" si="13"/>
        <v>6438.3489360000003</v>
      </c>
      <c r="J19" s="5">
        <f t="shared" si="13"/>
        <v>6567.1159147200005</v>
      </c>
      <c r="K19" s="5">
        <f t="shared" si="13"/>
        <v>6698.4582330144003</v>
      </c>
      <c r="L19" s="5">
        <f>K19*0.95</f>
        <v>6363.5353213636799</v>
      </c>
      <c r="M19" s="5">
        <f t="shared" ref="M19:U19" si="14">L19*0.95</f>
        <v>6045.3585552954955</v>
      </c>
      <c r="N19" s="5">
        <f t="shared" si="14"/>
        <v>5743.0906275307207</v>
      </c>
      <c r="O19" s="5">
        <f t="shared" si="14"/>
        <v>5455.9360961541843</v>
      </c>
      <c r="P19" s="5">
        <f t="shared" si="14"/>
        <v>5183.1392913464751</v>
      </c>
      <c r="Q19" s="5">
        <f t="shared" si="14"/>
        <v>4923.9823267791508</v>
      </c>
      <c r="R19" s="5">
        <f t="shared" si="14"/>
        <v>4677.7832104401932</v>
      </c>
      <c r="S19" s="5">
        <f t="shared" si="14"/>
        <v>4443.8940499181836</v>
      </c>
      <c r="T19" s="5">
        <f t="shared" si="14"/>
        <v>4221.6993474222745</v>
      </c>
      <c r="U19" s="5">
        <f t="shared" si="14"/>
        <v>4010.6143800511604</v>
      </c>
    </row>
    <row r="20" spans="2:244" x14ac:dyDescent="0.15">
      <c r="B20" s="1" t="s">
        <v>8</v>
      </c>
      <c r="C20" s="84">
        <f>SUM(Reports!C13:F13)</f>
        <v>8196</v>
      </c>
      <c r="D20" s="16">
        <f>SUM(Reports!G13:J13)</f>
        <v>8434</v>
      </c>
      <c r="E20" s="16">
        <f>SUM(Reports!K13:N13)</f>
        <v>8509</v>
      </c>
      <c r="F20" s="16">
        <f>SUM(Reports!O13:R13)</f>
        <v>8094</v>
      </c>
      <c r="G20" s="5">
        <f>F20*0.98</f>
        <v>7932.12</v>
      </c>
      <c r="H20" s="5">
        <f t="shared" ref="H20:K20" si="15">G20*0.98</f>
        <v>7773.4776000000002</v>
      </c>
      <c r="I20" s="5">
        <f t="shared" si="15"/>
        <v>7618.0080479999997</v>
      </c>
      <c r="J20" s="5">
        <f t="shared" si="15"/>
        <v>7465.6478870399997</v>
      </c>
      <c r="K20" s="5">
        <f t="shared" si="15"/>
        <v>7316.3349292991998</v>
      </c>
      <c r="L20" s="5">
        <f>K20*0.95</f>
        <v>6950.5181828342393</v>
      </c>
      <c r="M20" s="5">
        <f t="shared" ref="M20:U20" si="16">L20*0.95</f>
        <v>6602.9922736925273</v>
      </c>
      <c r="N20" s="5">
        <f t="shared" si="16"/>
        <v>6272.842660007901</v>
      </c>
      <c r="O20" s="5">
        <f t="shared" si="16"/>
        <v>5959.200527007506</v>
      </c>
      <c r="P20" s="5">
        <f t="shared" si="16"/>
        <v>5661.2405006571307</v>
      </c>
      <c r="Q20" s="5">
        <f t="shared" si="16"/>
        <v>5378.1784756242741</v>
      </c>
      <c r="R20" s="5">
        <f t="shared" si="16"/>
        <v>5109.2695518430601</v>
      </c>
      <c r="S20" s="5">
        <f t="shared" si="16"/>
        <v>4853.8060742509069</v>
      </c>
      <c r="T20" s="5">
        <f t="shared" si="16"/>
        <v>4611.1157705383612</v>
      </c>
      <c r="U20" s="5">
        <f t="shared" si="16"/>
        <v>4380.559982011443</v>
      </c>
    </row>
    <row r="21" spans="2:244" x14ac:dyDescent="0.15">
      <c r="B21" s="1" t="s">
        <v>9</v>
      </c>
      <c r="C21" s="84">
        <f>SUM(Reports!C14:F14)</f>
        <v>3193</v>
      </c>
      <c r="D21" s="16">
        <f>SUM(Reports!G14:J14)</f>
        <v>3547</v>
      </c>
      <c r="E21" s="16">
        <f>SUM(Reports!K14:N14)</f>
        <v>3441</v>
      </c>
      <c r="F21" s="16">
        <f>SUM(Reports!O14:R14)</f>
        <v>3072</v>
      </c>
      <c r="G21" s="5">
        <f>F21*0.95</f>
        <v>2918.3999999999996</v>
      </c>
      <c r="H21" s="5">
        <f t="shared" ref="H21:K21" si="17">G21*0.95</f>
        <v>2772.4799999999996</v>
      </c>
      <c r="I21" s="5">
        <f t="shared" si="17"/>
        <v>2633.8559999999993</v>
      </c>
      <c r="J21" s="5">
        <f t="shared" si="17"/>
        <v>2502.1631999999991</v>
      </c>
      <c r="K21" s="5">
        <f t="shared" si="17"/>
        <v>2377.0550399999988</v>
      </c>
      <c r="L21" s="5">
        <f t="shared" ref="L21" si="18">K21*0.98</f>
        <v>2329.5139391999987</v>
      </c>
      <c r="M21" s="5">
        <f t="shared" ref="M21:U21" si="19">L21*0.98</f>
        <v>2282.9236604159987</v>
      </c>
      <c r="N21" s="5">
        <f t="shared" si="19"/>
        <v>2237.2651872076785</v>
      </c>
      <c r="O21" s="5">
        <f t="shared" si="19"/>
        <v>2192.5198834635248</v>
      </c>
      <c r="P21" s="5">
        <f t="shared" si="19"/>
        <v>2148.6694857942543</v>
      </c>
      <c r="Q21" s="5">
        <f t="shared" si="19"/>
        <v>2105.696096078369</v>
      </c>
      <c r="R21" s="5">
        <f t="shared" si="19"/>
        <v>2063.5821741568016</v>
      </c>
      <c r="S21" s="5">
        <f t="shared" si="19"/>
        <v>2022.3105306736654</v>
      </c>
      <c r="T21" s="5">
        <f t="shared" si="19"/>
        <v>1981.8643200601921</v>
      </c>
      <c r="U21" s="5">
        <f t="shared" si="19"/>
        <v>1942.2270336589881</v>
      </c>
    </row>
    <row r="22" spans="2:244" x14ac:dyDescent="0.15">
      <c r="B22" s="1" t="s">
        <v>10</v>
      </c>
      <c r="C22" s="7">
        <f>SUM(C19:C21)</f>
        <v>17549</v>
      </c>
      <c r="D22" s="7">
        <f>SUM(D19:D21)</f>
        <v>18068</v>
      </c>
      <c r="E22" s="7">
        <f>SUM(E19:E21)</f>
        <v>17977</v>
      </c>
      <c r="F22" s="7">
        <f>SUM(F19:F21)</f>
        <v>17233</v>
      </c>
      <c r="G22" s="5">
        <f t="shared" ref="G22" si="20">SUM(G19:G21)</f>
        <v>17038.86</v>
      </c>
      <c r="H22" s="5">
        <f t="shared" ref="H22:P22" si="21">SUM(H19:H21)</f>
        <v>16858.064399999999</v>
      </c>
      <c r="I22" s="5">
        <f t="shared" si="21"/>
        <v>16690.212983999998</v>
      </c>
      <c r="J22" s="5">
        <f>SUM(J19:J21)</f>
        <v>16534.927001759999</v>
      </c>
      <c r="K22" s="5">
        <f t="shared" si="21"/>
        <v>16391.848202313598</v>
      </c>
      <c r="L22" s="5">
        <f t="shared" si="21"/>
        <v>15643.567443397918</v>
      </c>
      <c r="M22" s="5">
        <f t="shared" si="21"/>
        <v>14931.274489404022</v>
      </c>
      <c r="N22" s="5">
        <f t="shared" si="21"/>
        <v>14253.198474746299</v>
      </c>
      <c r="O22" s="5">
        <f t="shared" si="21"/>
        <v>13607.656506625215</v>
      </c>
      <c r="P22" s="5">
        <f t="shared" si="21"/>
        <v>12993.04927779786</v>
      </c>
      <c r="Q22" s="5">
        <f t="shared" ref="Q22:S22" si="22">SUM(Q19:Q21)</f>
        <v>12407.856898481794</v>
      </c>
      <c r="R22" s="5">
        <f t="shared" si="22"/>
        <v>11850.634936440054</v>
      </c>
      <c r="S22" s="5">
        <f t="shared" si="22"/>
        <v>11320.010654842756</v>
      </c>
      <c r="T22" s="5">
        <f t="shared" ref="T22:U22" si="23">SUM(T19:T21)</f>
        <v>10814.679438020828</v>
      </c>
      <c r="U22" s="5">
        <f t="shared" si="23"/>
        <v>10333.401395721592</v>
      </c>
    </row>
    <row r="23" spans="2:244" x14ac:dyDescent="0.15">
      <c r="B23" s="1" t="s">
        <v>11</v>
      </c>
      <c r="C23" s="7">
        <f>C18-C22</f>
        <v>12710</v>
      </c>
      <c r="D23" s="7">
        <f>D18-D22</f>
        <v>13578</v>
      </c>
      <c r="E23" s="7">
        <f>E18-E22</f>
        <v>13535</v>
      </c>
      <c r="F23" s="7">
        <f>F18-F22</f>
        <v>13897</v>
      </c>
      <c r="G23" s="5">
        <f t="shared" ref="G23" si="24">G18-G22</f>
        <v>14259.905588205176</v>
      </c>
      <c r="H23" s="5">
        <f t="shared" ref="H23:P23" si="25">H18-H22</f>
        <v>14330.732638496982</v>
      </c>
      <c r="I23" s="5">
        <f t="shared" si="25"/>
        <v>14436.760948604689</v>
      </c>
      <c r="J23" s="5">
        <f>J18-J22</f>
        <v>14575.460174730477</v>
      </c>
      <c r="K23" s="5">
        <f t="shared" si="25"/>
        <v>14744.550368285221</v>
      </c>
      <c r="L23" s="5">
        <f t="shared" si="25"/>
        <v>14870.103155788926</v>
      </c>
      <c r="M23" s="5">
        <f t="shared" si="25"/>
        <v>14972.122697799085</v>
      </c>
      <c r="N23" s="5">
        <f t="shared" si="25"/>
        <v>15052.130768712745</v>
      </c>
      <c r="O23" s="5">
        <f t="shared" si="25"/>
        <v>15111.566151964646</v>
      </c>
      <c r="P23" s="5">
        <f t="shared" si="25"/>
        <v>15151.788927620206</v>
      </c>
      <c r="Q23" s="5">
        <f t="shared" ref="Q23:S23" si="26">Q18-Q22</f>
        <v>15174.084542827914</v>
      </c>
      <c r="R23" s="5">
        <f t="shared" si="26"/>
        <v>15179.667676043462</v>
      </c>
      <c r="S23" s="5">
        <f t="shared" si="26"/>
        <v>15169.685905391087</v>
      </c>
      <c r="T23" s="5">
        <f t="shared" ref="T23:U23" si="27">T18-T22</f>
        <v>15145.223191008341</v>
      </c>
      <c r="U23" s="5">
        <f t="shared" si="27"/>
        <v>15107.303180726996</v>
      </c>
    </row>
    <row r="24" spans="2:244" x14ac:dyDescent="0.15">
      <c r="B24" s="1" t="s">
        <v>12</v>
      </c>
      <c r="C24" s="84">
        <f>SUM(Reports!C17:F17)</f>
        <v>-1194</v>
      </c>
      <c r="D24" s="16">
        <f>SUM(Reports!G17:J17)</f>
        <v>-811</v>
      </c>
      <c r="E24" s="16">
        <f>SUM(Reports!K17:N17)</f>
        <v>-1267</v>
      </c>
      <c r="F24" s="16">
        <f>SUM(Reports!O17:R17)</f>
        <v>-1833</v>
      </c>
      <c r="G24" s="5">
        <f t="shared" ref="G24:U24" si="28">F41*$G$4</f>
        <v>-570.80000000000007</v>
      </c>
      <c r="H24" s="5">
        <f t="shared" si="28"/>
        <v>-338.08520500051202</v>
      </c>
      <c r="I24" s="5">
        <f t="shared" si="28"/>
        <v>-100.21019863107202</v>
      </c>
      <c r="J24" s="5">
        <f t="shared" si="28"/>
        <v>143.51116411847946</v>
      </c>
      <c r="K24" s="5">
        <f t="shared" si="28"/>
        <v>393.73367687891175</v>
      </c>
      <c r="L24" s="5">
        <f t="shared" si="28"/>
        <v>651.08450564670204</v>
      </c>
      <c r="M24" s="5">
        <f t="shared" si="28"/>
        <v>914.9446958911077</v>
      </c>
      <c r="N24" s="5">
        <f t="shared" si="28"/>
        <v>1185.024841583841</v>
      </c>
      <c r="O24" s="5">
        <f t="shared" si="28"/>
        <v>1461.0564869588829</v>
      </c>
      <c r="P24" s="5">
        <f t="shared" si="28"/>
        <v>1742.7910718205828</v>
      </c>
      <c r="Q24" s="5">
        <f t="shared" si="28"/>
        <v>2029.9989318110763</v>
      </c>
      <c r="R24" s="5">
        <f t="shared" si="28"/>
        <v>2322.468350879939</v>
      </c>
      <c r="S24" s="5">
        <f t="shared" si="28"/>
        <v>2620.0046633376369</v>
      </c>
      <c r="T24" s="5">
        <f t="shared" si="28"/>
        <v>2922.4294030060255</v>
      </c>
      <c r="U24" s="5">
        <f t="shared" si="28"/>
        <v>3229.5794971042696</v>
      </c>
    </row>
    <row r="25" spans="2:244" x14ac:dyDescent="0.15">
      <c r="B25" s="1" t="s">
        <v>13</v>
      </c>
      <c r="C25" s="7">
        <f>C23+C24</f>
        <v>11516</v>
      </c>
      <c r="D25" s="7">
        <f>D23+D24</f>
        <v>12767</v>
      </c>
      <c r="E25" s="7">
        <f>E23+E24</f>
        <v>12268</v>
      </c>
      <c r="F25" s="7">
        <f>F23+F24</f>
        <v>12064</v>
      </c>
      <c r="G25" s="5">
        <f t="shared" ref="G25" si="29">G23+G24</f>
        <v>13689.105588205177</v>
      </c>
      <c r="H25" s="5">
        <f t="shared" ref="H25:P25" si="30">H23+H24</f>
        <v>13992.64743349647</v>
      </c>
      <c r="I25" s="5">
        <f t="shared" si="30"/>
        <v>14336.550749973618</v>
      </c>
      <c r="J25" s="5">
        <f t="shared" si="30"/>
        <v>14718.971338848956</v>
      </c>
      <c r="K25" s="5">
        <f t="shared" si="30"/>
        <v>15138.284045164133</v>
      </c>
      <c r="L25" s="5">
        <f t="shared" si="30"/>
        <v>15521.187661435628</v>
      </c>
      <c r="M25" s="5">
        <f t="shared" si="30"/>
        <v>15887.067393690193</v>
      </c>
      <c r="N25" s="5">
        <f t="shared" si="30"/>
        <v>16237.155610296586</v>
      </c>
      <c r="O25" s="5">
        <f t="shared" si="30"/>
        <v>16572.622638923527</v>
      </c>
      <c r="P25" s="5">
        <f t="shared" si="30"/>
        <v>16894.57999944079</v>
      </c>
      <c r="Q25" s="5">
        <f t="shared" ref="Q25:S25" si="31">Q23+Q24</f>
        <v>17204.083474638988</v>
      </c>
      <c r="R25" s="5">
        <f t="shared" si="31"/>
        <v>17502.136026923399</v>
      </c>
      <c r="S25" s="5">
        <f t="shared" si="31"/>
        <v>17789.690568728722</v>
      </c>
      <c r="T25" s="5">
        <f t="shared" ref="T25:U25" si="32">T23+T24</f>
        <v>18067.652594014366</v>
      </c>
      <c r="U25" s="5">
        <f t="shared" si="32"/>
        <v>18336.882677831265</v>
      </c>
    </row>
    <row r="26" spans="2:244" x14ac:dyDescent="0.15">
      <c r="B26" s="1" t="s">
        <v>14</v>
      </c>
      <c r="C26" s="84">
        <f>SUM(Reports!C19:F19)</f>
        <v>2182</v>
      </c>
      <c r="D26" s="16">
        <f>SUM(Reports!G19:J19)</f>
        <v>2262.4158636026687</v>
      </c>
      <c r="E26" s="16">
        <f>SUM(Reports!K19:N19)</f>
        <v>1185</v>
      </c>
      <c r="F26" s="16">
        <f>SUM(Reports!O19:R19)</f>
        <v>1929</v>
      </c>
      <c r="G26" s="5">
        <f t="shared" ref="G26:P26" si="33">G25*0.15</f>
        <v>2053.3658382307763</v>
      </c>
      <c r="H26" s="5">
        <f t="shared" si="33"/>
        <v>2098.8971150244702</v>
      </c>
      <c r="I26" s="5">
        <f t="shared" si="33"/>
        <v>2150.4826124960427</v>
      </c>
      <c r="J26" s="5">
        <f t="shared" si="33"/>
        <v>2207.8457008273435</v>
      </c>
      <c r="K26" s="5">
        <f t="shared" si="33"/>
        <v>2270.7426067746201</v>
      </c>
      <c r="L26" s="5">
        <f t="shared" si="33"/>
        <v>2328.1781492153441</v>
      </c>
      <c r="M26" s="5">
        <f t="shared" si="33"/>
        <v>2383.0601090535288</v>
      </c>
      <c r="N26" s="5">
        <f t="shared" si="33"/>
        <v>2435.5733415444879</v>
      </c>
      <c r="O26" s="5">
        <f t="shared" si="33"/>
        <v>2485.8933958385292</v>
      </c>
      <c r="P26" s="5">
        <f t="shared" si="33"/>
        <v>2534.1869999161186</v>
      </c>
      <c r="Q26" s="5">
        <f t="shared" ref="Q26:S26" si="34">Q25*0.15</f>
        <v>2580.6125211958483</v>
      </c>
      <c r="R26" s="5">
        <f t="shared" si="34"/>
        <v>2625.3204040385099</v>
      </c>
      <c r="S26" s="5">
        <f t="shared" si="34"/>
        <v>2668.453585309308</v>
      </c>
      <c r="T26" s="5">
        <f t="shared" ref="T26:U26" si="35">T25*0.15</f>
        <v>2710.1478891021547</v>
      </c>
      <c r="U26" s="5">
        <f t="shared" si="35"/>
        <v>2750.5324016746895</v>
      </c>
    </row>
    <row r="27" spans="2:244" s="15" customFormat="1" x14ac:dyDescent="0.15">
      <c r="B27" s="15" t="s">
        <v>15</v>
      </c>
      <c r="C27" s="22">
        <f>C25-C26</f>
        <v>9334</v>
      </c>
      <c r="D27" s="22">
        <f>D25-D26</f>
        <v>10504.58413639733</v>
      </c>
      <c r="E27" s="22">
        <f t="shared" ref="E27:G27" si="36">E25-E26</f>
        <v>11083</v>
      </c>
      <c r="F27" s="22">
        <f t="shared" si="36"/>
        <v>10135</v>
      </c>
      <c r="G27" s="22">
        <f t="shared" si="36"/>
        <v>11635.7397499744</v>
      </c>
      <c r="H27" s="22">
        <f t="shared" ref="H27" si="37">H25-H26</f>
        <v>11893.750318471999</v>
      </c>
      <c r="I27" s="22">
        <f t="shared" ref="I27" si="38">I25-I26</f>
        <v>12186.068137477574</v>
      </c>
      <c r="J27" s="22">
        <f t="shared" ref="J27" si="39">J25-J26</f>
        <v>12511.125638021613</v>
      </c>
      <c r="K27" s="22">
        <f t="shared" ref="K27" si="40">K25-K26</f>
        <v>12867.541438389513</v>
      </c>
      <c r="L27" s="22">
        <f t="shared" ref="L27" si="41">L25-L26</f>
        <v>13193.009512220284</v>
      </c>
      <c r="M27" s="22">
        <f t="shared" ref="M27" si="42">M25-M26</f>
        <v>13504.007284636664</v>
      </c>
      <c r="N27" s="22">
        <f t="shared" ref="N27" si="43">N25-N26</f>
        <v>13801.582268752098</v>
      </c>
      <c r="O27" s="22">
        <f t="shared" ref="O27" si="44">O25-O26</f>
        <v>14086.729243084998</v>
      </c>
      <c r="P27" s="22">
        <f t="shared" ref="P27:Q27" si="45">P25-P26</f>
        <v>14360.392999524671</v>
      </c>
      <c r="Q27" s="22">
        <f t="shared" si="45"/>
        <v>14623.47095344314</v>
      </c>
      <c r="R27" s="22">
        <f t="shared" ref="R27:S27" si="46">R25-R26</f>
        <v>14876.815622884889</v>
      </c>
      <c r="S27" s="22">
        <f t="shared" si="46"/>
        <v>15121.236983419414</v>
      </c>
      <c r="T27" s="22">
        <f t="shared" ref="T27:U27" si="47">T25-T26</f>
        <v>15357.504704912211</v>
      </c>
      <c r="U27" s="22">
        <f t="shared" si="47"/>
        <v>15586.350276156576</v>
      </c>
      <c r="V27" s="22">
        <f t="shared" ref="V27:AV27" si="48">U27*($G$3+1)</f>
        <v>15274.623270633445</v>
      </c>
      <c r="W27" s="22">
        <f t="shared" si="48"/>
        <v>14969.130805220775</v>
      </c>
      <c r="X27" s="22">
        <f t="shared" si="48"/>
        <v>14669.748189116359</v>
      </c>
      <c r="Y27" s="22">
        <f t="shared" si="48"/>
        <v>14376.353225334031</v>
      </c>
      <c r="Z27" s="22">
        <f t="shared" si="48"/>
        <v>14088.82616082735</v>
      </c>
      <c r="AA27" s="22">
        <f t="shared" si="48"/>
        <v>13807.049637610802</v>
      </c>
      <c r="AB27" s="22">
        <f t="shared" si="48"/>
        <v>13530.908644858586</v>
      </c>
      <c r="AC27" s="22">
        <f t="shared" si="48"/>
        <v>13260.290471961414</v>
      </c>
      <c r="AD27" s="22">
        <f t="shared" si="48"/>
        <v>12995.084662522186</v>
      </c>
      <c r="AE27" s="22">
        <f t="shared" si="48"/>
        <v>12735.182969271742</v>
      </c>
      <c r="AF27" s="22">
        <f t="shared" si="48"/>
        <v>12480.479309886307</v>
      </c>
      <c r="AG27" s="22">
        <f t="shared" si="48"/>
        <v>12230.86972368858</v>
      </c>
      <c r="AH27" s="22">
        <f t="shared" si="48"/>
        <v>11986.252329214809</v>
      </c>
      <c r="AI27" s="22">
        <f t="shared" si="48"/>
        <v>11746.527282630512</v>
      </c>
      <c r="AJ27" s="22">
        <f t="shared" si="48"/>
        <v>11511.596736977901</v>
      </c>
      <c r="AK27" s="22">
        <f t="shared" si="48"/>
        <v>11281.364802238342</v>
      </c>
      <c r="AL27" s="22">
        <f t="shared" si="48"/>
        <v>11055.737506193575</v>
      </c>
      <c r="AM27" s="22">
        <f t="shared" si="48"/>
        <v>10834.622756069703</v>
      </c>
      <c r="AN27" s="22">
        <f t="shared" si="48"/>
        <v>10617.930300948308</v>
      </c>
      <c r="AO27" s="22">
        <f t="shared" si="48"/>
        <v>10405.571694929342</v>
      </c>
      <c r="AP27" s="22">
        <f t="shared" si="48"/>
        <v>10197.460261030756</v>
      </c>
      <c r="AQ27" s="22">
        <f t="shared" si="48"/>
        <v>9993.5110558101405</v>
      </c>
      <c r="AR27" s="22">
        <f t="shared" si="48"/>
        <v>9793.640834693937</v>
      </c>
      <c r="AS27" s="22">
        <f t="shared" si="48"/>
        <v>9597.7680180000589</v>
      </c>
      <c r="AT27" s="22">
        <f t="shared" si="48"/>
        <v>9405.8126576400573</v>
      </c>
      <c r="AU27" s="22">
        <f t="shared" si="48"/>
        <v>9217.6964044872566</v>
      </c>
      <c r="AV27" s="22">
        <f t="shared" si="48"/>
        <v>9033.3424763975108</v>
      </c>
      <c r="AW27" s="22">
        <f t="shared" ref="AW27:CB27" si="49">AV27*($G$3+1)</f>
        <v>8852.6756268695608</v>
      </c>
      <c r="AX27" s="22">
        <f t="shared" si="49"/>
        <v>8675.6221143321691</v>
      </c>
      <c r="AY27" s="22">
        <f t="shared" si="49"/>
        <v>8502.1096720455262</v>
      </c>
      <c r="AZ27" s="22">
        <f t="shared" si="49"/>
        <v>8332.0674786046147</v>
      </c>
      <c r="BA27" s="22">
        <f t="shared" si="49"/>
        <v>8165.4261290325221</v>
      </c>
      <c r="BB27" s="22">
        <f t="shared" si="49"/>
        <v>8002.1176064518713</v>
      </c>
      <c r="BC27" s="22">
        <f t="shared" si="49"/>
        <v>7842.0752543228336</v>
      </c>
      <c r="BD27" s="22">
        <f t="shared" si="49"/>
        <v>7685.2337492363768</v>
      </c>
      <c r="BE27" s="22">
        <f t="shared" si="49"/>
        <v>7531.529074251649</v>
      </c>
      <c r="BF27" s="22">
        <f t="shared" si="49"/>
        <v>7380.8984927666161</v>
      </c>
      <c r="BG27" s="22">
        <f t="shared" si="49"/>
        <v>7233.2805229112837</v>
      </c>
      <c r="BH27" s="22">
        <f t="shared" si="49"/>
        <v>7088.6149124530575</v>
      </c>
      <c r="BI27" s="22">
        <f t="shared" si="49"/>
        <v>6946.8426142039962</v>
      </c>
      <c r="BJ27" s="22">
        <f t="shared" si="49"/>
        <v>6807.9057619199157</v>
      </c>
      <c r="BK27" s="22">
        <f t="shared" si="49"/>
        <v>6671.7476466815169</v>
      </c>
      <c r="BL27" s="22">
        <f t="shared" si="49"/>
        <v>6538.3126937478864</v>
      </c>
      <c r="BM27" s="22">
        <f t="shared" si="49"/>
        <v>6407.5464398729282</v>
      </c>
      <c r="BN27" s="22">
        <f t="shared" si="49"/>
        <v>6279.3955110754696</v>
      </c>
      <c r="BO27" s="22">
        <f t="shared" si="49"/>
        <v>6153.8076008539601</v>
      </c>
      <c r="BP27" s="22">
        <f t="shared" si="49"/>
        <v>6030.7314488368811</v>
      </c>
      <c r="BQ27" s="22">
        <f t="shared" si="49"/>
        <v>5910.1168198601436</v>
      </c>
      <c r="BR27" s="22">
        <f t="shared" si="49"/>
        <v>5791.9144834629406</v>
      </c>
      <c r="BS27" s="22">
        <f t="shared" si="49"/>
        <v>5676.0761937936813</v>
      </c>
      <c r="BT27" s="22">
        <f t="shared" si="49"/>
        <v>5562.5546699178076</v>
      </c>
      <c r="BU27" s="22">
        <f t="shared" si="49"/>
        <v>5451.3035765194518</v>
      </c>
      <c r="BV27" s="22">
        <f t="shared" si="49"/>
        <v>5342.2775049890624</v>
      </c>
      <c r="BW27" s="22">
        <f t="shared" si="49"/>
        <v>5235.4319548892809</v>
      </c>
      <c r="BX27" s="22">
        <f t="shared" si="49"/>
        <v>5130.7233157914952</v>
      </c>
      <c r="BY27" s="22">
        <f t="shared" si="49"/>
        <v>5028.108849475665</v>
      </c>
      <c r="BZ27" s="22">
        <f t="shared" si="49"/>
        <v>4927.5466724861517</v>
      </c>
      <c r="CA27" s="22">
        <f t="shared" si="49"/>
        <v>4828.9957390364289</v>
      </c>
      <c r="CB27" s="22">
        <f t="shared" si="49"/>
        <v>4732.4158242557005</v>
      </c>
      <c r="CC27" s="22">
        <f t="shared" ref="CC27:DH27" si="50">CB27*($G$3+1)</f>
        <v>4637.7675077705862</v>
      </c>
      <c r="CD27" s="22">
        <f t="shared" si="50"/>
        <v>4545.0121576151741</v>
      </c>
      <c r="CE27" s="22">
        <f t="shared" si="50"/>
        <v>4454.111914462871</v>
      </c>
      <c r="CF27" s="22">
        <f t="shared" si="50"/>
        <v>4365.0296761736136</v>
      </c>
      <c r="CG27" s="22">
        <f t="shared" si="50"/>
        <v>4277.7290826501412</v>
      </c>
      <c r="CH27" s="22">
        <f t="shared" si="50"/>
        <v>4192.1745009971382</v>
      </c>
      <c r="CI27" s="22">
        <f t="shared" si="50"/>
        <v>4108.3310109771955</v>
      </c>
      <c r="CJ27" s="22">
        <f t="shared" si="50"/>
        <v>4026.1643907576517</v>
      </c>
      <c r="CK27" s="22">
        <f t="shared" si="50"/>
        <v>3945.6411029424985</v>
      </c>
      <c r="CL27" s="22">
        <f t="shared" si="50"/>
        <v>3866.7282808836485</v>
      </c>
      <c r="CM27" s="22">
        <f t="shared" si="50"/>
        <v>3789.3937152659755</v>
      </c>
      <c r="CN27" s="22">
        <f t="shared" si="50"/>
        <v>3713.6058409606558</v>
      </c>
      <c r="CO27" s="22">
        <f t="shared" si="50"/>
        <v>3639.3337241414424</v>
      </c>
      <c r="CP27" s="22">
        <f t="shared" si="50"/>
        <v>3566.5470496586136</v>
      </c>
      <c r="CQ27" s="22">
        <f t="shared" si="50"/>
        <v>3495.2161086654414</v>
      </c>
      <c r="CR27" s="22">
        <f t="shared" si="50"/>
        <v>3425.3117864921323</v>
      </c>
      <c r="CS27" s="22">
        <f t="shared" si="50"/>
        <v>3356.8055507622898</v>
      </c>
      <c r="CT27" s="22">
        <f t="shared" si="50"/>
        <v>3289.6694397470442</v>
      </c>
      <c r="CU27" s="22">
        <f t="shared" si="50"/>
        <v>3223.876050952103</v>
      </c>
      <c r="CV27" s="22">
        <f t="shared" si="50"/>
        <v>3159.3985299330607</v>
      </c>
      <c r="CW27" s="22">
        <f t="shared" si="50"/>
        <v>3096.2105593343995</v>
      </c>
      <c r="CX27" s="22">
        <f t="shared" si="50"/>
        <v>3034.2863481477116</v>
      </c>
      <c r="CY27" s="22">
        <f t="shared" si="50"/>
        <v>2973.6006211847571</v>
      </c>
      <c r="CZ27" s="22">
        <f t="shared" si="50"/>
        <v>2914.128608761062</v>
      </c>
      <c r="DA27" s="22">
        <f t="shared" si="50"/>
        <v>2855.8460365858405</v>
      </c>
      <c r="DB27" s="22">
        <f t="shared" si="50"/>
        <v>2798.7291158541234</v>
      </c>
      <c r="DC27" s="22">
        <f t="shared" si="50"/>
        <v>2742.754533537041</v>
      </c>
      <c r="DD27" s="22">
        <f t="shared" si="50"/>
        <v>2687.8994428663</v>
      </c>
      <c r="DE27" s="22">
        <f t="shared" si="50"/>
        <v>2634.1414540089741</v>
      </c>
      <c r="DF27" s="22">
        <f t="shared" si="50"/>
        <v>2581.4586249287945</v>
      </c>
      <c r="DG27" s="22">
        <f t="shared" si="50"/>
        <v>2529.8294524302187</v>
      </c>
      <c r="DH27" s="22">
        <f t="shared" si="50"/>
        <v>2479.2328633816142</v>
      </c>
      <c r="DI27" s="22">
        <f t="shared" ref="DI27:DQ27" si="51">DH27*($G$3+1)</f>
        <v>2429.6482061139818</v>
      </c>
      <c r="DJ27" s="22">
        <f t="shared" si="51"/>
        <v>2381.0552419917021</v>
      </c>
      <c r="DK27" s="22">
        <f t="shared" si="51"/>
        <v>2333.4341371518681</v>
      </c>
      <c r="DL27" s="22">
        <f t="shared" si="51"/>
        <v>2286.7654544088305</v>
      </c>
      <c r="DM27" s="22">
        <f t="shared" si="51"/>
        <v>2241.0301453206539</v>
      </c>
      <c r="DN27" s="22">
        <f t="shared" si="51"/>
        <v>2196.2095424142408</v>
      </c>
      <c r="DO27" s="22">
        <f t="shared" si="51"/>
        <v>2152.2853515659558</v>
      </c>
      <c r="DP27" s="22">
        <f t="shared" si="51"/>
        <v>2109.2396445346367</v>
      </c>
      <c r="DQ27" s="22">
        <f t="shared" si="51"/>
        <v>2067.0548516439439</v>
      </c>
      <c r="DR27" s="22">
        <f t="shared" ref="DR27" si="52">DQ27*($G$3+1)</f>
        <v>2025.713754611065</v>
      </c>
      <c r="DS27" s="22">
        <f t="shared" ref="DS27" si="53">DR27*($G$3+1)</f>
        <v>1985.1994795188436</v>
      </c>
      <c r="DT27" s="22">
        <f t="shared" ref="DT27" si="54">DS27*($G$3+1)</f>
        <v>1945.4954899284667</v>
      </c>
      <c r="DU27" s="22">
        <f t="shared" ref="DU27" si="55">DT27*($G$3+1)</f>
        <v>1906.5855801298974</v>
      </c>
      <c r="DV27" s="22">
        <f t="shared" ref="DV27" si="56">DU27*($G$3+1)</f>
        <v>1868.4538685272994</v>
      </c>
      <c r="DW27" s="22">
        <f t="shared" ref="DW27" si="57">DV27*($G$3+1)</f>
        <v>1831.0847911567535</v>
      </c>
      <c r="DX27" s="22">
        <f t="shared" ref="DX27" si="58">DW27*($G$3+1)</f>
        <v>1794.4630953336184</v>
      </c>
      <c r="DY27" s="22">
        <f t="shared" ref="DY27" si="59">DX27*($G$3+1)</f>
        <v>1758.5738334269461</v>
      </c>
      <c r="DZ27" s="22">
        <f t="shared" ref="DZ27" si="60">DY27*($G$3+1)</f>
        <v>1723.4023567584072</v>
      </c>
      <c r="EA27" s="22">
        <f t="shared" ref="EA27" si="61">DZ27*($G$3+1)</f>
        <v>1688.934309623239</v>
      </c>
      <c r="EB27" s="22">
        <f t="shared" ref="EB27" si="62">EA27*($G$3+1)</f>
        <v>1655.1556234307741</v>
      </c>
      <c r="EC27" s="22">
        <f t="shared" ref="EC27" si="63">EB27*($G$3+1)</f>
        <v>1622.0525109621585</v>
      </c>
      <c r="ED27" s="22">
        <f t="shared" ref="ED27" si="64">EC27*($G$3+1)</f>
        <v>1589.6114607429154</v>
      </c>
      <c r="EE27" s="22">
        <f t="shared" ref="EE27" si="65">ED27*($G$3+1)</f>
        <v>1557.8192315280571</v>
      </c>
      <c r="EF27" s="22">
        <f t="shared" ref="EF27" si="66">EE27*($G$3+1)</f>
        <v>1526.6628468974959</v>
      </c>
      <c r="EG27" s="22">
        <f t="shared" ref="EG27" si="67">EF27*($G$3+1)</f>
        <v>1496.1295899595459</v>
      </c>
      <c r="EH27" s="22">
        <f t="shared" ref="EH27" si="68">EG27*($G$3+1)</f>
        <v>1466.2069981603549</v>
      </c>
      <c r="EI27" s="22">
        <f t="shared" ref="EI27" si="69">EH27*($G$3+1)</f>
        <v>1436.8828581971479</v>
      </c>
      <c r="EJ27" s="22">
        <f t="shared" ref="EJ27" si="70">EI27*($G$3+1)</f>
        <v>1408.145201033205</v>
      </c>
      <c r="EK27" s="22">
        <f t="shared" ref="EK27" si="71">EJ27*($G$3+1)</f>
        <v>1379.9822970125408</v>
      </c>
      <c r="EL27" s="22">
        <f t="shared" ref="EL27" si="72">EK27*($G$3+1)</f>
        <v>1352.3826510722899</v>
      </c>
      <c r="EM27" s="22">
        <f t="shared" ref="EM27" si="73">EL27*($G$3+1)</f>
        <v>1325.3349980508442</v>
      </c>
      <c r="EN27" s="22">
        <f t="shared" ref="EN27" si="74">EM27*($G$3+1)</f>
        <v>1298.8282980898273</v>
      </c>
      <c r="EO27" s="22">
        <f t="shared" ref="EO27" si="75">EN27*($G$3+1)</f>
        <v>1272.8517321280308</v>
      </c>
      <c r="EP27" s="22">
        <f t="shared" ref="EP27" si="76">EO27*($G$3+1)</f>
        <v>1247.3946974854703</v>
      </c>
      <c r="EQ27" s="22">
        <f t="shared" ref="EQ27" si="77">EP27*($G$3+1)</f>
        <v>1222.4468035357609</v>
      </c>
      <c r="ER27" s="22">
        <f t="shared" ref="ER27" si="78">EQ27*($G$3+1)</f>
        <v>1197.9978674650456</v>
      </c>
      <c r="ES27" s="22">
        <f t="shared" ref="ES27" si="79">ER27*($G$3+1)</f>
        <v>1174.0379101157446</v>
      </c>
      <c r="ET27" s="22">
        <f t="shared" ref="ET27" si="80">ES27*($G$3+1)</f>
        <v>1150.5571519134296</v>
      </c>
      <c r="EU27" s="22">
        <f t="shared" ref="EU27" si="81">ET27*($G$3+1)</f>
        <v>1127.5460088751611</v>
      </c>
      <c r="EV27" s="22">
        <f t="shared" ref="EV27" si="82">EU27*($G$3+1)</f>
        <v>1104.9950886976578</v>
      </c>
      <c r="EW27" s="22">
        <f t="shared" ref="EW27" si="83">EV27*($G$3+1)</f>
        <v>1082.8951869237046</v>
      </c>
      <c r="EX27" s="22">
        <f t="shared" ref="EX27" si="84">EW27*($G$3+1)</f>
        <v>1061.2372831852306</v>
      </c>
      <c r="EY27" s="22">
        <f t="shared" ref="EY27" si="85">EX27*($G$3+1)</f>
        <v>1040.0125375215259</v>
      </c>
      <c r="EZ27" s="22">
        <f t="shared" ref="EZ27" si="86">EY27*($G$3+1)</f>
        <v>1019.2122867710954</v>
      </c>
      <c r="FA27" s="22">
        <f t="shared" ref="FA27" si="87">EZ27*($G$3+1)</f>
        <v>998.82804103567344</v>
      </c>
      <c r="FB27" s="22">
        <f t="shared" ref="FB27" si="88">FA27*($G$3+1)</f>
        <v>978.85148021495991</v>
      </c>
      <c r="FC27" s="22">
        <f t="shared" ref="FC27" si="89">FB27*($G$3+1)</f>
        <v>959.27445061066067</v>
      </c>
      <c r="FD27" s="22">
        <f t="shared" ref="FD27" si="90">FC27*($G$3+1)</f>
        <v>940.08896159844744</v>
      </c>
      <c r="FE27" s="22">
        <f t="shared" ref="FE27" si="91">FD27*($G$3+1)</f>
        <v>921.28718236647842</v>
      </c>
      <c r="FF27" s="22">
        <f t="shared" ref="FF27" si="92">FE27*($G$3+1)</f>
        <v>902.86143871914885</v>
      </c>
      <c r="FG27" s="22">
        <f t="shared" ref="FG27" si="93">FF27*($G$3+1)</f>
        <v>884.80420994476583</v>
      </c>
      <c r="FH27" s="22">
        <f t="shared" ref="FH27" si="94">FG27*($G$3+1)</f>
        <v>867.10812574587055</v>
      </c>
      <c r="FI27" s="22">
        <f t="shared" ref="FI27" si="95">FH27*($G$3+1)</f>
        <v>849.76596323095316</v>
      </c>
      <c r="FJ27" s="22">
        <f t="shared" ref="FJ27" si="96">FI27*($G$3+1)</f>
        <v>832.77064396633409</v>
      </c>
      <c r="FK27" s="22">
        <f t="shared" ref="FK27" si="97">FJ27*($G$3+1)</f>
        <v>816.11523108700737</v>
      </c>
      <c r="FL27" s="22">
        <f t="shared" ref="FL27" si="98">FK27*($G$3+1)</f>
        <v>799.79292646526721</v>
      </c>
      <c r="FM27" s="22">
        <f t="shared" ref="FM27" si="99">FL27*($G$3+1)</f>
        <v>783.79706793596188</v>
      </c>
      <c r="FN27" s="22">
        <f t="shared" ref="FN27" si="100">FM27*($G$3+1)</f>
        <v>768.12112657724265</v>
      </c>
      <c r="FO27" s="22">
        <f t="shared" ref="FO27" si="101">FN27*($G$3+1)</f>
        <v>752.75870404569775</v>
      </c>
      <c r="FP27" s="22">
        <f t="shared" ref="FP27" si="102">FO27*($G$3+1)</f>
        <v>737.7035299647838</v>
      </c>
      <c r="FQ27" s="22">
        <f t="shared" ref="FQ27" si="103">FP27*($G$3+1)</f>
        <v>722.94945936548811</v>
      </c>
      <c r="FR27" s="22">
        <f t="shared" ref="FR27" si="104">FQ27*($G$3+1)</f>
        <v>708.49047017817838</v>
      </c>
      <c r="FS27" s="22">
        <f t="shared" ref="FS27" si="105">FR27*($G$3+1)</f>
        <v>694.32066077461479</v>
      </c>
      <c r="FT27" s="22">
        <f t="shared" ref="FT27" si="106">FS27*($G$3+1)</f>
        <v>680.43424755912247</v>
      </c>
      <c r="FU27" s="22">
        <f t="shared" ref="FU27" si="107">FT27*($G$3+1)</f>
        <v>666.82556260794001</v>
      </c>
      <c r="FV27" s="22">
        <f t="shared" ref="FV27" si="108">FU27*($G$3+1)</f>
        <v>653.48905135578116</v>
      </c>
      <c r="FW27" s="22">
        <f t="shared" ref="FW27" si="109">FV27*($G$3+1)</f>
        <v>640.41927032866556</v>
      </c>
      <c r="FX27" s="22">
        <f t="shared" ref="FX27" si="110">FW27*($G$3+1)</f>
        <v>627.61088492209228</v>
      </c>
      <c r="FY27" s="22">
        <f t="shared" ref="FY27" si="111">FX27*($G$3+1)</f>
        <v>615.05866722365045</v>
      </c>
      <c r="FZ27" s="22">
        <f t="shared" ref="FZ27" si="112">FY27*($G$3+1)</f>
        <v>602.75749387917745</v>
      </c>
      <c r="GA27" s="22">
        <f t="shared" ref="GA27" si="113">FZ27*($G$3+1)</f>
        <v>590.70234400159393</v>
      </c>
      <c r="GB27" s="22">
        <f t="shared" ref="GB27" si="114">GA27*($G$3+1)</f>
        <v>578.888297121562</v>
      </c>
      <c r="GC27" s="22">
        <f t="shared" ref="GC27" si="115">GB27*($G$3+1)</f>
        <v>567.31053117913075</v>
      </c>
      <c r="GD27" s="22">
        <f t="shared" ref="GD27" si="116">GC27*($G$3+1)</f>
        <v>555.96432055554817</v>
      </c>
      <c r="GE27" s="22">
        <f t="shared" ref="GE27" si="117">GD27*($G$3+1)</f>
        <v>544.84503414443725</v>
      </c>
      <c r="GF27" s="22">
        <f t="shared" ref="GF27" si="118">GE27*($G$3+1)</f>
        <v>533.94813346154854</v>
      </c>
      <c r="GG27" s="22">
        <f t="shared" ref="GG27" si="119">GF27*($G$3+1)</f>
        <v>523.2691707923176</v>
      </c>
      <c r="GH27" s="22">
        <f t="shared" ref="GH27" si="120">GG27*($G$3+1)</f>
        <v>512.80378737647118</v>
      </c>
      <c r="GI27" s="22">
        <f t="shared" ref="GI27" si="121">GH27*($G$3+1)</f>
        <v>502.54771162894173</v>
      </c>
      <c r="GJ27" s="22">
        <f t="shared" ref="GJ27" si="122">GI27*($G$3+1)</f>
        <v>492.49675739636291</v>
      </c>
      <c r="GK27" s="22">
        <f t="shared" ref="GK27" si="123">GJ27*($G$3+1)</f>
        <v>482.64682224843563</v>
      </c>
      <c r="GL27" s="22">
        <f t="shared" ref="GL27" si="124">GK27*($G$3+1)</f>
        <v>472.99388580346692</v>
      </c>
      <c r="GM27" s="22">
        <f t="shared" ref="GM27" si="125">GL27*($G$3+1)</f>
        <v>463.53400808739758</v>
      </c>
      <c r="GN27" s="22">
        <f t="shared" ref="GN27" si="126">GM27*($G$3+1)</f>
        <v>454.26332792564961</v>
      </c>
      <c r="GO27" s="22">
        <f t="shared" ref="GO27" si="127">GN27*($G$3+1)</f>
        <v>445.17806136713659</v>
      </c>
      <c r="GP27" s="22">
        <f t="shared" ref="GP27" si="128">GO27*($G$3+1)</f>
        <v>436.27450013979387</v>
      </c>
      <c r="GQ27" s="22">
        <f t="shared" ref="GQ27" si="129">GP27*($G$3+1)</f>
        <v>427.54901013699799</v>
      </c>
      <c r="GR27" s="22">
        <f t="shared" ref="GR27" si="130">GQ27*($G$3+1)</f>
        <v>418.998029934258</v>
      </c>
      <c r="GS27" s="22">
        <f t="shared" ref="GS27" si="131">GR27*($G$3+1)</f>
        <v>410.61806933557284</v>
      </c>
      <c r="GT27" s="22">
        <f t="shared" ref="GT27" si="132">GS27*($G$3+1)</f>
        <v>402.40570794886139</v>
      </c>
      <c r="GU27" s="22">
        <f t="shared" ref="GU27" si="133">GT27*($G$3+1)</f>
        <v>394.35759378988416</v>
      </c>
      <c r="GV27" s="22">
        <f t="shared" ref="GV27" si="134">GU27*($G$3+1)</f>
        <v>386.47044191408645</v>
      </c>
      <c r="GW27" s="22">
        <f t="shared" ref="GW27" si="135">GV27*($G$3+1)</f>
        <v>378.74103307580469</v>
      </c>
      <c r="GX27" s="22">
        <f t="shared" ref="GX27" si="136">GW27*($G$3+1)</f>
        <v>371.16621241428857</v>
      </c>
      <c r="GY27" s="22">
        <f t="shared" ref="GY27" si="137">GX27*($G$3+1)</f>
        <v>363.74288816600279</v>
      </c>
      <c r="GZ27" s="22">
        <f t="shared" ref="GZ27" si="138">GY27*($G$3+1)</f>
        <v>356.4680304026827</v>
      </c>
      <c r="HA27" s="22">
        <f t="shared" ref="HA27" si="139">GZ27*($G$3+1)</f>
        <v>349.33866979462903</v>
      </c>
      <c r="HB27" s="22">
        <f t="shared" ref="HB27" si="140">HA27*($G$3+1)</f>
        <v>342.35189639873641</v>
      </c>
      <c r="HC27" s="22">
        <f t="shared" ref="HC27" si="141">HB27*($G$3+1)</f>
        <v>335.50485847076169</v>
      </c>
      <c r="HD27" s="22">
        <f t="shared" ref="HD27" si="142">HC27*($G$3+1)</f>
        <v>328.79476130134645</v>
      </c>
      <c r="HE27" s="22">
        <f t="shared" ref="HE27" si="143">HD27*($G$3+1)</f>
        <v>322.21886607531951</v>
      </c>
      <c r="HF27" s="22">
        <f t="shared" ref="HF27" si="144">HE27*($G$3+1)</f>
        <v>315.7744887538131</v>
      </c>
      <c r="HG27" s="22">
        <f t="shared" ref="HG27" si="145">HF27*($G$3+1)</f>
        <v>309.45899897873682</v>
      </c>
      <c r="HH27" s="22">
        <f t="shared" ref="HH27" si="146">HG27*($G$3+1)</f>
        <v>303.26981899916206</v>
      </c>
      <c r="HI27" s="22">
        <f t="shared" ref="HI27" si="147">HH27*($G$3+1)</f>
        <v>297.20442261917879</v>
      </c>
      <c r="HJ27" s="22">
        <f t="shared" ref="HJ27" si="148">HI27*($G$3+1)</f>
        <v>291.26033416679519</v>
      </c>
      <c r="HK27" s="22">
        <f t="shared" ref="HK27" si="149">HJ27*($G$3+1)</f>
        <v>285.43512748345927</v>
      </c>
      <c r="HL27" s="22">
        <f t="shared" ref="HL27" si="150">HK27*($G$3+1)</f>
        <v>279.7264249337901</v>
      </c>
      <c r="HM27" s="22">
        <f t="shared" ref="HM27" si="151">HL27*($G$3+1)</f>
        <v>274.1318964351143</v>
      </c>
      <c r="HN27" s="22">
        <f t="shared" ref="HN27" si="152">HM27*($G$3+1)</f>
        <v>268.64925850641202</v>
      </c>
      <c r="HO27" s="22">
        <f t="shared" ref="HO27" si="153">HN27*($G$3+1)</f>
        <v>263.27627333628379</v>
      </c>
      <c r="HP27" s="22">
        <f t="shared" ref="HP27" si="154">HO27*($G$3+1)</f>
        <v>258.01074786955809</v>
      </c>
      <c r="HQ27" s="22">
        <f t="shared" ref="HQ27" si="155">HP27*($G$3+1)</f>
        <v>252.85053291216693</v>
      </c>
      <c r="HR27" s="22">
        <f t="shared" ref="HR27" si="156">HQ27*($G$3+1)</f>
        <v>247.79352225392358</v>
      </c>
      <c r="HS27" s="22">
        <f t="shared" ref="HS27" si="157">HR27*($G$3+1)</f>
        <v>242.8376518088451</v>
      </c>
      <c r="HT27" s="22">
        <f t="shared" ref="HT27" si="158">HS27*($G$3+1)</f>
        <v>237.98089877266818</v>
      </c>
      <c r="HU27" s="22">
        <f t="shared" ref="HU27" si="159">HT27*($G$3+1)</f>
        <v>233.2212807972148</v>
      </c>
      <c r="HV27" s="22">
        <f t="shared" ref="HV27" si="160">HU27*($G$3+1)</f>
        <v>228.55685518127049</v>
      </c>
      <c r="HW27" s="22">
        <f t="shared" ref="HW27" si="161">HV27*($G$3+1)</f>
        <v>223.98571807764509</v>
      </c>
      <c r="HX27" s="22">
        <f t="shared" ref="HX27" si="162">HW27*($G$3+1)</f>
        <v>219.50600371609218</v>
      </c>
      <c r="HY27" s="22">
        <f t="shared" ref="HY27" si="163">HX27*($G$3+1)</f>
        <v>215.11588364177032</v>
      </c>
      <c r="HZ27" s="22">
        <f t="shared" ref="HZ27" si="164">HY27*($G$3+1)</f>
        <v>210.81356596893491</v>
      </c>
      <c r="IA27" s="22">
        <f t="shared" ref="IA27" si="165">HZ27*($G$3+1)</f>
        <v>206.5972946495562</v>
      </c>
      <c r="IB27" s="22">
        <f t="shared" ref="IB27" si="166">IA27*($G$3+1)</f>
        <v>202.46534875656508</v>
      </c>
      <c r="IC27" s="22">
        <f t="shared" ref="IC27" si="167">IB27*($G$3+1)</f>
        <v>198.41604178143376</v>
      </c>
      <c r="ID27" s="22">
        <f t="shared" ref="ID27" si="168">IC27*($G$3+1)</f>
        <v>194.44772094580509</v>
      </c>
      <c r="IE27" s="22">
        <f t="shared" ref="IE27" si="169">ID27*($G$3+1)</f>
        <v>190.55876652688897</v>
      </c>
      <c r="IF27" s="22">
        <f t="shared" ref="IF27" si="170">IE27*($G$3+1)</f>
        <v>186.74759119635118</v>
      </c>
      <c r="IG27" s="22">
        <f t="shared" ref="IG27" si="171">IF27*($G$3+1)</f>
        <v>183.01263937242416</v>
      </c>
      <c r="IH27" s="22">
        <f t="shared" ref="IH27" si="172">IG27*($G$3+1)</f>
        <v>179.35238658497568</v>
      </c>
      <c r="II27" s="22">
        <f t="shared" ref="II27" si="173">IH27*($G$3+1)</f>
        <v>175.76533885327615</v>
      </c>
      <c r="IJ27" s="22">
        <f t="shared" ref="IJ27" si="174">II27*($G$3+1)</f>
        <v>172.25003207621063</v>
      </c>
    </row>
    <row r="28" spans="2:244" x14ac:dyDescent="0.15">
      <c r="B28" s="1" t="s">
        <v>16</v>
      </c>
      <c r="C28" s="23">
        <f>C27/C29</f>
        <v>2.1972693032015065</v>
      </c>
      <c r="D28" s="23">
        <f>D27/D29</f>
        <v>2.5318351738725791</v>
      </c>
      <c r="E28" s="23">
        <f>E27/E29</f>
        <v>3.171101573676681</v>
      </c>
      <c r="F28" s="23">
        <f>F27/F29</f>
        <v>3.2052498418722326</v>
      </c>
      <c r="G28" s="18">
        <f t="shared" ref="G28" si="175">G27/G29</f>
        <v>3.679867093603542</v>
      </c>
      <c r="H28" s="18">
        <f t="shared" ref="H28:P28" si="176">H27/H29</f>
        <v>3.7614643638431371</v>
      </c>
      <c r="I28" s="18">
        <f t="shared" si="176"/>
        <v>3.8539114919283914</v>
      </c>
      <c r="J28" s="18">
        <f t="shared" si="176"/>
        <v>3.9567127254970313</v>
      </c>
      <c r="K28" s="18">
        <f t="shared" si="176"/>
        <v>4.0694311949365947</v>
      </c>
      <c r="L28" s="18">
        <f t="shared" si="176"/>
        <v>4.17236227457947</v>
      </c>
      <c r="M28" s="18">
        <f t="shared" si="176"/>
        <v>4.2707170413145681</v>
      </c>
      <c r="N28" s="18">
        <f t="shared" si="176"/>
        <v>4.3648267769614479</v>
      </c>
      <c r="O28" s="18">
        <f t="shared" si="176"/>
        <v>4.4550060857321307</v>
      </c>
      <c r="P28" s="18">
        <f t="shared" si="176"/>
        <v>4.5415537632905352</v>
      </c>
      <c r="Q28" s="18">
        <f t="shared" ref="Q28:S28" si="177">Q27/Q29</f>
        <v>4.624753622214782</v>
      </c>
      <c r="R28" s="18">
        <f t="shared" si="177"/>
        <v>4.7048752760546773</v>
      </c>
      <c r="S28" s="18">
        <f t="shared" si="177"/>
        <v>4.782174884066861</v>
      </c>
      <c r="T28" s="18">
        <f t="shared" ref="T28:U28" si="178">T27/T29</f>
        <v>4.8568958586060127</v>
      </c>
      <c r="U28" s="18">
        <f t="shared" si="178"/>
        <v>4.9292695370514155</v>
      </c>
    </row>
    <row r="29" spans="2:244" x14ac:dyDescent="0.15">
      <c r="B29" s="1" t="s">
        <v>17</v>
      </c>
      <c r="C29" s="5">
        <f>Reports!F23</f>
        <v>4248</v>
      </c>
      <c r="D29" s="5">
        <f>Reports!J23</f>
        <v>4149</v>
      </c>
      <c r="E29" s="5">
        <f>Reports!N23</f>
        <v>3495</v>
      </c>
      <c r="F29" s="5">
        <f>Reports!R23</f>
        <v>3162</v>
      </c>
      <c r="G29" s="5">
        <f t="shared" ref="G29" si="179">F29</f>
        <v>3162</v>
      </c>
      <c r="H29" s="5">
        <f t="shared" ref="H29" si="180">G29</f>
        <v>3162</v>
      </c>
      <c r="I29" s="5">
        <f t="shared" ref="I29" si="181">H29</f>
        <v>3162</v>
      </c>
      <c r="J29" s="5">
        <f t="shared" ref="J29" si="182">I29</f>
        <v>3162</v>
      </c>
      <c r="K29" s="5">
        <f t="shared" ref="K29" si="183">J29</f>
        <v>3162</v>
      </c>
      <c r="L29" s="5">
        <f t="shared" ref="L29" si="184">K29</f>
        <v>3162</v>
      </c>
      <c r="M29" s="5">
        <f t="shared" ref="M29" si="185">L29</f>
        <v>3162</v>
      </c>
      <c r="N29" s="5">
        <f t="shared" ref="N29" si="186">M29</f>
        <v>3162</v>
      </c>
      <c r="O29" s="5">
        <f t="shared" ref="O29" si="187">N29</f>
        <v>3162</v>
      </c>
      <c r="P29" s="5">
        <f t="shared" ref="P29:U29" si="188">O29</f>
        <v>3162</v>
      </c>
      <c r="Q29" s="5">
        <f t="shared" si="188"/>
        <v>3162</v>
      </c>
      <c r="R29" s="5">
        <f t="shared" si="188"/>
        <v>3162</v>
      </c>
      <c r="S29" s="5">
        <f t="shared" si="188"/>
        <v>3162</v>
      </c>
      <c r="T29" s="5">
        <f t="shared" si="188"/>
        <v>3162</v>
      </c>
      <c r="U29" s="5">
        <f t="shared" si="188"/>
        <v>3162</v>
      </c>
    </row>
    <row r="30" spans="2:244" x14ac:dyDescent="0.1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2:244" x14ac:dyDescent="0.15">
      <c r="B31" s="1" t="s">
        <v>19</v>
      </c>
      <c r="C31" s="21">
        <f t="shared" ref="C31:P31" si="189">IFERROR(C18/C16,0)</f>
        <v>0.80205158109576691</v>
      </c>
      <c r="D31" s="21">
        <f t="shared" si="189"/>
        <v>0.79682739519073398</v>
      </c>
      <c r="E31" s="21">
        <f t="shared" si="189"/>
        <v>0.79767118086318189</v>
      </c>
      <c r="F31" s="21">
        <f t="shared" si="189"/>
        <v>0.79681580833418653</v>
      </c>
      <c r="G31" s="21">
        <f t="shared" si="189"/>
        <v>0.79681580833418653</v>
      </c>
      <c r="H31" s="21">
        <f t="shared" si="189"/>
        <v>0.79681580833418653</v>
      </c>
      <c r="I31" s="21">
        <f t="shared" si="189"/>
        <v>0.79681580833418653</v>
      </c>
      <c r="J31" s="21">
        <f t="shared" si="189"/>
        <v>0.79681580833418653</v>
      </c>
      <c r="K31" s="21">
        <f t="shared" si="189"/>
        <v>0.79681580833418653</v>
      </c>
      <c r="L31" s="21">
        <f t="shared" si="189"/>
        <v>0.79681580833418653</v>
      </c>
      <c r="M31" s="21">
        <f t="shared" si="189"/>
        <v>0.79681580833418653</v>
      </c>
      <c r="N31" s="21">
        <f t="shared" si="189"/>
        <v>0.79681580833418653</v>
      </c>
      <c r="O31" s="21">
        <f t="shared" si="189"/>
        <v>0.79681580833418653</v>
      </c>
      <c r="P31" s="21">
        <f t="shared" si="189"/>
        <v>0.79681580833418653</v>
      </c>
      <c r="Q31" s="21">
        <f t="shared" ref="Q31:S31" si="190">IFERROR(Q18/Q16,0)</f>
        <v>0.79681580833418653</v>
      </c>
      <c r="R31" s="21">
        <f t="shared" si="190"/>
        <v>0.79681580833418653</v>
      </c>
      <c r="S31" s="21">
        <f t="shared" si="190"/>
        <v>0.79681580833418653</v>
      </c>
      <c r="T31" s="21">
        <f t="shared" ref="T31:U31" si="191">IFERROR(T18/T16,0)</f>
        <v>0.79681580833418664</v>
      </c>
      <c r="U31" s="21">
        <f t="shared" si="191"/>
        <v>0.79681580833418664</v>
      </c>
    </row>
    <row r="32" spans="2:244" x14ac:dyDescent="0.15">
      <c r="B32" s="1" t="s">
        <v>20</v>
      </c>
      <c r="C32" s="20">
        <f t="shared" ref="C32:P32" si="192">IFERROR(C23/C16,0)</f>
        <v>0.3368940016433854</v>
      </c>
      <c r="D32" s="20">
        <f t="shared" si="192"/>
        <v>0.34188593730328593</v>
      </c>
      <c r="E32" s="20">
        <f t="shared" si="192"/>
        <v>0.34261485887862297</v>
      </c>
      <c r="F32" s="20">
        <f t="shared" si="192"/>
        <v>0.35571311559332447</v>
      </c>
      <c r="G32" s="20">
        <f t="shared" si="192"/>
        <v>0.36303406810129324</v>
      </c>
      <c r="H32" s="20">
        <f t="shared" si="192"/>
        <v>0.36612358909740667</v>
      </c>
      <c r="I32" s="20">
        <f t="shared" si="192"/>
        <v>0.36956497505657987</v>
      </c>
      <c r="J32" s="20">
        <f t="shared" si="192"/>
        <v>0.37331445009295972</v>
      </c>
      <c r="K32" s="20">
        <f t="shared" si="192"/>
        <v>0.37732979276939427</v>
      </c>
      <c r="L32" s="20">
        <f t="shared" si="192"/>
        <v>0.38830901145037749</v>
      </c>
      <c r="M32" s="20">
        <f t="shared" si="192"/>
        <v>0.39895213160031018</v>
      </c>
      <c r="N32" s="20">
        <f t="shared" si="192"/>
        <v>0.4092694419497348</v>
      </c>
      <c r="O32" s="20">
        <f t="shared" si="192"/>
        <v>0.41927091626805441</v>
      </c>
      <c r="P32" s="20">
        <f t="shared" si="192"/>
        <v>0.42896622300520115</v>
      </c>
      <c r="Q32" s="20">
        <f t="shared" ref="Q32:S32" si="193">IFERROR(Q23/Q16,0)</f>
        <v>0.43836473463814951</v>
      </c>
      <c r="R32" s="20">
        <f t="shared" si="193"/>
        <v>0.44747553673131379</v>
      </c>
      <c r="S32" s="20">
        <f t="shared" si="193"/>
        <v>0.45630743671958507</v>
      </c>
      <c r="T32" s="20">
        <f t="shared" ref="T32:U32" si="194">IFERROR(T23/T16,0)</f>
        <v>0.4648689724225013</v>
      </c>
      <c r="U32" s="20">
        <f t="shared" si="194"/>
        <v>0.47316842029777723</v>
      </c>
    </row>
    <row r="33" spans="2:21" x14ac:dyDescent="0.15">
      <c r="B33" s="1" t="s">
        <v>21</v>
      </c>
      <c r="C33" s="20">
        <f t="shared" ref="C33:P33" si="195">IFERROR(C26/C25,0)</f>
        <v>0.18947551233067036</v>
      </c>
      <c r="D33" s="20">
        <f t="shared" si="195"/>
        <v>0.17720810398705011</v>
      </c>
      <c r="E33" s="20">
        <f t="shared" si="195"/>
        <v>9.6592761656341702E-2</v>
      </c>
      <c r="F33" s="20">
        <f t="shared" si="195"/>
        <v>0.1598972148541114</v>
      </c>
      <c r="G33" s="20">
        <f t="shared" si="195"/>
        <v>0.14999999999999997</v>
      </c>
      <c r="H33" s="20">
        <f t="shared" si="195"/>
        <v>0.14999999999999997</v>
      </c>
      <c r="I33" s="20">
        <f t="shared" si="195"/>
        <v>0.15</v>
      </c>
      <c r="J33" s="20">
        <f t="shared" si="195"/>
        <v>0.15</v>
      </c>
      <c r="K33" s="20">
        <f t="shared" si="195"/>
        <v>0.15</v>
      </c>
      <c r="L33" s="20">
        <f t="shared" si="195"/>
        <v>0.15</v>
      </c>
      <c r="M33" s="20">
        <f t="shared" si="195"/>
        <v>0.15</v>
      </c>
      <c r="N33" s="20">
        <f t="shared" si="195"/>
        <v>0.15</v>
      </c>
      <c r="O33" s="20">
        <f t="shared" si="195"/>
        <v>0.15</v>
      </c>
      <c r="P33" s="20">
        <f t="shared" si="195"/>
        <v>0.15</v>
      </c>
      <c r="Q33" s="20">
        <f t="shared" ref="Q33:S33" si="196">IFERROR(Q26/Q25,0)</f>
        <v>0.15</v>
      </c>
      <c r="R33" s="20">
        <f t="shared" si="196"/>
        <v>0.15</v>
      </c>
      <c r="S33" s="20">
        <f t="shared" si="196"/>
        <v>0.15</v>
      </c>
      <c r="T33" s="20">
        <f t="shared" ref="T33:U33" si="197">IFERROR(T26/T25,0)</f>
        <v>0.15</v>
      </c>
      <c r="U33" s="20">
        <f t="shared" si="197"/>
        <v>0.15</v>
      </c>
    </row>
    <row r="34" spans="2:21" x14ac:dyDescent="0.1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2:21" x14ac:dyDescent="0.15">
      <c r="B35" s="15" t="s">
        <v>18</v>
      </c>
      <c r="C35" s="19"/>
      <c r="D35" s="19">
        <f>D16/C16-1</f>
        <v>5.2694356826675781E-2</v>
      </c>
      <c r="E35" s="19">
        <f t="shared" ref="E35:U35" si="198">E16/D16-1</f>
        <v>-5.2876746821099996E-3</v>
      </c>
      <c r="F35" s="19">
        <f>F16/E16-1</f>
        <v>-1.1061890899886073E-2</v>
      </c>
      <c r="G35" s="19">
        <f>G16/F16-1</f>
        <v>5.4213166786114542E-3</v>
      </c>
      <c r="H35" s="19">
        <f t="shared" si="198"/>
        <v>-3.5135107612562777E-3</v>
      </c>
      <c r="I35" s="19">
        <f t="shared" si="198"/>
        <v>-1.982221559106101E-3</v>
      </c>
      <c r="J35" s="19">
        <f t="shared" si="198"/>
        <v>-5.3287403234647535E-4</v>
      </c>
      <c r="K35" s="19">
        <f t="shared" si="198"/>
        <v>8.3609998039491096E-4</v>
      </c>
      <c r="L35" s="19">
        <f t="shared" si="198"/>
        <v>-2.0000000000000018E-2</v>
      </c>
      <c r="M35" s="19">
        <f t="shared" si="198"/>
        <v>-1.9999999999999907E-2</v>
      </c>
      <c r="N35" s="19">
        <f t="shared" si="198"/>
        <v>-2.0000000000000129E-2</v>
      </c>
      <c r="O35" s="19">
        <f t="shared" si="198"/>
        <v>-2.0000000000000018E-2</v>
      </c>
      <c r="P35" s="19">
        <f t="shared" si="198"/>
        <v>-1.9999999999999907E-2</v>
      </c>
      <c r="Q35" s="19">
        <f t="shared" si="198"/>
        <v>-1.9999999999999907E-2</v>
      </c>
      <c r="R35" s="19">
        <f t="shared" si="198"/>
        <v>-1.9999999999999907E-2</v>
      </c>
      <c r="S35" s="19">
        <f t="shared" si="198"/>
        <v>-2.0000000000000018E-2</v>
      </c>
      <c r="T35" s="19">
        <f t="shared" si="198"/>
        <v>-2.0000000000000018E-2</v>
      </c>
      <c r="U35" s="19">
        <f t="shared" si="198"/>
        <v>-2.0000000000000018E-2</v>
      </c>
    </row>
    <row r="36" spans="2:21" x14ac:dyDescent="0.15">
      <c r="B36" s="1" t="s">
        <v>34</v>
      </c>
      <c r="C36" s="20"/>
      <c r="D36" s="20">
        <f t="shared" ref="D36:U36" si="199">D19/C19-1</f>
        <v>-1.1850649350649389E-2</v>
      </c>
      <c r="E36" s="20">
        <f t="shared" si="199"/>
        <v>-9.857072449482529E-3</v>
      </c>
      <c r="F36" s="20">
        <f t="shared" si="199"/>
        <v>6.6368010618882423E-3</v>
      </c>
      <c r="G36" s="20">
        <f t="shared" si="199"/>
        <v>2.0000000000000018E-2</v>
      </c>
      <c r="H36" s="20">
        <f t="shared" si="199"/>
        <v>2.0000000000000018E-2</v>
      </c>
      <c r="I36" s="20">
        <f t="shared" si="199"/>
        <v>2.0000000000000018E-2</v>
      </c>
      <c r="J36" s="20">
        <f t="shared" si="199"/>
        <v>2.0000000000000018E-2</v>
      </c>
      <c r="K36" s="20">
        <f t="shared" si="199"/>
        <v>2.0000000000000018E-2</v>
      </c>
      <c r="L36" s="20">
        <f t="shared" si="199"/>
        <v>-5.0000000000000044E-2</v>
      </c>
      <c r="M36" s="20">
        <f t="shared" si="199"/>
        <v>-5.0000000000000044E-2</v>
      </c>
      <c r="N36" s="20">
        <f t="shared" si="199"/>
        <v>-5.0000000000000044E-2</v>
      </c>
      <c r="O36" s="20">
        <f t="shared" si="199"/>
        <v>-5.0000000000000044E-2</v>
      </c>
      <c r="P36" s="20">
        <f t="shared" si="199"/>
        <v>-4.9999999999999933E-2</v>
      </c>
      <c r="Q36" s="20">
        <f t="shared" si="199"/>
        <v>-5.0000000000000155E-2</v>
      </c>
      <c r="R36" s="20">
        <f t="shared" si="199"/>
        <v>-5.0000000000000044E-2</v>
      </c>
      <c r="S36" s="20">
        <f t="shared" si="199"/>
        <v>-5.0000000000000044E-2</v>
      </c>
      <c r="T36" s="20">
        <f t="shared" si="199"/>
        <v>-4.9999999999999933E-2</v>
      </c>
      <c r="U36" s="20">
        <f t="shared" si="199"/>
        <v>-5.0000000000000044E-2</v>
      </c>
    </row>
    <row r="37" spans="2:21" x14ac:dyDescent="0.15">
      <c r="B37" s="1" t="s">
        <v>35</v>
      </c>
      <c r="C37" s="20"/>
      <c r="D37" s="20">
        <f t="shared" ref="D37:U37" si="200">D20/C20-1</f>
        <v>2.9038555392874477E-2</v>
      </c>
      <c r="E37" s="20">
        <f t="shared" si="200"/>
        <v>8.8925776618449248E-3</v>
      </c>
      <c r="F37" s="20">
        <f t="shared" si="200"/>
        <v>-4.8771888588553303E-2</v>
      </c>
      <c r="G37" s="20">
        <f t="shared" si="200"/>
        <v>-2.0000000000000018E-2</v>
      </c>
      <c r="H37" s="20">
        <f t="shared" si="200"/>
        <v>-2.0000000000000018E-2</v>
      </c>
      <c r="I37" s="20">
        <f t="shared" si="200"/>
        <v>-2.0000000000000018E-2</v>
      </c>
      <c r="J37" s="20">
        <f t="shared" si="200"/>
        <v>-2.0000000000000018E-2</v>
      </c>
      <c r="K37" s="20">
        <f t="shared" si="200"/>
        <v>-2.0000000000000018E-2</v>
      </c>
      <c r="L37" s="20">
        <f t="shared" si="200"/>
        <v>-5.0000000000000044E-2</v>
      </c>
      <c r="M37" s="20">
        <f t="shared" si="200"/>
        <v>-5.0000000000000044E-2</v>
      </c>
      <c r="N37" s="20">
        <f t="shared" si="200"/>
        <v>-4.9999999999999933E-2</v>
      </c>
      <c r="O37" s="20">
        <f t="shared" si="200"/>
        <v>-5.0000000000000044E-2</v>
      </c>
      <c r="P37" s="20">
        <f t="shared" si="200"/>
        <v>-5.0000000000000044E-2</v>
      </c>
      <c r="Q37" s="20">
        <f t="shared" si="200"/>
        <v>-5.0000000000000044E-2</v>
      </c>
      <c r="R37" s="20">
        <f t="shared" si="200"/>
        <v>-5.0000000000000044E-2</v>
      </c>
      <c r="S37" s="20">
        <f t="shared" si="200"/>
        <v>-5.0000000000000044E-2</v>
      </c>
      <c r="T37" s="20">
        <f t="shared" si="200"/>
        <v>-5.0000000000000044E-2</v>
      </c>
      <c r="U37" s="20">
        <f t="shared" si="200"/>
        <v>-5.0000000000000044E-2</v>
      </c>
    </row>
    <row r="38" spans="2:21" x14ac:dyDescent="0.15">
      <c r="B38" s="1" t="s">
        <v>36</v>
      </c>
      <c r="C38" s="20"/>
      <c r="D38" s="20">
        <f t="shared" ref="D38:U38" si="201">D21/C21-1</f>
        <v>0.11086752270591926</v>
      </c>
      <c r="E38" s="20">
        <f t="shared" si="201"/>
        <v>-2.9884409360022568E-2</v>
      </c>
      <c r="F38" s="20">
        <f t="shared" si="201"/>
        <v>-0.10723626852659107</v>
      </c>
      <c r="G38" s="20">
        <f t="shared" si="201"/>
        <v>-5.0000000000000155E-2</v>
      </c>
      <c r="H38" s="20">
        <f t="shared" si="201"/>
        <v>-5.0000000000000044E-2</v>
      </c>
      <c r="I38" s="20">
        <f t="shared" si="201"/>
        <v>-5.0000000000000044E-2</v>
      </c>
      <c r="J38" s="20">
        <f t="shared" si="201"/>
        <v>-5.0000000000000155E-2</v>
      </c>
      <c r="K38" s="20">
        <f t="shared" si="201"/>
        <v>-5.0000000000000155E-2</v>
      </c>
      <c r="L38" s="20">
        <f t="shared" si="201"/>
        <v>-2.0000000000000018E-2</v>
      </c>
      <c r="M38" s="20">
        <f t="shared" si="201"/>
        <v>-2.0000000000000018E-2</v>
      </c>
      <c r="N38" s="20">
        <f t="shared" si="201"/>
        <v>-2.0000000000000129E-2</v>
      </c>
      <c r="O38" s="20">
        <f t="shared" si="201"/>
        <v>-2.0000000000000018E-2</v>
      </c>
      <c r="P38" s="20">
        <f t="shared" si="201"/>
        <v>-2.0000000000000018E-2</v>
      </c>
      <c r="Q38" s="20">
        <f t="shared" si="201"/>
        <v>-2.0000000000000129E-2</v>
      </c>
      <c r="R38" s="20">
        <f t="shared" si="201"/>
        <v>-2.0000000000000018E-2</v>
      </c>
      <c r="S38" s="20">
        <f t="shared" si="201"/>
        <v>-2.0000000000000018E-2</v>
      </c>
      <c r="T38" s="20">
        <f t="shared" si="201"/>
        <v>-2.0000000000000018E-2</v>
      </c>
      <c r="U38" s="20">
        <f t="shared" si="201"/>
        <v>-2.0000000000000018E-2</v>
      </c>
    </row>
    <row r="39" spans="2:21" s="63" customFormat="1" x14ac:dyDescent="0.15">
      <c r="B39" s="63" t="s">
        <v>59</v>
      </c>
      <c r="C39" s="20"/>
      <c r="D39" s="20">
        <f>D22/C22-1</f>
        <v>2.9574334719927098E-2</v>
      </c>
      <c r="E39" s="20">
        <f t="shared" ref="E39:U39" si="202">E22/D22-1</f>
        <v>-5.0365286694709077E-3</v>
      </c>
      <c r="F39" s="20">
        <f t="shared" si="202"/>
        <v>-4.1386215720086827E-2</v>
      </c>
      <c r="G39" s="20">
        <f t="shared" si="202"/>
        <v>-1.1265595079208435E-2</v>
      </c>
      <c r="H39" s="20">
        <f t="shared" si="202"/>
        <v>-1.061078029868201E-2</v>
      </c>
      <c r="I39" s="20">
        <f t="shared" si="202"/>
        <v>-9.9567430766251963E-3</v>
      </c>
      <c r="J39" s="20">
        <f t="shared" si="202"/>
        <v>-9.3040144178425654E-3</v>
      </c>
      <c r="K39" s="20">
        <f t="shared" si="202"/>
        <v>-8.6531255584721967E-3</v>
      </c>
      <c r="L39" s="20">
        <f t="shared" si="202"/>
        <v>-4.5649566155088306E-2</v>
      </c>
      <c r="M39" s="20">
        <f t="shared" si="202"/>
        <v>-4.5532641871564028E-2</v>
      </c>
      <c r="N39" s="20">
        <f t="shared" si="202"/>
        <v>-4.5413137045931307E-2</v>
      </c>
      <c r="O39" s="20">
        <f t="shared" si="202"/>
        <v>-4.5291024976944705E-2</v>
      </c>
      <c r="P39" s="20">
        <f t="shared" si="202"/>
        <v>-4.5166280360480759E-2</v>
      </c>
      <c r="Q39" s="20">
        <f t="shared" si="202"/>
        <v>-4.5038879388845654E-2</v>
      </c>
      <c r="R39" s="20">
        <f t="shared" si="202"/>
        <v>-4.4908799851642422E-2</v>
      </c>
      <c r="S39" s="20">
        <f t="shared" si="202"/>
        <v>-4.4776021237955543E-2</v>
      </c>
      <c r="T39" s="20">
        <f t="shared" si="202"/>
        <v>-4.4640524839589579E-2</v>
      </c>
      <c r="U39" s="20">
        <f t="shared" si="202"/>
        <v>-4.4502293855074648E-2</v>
      </c>
    </row>
    <row r="40" spans="2:21" x14ac:dyDescent="0.1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15">
      <c r="B41" s="15" t="s">
        <v>22</v>
      </c>
      <c r="C41" s="22">
        <f>C42-C43</f>
        <v>8169</v>
      </c>
      <c r="D41" s="22">
        <f>D42-D43</f>
        <v>6642</v>
      </c>
      <c r="E41" s="22">
        <f>E42-E43</f>
        <v>-18340</v>
      </c>
      <c r="F41" s="22">
        <f>F42-F43</f>
        <v>-28540</v>
      </c>
      <c r="G41" s="17">
        <f t="shared" ref="G41:U41" si="203">F41+G27</f>
        <v>-16904.2602500256</v>
      </c>
      <c r="H41" s="17">
        <f t="shared" si="203"/>
        <v>-5010.5099315536008</v>
      </c>
      <c r="I41" s="17">
        <f t="shared" si="203"/>
        <v>7175.5582059239732</v>
      </c>
      <c r="J41" s="17">
        <f t="shared" si="203"/>
        <v>19686.683843945586</v>
      </c>
      <c r="K41" s="17">
        <f t="shared" si="203"/>
        <v>32554.225282335101</v>
      </c>
      <c r="L41" s="17">
        <f t="shared" si="203"/>
        <v>45747.234794555385</v>
      </c>
      <c r="M41" s="17">
        <f t="shared" si="203"/>
        <v>59251.242079192045</v>
      </c>
      <c r="N41" s="17">
        <f t="shared" si="203"/>
        <v>73052.824347944144</v>
      </c>
      <c r="O41" s="17">
        <f t="shared" si="203"/>
        <v>87139.553591029136</v>
      </c>
      <c r="P41" s="17">
        <f t="shared" si="203"/>
        <v>101499.94659055381</v>
      </c>
      <c r="Q41" s="17">
        <f t="shared" si="203"/>
        <v>116123.41754399695</v>
      </c>
      <c r="R41" s="17">
        <f t="shared" si="203"/>
        <v>131000.23316688184</v>
      </c>
      <c r="S41" s="17">
        <f t="shared" si="203"/>
        <v>146121.47015030126</v>
      </c>
      <c r="T41" s="17">
        <f t="shared" si="203"/>
        <v>161478.97485521348</v>
      </c>
      <c r="U41" s="17">
        <f t="shared" si="203"/>
        <v>177065.32513137005</v>
      </c>
    </row>
    <row r="42" spans="2:21" x14ac:dyDescent="0.15">
      <c r="B42" s="1" t="s">
        <v>23</v>
      </c>
      <c r="C42" s="16">
        <f>Reports!F36</f>
        <v>66078</v>
      </c>
      <c r="D42" s="16">
        <f>Reports!J36</f>
        <v>67261</v>
      </c>
      <c r="E42" s="16">
        <f>Reports!N36</f>
        <v>37827</v>
      </c>
      <c r="F42" s="16">
        <f>Reports!R36</f>
        <v>43057</v>
      </c>
    </row>
    <row r="43" spans="2:21" x14ac:dyDescent="0.15">
      <c r="B43" s="1" t="s">
        <v>24</v>
      </c>
      <c r="C43" s="16">
        <f>Reports!F37</f>
        <v>57909</v>
      </c>
      <c r="D43" s="16">
        <f>Reports!J37</f>
        <v>60619</v>
      </c>
      <c r="E43" s="16">
        <f>Reports!N37</f>
        <v>56167</v>
      </c>
      <c r="F43" s="16">
        <f>Reports!R37</f>
        <v>71597</v>
      </c>
    </row>
    <row r="45" spans="2:21" x14ac:dyDescent="0.15">
      <c r="B45" s="1" t="s">
        <v>44</v>
      </c>
      <c r="C45" s="16">
        <f>Reports!F39</f>
        <v>50724</v>
      </c>
      <c r="D45" s="16">
        <f>Reports!J39</f>
        <v>50425</v>
      </c>
      <c r="E45" s="16">
        <f>Reports!N39</f>
        <v>49058</v>
      </c>
      <c r="F45" s="16">
        <f>Reports!R39</f>
        <v>47507</v>
      </c>
    </row>
    <row r="46" spans="2:21" x14ac:dyDescent="0.15">
      <c r="B46" s="1" t="s">
        <v>45</v>
      </c>
      <c r="C46" s="16">
        <f>Reports!F40</f>
        <v>134991</v>
      </c>
      <c r="D46" s="16">
        <f>Reports!J40</f>
        <v>137851</v>
      </c>
      <c r="E46" s="16">
        <f>Reports!N40</f>
        <v>108709</v>
      </c>
      <c r="F46" s="16">
        <f>Reports!R40</f>
        <v>115438</v>
      </c>
    </row>
    <row r="47" spans="2:21" x14ac:dyDescent="0.15">
      <c r="B47" s="1" t="s">
        <v>46</v>
      </c>
      <c r="C47" s="16">
        <f>Reports!F41</f>
        <v>80424</v>
      </c>
      <c r="D47" s="16">
        <f>Reports!J41</f>
        <v>90978</v>
      </c>
      <c r="E47" s="16">
        <f>Reports!N41</f>
        <v>86346</v>
      </c>
      <c r="F47" s="16">
        <f>Reports!R41</f>
        <v>102721</v>
      </c>
    </row>
    <row r="49" spans="2:11" x14ac:dyDescent="0.15">
      <c r="B49" s="1" t="s">
        <v>47</v>
      </c>
      <c r="C49" s="24">
        <f>C46-C45-C42</f>
        <v>18189</v>
      </c>
      <c r="D49" s="24">
        <f>D46-D45-D42</f>
        <v>20165</v>
      </c>
      <c r="E49" s="24">
        <f>E46-E45-E42</f>
        <v>21824</v>
      </c>
      <c r="F49" s="24">
        <f>F46-F45-F42</f>
        <v>24874</v>
      </c>
    </row>
    <row r="50" spans="2:11" x14ac:dyDescent="0.15">
      <c r="B50" s="1" t="s">
        <v>48</v>
      </c>
      <c r="C50" s="24">
        <f>C46-C47</f>
        <v>54567</v>
      </c>
      <c r="D50" s="24">
        <f>D46-D47</f>
        <v>46873</v>
      </c>
      <c r="E50" s="24">
        <f>E46-E47</f>
        <v>22363</v>
      </c>
      <c r="F50" s="24">
        <f>F46-F47</f>
        <v>12717</v>
      </c>
    </row>
    <row r="52" spans="2:11" x14ac:dyDescent="0.15">
      <c r="B52" s="1" t="s">
        <v>49</v>
      </c>
      <c r="C52" s="14">
        <f>C27/C50</f>
        <v>0.17105576630564259</v>
      </c>
      <c r="D52" s="14">
        <f>D27/D50</f>
        <v>0.22410735682370087</v>
      </c>
      <c r="E52" s="14">
        <f>E27/E50</f>
        <v>0.49559540312122702</v>
      </c>
      <c r="F52" s="14">
        <f>F27/F50</f>
        <v>0.7969646929307227</v>
      </c>
    </row>
    <row r="53" spans="2:11" x14ac:dyDescent="0.15">
      <c r="B53" s="1" t="s">
        <v>50</v>
      </c>
      <c r="C53" s="14">
        <f>C27/C46</f>
        <v>6.9145350430769456E-2</v>
      </c>
      <c r="D53" s="14">
        <f>D27/D46</f>
        <v>7.6202451461341095E-2</v>
      </c>
      <c r="E53" s="14">
        <f>E27/E46</f>
        <v>0.10195108040732598</v>
      </c>
      <c r="F53" s="14">
        <f>F27/F46</f>
        <v>8.779604636254959E-2</v>
      </c>
    </row>
    <row r="54" spans="2:11" x14ac:dyDescent="0.15">
      <c r="B54" s="1" t="s">
        <v>51</v>
      </c>
      <c r="C54" s="14">
        <f>C27/(C50-C45)</f>
        <v>2.4288316419463962</v>
      </c>
      <c r="D54" s="14">
        <f>D27/(D50-D45)</f>
        <v>-2.9573716600217708</v>
      </c>
      <c r="E54" s="14">
        <f>E27/(E50-E45)</f>
        <v>-0.41517138040831614</v>
      </c>
      <c r="F54" s="14">
        <f>F27/(F50-F45)</f>
        <v>-0.29131934463926418</v>
      </c>
    </row>
    <row r="55" spans="2:11" x14ac:dyDescent="0.15">
      <c r="B55" s="1" t="s">
        <v>52</v>
      </c>
      <c r="C55" s="14">
        <f>C27/C49</f>
        <v>0.51316729891692781</v>
      </c>
      <c r="D55" s="14">
        <f>D27/D49</f>
        <v>0.52093152176530277</v>
      </c>
      <c r="E55" s="14">
        <f>E27/E49</f>
        <v>0.50783541055718473</v>
      </c>
      <c r="F55" s="14">
        <f>F27/F49</f>
        <v>0.40745356597250143</v>
      </c>
    </row>
    <row r="57" spans="2:11" x14ac:dyDescent="0.15">
      <c r="B57" s="69" t="s">
        <v>86</v>
      </c>
      <c r="D57" s="14">
        <f t="shared" ref="D57:E59" si="204">D11/C11-1</f>
        <v>0.10214285714285709</v>
      </c>
      <c r="E57" s="14">
        <f t="shared" si="204"/>
        <v>1.8146467919637033E-2</v>
      </c>
      <c r="F57" s="14">
        <f t="shared" ref="F57:K57" si="205">F11/E11-1</f>
        <v>2.5611262964765791E-2</v>
      </c>
      <c r="G57" s="14">
        <f t="shared" si="205"/>
        <v>2.6231243839217155E-2</v>
      </c>
      <c r="H57" s="14">
        <f t="shared" si="205"/>
        <v>2.0000000000000018E-2</v>
      </c>
      <c r="I57" s="14">
        <f t="shared" si="205"/>
        <v>2.0000000000000018E-2</v>
      </c>
      <c r="J57" s="14">
        <f t="shared" si="205"/>
        <v>2.0000000000000018E-2</v>
      </c>
      <c r="K57" s="14">
        <f t="shared" si="205"/>
        <v>2.0000000000000018E-2</v>
      </c>
    </row>
    <row r="58" spans="2:11" x14ac:dyDescent="0.15">
      <c r="B58" s="69" t="s">
        <v>87</v>
      </c>
      <c r="D58" s="14">
        <f t="shared" si="204"/>
        <v>-5.0023375409069648E-2</v>
      </c>
      <c r="E58" s="14">
        <f t="shared" si="204"/>
        <v>-3.953412073490814E-2</v>
      </c>
      <c r="F58" s="14">
        <f t="shared" ref="F58:K58" si="206">F12/E12-1</f>
        <v>-0.12416737830913749</v>
      </c>
      <c r="G58" s="14">
        <f t="shared" si="206"/>
        <v>-2.3303432137285474E-2</v>
      </c>
      <c r="H58" s="14">
        <f t="shared" si="206"/>
        <v>-5.0000000000000044E-2</v>
      </c>
      <c r="I58" s="14">
        <f t="shared" si="206"/>
        <v>-5.0000000000000044E-2</v>
      </c>
      <c r="J58" s="14">
        <f t="shared" si="206"/>
        <v>-5.0000000000000044E-2</v>
      </c>
      <c r="K58" s="14">
        <f t="shared" si="206"/>
        <v>-5.0000000000000044E-2</v>
      </c>
    </row>
    <row r="59" spans="2:11" x14ac:dyDescent="0.15">
      <c r="B59" s="69" t="s">
        <v>58</v>
      </c>
      <c r="C59" s="14"/>
      <c r="D59" s="14">
        <f t="shared" si="204"/>
        <v>-3.8294797687861259E-2</v>
      </c>
      <c r="E59" s="14">
        <f t="shared" si="204"/>
        <v>-7.2376659153518652E-2</v>
      </c>
      <c r="F59" s="14">
        <f t="shared" ref="F59:K59" si="207">F13/E13-1</f>
        <v>-7.0194384449244085E-2</v>
      </c>
      <c r="G59" s="14">
        <f t="shared" si="207"/>
        <v>-3.3652729384436753E-2</v>
      </c>
      <c r="H59" s="14">
        <f t="shared" si="207"/>
        <v>-5.0000000000000044E-2</v>
      </c>
      <c r="I59" s="14">
        <f t="shared" si="207"/>
        <v>-5.0000000000000044E-2</v>
      </c>
      <c r="J59" s="14">
        <f t="shared" si="207"/>
        <v>-5.0000000000000044E-2</v>
      </c>
      <c r="K59" s="14">
        <f t="shared" si="207"/>
        <v>-5.0000000000000044E-2</v>
      </c>
    </row>
    <row r="60" spans="2:11" x14ac:dyDescent="0.15">
      <c r="B60" s="69" t="s">
        <v>88</v>
      </c>
      <c r="C60" s="14"/>
      <c r="D60" s="14"/>
      <c r="E60" s="14">
        <f>E14/D14-1</f>
        <v>-4.5949926362297444E-2</v>
      </c>
      <c r="F60" s="14">
        <f t="shared" ref="F60:K60" si="208">F14/E14-1</f>
        <v>-4.1370793454770016E-2</v>
      </c>
      <c r="G60" s="14">
        <f t="shared" si="208"/>
        <v>-8.737520128824483E-2</v>
      </c>
      <c r="H60" s="14">
        <f t="shared" si="208"/>
        <v>-9.9999999999999978E-2</v>
      </c>
      <c r="I60" s="14">
        <f t="shared" si="208"/>
        <v>-9.9999999999999978E-2</v>
      </c>
      <c r="J60" s="14">
        <f t="shared" si="208"/>
        <v>-9.9999999999999978E-2</v>
      </c>
      <c r="K60" s="14">
        <f t="shared" si="208"/>
        <v>-9.9999999999999978E-2</v>
      </c>
    </row>
  </sheetData>
  <hyperlinks>
    <hyperlink ref="A1" r:id="rId1" display="Investor Relations" xr:uid="{00000000-0004-0000-0000-000005000000}"/>
    <hyperlink ref="B5" r:id="rId2" xr:uid="{77513507-6C55-1448-87DF-485D90E50877}"/>
    <hyperlink ref="B8" r:id="rId3" xr:uid="{E60AFAFE-1041-9646-B883-EC9D2C4B96A5}"/>
    <hyperlink ref="B9" r:id="rId4" xr:uid="{05C01668-AA3F-834F-9348-ECD64E5AB12E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3"/>
  <sheetViews>
    <sheetView tabSelected="1" zoomScale="130" zoomScaleNormal="130" workbookViewId="0">
      <pane xSplit="2" ySplit="3" topLeftCell="M4" activePane="bottomRight" state="frozen"/>
      <selection pane="topRight" activeCell="B1" sqref="B1"/>
      <selection pane="bottomLeft" activeCell="A3" sqref="A3"/>
      <selection pane="bottomRight" activeCell="P34" sqref="P34"/>
    </sheetView>
  </sheetViews>
  <sheetFormatPr baseColWidth="10" defaultRowHeight="13" x14ac:dyDescent="0.15"/>
  <cols>
    <col min="1" max="1" width="7.1640625" style="30" bestFit="1" customWidth="1"/>
    <col min="2" max="2" width="24.5" style="30" customWidth="1"/>
    <col min="3" max="3" width="10.83203125" style="26"/>
    <col min="4" max="6" width="10.83203125" style="25"/>
    <col min="7" max="7" width="10.83203125" style="26"/>
    <col min="8" max="9" width="10.83203125" style="25"/>
    <col min="10" max="10" width="10.83203125" style="32"/>
    <col min="11" max="11" width="10.83203125" style="26"/>
    <col min="12" max="14" width="10.83203125" style="25"/>
    <col min="15" max="15" width="10.83203125" style="26"/>
    <col min="16" max="18" width="10.83203125" style="25"/>
    <col min="19" max="19" width="10.83203125" style="26"/>
    <col min="20" max="16384" width="10.83203125" style="25"/>
  </cols>
  <sheetData>
    <row r="1" spans="1:22" x14ac:dyDescent="0.15">
      <c r="A1" s="76" t="s">
        <v>37</v>
      </c>
    </row>
    <row r="2" spans="1:22" x14ac:dyDescent="0.15">
      <c r="C2" s="27" t="s">
        <v>0</v>
      </c>
      <c r="D2" s="28" t="s">
        <v>1</v>
      </c>
      <c r="E2" s="28" t="s">
        <v>2</v>
      </c>
      <c r="F2" s="28" t="s">
        <v>3</v>
      </c>
      <c r="G2" s="27" t="s">
        <v>30</v>
      </c>
      <c r="H2" s="28" t="s">
        <v>31</v>
      </c>
      <c r="I2" s="28" t="s">
        <v>32</v>
      </c>
      <c r="J2" s="29" t="s">
        <v>33</v>
      </c>
      <c r="K2" s="27" t="s">
        <v>53</v>
      </c>
      <c r="L2" s="28" t="s">
        <v>54</v>
      </c>
      <c r="M2" s="28" t="s">
        <v>55</v>
      </c>
      <c r="N2" s="29" t="s">
        <v>56</v>
      </c>
      <c r="O2" s="64" t="s">
        <v>69</v>
      </c>
      <c r="P2" s="68" t="s">
        <v>70</v>
      </c>
      <c r="Q2" s="68" t="s">
        <v>71</v>
      </c>
      <c r="R2" s="68" t="s">
        <v>72</v>
      </c>
      <c r="S2" s="64" t="s">
        <v>82</v>
      </c>
      <c r="T2" s="68" t="s">
        <v>83</v>
      </c>
      <c r="U2" s="68" t="s">
        <v>84</v>
      </c>
      <c r="V2" s="68" t="s">
        <v>85</v>
      </c>
    </row>
    <row r="3" spans="1:22" x14ac:dyDescent="0.15">
      <c r="B3" s="31"/>
      <c r="C3" s="79">
        <v>42613</v>
      </c>
      <c r="D3" s="78">
        <v>42704</v>
      </c>
      <c r="E3" s="78">
        <v>42794</v>
      </c>
      <c r="F3" s="78">
        <v>42886</v>
      </c>
      <c r="G3" s="79">
        <v>42978</v>
      </c>
      <c r="H3" s="78">
        <v>43069</v>
      </c>
      <c r="I3" s="78">
        <v>43159</v>
      </c>
      <c r="J3" s="77">
        <v>43251</v>
      </c>
      <c r="K3" s="79">
        <v>43343</v>
      </c>
      <c r="L3" s="78">
        <v>43434</v>
      </c>
      <c r="M3" s="78">
        <v>43524</v>
      </c>
      <c r="N3" s="77">
        <v>43616</v>
      </c>
      <c r="O3" s="79">
        <v>43708</v>
      </c>
      <c r="P3" s="78">
        <v>43799</v>
      </c>
      <c r="Q3" s="78">
        <v>43890</v>
      </c>
      <c r="R3" s="78">
        <v>43982</v>
      </c>
      <c r="S3" s="79">
        <v>44074</v>
      </c>
      <c r="T3" s="78">
        <v>44165</v>
      </c>
    </row>
    <row r="4" spans="1:22" s="28" customFormat="1" x14ac:dyDescent="0.15">
      <c r="A4" s="33"/>
      <c r="B4" s="69" t="s">
        <v>79</v>
      </c>
      <c r="C4" s="27">
        <f>969+4792</f>
        <v>5761</v>
      </c>
      <c r="D4" s="34">
        <f>1053+4777</f>
        <v>5830</v>
      </c>
      <c r="E4" s="34">
        <f>1189+4762</f>
        <v>5951</v>
      </c>
      <c r="F4" s="34">
        <v>6258</v>
      </c>
      <c r="G4" s="27">
        <v>6407</v>
      </c>
      <c r="H4" s="34">
        <v>6461</v>
      </c>
      <c r="I4" s="34">
        <f>1566+5027</f>
        <v>6593</v>
      </c>
      <c r="J4" s="35">
        <v>6770</v>
      </c>
      <c r="K4" s="27">
        <v>6609</v>
      </c>
      <c r="L4" s="34">
        <v>6637</v>
      </c>
      <c r="M4" s="34">
        <v>6662</v>
      </c>
      <c r="N4" s="34">
        <v>6799</v>
      </c>
      <c r="O4" s="27">
        <v>6805</v>
      </c>
      <c r="P4" s="28">
        <v>6811</v>
      </c>
      <c r="Q4" s="28">
        <v>6930</v>
      </c>
      <c r="R4" s="28">
        <v>6845</v>
      </c>
      <c r="S4" s="27">
        <v>6947</v>
      </c>
      <c r="T4" s="28">
        <v>7112</v>
      </c>
      <c r="U4" s="28">
        <f>Q4*1.02</f>
        <v>7068.6</v>
      </c>
      <c r="V4" s="28">
        <f t="shared" ref="V4" si="0">R4*1.02</f>
        <v>6981.9000000000005</v>
      </c>
    </row>
    <row r="5" spans="1:22" s="28" customFormat="1" x14ac:dyDescent="0.15">
      <c r="A5" s="33"/>
      <c r="B5" s="69" t="s">
        <v>80</v>
      </c>
      <c r="C5" s="27">
        <v>1030</v>
      </c>
      <c r="D5" s="34">
        <v>1347</v>
      </c>
      <c r="E5" s="34">
        <v>1414</v>
      </c>
      <c r="F5" s="34">
        <v>2626</v>
      </c>
      <c r="G5" s="27">
        <v>894</v>
      </c>
      <c r="H5" s="34">
        <v>1331</v>
      </c>
      <c r="I5" s="34">
        <v>1388</v>
      </c>
      <c r="J5" s="35">
        <v>2483</v>
      </c>
      <c r="K5" s="27">
        <v>867</v>
      </c>
      <c r="L5" s="34">
        <v>1217</v>
      </c>
      <c r="M5" s="34">
        <v>1251</v>
      </c>
      <c r="N5" s="34">
        <v>2520</v>
      </c>
      <c r="O5" s="27">
        <v>812</v>
      </c>
      <c r="P5" s="28">
        <v>1126</v>
      </c>
      <c r="Q5" s="28">
        <v>1231</v>
      </c>
      <c r="R5" s="28">
        <v>1959</v>
      </c>
      <c r="S5" s="27">
        <v>886</v>
      </c>
      <c r="T5" s="28">
        <v>1092</v>
      </c>
      <c r="U5" s="28">
        <f>Q5*0.95</f>
        <v>1169.45</v>
      </c>
      <c r="V5" s="28">
        <f t="shared" ref="V5:V6" si="1">R5*0.95</f>
        <v>1861.05</v>
      </c>
    </row>
    <row r="6" spans="1:22" s="28" customFormat="1" x14ac:dyDescent="0.15">
      <c r="A6" s="33"/>
      <c r="B6" s="69" t="s">
        <v>57</v>
      </c>
      <c r="C6" s="27">
        <v>996</v>
      </c>
      <c r="D6" s="34">
        <v>1014</v>
      </c>
      <c r="E6" s="34">
        <v>1028</v>
      </c>
      <c r="F6" s="34">
        <v>1114</v>
      </c>
      <c r="G6" s="27">
        <v>943</v>
      </c>
      <c r="H6" s="34">
        <v>941</v>
      </c>
      <c r="I6" s="34">
        <v>994</v>
      </c>
      <c r="J6" s="35">
        <v>1115</v>
      </c>
      <c r="K6" s="27">
        <v>904</v>
      </c>
      <c r="L6" s="34">
        <v>891</v>
      </c>
      <c r="M6" s="34">
        <v>915</v>
      </c>
      <c r="N6" s="34">
        <v>994</v>
      </c>
      <c r="O6" s="27">
        <v>815</v>
      </c>
      <c r="P6" s="28">
        <v>871</v>
      </c>
      <c r="Q6" s="28">
        <v>857</v>
      </c>
      <c r="R6" s="28">
        <v>901</v>
      </c>
      <c r="S6" s="27">
        <v>814</v>
      </c>
      <c r="T6" s="28">
        <v>844</v>
      </c>
      <c r="U6" s="28">
        <f>Q6*0.95</f>
        <v>814.15</v>
      </c>
      <c r="V6" s="28">
        <f t="shared" si="1"/>
        <v>855.94999999999993</v>
      </c>
    </row>
    <row r="7" spans="1:22" s="28" customFormat="1" x14ac:dyDescent="0.15">
      <c r="A7" s="33"/>
      <c r="B7" s="69" t="s">
        <v>81</v>
      </c>
      <c r="C7" s="27">
        <v>808</v>
      </c>
      <c r="D7" s="34">
        <v>844</v>
      </c>
      <c r="E7" s="34">
        <v>812</v>
      </c>
      <c r="F7" s="34">
        <v>894</v>
      </c>
      <c r="G7" s="27">
        <v>860</v>
      </c>
      <c r="H7" s="34">
        <v>856</v>
      </c>
      <c r="I7" s="34">
        <v>796</v>
      </c>
      <c r="J7" s="35">
        <v>883</v>
      </c>
      <c r="K7" s="27">
        <v>813</v>
      </c>
      <c r="L7" s="34">
        <v>817</v>
      </c>
      <c r="M7" s="34">
        <v>786</v>
      </c>
      <c r="N7" s="34">
        <v>823</v>
      </c>
      <c r="O7" s="27">
        <v>786</v>
      </c>
      <c r="P7" s="28">
        <v>806</v>
      </c>
      <c r="Q7" s="28">
        <v>778</v>
      </c>
      <c r="R7" s="28">
        <v>735</v>
      </c>
      <c r="S7" s="27">
        <v>720</v>
      </c>
      <c r="T7" s="28">
        <v>752</v>
      </c>
      <c r="U7" s="28">
        <f>Q7*0.9</f>
        <v>700.2</v>
      </c>
      <c r="V7" s="28">
        <f t="shared" ref="V7" si="2">R7*0.9</f>
        <v>661.5</v>
      </c>
    </row>
    <row r="8" spans="1:22" s="85" customFormat="1" x14ac:dyDescent="0.15">
      <c r="A8" s="69"/>
      <c r="B8" s="69"/>
      <c r="C8" s="70"/>
      <c r="D8" s="71"/>
      <c r="E8" s="71"/>
      <c r="F8" s="71"/>
      <c r="G8" s="70"/>
      <c r="H8" s="71"/>
      <c r="I8" s="71"/>
      <c r="J8" s="68"/>
      <c r="K8" s="70"/>
      <c r="L8" s="71"/>
      <c r="M8" s="71"/>
      <c r="N8" s="71"/>
      <c r="O8" s="70"/>
      <c r="S8" s="70"/>
    </row>
    <row r="9" spans="1:22" s="86" customFormat="1" x14ac:dyDescent="0.15">
      <c r="A9" s="73"/>
      <c r="B9" s="73" t="s">
        <v>4</v>
      </c>
      <c r="C9" s="74">
        <f t="shared" ref="C9:Q9" si="3">SUM(C4:C7)</f>
        <v>8595</v>
      </c>
      <c r="D9" s="75">
        <f t="shared" si="3"/>
        <v>9035</v>
      </c>
      <c r="E9" s="75">
        <f t="shared" si="3"/>
        <v>9205</v>
      </c>
      <c r="F9" s="75">
        <f t="shared" si="3"/>
        <v>10892</v>
      </c>
      <c r="G9" s="74">
        <f t="shared" si="3"/>
        <v>9104</v>
      </c>
      <c r="H9" s="75">
        <f t="shared" si="3"/>
        <v>9589</v>
      </c>
      <c r="I9" s="75">
        <f t="shared" si="3"/>
        <v>9771</v>
      </c>
      <c r="J9" s="75">
        <f t="shared" si="3"/>
        <v>11251</v>
      </c>
      <c r="K9" s="74">
        <f t="shared" si="3"/>
        <v>9193</v>
      </c>
      <c r="L9" s="75">
        <f t="shared" si="3"/>
        <v>9562</v>
      </c>
      <c r="M9" s="75">
        <f t="shared" si="3"/>
        <v>9614</v>
      </c>
      <c r="N9" s="75">
        <f t="shared" si="3"/>
        <v>11136</v>
      </c>
      <c r="O9" s="74">
        <f t="shared" si="3"/>
        <v>9218</v>
      </c>
      <c r="P9" s="75">
        <f>SUM(P4:P7)</f>
        <v>9614</v>
      </c>
      <c r="Q9" s="75">
        <f t="shared" si="3"/>
        <v>9796</v>
      </c>
      <c r="R9" s="75">
        <f>SUM(R4:R7)</f>
        <v>10440</v>
      </c>
      <c r="S9" s="74">
        <f>SUM(S4:S7)</f>
        <v>9367</v>
      </c>
      <c r="T9" s="75">
        <f>SUM(T4:T7)</f>
        <v>9800</v>
      </c>
      <c r="U9" s="75">
        <f>SUM(U4:U7)</f>
        <v>9752.4000000000015</v>
      </c>
      <c r="V9" s="75">
        <f>SUM(V4:V7)</f>
        <v>10360.400000000001</v>
      </c>
    </row>
    <row r="10" spans="1:22" s="28" customFormat="1" x14ac:dyDescent="0.15">
      <c r="A10" s="33"/>
      <c r="B10" s="33" t="s">
        <v>5</v>
      </c>
      <c r="C10" s="27">
        <f>283+132+275+391+695</f>
        <v>1776</v>
      </c>
      <c r="D10" s="34">
        <f>316+156+242+386+697</f>
        <v>1797</v>
      </c>
      <c r="E10" s="34">
        <f>330+175+270+437+680</f>
        <v>1892</v>
      </c>
      <c r="F10" s="34">
        <f>835+440+728</f>
        <v>2003</v>
      </c>
      <c r="G10" s="27">
        <f>857+372+699</f>
        <v>1928</v>
      </c>
      <c r="H10" s="34">
        <f>893+350+717</f>
        <v>1960</v>
      </c>
      <c r="I10" s="34">
        <f>398+275+223+394+712</f>
        <v>2002</v>
      </c>
      <c r="J10" s="35">
        <f>962+462+755</f>
        <v>2179</v>
      </c>
      <c r="K10" s="27">
        <f>913+326+714</f>
        <v>1953</v>
      </c>
      <c r="L10" s="34">
        <f>956+332+713</f>
        <v>2001</v>
      </c>
      <c r="M10" s="34">
        <f>937+339+700</f>
        <v>1976</v>
      </c>
      <c r="N10" s="34">
        <f>975+362+726</f>
        <v>2063</v>
      </c>
      <c r="O10" s="27">
        <f>982+272+703</f>
        <v>1957</v>
      </c>
      <c r="P10" s="28">
        <f>1022+285+741</f>
        <v>2048</v>
      </c>
      <c r="Q10" s="28">
        <f>991+271+702</f>
        <v>1964</v>
      </c>
      <c r="R10" s="85">
        <f>1012+288+669</f>
        <v>1969</v>
      </c>
      <c r="S10" s="27">
        <f>1011+246+623</f>
        <v>1880</v>
      </c>
      <c r="T10" s="28">
        <f>1064+244+631</f>
        <v>1939</v>
      </c>
      <c r="U10" s="28">
        <f>U9-U11</f>
        <v>1955.2586361780322</v>
      </c>
      <c r="V10" s="28">
        <f>V9-V11</f>
        <v>1953.9873180076629</v>
      </c>
    </row>
    <row r="11" spans="1:22" s="28" customFormat="1" x14ac:dyDescent="0.15">
      <c r="A11" s="33"/>
      <c r="B11" s="33" t="s">
        <v>6</v>
      </c>
      <c r="C11" s="40">
        <f t="shared" ref="C11:E11" si="4">C9-C10</f>
        <v>6819</v>
      </c>
      <c r="D11" s="39">
        <f t="shared" si="4"/>
        <v>7238</v>
      </c>
      <c r="E11" s="39">
        <f t="shared" si="4"/>
        <v>7313</v>
      </c>
      <c r="F11" s="39">
        <f t="shared" ref="F11:H11" si="5">F9-F10</f>
        <v>8889</v>
      </c>
      <c r="G11" s="40">
        <f t="shared" ref="G11" si="6">G9-G10</f>
        <v>7176</v>
      </c>
      <c r="H11" s="39">
        <f t="shared" si="5"/>
        <v>7629</v>
      </c>
      <c r="I11" s="39">
        <f t="shared" ref="I11:Q11" si="7">I9-I10</f>
        <v>7769</v>
      </c>
      <c r="J11" s="39">
        <f t="shared" si="7"/>
        <v>9072</v>
      </c>
      <c r="K11" s="40">
        <f t="shared" si="7"/>
        <v>7240</v>
      </c>
      <c r="L11" s="39">
        <f t="shared" si="7"/>
        <v>7561</v>
      </c>
      <c r="M11" s="39">
        <f t="shared" si="7"/>
        <v>7638</v>
      </c>
      <c r="N11" s="39">
        <f t="shared" si="7"/>
        <v>9073</v>
      </c>
      <c r="O11" s="40">
        <f t="shared" si="7"/>
        <v>7261</v>
      </c>
      <c r="P11" s="39">
        <f t="shared" si="7"/>
        <v>7566</v>
      </c>
      <c r="Q11" s="39">
        <f t="shared" si="7"/>
        <v>7832</v>
      </c>
      <c r="R11" s="39">
        <f t="shared" ref="R11:T11" si="8">R9-R10</f>
        <v>8471</v>
      </c>
      <c r="S11" s="40">
        <f t="shared" si="8"/>
        <v>7487</v>
      </c>
      <c r="T11" s="39">
        <f t="shared" si="8"/>
        <v>7861</v>
      </c>
      <c r="U11" s="28">
        <f>U9*Q25</f>
        <v>7797.1413638219692</v>
      </c>
      <c r="V11" s="28">
        <f>V9*R25</f>
        <v>8406.4126819923385</v>
      </c>
    </row>
    <row r="12" spans="1:22" s="28" customFormat="1" x14ac:dyDescent="0.15">
      <c r="A12" s="33"/>
      <c r="B12" s="33" t="s">
        <v>7</v>
      </c>
      <c r="C12" s="27">
        <v>1520</v>
      </c>
      <c r="D12" s="34">
        <v>1510</v>
      </c>
      <c r="E12" s="34">
        <v>1521</v>
      </c>
      <c r="F12" s="34">
        <v>1609</v>
      </c>
      <c r="G12" s="27">
        <v>1572</v>
      </c>
      <c r="H12" s="34">
        <v>1473</v>
      </c>
      <c r="I12" s="34">
        <v>1498</v>
      </c>
      <c r="J12" s="35">
        <v>1544</v>
      </c>
      <c r="K12" s="27">
        <v>1564</v>
      </c>
      <c r="L12" s="34">
        <v>1475</v>
      </c>
      <c r="M12" s="34">
        <v>1426</v>
      </c>
      <c r="N12" s="34">
        <v>1562</v>
      </c>
      <c r="O12" s="27">
        <v>1557</v>
      </c>
      <c r="P12" s="28">
        <v>1531</v>
      </c>
      <c r="Q12" s="28">
        <v>1500</v>
      </c>
      <c r="R12" s="85">
        <v>1479</v>
      </c>
      <c r="S12" s="27">
        <v>1589</v>
      </c>
      <c r="T12" s="28">
        <v>1601</v>
      </c>
      <c r="U12" s="28">
        <f>Q12*1.05</f>
        <v>1575</v>
      </c>
      <c r="V12" s="28">
        <f t="shared" ref="V12" si="9">R12*1.05</f>
        <v>1552.95</v>
      </c>
    </row>
    <row r="13" spans="1:22" s="28" customFormat="1" x14ac:dyDescent="0.15">
      <c r="A13" s="33"/>
      <c r="B13" s="33" t="s">
        <v>8</v>
      </c>
      <c r="C13" s="27">
        <v>1919</v>
      </c>
      <c r="D13" s="34">
        <v>1960</v>
      </c>
      <c r="E13" s="34">
        <v>2004</v>
      </c>
      <c r="F13" s="34">
        <v>2313</v>
      </c>
      <c r="G13" s="27">
        <v>1989</v>
      </c>
      <c r="H13" s="34">
        <v>2088</v>
      </c>
      <c r="I13" s="34">
        <v>2033</v>
      </c>
      <c r="J13" s="35">
        <v>2324</v>
      </c>
      <c r="K13" s="27">
        <v>2039</v>
      </c>
      <c r="L13" s="34">
        <v>2101</v>
      </c>
      <c r="M13" s="34">
        <v>2051</v>
      </c>
      <c r="N13" s="34">
        <v>2318</v>
      </c>
      <c r="O13" s="27">
        <v>2018</v>
      </c>
      <c r="P13" s="28">
        <v>2068</v>
      </c>
      <c r="Q13" s="28">
        <v>2049</v>
      </c>
      <c r="R13" s="85">
        <v>1959</v>
      </c>
      <c r="S13" s="27">
        <v>1854</v>
      </c>
      <c r="T13" s="28">
        <v>1836</v>
      </c>
      <c r="U13" s="28">
        <f>Q13*0.9</f>
        <v>1844.1000000000001</v>
      </c>
      <c r="V13" s="28">
        <f>R13*0.9</f>
        <v>1763.1000000000001</v>
      </c>
    </row>
    <row r="14" spans="1:22" s="28" customFormat="1" x14ac:dyDescent="0.15">
      <c r="A14" s="33"/>
      <c r="B14" s="33" t="s">
        <v>9</v>
      </c>
      <c r="C14" s="27">
        <f>315+311+14+99</f>
        <v>739</v>
      </c>
      <c r="D14" s="34">
        <f>303+302+40+86</f>
        <v>731</v>
      </c>
      <c r="E14" s="34">
        <f>241+397+30+161</f>
        <v>829</v>
      </c>
      <c r="F14" s="34">
        <f>317+441+18+118</f>
        <v>894</v>
      </c>
      <c r="G14" s="27">
        <f>319+411+12+124</f>
        <v>866</v>
      </c>
      <c r="H14" s="34">
        <f>320+400+17+292</f>
        <v>1029</v>
      </c>
      <c r="I14" s="34">
        <f>340+394+3+91</f>
        <v>828</v>
      </c>
      <c r="J14" s="35">
        <f>308+415+20+81</f>
        <v>824</v>
      </c>
      <c r="K14" s="27">
        <f>321+434+14+90</f>
        <v>859</v>
      </c>
      <c r="L14" s="34">
        <f>299+424+18+143</f>
        <v>884</v>
      </c>
      <c r="M14" s="34">
        <f>316+407-4+43</f>
        <v>762</v>
      </c>
      <c r="N14" s="34">
        <f>329+424+15+168</f>
        <v>936</v>
      </c>
      <c r="O14" s="27">
        <f>292+414+25+78</f>
        <v>809</v>
      </c>
      <c r="P14" s="28">
        <f>323+407+12+42</f>
        <v>784</v>
      </c>
      <c r="Q14" s="28">
        <f>288+400+7+60</f>
        <v>755</v>
      </c>
      <c r="R14" s="85">
        <f>278+366+11+69</f>
        <v>724</v>
      </c>
      <c r="S14" s="27">
        <f>295+345+19+174</f>
        <v>833</v>
      </c>
      <c r="T14" s="28">
        <f>324+345+76+96</f>
        <v>841</v>
      </c>
      <c r="U14" s="28">
        <f>Q14*0.95</f>
        <v>717.25</v>
      </c>
      <c r="V14" s="28">
        <f t="shared" ref="V14" si="10">R14*0.95</f>
        <v>687.8</v>
      </c>
    </row>
    <row r="15" spans="1:22" s="28" customFormat="1" x14ac:dyDescent="0.15">
      <c r="A15" s="33"/>
      <c r="B15" s="33" t="s">
        <v>10</v>
      </c>
      <c r="C15" s="40">
        <f t="shared" ref="C15:E15" si="11">SUM(C12:C14)</f>
        <v>4178</v>
      </c>
      <c r="D15" s="39">
        <f t="shared" si="11"/>
        <v>4201</v>
      </c>
      <c r="E15" s="39">
        <f t="shared" si="11"/>
        <v>4354</v>
      </c>
      <c r="F15" s="39">
        <f t="shared" ref="F15:H15" si="12">SUM(F12:F14)</f>
        <v>4816</v>
      </c>
      <c r="G15" s="40">
        <f t="shared" ref="G15" si="13">SUM(G12:G14)</f>
        <v>4427</v>
      </c>
      <c r="H15" s="39">
        <f t="shared" si="12"/>
        <v>4590</v>
      </c>
      <c r="I15" s="39">
        <f t="shared" ref="I15:M15" si="14">SUM(I12:I14)</f>
        <v>4359</v>
      </c>
      <c r="J15" s="39">
        <f t="shared" si="14"/>
        <v>4692</v>
      </c>
      <c r="K15" s="40">
        <f t="shared" si="14"/>
        <v>4462</v>
      </c>
      <c r="L15" s="39">
        <f t="shared" si="14"/>
        <v>4460</v>
      </c>
      <c r="M15" s="39">
        <f t="shared" si="14"/>
        <v>4239</v>
      </c>
      <c r="N15" s="39">
        <f t="shared" ref="N15:O15" si="15">SUM(N12:N14)</f>
        <v>4816</v>
      </c>
      <c r="O15" s="40">
        <f t="shared" si="15"/>
        <v>4384</v>
      </c>
      <c r="P15" s="39">
        <f t="shared" ref="P15:R15" si="16">SUM(P12:P14)</f>
        <v>4383</v>
      </c>
      <c r="Q15" s="39">
        <f t="shared" si="16"/>
        <v>4304</v>
      </c>
      <c r="R15" s="39">
        <f t="shared" si="16"/>
        <v>4162</v>
      </c>
      <c r="S15" s="40">
        <f t="shared" ref="S15:T15" si="17">SUM(S12:S14)</f>
        <v>4276</v>
      </c>
      <c r="T15" s="39">
        <f t="shared" si="17"/>
        <v>4278</v>
      </c>
      <c r="U15" s="39">
        <f t="shared" ref="U15:V15" si="18">SUM(U12:U14)</f>
        <v>4136.3500000000004</v>
      </c>
      <c r="V15" s="39">
        <f t="shared" si="18"/>
        <v>4003.8500000000004</v>
      </c>
    </row>
    <row r="16" spans="1:22" s="28" customFormat="1" x14ac:dyDescent="0.15">
      <c r="A16" s="33"/>
      <c r="B16" s="33" t="s">
        <v>11</v>
      </c>
      <c r="C16" s="40">
        <f t="shared" ref="C16:I16" si="19">C11-C15</f>
        <v>2641</v>
      </c>
      <c r="D16" s="39">
        <f t="shared" si="19"/>
        <v>3037</v>
      </c>
      <c r="E16" s="39">
        <f t="shared" si="19"/>
        <v>2959</v>
      </c>
      <c r="F16" s="39">
        <f t="shared" ref="F16" si="20">F11-F15</f>
        <v>4073</v>
      </c>
      <c r="G16" s="40">
        <f t="shared" si="19"/>
        <v>2749</v>
      </c>
      <c r="H16" s="39">
        <f t="shared" si="19"/>
        <v>3039</v>
      </c>
      <c r="I16" s="39">
        <f t="shared" si="19"/>
        <v>3410</v>
      </c>
      <c r="J16" s="39">
        <f>J11-J15</f>
        <v>4380</v>
      </c>
      <c r="K16" s="40">
        <f t="shared" ref="K16" si="21">K11-K15</f>
        <v>2778</v>
      </c>
      <c r="L16" s="39">
        <f t="shared" ref="L16:M16" si="22">L11-L15</f>
        <v>3101</v>
      </c>
      <c r="M16" s="39">
        <f t="shared" si="22"/>
        <v>3399</v>
      </c>
      <c r="N16" s="39">
        <f t="shared" ref="N16:O16" si="23">N11-N15</f>
        <v>4257</v>
      </c>
      <c r="O16" s="40">
        <f t="shared" si="23"/>
        <v>2877</v>
      </c>
      <c r="P16" s="39">
        <f t="shared" ref="P16:R16" si="24">P11-P15</f>
        <v>3183</v>
      </c>
      <c r="Q16" s="39">
        <f t="shared" si="24"/>
        <v>3528</v>
      </c>
      <c r="R16" s="39">
        <f t="shared" si="24"/>
        <v>4309</v>
      </c>
      <c r="S16" s="40">
        <f t="shared" ref="S16:T16" si="25">S11-S15</f>
        <v>3211</v>
      </c>
      <c r="T16" s="39">
        <f t="shared" si="25"/>
        <v>3583</v>
      </c>
      <c r="U16" s="39">
        <f t="shared" ref="U16:V16" si="26">U11-U15</f>
        <v>3660.7913638219688</v>
      </c>
      <c r="V16" s="39">
        <f t="shared" si="26"/>
        <v>4402.5626819923382</v>
      </c>
    </row>
    <row r="17" spans="1:22" s="28" customFormat="1" x14ac:dyDescent="0.15">
      <c r="A17" s="33"/>
      <c r="B17" s="33" t="s">
        <v>12</v>
      </c>
      <c r="C17" s="27">
        <f>-416+148</f>
        <v>-268</v>
      </c>
      <c r="D17" s="34">
        <f>-451+99</f>
        <v>-352</v>
      </c>
      <c r="E17" s="34">
        <f>-450+189</f>
        <v>-261</v>
      </c>
      <c r="F17" s="34">
        <f>-481+168</f>
        <v>-313</v>
      </c>
      <c r="G17" s="27">
        <f>-469+220</f>
        <v>-249</v>
      </c>
      <c r="H17" s="34">
        <f>-475+262</f>
        <v>-213</v>
      </c>
      <c r="I17" s="34">
        <f>-533+423</f>
        <v>-110</v>
      </c>
      <c r="J17" s="35">
        <f>-547+308</f>
        <v>-239</v>
      </c>
      <c r="K17" s="27">
        <f>-529+291</f>
        <v>-238</v>
      </c>
      <c r="L17" s="34">
        <f>-519+192</f>
        <v>-327</v>
      </c>
      <c r="M17" s="34">
        <f>-509+198</f>
        <v>-311</v>
      </c>
      <c r="N17" s="34">
        <f>-525+134</f>
        <v>-391</v>
      </c>
      <c r="O17" s="27">
        <f>-494+99</f>
        <v>-395</v>
      </c>
      <c r="P17" s="28">
        <f>-465+92</f>
        <v>-373</v>
      </c>
      <c r="Q17" s="28">
        <f>-456+4</f>
        <v>-452</v>
      </c>
      <c r="R17" s="85">
        <f>-580-33</f>
        <v>-613</v>
      </c>
      <c r="S17" s="27">
        <f>-614-2</f>
        <v>-616</v>
      </c>
      <c r="T17" s="28">
        <f>-600-11</f>
        <v>-611</v>
      </c>
      <c r="U17" s="28">
        <f>T17</f>
        <v>-611</v>
      </c>
      <c r="V17" s="28">
        <f>U17</f>
        <v>-611</v>
      </c>
    </row>
    <row r="18" spans="1:22" s="28" customFormat="1" x14ac:dyDescent="0.15">
      <c r="A18" s="33"/>
      <c r="B18" s="33" t="s">
        <v>13</v>
      </c>
      <c r="C18" s="40">
        <f>C16+C17</f>
        <v>2373</v>
      </c>
      <c r="D18" s="39">
        <f t="shared" ref="D18" si="27">D16+D17</f>
        <v>2685</v>
      </c>
      <c r="E18" s="39">
        <f t="shared" ref="E18:F18" si="28">E16+E17</f>
        <v>2698</v>
      </c>
      <c r="F18" s="39">
        <f t="shared" si="28"/>
        <v>3760</v>
      </c>
      <c r="G18" s="40">
        <f t="shared" ref="G18" si="29">G16+G17</f>
        <v>2500</v>
      </c>
      <c r="H18" s="39">
        <f t="shared" ref="H18:I18" si="30">H16+H17</f>
        <v>2826</v>
      </c>
      <c r="I18" s="39">
        <f t="shared" si="30"/>
        <v>3300</v>
      </c>
      <c r="J18" s="39">
        <f>J16+J17</f>
        <v>4141</v>
      </c>
      <c r="K18" s="40">
        <f t="shared" ref="K18" si="31">K16+K17</f>
        <v>2540</v>
      </c>
      <c r="L18" s="39">
        <f t="shared" ref="L18:Q18" si="32">L16+L17</f>
        <v>2774</v>
      </c>
      <c r="M18" s="39">
        <f t="shared" si="32"/>
        <v>3088</v>
      </c>
      <c r="N18" s="39">
        <f t="shared" si="32"/>
        <v>3866</v>
      </c>
      <c r="O18" s="40">
        <f t="shared" si="32"/>
        <v>2482</v>
      </c>
      <c r="P18" s="39">
        <f t="shared" si="32"/>
        <v>2810</v>
      </c>
      <c r="Q18" s="39">
        <f t="shared" si="32"/>
        <v>3076</v>
      </c>
      <c r="R18" s="39">
        <f t="shared" ref="R18:V18" si="33">R16+R17</f>
        <v>3696</v>
      </c>
      <c r="S18" s="40">
        <f t="shared" si="33"/>
        <v>2595</v>
      </c>
      <c r="T18" s="39">
        <f t="shared" si="33"/>
        <v>2972</v>
      </c>
      <c r="U18" s="39">
        <f t="shared" si="33"/>
        <v>3049.7913638219688</v>
      </c>
      <c r="V18" s="39">
        <f t="shared" si="33"/>
        <v>3791.5626819923382</v>
      </c>
    </row>
    <row r="19" spans="1:22" s="28" customFormat="1" x14ac:dyDescent="0.15">
      <c r="A19" s="33"/>
      <c r="B19" s="33" t="s">
        <v>14</v>
      </c>
      <c r="C19" s="27">
        <v>541</v>
      </c>
      <c r="D19" s="34">
        <v>653</v>
      </c>
      <c r="E19" s="34">
        <v>459</v>
      </c>
      <c r="F19" s="34">
        <v>529</v>
      </c>
      <c r="G19" s="27">
        <v>356</v>
      </c>
      <c r="H19" s="34">
        <v>612</v>
      </c>
      <c r="I19" s="34">
        <f>I18*E27</f>
        <v>561.41586360266865</v>
      </c>
      <c r="J19" s="35">
        <v>733</v>
      </c>
      <c r="K19" s="27">
        <v>275</v>
      </c>
      <c r="L19" s="34">
        <v>441</v>
      </c>
      <c r="M19" s="34">
        <v>343</v>
      </c>
      <c r="N19" s="34">
        <v>126</v>
      </c>
      <c r="O19" s="27">
        <v>345</v>
      </c>
      <c r="P19" s="28">
        <v>499</v>
      </c>
      <c r="Q19" s="28">
        <v>505</v>
      </c>
      <c r="R19" s="85">
        <v>580</v>
      </c>
      <c r="S19" s="27">
        <v>344</v>
      </c>
      <c r="T19" s="28">
        <v>530</v>
      </c>
      <c r="U19" s="28">
        <f>U18*T27</f>
        <v>543.87261871656915</v>
      </c>
      <c r="V19" s="28">
        <f>V18*U27</f>
        <v>676.15350654641293</v>
      </c>
    </row>
    <row r="20" spans="1:22" s="87" customFormat="1" x14ac:dyDescent="0.15">
      <c r="A20" s="80"/>
      <c r="B20" s="80" t="s">
        <v>89</v>
      </c>
      <c r="C20" s="81"/>
      <c r="D20" s="82"/>
      <c r="E20" s="82"/>
      <c r="F20" s="82"/>
      <c r="G20" s="81"/>
      <c r="H20" s="82"/>
      <c r="I20" s="82">
        <f>7324-I19</f>
        <v>6762.5841363973313</v>
      </c>
      <c r="J20" s="83"/>
      <c r="K20" s="81"/>
      <c r="L20" s="82"/>
      <c r="M20" s="82"/>
      <c r="N20" s="82"/>
      <c r="O20" s="81"/>
      <c r="S20" s="81"/>
    </row>
    <row r="21" spans="1:22" s="88" customFormat="1" x14ac:dyDescent="0.15">
      <c r="A21" s="36"/>
      <c r="B21" s="36" t="s">
        <v>15</v>
      </c>
      <c r="C21" s="38">
        <f t="shared" ref="C21:G21" si="34">C18-C19</f>
        <v>1832</v>
      </c>
      <c r="D21" s="37">
        <f t="shared" si="34"/>
        <v>2032</v>
      </c>
      <c r="E21" s="37">
        <f t="shared" si="34"/>
        <v>2239</v>
      </c>
      <c r="F21" s="37">
        <f t="shared" si="34"/>
        <v>3231</v>
      </c>
      <c r="G21" s="38">
        <f t="shared" si="34"/>
        <v>2144</v>
      </c>
      <c r="H21" s="37">
        <f t="shared" ref="H21:I21" si="35">H18-H19</f>
        <v>2214</v>
      </c>
      <c r="I21" s="37">
        <f t="shared" si="35"/>
        <v>2738.5841363973313</v>
      </c>
      <c r="J21" s="37">
        <f t="shared" ref="J21:K21" si="36">J18-J19</f>
        <v>3408</v>
      </c>
      <c r="K21" s="38">
        <f t="shared" si="36"/>
        <v>2265</v>
      </c>
      <c r="L21" s="37">
        <f t="shared" ref="L21:M21" si="37">L18-L19</f>
        <v>2333</v>
      </c>
      <c r="M21" s="37">
        <f t="shared" si="37"/>
        <v>2745</v>
      </c>
      <c r="N21" s="37">
        <f t="shared" ref="N21:O21" si="38">N18-N19</f>
        <v>3740</v>
      </c>
      <c r="O21" s="38">
        <f t="shared" si="38"/>
        <v>2137</v>
      </c>
      <c r="P21" s="37">
        <f t="shared" ref="P21:R21" si="39">P18-P19</f>
        <v>2311</v>
      </c>
      <c r="Q21" s="37">
        <f t="shared" si="39"/>
        <v>2571</v>
      </c>
      <c r="R21" s="37">
        <f t="shared" si="39"/>
        <v>3116</v>
      </c>
      <c r="S21" s="38">
        <f t="shared" ref="S21:T21" si="40">S18-S19</f>
        <v>2251</v>
      </c>
      <c r="T21" s="37">
        <f t="shared" si="40"/>
        <v>2442</v>
      </c>
      <c r="U21" s="37">
        <f t="shared" ref="U21:V21" si="41">U18-U19</f>
        <v>2505.9187451053995</v>
      </c>
      <c r="V21" s="37">
        <f t="shared" si="41"/>
        <v>3115.409175445925</v>
      </c>
    </row>
    <row r="22" spans="1:22" x14ac:dyDescent="0.15">
      <c r="B22" s="30" t="s">
        <v>16</v>
      </c>
      <c r="C22" s="42">
        <f t="shared" ref="C22:D22" si="42">IFERROR(C21/C23,0)</f>
        <v>0.4340203743188818</v>
      </c>
      <c r="D22" s="41">
        <f t="shared" si="42"/>
        <v>0.48438617401668654</v>
      </c>
      <c r="E22" s="41">
        <f t="shared" ref="E22:F22" si="43">IFERROR(E21/E23,0)</f>
        <v>0.5325880114176974</v>
      </c>
      <c r="F22" s="41">
        <f t="shared" si="43"/>
        <v>0.76059322033898302</v>
      </c>
      <c r="G22" s="42">
        <f t="shared" ref="G22" si="44">IFERROR(G21/G23,0)</f>
        <v>0.50046685340802988</v>
      </c>
      <c r="H22" s="41">
        <f t="shared" ref="H22:I22" si="45">IFERROR(H21/H23,0)</f>
        <v>0.51692738734531873</v>
      </c>
      <c r="I22" s="41">
        <f t="shared" si="45"/>
        <v>0.66438237176063353</v>
      </c>
      <c r="J22" s="41">
        <f t="shared" ref="J22:K22" si="46">IFERROR(J21/J23,0)</f>
        <v>0.82140274765003618</v>
      </c>
      <c r="K22" s="42">
        <f t="shared" si="46"/>
        <v>0.56639159789947491</v>
      </c>
      <c r="L22" s="41">
        <f t="shared" ref="L22:M22" si="47">IFERROR(L21/L23,0)</f>
        <v>0.61121299449829714</v>
      </c>
      <c r="M22" s="41">
        <f t="shared" si="47"/>
        <v>0.75891622891899368</v>
      </c>
      <c r="N22" s="41">
        <f t="shared" ref="N22:O22" si="48">IFERROR(N21/N23,0)</f>
        <v>1.0701001430615165</v>
      </c>
      <c r="O22" s="42">
        <f t="shared" si="48"/>
        <v>0.62668621700879767</v>
      </c>
      <c r="P22" s="41">
        <f t="shared" ref="P22:R22" si="49">IFERROR(P21/P23,0)</f>
        <v>0.6937856499549685</v>
      </c>
      <c r="Q22" s="41">
        <f t="shared" si="49"/>
        <v>0.78599816569856318</v>
      </c>
      <c r="R22" s="41">
        <f t="shared" si="49"/>
        <v>0.98545224541429477</v>
      </c>
      <c r="S22" s="42">
        <f t="shared" ref="S22:T22" si="50">IFERROR(S21/S23,0)</f>
        <v>0.72449308014161573</v>
      </c>
      <c r="T22" s="41">
        <f t="shared" si="50"/>
        <v>0.80170715692711758</v>
      </c>
      <c r="U22" s="41">
        <f t="shared" ref="U22:V22" si="51">IFERROR(U21/U23,0)</f>
        <v>0.82269164317314492</v>
      </c>
      <c r="V22" s="41">
        <f t="shared" si="51"/>
        <v>1.0227869912823129</v>
      </c>
    </row>
    <row r="23" spans="1:22" x14ac:dyDescent="0.15">
      <c r="B23" s="30" t="s">
        <v>17</v>
      </c>
      <c r="C23" s="27">
        <v>4221</v>
      </c>
      <c r="D23" s="34">
        <v>4195</v>
      </c>
      <c r="E23" s="34">
        <v>4204</v>
      </c>
      <c r="F23" s="34">
        <v>4248</v>
      </c>
      <c r="G23" s="27">
        <v>4284</v>
      </c>
      <c r="H23" s="34">
        <v>4283</v>
      </c>
      <c r="I23" s="34">
        <v>4122</v>
      </c>
      <c r="J23" s="35">
        <v>4149</v>
      </c>
      <c r="K23" s="27">
        <v>3999</v>
      </c>
      <c r="L23" s="34">
        <v>3817</v>
      </c>
      <c r="M23" s="34">
        <v>3617</v>
      </c>
      <c r="N23" s="34">
        <v>3495</v>
      </c>
      <c r="O23" s="64">
        <v>3410</v>
      </c>
      <c r="P23" s="68">
        <v>3331</v>
      </c>
      <c r="Q23" s="34">
        <v>3271</v>
      </c>
      <c r="R23" s="85">
        <v>3162</v>
      </c>
      <c r="S23" s="26">
        <v>3107</v>
      </c>
      <c r="T23" s="68">
        <v>3046</v>
      </c>
      <c r="U23" s="68">
        <f>T23</f>
        <v>3046</v>
      </c>
      <c r="V23" s="68">
        <f>U23</f>
        <v>3046</v>
      </c>
    </row>
    <row r="24" spans="1:22" x14ac:dyDescent="0.15">
      <c r="C24" s="27"/>
      <c r="D24" s="34"/>
      <c r="E24" s="34"/>
      <c r="F24" s="34"/>
      <c r="G24" s="27"/>
      <c r="H24" s="34"/>
      <c r="I24" s="34"/>
      <c r="J24" s="35"/>
      <c r="K24" s="27"/>
      <c r="L24" s="34"/>
      <c r="M24" s="34"/>
      <c r="N24" s="34"/>
      <c r="R24" s="85"/>
    </row>
    <row r="25" spans="1:22" x14ac:dyDescent="0.15">
      <c r="B25" s="30" t="s">
        <v>19</v>
      </c>
      <c r="C25" s="44">
        <f t="shared" ref="C25:K25" si="52">IFERROR(C11/C9,0)</f>
        <v>0.79336823734729489</v>
      </c>
      <c r="D25" s="43">
        <f t="shared" si="52"/>
        <v>0.80110680686220259</v>
      </c>
      <c r="E25" s="43">
        <f t="shared" si="52"/>
        <v>0.79445953286257465</v>
      </c>
      <c r="F25" s="43">
        <f t="shared" ref="F25" si="53">IFERROR(F11/F9,0)</f>
        <v>0.81610356224752112</v>
      </c>
      <c r="G25" s="44">
        <f t="shared" si="52"/>
        <v>0.78822495606326892</v>
      </c>
      <c r="H25" s="43">
        <f t="shared" si="52"/>
        <v>0.79559912399624566</v>
      </c>
      <c r="I25" s="43">
        <f t="shared" si="52"/>
        <v>0.79510797257189647</v>
      </c>
      <c r="J25" s="45">
        <f t="shared" si="52"/>
        <v>0.80632832637098928</v>
      </c>
      <c r="K25" s="44">
        <f t="shared" si="52"/>
        <v>0.78755574893941038</v>
      </c>
      <c r="L25" s="43">
        <f t="shared" ref="L25:M25" si="54">IFERROR(L11/L9,0)</f>
        <v>0.79073415603430242</v>
      </c>
      <c r="M25" s="43">
        <f t="shared" si="54"/>
        <v>0.7944664031620553</v>
      </c>
      <c r="N25" s="43">
        <f t="shared" ref="N25:O25" si="55">IFERROR(N11/N9,0)</f>
        <v>0.81474497126436785</v>
      </c>
      <c r="O25" s="44">
        <f t="shared" si="55"/>
        <v>0.78769798220872211</v>
      </c>
      <c r="P25" s="43">
        <f t="shared" ref="P25:R25" si="56">IFERROR(P11/P9,0)</f>
        <v>0.78697732473476179</v>
      </c>
      <c r="Q25" s="43">
        <f t="shared" si="56"/>
        <v>0.79951000408329931</v>
      </c>
      <c r="R25" s="43">
        <f t="shared" si="56"/>
        <v>0.81139846743295019</v>
      </c>
      <c r="S25" s="44">
        <f t="shared" ref="S25:T25" si="57">IFERROR(S11/S9,0)</f>
        <v>0.79929539874025834</v>
      </c>
      <c r="T25" s="43">
        <f t="shared" si="57"/>
        <v>0.80214285714285716</v>
      </c>
      <c r="U25" s="43">
        <f t="shared" ref="U25:V25" si="58">IFERROR(U11/U9,0)</f>
        <v>0.79951000408329931</v>
      </c>
      <c r="V25" s="43">
        <f t="shared" si="58"/>
        <v>0.81139846743295019</v>
      </c>
    </row>
    <row r="26" spans="1:22" x14ac:dyDescent="0.15">
      <c r="B26" s="30" t="s">
        <v>20</v>
      </c>
      <c r="C26" s="47">
        <f t="shared" ref="C26:K26" si="59">IFERROR(C16/C9,0)</f>
        <v>0.30727166957533447</v>
      </c>
      <c r="D26" s="46">
        <f t="shared" si="59"/>
        <v>0.33613724405091311</v>
      </c>
      <c r="E26" s="46">
        <f t="shared" si="59"/>
        <v>0.32145573058120586</v>
      </c>
      <c r="F26" s="46">
        <f t="shared" ref="F26" si="60">IFERROR(F16/F9,0)</f>
        <v>0.37394417921410211</v>
      </c>
      <c r="G26" s="47">
        <f t="shared" si="59"/>
        <v>0.30195518453427067</v>
      </c>
      <c r="H26" s="46">
        <f t="shared" si="59"/>
        <v>0.31692564396704559</v>
      </c>
      <c r="I26" s="46">
        <f t="shared" si="59"/>
        <v>0.34899191485006653</v>
      </c>
      <c r="J26" s="48">
        <f t="shared" si="59"/>
        <v>0.38929872900186652</v>
      </c>
      <c r="K26" s="47">
        <f t="shared" si="59"/>
        <v>0.30218644620907215</v>
      </c>
      <c r="L26" s="46">
        <f t="shared" ref="L26:M26" si="61">IFERROR(L16/L9,0)</f>
        <v>0.32430453879941434</v>
      </c>
      <c r="M26" s="46">
        <f t="shared" si="61"/>
        <v>0.35354691075514877</v>
      </c>
      <c r="N26" s="46">
        <f t="shared" ref="N26:O26" si="62">IFERROR(N16/N9,0)</f>
        <v>0.38227370689655171</v>
      </c>
      <c r="O26" s="47">
        <f t="shared" si="62"/>
        <v>0.31210674766760688</v>
      </c>
      <c r="P26" s="46">
        <f t="shared" ref="P26:R26" si="63">IFERROR(P16/P9,0)</f>
        <v>0.33107967547326816</v>
      </c>
      <c r="Q26" s="46">
        <f t="shared" si="63"/>
        <v>0.36014699877501022</v>
      </c>
      <c r="R26" s="46">
        <f t="shared" si="63"/>
        <v>0.41273946360153257</v>
      </c>
      <c r="S26" s="47">
        <f t="shared" ref="S26:T26" si="64">IFERROR(S16/S9,0)</f>
        <v>0.34279918864097364</v>
      </c>
      <c r="T26" s="46">
        <f t="shared" si="64"/>
        <v>0.36561224489795918</v>
      </c>
      <c r="U26" s="46">
        <f t="shared" ref="U26:V26" si="65">IFERROR(U16/U9,0)</f>
        <v>0.3753733813032657</v>
      </c>
      <c r="V26" s="46">
        <f t="shared" si="65"/>
        <v>0.4249413808339772</v>
      </c>
    </row>
    <row r="27" spans="1:22" x14ac:dyDescent="0.15">
      <c r="B27" s="30" t="s">
        <v>21</v>
      </c>
      <c r="C27" s="47">
        <f t="shared" ref="C27:K27" si="66">IFERROR(C19/C18,0)</f>
        <v>0.22798145806995365</v>
      </c>
      <c r="D27" s="46">
        <f t="shared" si="66"/>
        <v>0.24320297951582867</v>
      </c>
      <c r="E27" s="46">
        <f t="shared" si="66"/>
        <v>0.17012601927353596</v>
      </c>
      <c r="F27" s="46">
        <f t="shared" ref="F27" si="67">IFERROR(F19/F18,0)</f>
        <v>0.14069148936170212</v>
      </c>
      <c r="G27" s="47">
        <f t="shared" si="66"/>
        <v>0.1424</v>
      </c>
      <c r="H27" s="46">
        <f t="shared" si="66"/>
        <v>0.21656050955414013</v>
      </c>
      <c r="I27" s="46">
        <f t="shared" si="66"/>
        <v>0.17012601927353596</v>
      </c>
      <c r="J27" s="48">
        <f t="shared" si="66"/>
        <v>0.17701038396522578</v>
      </c>
      <c r="K27" s="47">
        <f t="shared" si="66"/>
        <v>0.10826771653543307</v>
      </c>
      <c r="L27" s="46">
        <f t="shared" ref="L27:M27" si="68">IFERROR(L19/L18,0)</f>
        <v>0.15897620764239365</v>
      </c>
      <c r="M27" s="46">
        <f t="shared" si="68"/>
        <v>0.11107512953367876</v>
      </c>
      <c r="N27" s="46">
        <f t="shared" ref="N27:O27" si="69">IFERROR(N19/N18,0)</f>
        <v>3.2591826176927054E-2</v>
      </c>
      <c r="O27" s="47">
        <f t="shared" si="69"/>
        <v>0.13900080580177276</v>
      </c>
      <c r="P27" s="46">
        <f t="shared" ref="P27:R27" si="70">IFERROR(P19/P18,0)</f>
        <v>0.17758007117437721</v>
      </c>
      <c r="Q27" s="46">
        <f t="shared" si="70"/>
        <v>0.16417425227568269</v>
      </c>
      <c r="R27" s="46">
        <f t="shared" si="70"/>
        <v>0.15692640692640691</v>
      </c>
      <c r="S27" s="47">
        <f t="shared" ref="S27:T27" si="71">IFERROR(S19/S18,0)</f>
        <v>0.13256262042389211</v>
      </c>
      <c r="T27" s="46">
        <f t="shared" si="71"/>
        <v>0.17833109017496634</v>
      </c>
      <c r="U27" s="46">
        <f t="shared" ref="U27:V27" si="72">IFERROR(U19/U18,0)</f>
        <v>0.17833109017496634</v>
      </c>
      <c r="V27" s="46">
        <f t="shared" si="72"/>
        <v>0.17833109017496634</v>
      </c>
    </row>
    <row r="28" spans="1:22" x14ac:dyDescent="0.15">
      <c r="C28" s="27"/>
      <c r="D28" s="34"/>
      <c r="E28" s="34"/>
      <c r="F28" s="34"/>
      <c r="G28" s="27"/>
      <c r="H28" s="34"/>
      <c r="I28" s="34"/>
      <c r="J28" s="35"/>
      <c r="K28" s="27"/>
      <c r="L28" s="34"/>
      <c r="M28" s="34"/>
      <c r="N28" s="34"/>
      <c r="O28" s="27"/>
      <c r="P28" s="34"/>
      <c r="Q28" s="34"/>
      <c r="R28" s="34"/>
      <c r="S28" s="27"/>
      <c r="T28" s="34"/>
      <c r="U28" s="34"/>
      <c r="V28" s="34"/>
    </row>
    <row r="29" spans="1:22" s="89" customFormat="1" x14ac:dyDescent="0.15">
      <c r="A29" s="49"/>
      <c r="B29" s="49" t="s">
        <v>18</v>
      </c>
      <c r="C29" s="51"/>
      <c r="D29" s="50"/>
      <c r="E29" s="50"/>
      <c r="F29" s="50"/>
      <c r="G29" s="51">
        <f t="shared" ref="G29:J29" si="73">IFERROR((G9/C9)-1,0)</f>
        <v>5.9220477021524109E-2</v>
      </c>
      <c r="H29" s="50">
        <f t="shared" si="73"/>
        <v>6.1317100166021099E-2</v>
      </c>
      <c r="I29" s="50">
        <f t="shared" si="73"/>
        <v>6.1488321564367121E-2</v>
      </c>
      <c r="J29" s="52">
        <f t="shared" si="73"/>
        <v>3.2959970620638934E-2</v>
      </c>
      <c r="K29" s="51">
        <f t="shared" ref="K29:Q29" si="74">IFERROR((K9/G9)-1,0)</f>
        <v>9.7759226713531877E-3</v>
      </c>
      <c r="L29" s="50">
        <f t="shared" si="74"/>
        <v>-2.8157263531128907E-3</v>
      </c>
      <c r="M29" s="50">
        <f t="shared" si="74"/>
        <v>-1.6067956196909261E-2</v>
      </c>
      <c r="N29" s="50">
        <f t="shared" si="74"/>
        <v>-1.0221313661007869E-2</v>
      </c>
      <c r="O29" s="51">
        <f>IFERROR((O9/K9)-1,0)</f>
        <v>2.7194604590450311E-3</v>
      </c>
      <c r="P29" s="50">
        <f t="shared" si="74"/>
        <v>5.4381928466848972E-3</v>
      </c>
      <c r="Q29" s="50">
        <f t="shared" si="74"/>
        <v>1.8930726024547484E-2</v>
      </c>
      <c r="R29" s="50">
        <f t="shared" ref="R29:V29" si="75">IFERROR((R9/N9)-1,0)</f>
        <v>-6.25E-2</v>
      </c>
      <c r="S29" s="51">
        <f t="shared" si="75"/>
        <v>1.6164026903883633E-2</v>
      </c>
      <c r="T29" s="50">
        <f t="shared" si="75"/>
        <v>1.9346785937174982E-2</v>
      </c>
      <c r="U29" s="50">
        <f t="shared" si="75"/>
        <v>-4.4507962433645298E-3</v>
      </c>
      <c r="V29" s="50">
        <f t="shared" si="75"/>
        <v>-7.6245210727967638E-3</v>
      </c>
    </row>
    <row r="30" spans="1:22" x14ac:dyDescent="0.15">
      <c r="B30" s="30" t="s">
        <v>34</v>
      </c>
      <c r="C30" s="54"/>
      <c r="D30" s="53"/>
      <c r="E30" s="53"/>
      <c r="F30" s="53"/>
      <c r="G30" s="54">
        <f t="shared" ref="G30:V32" si="76">G12/C12-1</f>
        <v>3.4210526315789469E-2</v>
      </c>
      <c r="H30" s="53">
        <f t="shared" si="76"/>
        <v>-2.4503311258278093E-2</v>
      </c>
      <c r="I30" s="53">
        <f t="shared" si="76"/>
        <v>-1.5121630506245931E-2</v>
      </c>
      <c r="J30" s="55">
        <f t="shared" si="76"/>
        <v>-4.0397762585456798E-2</v>
      </c>
      <c r="K30" s="54">
        <f t="shared" si="76"/>
        <v>-5.0890585241730735E-3</v>
      </c>
      <c r="L30" s="53">
        <f t="shared" si="76"/>
        <v>1.3577732518670338E-3</v>
      </c>
      <c r="M30" s="53">
        <f t="shared" si="76"/>
        <v>-4.8064085447263039E-2</v>
      </c>
      <c r="N30" s="53">
        <f t="shared" si="76"/>
        <v>1.1658031088082943E-2</v>
      </c>
      <c r="O30" s="54">
        <f t="shared" si="76"/>
        <v>-4.4757033248081779E-3</v>
      </c>
      <c r="P30" s="53">
        <f t="shared" si="76"/>
        <v>3.7966101694915322E-2</v>
      </c>
      <c r="Q30" s="53">
        <f t="shared" si="76"/>
        <v>5.1893408134642272E-2</v>
      </c>
      <c r="R30" s="53">
        <f t="shared" si="76"/>
        <v>-5.3137003841229213E-2</v>
      </c>
      <c r="S30" s="54">
        <f t="shared" si="76"/>
        <v>2.0552344251766108E-2</v>
      </c>
      <c r="T30" s="53">
        <f t="shared" si="76"/>
        <v>4.5721750489875923E-2</v>
      </c>
      <c r="U30" s="53">
        <f t="shared" si="76"/>
        <v>5.0000000000000044E-2</v>
      </c>
      <c r="V30" s="53">
        <f t="shared" si="76"/>
        <v>5.0000000000000044E-2</v>
      </c>
    </row>
    <row r="31" spans="1:22" x14ac:dyDescent="0.15">
      <c r="B31" s="30" t="s">
        <v>35</v>
      </c>
      <c r="C31" s="54"/>
      <c r="D31" s="53"/>
      <c r="E31" s="53"/>
      <c r="F31" s="53"/>
      <c r="G31" s="54">
        <f t="shared" si="76"/>
        <v>3.6477331943720603E-2</v>
      </c>
      <c r="H31" s="53">
        <f t="shared" si="76"/>
        <v>6.5306122448979487E-2</v>
      </c>
      <c r="I31" s="53">
        <f t="shared" si="76"/>
        <v>1.4471057884231531E-2</v>
      </c>
      <c r="J31" s="55">
        <f t="shared" si="76"/>
        <v>4.7557284911370346E-3</v>
      </c>
      <c r="K31" s="54">
        <f t="shared" si="76"/>
        <v>2.513826043237799E-2</v>
      </c>
      <c r="L31" s="53">
        <f t="shared" si="76"/>
        <v>6.2260536398468513E-3</v>
      </c>
      <c r="M31" s="53">
        <f t="shared" si="76"/>
        <v>8.853910477127469E-3</v>
      </c>
      <c r="N31" s="53">
        <f t="shared" si="76"/>
        <v>-2.5817555938038028E-3</v>
      </c>
      <c r="O31" s="54">
        <f t="shared" si="76"/>
        <v>-1.0299166257969561E-2</v>
      </c>
      <c r="P31" s="53">
        <f t="shared" si="76"/>
        <v>-1.5706806282722474E-2</v>
      </c>
      <c r="Q31" s="53">
        <f t="shared" si="76"/>
        <v>-9.7513408093607978E-4</v>
      </c>
      <c r="R31" s="53">
        <f t="shared" si="76"/>
        <v>-0.15487489214840378</v>
      </c>
      <c r="S31" s="54">
        <f t="shared" si="76"/>
        <v>-8.1268582755203211E-2</v>
      </c>
      <c r="T31" s="53">
        <f t="shared" si="76"/>
        <v>-0.11218568665377171</v>
      </c>
      <c r="U31" s="53">
        <f t="shared" si="76"/>
        <v>-9.9999999999999978E-2</v>
      </c>
      <c r="V31" s="53">
        <f t="shared" si="76"/>
        <v>-9.9999999999999978E-2</v>
      </c>
    </row>
    <row r="32" spans="1:22" x14ac:dyDescent="0.15">
      <c r="B32" s="30" t="s">
        <v>36</v>
      </c>
      <c r="C32" s="54"/>
      <c r="D32" s="53"/>
      <c r="E32" s="53"/>
      <c r="F32" s="53"/>
      <c r="G32" s="54">
        <f t="shared" si="76"/>
        <v>0.17185385656292285</v>
      </c>
      <c r="H32" s="53">
        <f t="shared" si="76"/>
        <v>0.40766073871409025</v>
      </c>
      <c r="I32" s="53">
        <f t="shared" si="76"/>
        <v>-1.2062726176115257E-3</v>
      </c>
      <c r="J32" s="55">
        <f t="shared" si="76"/>
        <v>-7.8299776286353429E-2</v>
      </c>
      <c r="K32" s="54">
        <f t="shared" si="76"/>
        <v>-8.083140877598205E-3</v>
      </c>
      <c r="L32" s="53">
        <f t="shared" si="76"/>
        <v>-0.14091350826044702</v>
      </c>
      <c r="M32" s="53">
        <f t="shared" si="76"/>
        <v>-7.9710144927536253E-2</v>
      </c>
      <c r="N32" s="53">
        <f t="shared" si="76"/>
        <v>0.13592233009708732</v>
      </c>
      <c r="O32" s="54">
        <f t="shared" si="76"/>
        <v>-5.8207217694994151E-2</v>
      </c>
      <c r="P32" s="53">
        <f t="shared" si="76"/>
        <v>-0.1131221719457014</v>
      </c>
      <c r="Q32" s="53">
        <f t="shared" si="76"/>
        <v>-9.1863517060367661E-3</v>
      </c>
      <c r="R32" s="53">
        <f t="shared" si="76"/>
        <v>-0.22649572649572647</v>
      </c>
      <c r="S32" s="54">
        <f t="shared" si="76"/>
        <v>2.9666254635352329E-2</v>
      </c>
      <c r="T32" s="53">
        <f t="shared" si="76"/>
        <v>7.2704081632652962E-2</v>
      </c>
      <c r="U32" s="53">
        <f t="shared" si="76"/>
        <v>-5.0000000000000044E-2</v>
      </c>
      <c r="V32" s="53">
        <f t="shared" si="76"/>
        <v>-5.0000000000000044E-2</v>
      </c>
    </row>
    <row r="33" spans="1:22" x14ac:dyDescent="0.15">
      <c r="B33" s="63" t="s">
        <v>59</v>
      </c>
      <c r="C33" s="54"/>
      <c r="D33" s="53"/>
      <c r="E33" s="53"/>
      <c r="F33" s="53"/>
      <c r="G33" s="54">
        <f t="shared" ref="G33:V33" si="77">G15/C15-1</f>
        <v>5.9597893729056883E-2</v>
      </c>
      <c r="H33" s="53">
        <f t="shared" si="77"/>
        <v>9.2597000714115696E-2</v>
      </c>
      <c r="I33" s="53">
        <f t="shared" si="77"/>
        <v>1.1483693155718289E-3</v>
      </c>
      <c r="J33" s="53">
        <f t="shared" si="77"/>
        <v>-2.574750830564787E-2</v>
      </c>
      <c r="K33" s="54">
        <f t="shared" si="77"/>
        <v>7.9060311723515575E-3</v>
      </c>
      <c r="L33" s="53">
        <f t="shared" si="77"/>
        <v>-2.8322440087146017E-2</v>
      </c>
      <c r="M33" s="53">
        <f t="shared" si="77"/>
        <v>-2.7529249827942137E-2</v>
      </c>
      <c r="N33" s="53">
        <f t="shared" si="77"/>
        <v>2.6427962489343537E-2</v>
      </c>
      <c r="O33" s="54">
        <f t="shared" si="77"/>
        <v>-1.7480950246526183E-2</v>
      </c>
      <c r="P33" s="53">
        <f t="shared" si="77"/>
        <v>-1.7264573991031429E-2</v>
      </c>
      <c r="Q33" s="53">
        <f t="shared" si="77"/>
        <v>1.5333805142722312E-2</v>
      </c>
      <c r="R33" s="53">
        <f t="shared" si="77"/>
        <v>-0.13579734219269102</v>
      </c>
      <c r="S33" s="54">
        <f t="shared" si="77"/>
        <v>-2.4635036496350349E-2</v>
      </c>
      <c r="T33" s="53">
        <f t="shared" si="77"/>
        <v>-2.3956194387405927E-2</v>
      </c>
      <c r="U33" s="53">
        <f t="shared" si="77"/>
        <v>-3.8952137546468313E-2</v>
      </c>
      <c r="V33" s="53">
        <f t="shared" si="77"/>
        <v>-3.7998558385391568E-2</v>
      </c>
    </row>
    <row r="34" spans="1:22" x14ac:dyDescent="0.15">
      <c r="D34" s="56"/>
      <c r="E34" s="56"/>
      <c r="H34" s="56"/>
      <c r="I34" s="56"/>
      <c r="J34" s="57"/>
      <c r="L34" s="56"/>
      <c r="M34" s="56"/>
      <c r="N34" s="56"/>
      <c r="Q34" s="56"/>
      <c r="R34" s="85"/>
    </row>
    <row r="35" spans="1:22" s="88" customFormat="1" x14ac:dyDescent="0.15">
      <c r="A35" s="36"/>
      <c r="B35" s="36" t="s">
        <v>22</v>
      </c>
      <c r="C35" s="27"/>
      <c r="D35" s="34"/>
      <c r="E35" s="34"/>
      <c r="F35" s="37">
        <f t="shared" ref="F35" si="78">F36-F37</f>
        <v>8169</v>
      </c>
      <c r="G35" s="27"/>
      <c r="H35" s="34"/>
      <c r="I35" s="34"/>
      <c r="J35" s="37">
        <f t="shared" ref="J35:N35" si="79">J36-J37</f>
        <v>6642</v>
      </c>
      <c r="K35" s="27"/>
      <c r="L35" s="34"/>
      <c r="M35" s="34"/>
      <c r="N35" s="37">
        <f t="shared" si="79"/>
        <v>-18340</v>
      </c>
      <c r="O35" s="27"/>
      <c r="P35" s="34"/>
      <c r="Q35" s="34"/>
      <c r="R35" s="37">
        <f t="shared" ref="R35:T35" si="80">R36-R37</f>
        <v>-28540</v>
      </c>
      <c r="S35" s="38">
        <f t="shared" si="80"/>
        <v>-28487</v>
      </c>
      <c r="T35" s="37">
        <f t="shared" si="80"/>
        <v>-32189</v>
      </c>
    </row>
    <row r="36" spans="1:22" s="28" customFormat="1" x14ac:dyDescent="0.15">
      <c r="A36" s="33"/>
      <c r="B36" s="33" t="s">
        <v>23</v>
      </c>
      <c r="C36" s="27"/>
      <c r="D36" s="34"/>
      <c r="E36" s="34"/>
      <c r="F36" s="34">
        <f>21784+44294</f>
        <v>66078</v>
      </c>
      <c r="G36" s="27"/>
      <c r="H36" s="34"/>
      <c r="I36" s="34"/>
      <c r="J36" s="34">
        <f>21620+45641</f>
        <v>67261</v>
      </c>
      <c r="K36" s="27"/>
      <c r="L36" s="34"/>
      <c r="M36" s="34"/>
      <c r="N36" s="34">
        <f>20514+17313</f>
        <v>37827</v>
      </c>
      <c r="O36" s="27"/>
      <c r="P36" s="34"/>
      <c r="Q36" s="34"/>
      <c r="R36" s="28">
        <f>37239+5818</f>
        <v>43057</v>
      </c>
      <c r="S36" s="27">
        <f>27276+15003</f>
        <v>42279</v>
      </c>
      <c r="T36" s="28">
        <f>28001+10592</f>
        <v>38593</v>
      </c>
    </row>
    <row r="37" spans="1:22" s="28" customFormat="1" x14ac:dyDescent="0.15">
      <c r="A37" s="33"/>
      <c r="B37" s="33" t="s">
        <v>24</v>
      </c>
      <c r="C37" s="27"/>
      <c r="D37" s="34"/>
      <c r="E37" s="34"/>
      <c r="F37" s="34">
        <f>9797+48112</f>
        <v>57909</v>
      </c>
      <c r="G37" s="27"/>
      <c r="H37" s="34"/>
      <c r="I37" s="34"/>
      <c r="J37" s="34">
        <f>4491+56128</f>
        <v>60619</v>
      </c>
      <c r="K37" s="27"/>
      <c r="L37" s="34"/>
      <c r="M37" s="34"/>
      <c r="N37" s="34">
        <f>4494+51673</f>
        <v>56167</v>
      </c>
      <c r="O37" s="27"/>
      <c r="P37" s="34"/>
      <c r="Q37" s="34"/>
      <c r="R37" s="28">
        <f>2371+69226</f>
        <v>71597</v>
      </c>
      <c r="S37" s="27">
        <f>2997+67769</f>
        <v>70766</v>
      </c>
      <c r="T37" s="28">
        <f>7251+63531</f>
        <v>70782</v>
      </c>
    </row>
    <row r="38" spans="1:22" s="28" customFormat="1" x14ac:dyDescent="0.15">
      <c r="A38" s="33"/>
      <c r="B38" s="33"/>
      <c r="C38" s="27"/>
      <c r="D38" s="34"/>
      <c r="E38" s="34"/>
      <c r="F38" s="34"/>
      <c r="G38" s="27"/>
      <c r="H38" s="34"/>
      <c r="I38" s="34"/>
      <c r="J38" s="34"/>
      <c r="K38" s="27"/>
      <c r="L38" s="34"/>
      <c r="M38" s="34"/>
      <c r="N38" s="34"/>
      <c r="O38" s="27"/>
      <c r="Q38" s="34"/>
      <c r="S38" s="27"/>
    </row>
    <row r="39" spans="1:22" s="28" customFormat="1" x14ac:dyDescent="0.15">
      <c r="A39" s="33"/>
      <c r="B39" s="33" t="s">
        <v>44</v>
      </c>
      <c r="C39" s="27"/>
      <c r="D39" s="34"/>
      <c r="E39" s="34"/>
      <c r="F39" s="34">
        <f>7679+43045</f>
        <v>50724</v>
      </c>
      <c r="G39" s="27"/>
      <c r="H39" s="34"/>
      <c r="I39" s="34"/>
      <c r="J39" s="34">
        <f>6670+43755</f>
        <v>50425</v>
      </c>
      <c r="K39" s="27"/>
      <c r="L39" s="34"/>
      <c r="M39" s="34"/>
      <c r="N39" s="34">
        <f>5279+43779</f>
        <v>49058</v>
      </c>
      <c r="O39" s="27"/>
      <c r="Q39" s="34"/>
      <c r="R39" s="28">
        <f>3738+43769</f>
        <v>47507</v>
      </c>
      <c r="S39" s="27">
        <f>3405+43867</f>
        <v>47272</v>
      </c>
      <c r="T39" s="28">
        <f>3061+43877</f>
        <v>46938</v>
      </c>
    </row>
    <row r="40" spans="1:22" s="28" customFormat="1" x14ac:dyDescent="0.15">
      <c r="A40" s="33"/>
      <c r="B40" s="33" t="s">
        <v>45</v>
      </c>
      <c r="C40" s="27"/>
      <c r="D40" s="34"/>
      <c r="E40" s="34"/>
      <c r="F40" s="34">
        <v>134991</v>
      </c>
      <c r="G40" s="27"/>
      <c r="H40" s="34"/>
      <c r="I40" s="34"/>
      <c r="J40" s="34">
        <v>137851</v>
      </c>
      <c r="K40" s="27"/>
      <c r="L40" s="34"/>
      <c r="M40" s="34"/>
      <c r="N40" s="34">
        <v>108709</v>
      </c>
      <c r="O40" s="27"/>
      <c r="P40" s="68"/>
      <c r="Q40" s="34"/>
      <c r="R40" s="28">
        <v>115438</v>
      </c>
      <c r="S40" s="27">
        <v>113546</v>
      </c>
      <c r="T40" s="28">
        <v>110014</v>
      </c>
    </row>
    <row r="41" spans="1:22" s="28" customFormat="1" x14ac:dyDescent="0.15">
      <c r="A41" s="33"/>
      <c r="B41" s="33" t="s">
        <v>46</v>
      </c>
      <c r="C41" s="27"/>
      <c r="D41" s="34"/>
      <c r="E41" s="34"/>
      <c r="F41" s="34">
        <f>24178+56246</f>
        <v>80424</v>
      </c>
      <c r="G41" s="27"/>
      <c r="H41" s="34"/>
      <c r="I41" s="34"/>
      <c r="J41" s="34">
        <f>19124+71854</f>
        <v>90978</v>
      </c>
      <c r="K41" s="27"/>
      <c r="L41" s="34"/>
      <c r="M41" s="34"/>
      <c r="N41" s="34">
        <f>18630+67716</f>
        <v>86346</v>
      </c>
      <c r="O41" s="27"/>
      <c r="P41" s="68"/>
      <c r="Q41" s="34"/>
      <c r="R41" s="28">
        <f>17200+85521</f>
        <v>102721</v>
      </c>
      <c r="S41" s="27">
        <f>18748+84658</f>
        <v>103406</v>
      </c>
      <c r="T41" s="28">
        <f>21347+80051</f>
        <v>101398</v>
      </c>
    </row>
    <row r="42" spans="1:22" s="28" customFormat="1" x14ac:dyDescent="0.15">
      <c r="A42" s="33"/>
      <c r="B42" s="33"/>
      <c r="C42" s="27"/>
      <c r="D42" s="34"/>
      <c r="E42" s="34"/>
      <c r="F42" s="34"/>
      <c r="G42" s="27"/>
      <c r="H42" s="34"/>
      <c r="I42" s="34"/>
      <c r="J42" s="34"/>
      <c r="K42" s="27"/>
      <c r="L42" s="34"/>
      <c r="M42" s="34"/>
      <c r="N42" s="34"/>
      <c r="O42" s="27"/>
      <c r="Q42" s="34"/>
      <c r="S42" s="27"/>
    </row>
    <row r="43" spans="1:22" s="28" customFormat="1" x14ac:dyDescent="0.15">
      <c r="A43" s="33"/>
      <c r="B43" s="33" t="s">
        <v>47</v>
      </c>
      <c r="C43" s="27"/>
      <c r="D43" s="34"/>
      <c r="E43" s="34"/>
      <c r="F43" s="39">
        <f t="shared" ref="F43" si="81">F40-F39-F36</f>
        <v>18189</v>
      </c>
      <c r="G43" s="27"/>
      <c r="H43" s="34"/>
      <c r="I43" s="34"/>
      <c r="J43" s="39">
        <f t="shared" ref="J43:N43" si="82">J40-J39-J36</f>
        <v>20165</v>
      </c>
      <c r="K43" s="27"/>
      <c r="L43" s="34"/>
      <c r="M43" s="34"/>
      <c r="N43" s="39">
        <f t="shared" si="82"/>
        <v>21824</v>
      </c>
      <c r="O43" s="27"/>
      <c r="P43" s="34"/>
      <c r="Q43" s="34"/>
      <c r="R43" s="39">
        <f t="shared" ref="R43:T43" si="83">R40-R39-R36</f>
        <v>24874</v>
      </c>
      <c r="S43" s="40">
        <f t="shared" ref="S43" si="84">S40-S39-S36</f>
        <v>23995</v>
      </c>
      <c r="T43" s="39">
        <f t="shared" si="83"/>
        <v>24483</v>
      </c>
    </row>
    <row r="44" spans="1:22" s="28" customFormat="1" x14ac:dyDescent="0.15">
      <c r="A44" s="33"/>
      <c r="B44" s="33" t="s">
        <v>48</v>
      </c>
      <c r="C44" s="27"/>
      <c r="D44" s="34"/>
      <c r="E44" s="34"/>
      <c r="F44" s="39">
        <f t="shared" ref="F44" si="85">F40-F41</f>
        <v>54567</v>
      </c>
      <c r="G44" s="27"/>
      <c r="H44" s="34"/>
      <c r="I44" s="34"/>
      <c r="J44" s="39">
        <f t="shared" ref="J44:N44" si="86">J40-J41</f>
        <v>46873</v>
      </c>
      <c r="K44" s="27"/>
      <c r="L44" s="34"/>
      <c r="M44" s="34"/>
      <c r="N44" s="39">
        <f t="shared" si="86"/>
        <v>22363</v>
      </c>
      <c r="O44" s="27"/>
      <c r="P44" s="34"/>
      <c r="Q44" s="34"/>
      <c r="R44" s="39">
        <f t="shared" ref="R44:T44" si="87">R40-R41</f>
        <v>12717</v>
      </c>
      <c r="S44" s="40">
        <f t="shared" ref="S44" si="88">S40-S41</f>
        <v>10140</v>
      </c>
      <c r="T44" s="39">
        <f t="shared" si="87"/>
        <v>8616</v>
      </c>
    </row>
    <row r="45" spans="1:22" s="28" customFormat="1" x14ac:dyDescent="0.15">
      <c r="A45" s="33"/>
      <c r="B45" s="33"/>
      <c r="C45" s="27"/>
      <c r="D45" s="34"/>
      <c r="E45" s="34"/>
      <c r="F45" s="34"/>
      <c r="G45" s="27"/>
      <c r="H45" s="34"/>
      <c r="I45" s="34"/>
      <c r="J45" s="34"/>
      <c r="K45" s="27"/>
      <c r="L45" s="34"/>
      <c r="M45" s="34"/>
      <c r="N45" s="34"/>
      <c r="O45" s="27"/>
      <c r="Q45" s="34"/>
      <c r="R45" s="85"/>
      <c r="S45" s="27"/>
      <c r="T45" s="34"/>
    </row>
    <row r="46" spans="1:22" s="88" customFormat="1" x14ac:dyDescent="0.15">
      <c r="A46" s="36"/>
      <c r="B46" s="73" t="s">
        <v>91</v>
      </c>
      <c r="C46" s="59"/>
      <c r="D46" s="58"/>
      <c r="E46" s="58"/>
      <c r="F46" s="37">
        <f t="shared" ref="F46" si="89">SUM(C21:F21)</f>
        <v>9334</v>
      </c>
      <c r="G46" s="27"/>
      <c r="H46" s="34"/>
      <c r="I46" s="34"/>
      <c r="J46" s="37">
        <f t="shared" ref="J46:N46" si="90">SUM(G21:J21)</f>
        <v>10504.58413639733</v>
      </c>
      <c r="K46" s="27"/>
      <c r="L46" s="34"/>
      <c r="M46" s="34"/>
      <c r="N46" s="37">
        <f t="shared" si="90"/>
        <v>11083</v>
      </c>
      <c r="O46" s="27"/>
      <c r="P46" s="34"/>
      <c r="Q46" s="34"/>
      <c r="R46" s="37">
        <f>SUM(O21:R21)</f>
        <v>10135</v>
      </c>
      <c r="S46" s="38">
        <f>SUM(P21:S21)</f>
        <v>10249</v>
      </c>
      <c r="T46" s="37">
        <f>SUM(Q21:T21)</f>
        <v>10380</v>
      </c>
    </row>
    <row r="47" spans="1:22" s="90" customFormat="1" x14ac:dyDescent="0.15">
      <c r="A47" s="61"/>
      <c r="B47" s="60" t="s">
        <v>49</v>
      </c>
      <c r="C47" s="44"/>
      <c r="D47" s="43"/>
      <c r="E47" s="43"/>
      <c r="F47" s="43">
        <f t="shared" ref="F47" si="91">F46/F44</f>
        <v>0.17105576630564259</v>
      </c>
      <c r="G47" s="26"/>
      <c r="H47" s="56"/>
      <c r="I47" s="56"/>
      <c r="J47" s="43">
        <f t="shared" ref="J47:N47" si="92">J46/J44</f>
        <v>0.22410735682370087</v>
      </c>
      <c r="K47" s="27"/>
      <c r="L47" s="34"/>
      <c r="M47" s="34"/>
      <c r="N47" s="43">
        <f t="shared" si="92"/>
        <v>0.49559540312122702</v>
      </c>
      <c r="O47" s="27"/>
      <c r="P47" s="34"/>
      <c r="Q47" s="34"/>
      <c r="R47" s="43">
        <f t="shared" ref="R47:T47" si="93">R46/R44</f>
        <v>0.7969646929307227</v>
      </c>
      <c r="S47" s="44">
        <f t="shared" ref="S47" si="94">S46/S44</f>
        <v>1.010749506903353</v>
      </c>
      <c r="T47" s="43">
        <f t="shared" si="93"/>
        <v>1.2047353760445683</v>
      </c>
    </row>
    <row r="48" spans="1:22" s="90" customFormat="1" x14ac:dyDescent="0.15">
      <c r="A48" s="61"/>
      <c r="B48" s="60" t="s">
        <v>50</v>
      </c>
      <c r="C48" s="44"/>
      <c r="D48" s="43"/>
      <c r="E48" s="43"/>
      <c r="F48" s="43">
        <f t="shared" ref="F48" si="95">F46/F40</f>
        <v>6.9145350430769456E-2</v>
      </c>
      <c r="G48" s="26"/>
      <c r="H48" s="56"/>
      <c r="I48" s="56"/>
      <c r="J48" s="43">
        <f t="shared" ref="J48:N48" si="96">J46/J40</f>
        <v>7.6202451461341095E-2</v>
      </c>
      <c r="K48" s="27"/>
      <c r="L48" s="34"/>
      <c r="M48" s="34"/>
      <c r="N48" s="43">
        <f t="shared" si="96"/>
        <v>0.10195108040732598</v>
      </c>
      <c r="O48" s="27"/>
      <c r="P48" s="34"/>
      <c r="Q48" s="34"/>
      <c r="R48" s="43">
        <f t="shared" ref="R48:T48" si="97">R46/R40</f>
        <v>8.779604636254959E-2</v>
      </c>
      <c r="S48" s="44">
        <f t="shared" ref="S48" si="98">S46/S40</f>
        <v>9.0262977119405355E-2</v>
      </c>
      <c r="T48" s="43">
        <f t="shared" si="97"/>
        <v>9.4351627974621419E-2</v>
      </c>
    </row>
    <row r="49" spans="1:22" s="90" customFormat="1" x14ac:dyDescent="0.15">
      <c r="A49" s="61"/>
      <c r="B49" s="60" t="s">
        <v>51</v>
      </c>
      <c r="C49" s="44"/>
      <c r="D49" s="43"/>
      <c r="E49" s="43"/>
      <c r="F49" s="43">
        <f t="shared" ref="F49" si="99">F46/(F44-F39)</f>
        <v>2.4288316419463962</v>
      </c>
      <c r="G49" s="26"/>
      <c r="H49" s="56"/>
      <c r="I49" s="56"/>
      <c r="J49" s="43">
        <f t="shared" ref="J49:N49" si="100">J46/(J44-J39)</f>
        <v>-2.9573716600217708</v>
      </c>
      <c r="K49" s="27"/>
      <c r="L49" s="34"/>
      <c r="M49" s="34"/>
      <c r="N49" s="43">
        <f t="shared" si="100"/>
        <v>-0.41517138040831614</v>
      </c>
      <c r="O49" s="27"/>
      <c r="P49" s="34"/>
      <c r="Q49" s="34"/>
      <c r="R49" s="43">
        <f t="shared" ref="R49:T49" si="101">R46/(R44-R39)</f>
        <v>-0.29131934463926418</v>
      </c>
      <c r="S49" s="44">
        <f t="shared" ref="S49" si="102">S46/(S44-S39)</f>
        <v>-0.27601529677905851</v>
      </c>
      <c r="T49" s="43">
        <f t="shared" si="101"/>
        <v>-0.2708626898387349</v>
      </c>
    </row>
    <row r="50" spans="1:22" s="90" customFormat="1" x14ac:dyDescent="0.15">
      <c r="A50" s="61"/>
      <c r="B50" s="60" t="s">
        <v>52</v>
      </c>
      <c r="C50" s="44"/>
      <c r="D50" s="43"/>
      <c r="E50" s="43"/>
      <c r="F50" s="43">
        <f t="shared" ref="F50" si="103">F46/F43</f>
        <v>0.51316729891692781</v>
      </c>
      <c r="G50" s="26"/>
      <c r="H50" s="56"/>
      <c r="I50" s="56"/>
      <c r="J50" s="43">
        <f t="shared" ref="J50:N50" si="104">J46/J43</f>
        <v>0.52093152176530277</v>
      </c>
      <c r="K50" s="27"/>
      <c r="L50" s="34"/>
      <c r="M50" s="34"/>
      <c r="N50" s="43">
        <f t="shared" si="104"/>
        <v>0.50783541055718473</v>
      </c>
      <c r="O50" s="27"/>
      <c r="P50" s="34"/>
      <c r="Q50" s="34"/>
      <c r="R50" s="43">
        <f t="shared" ref="R50:T50" si="105">R46/R43</f>
        <v>0.40745356597250143</v>
      </c>
      <c r="S50" s="44">
        <f t="shared" ref="S50" si="106">S46/S43</f>
        <v>0.42713065221921231</v>
      </c>
      <c r="T50" s="43">
        <f t="shared" si="105"/>
        <v>0.42396765102315892</v>
      </c>
    </row>
    <row r="51" spans="1:22" x14ac:dyDescent="0.15">
      <c r="C51" s="27"/>
      <c r="D51" s="34"/>
      <c r="E51" s="34"/>
      <c r="G51" s="27"/>
      <c r="H51" s="34"/>
      <c r="I51" s="34"/>
      <c r="J51" s="34"/>
      <c r="K51" s="27"/>
      <c r="L51" s="34"/>
      <c r="M51" s="34"/>
      <c r="N51" s="34"/>
      <c r="O51" s="27"/>
      <c r="P51" s="34"/>
      <c r="Q51" s="34"/>
      <c r="R51" s="85"/>
      <c r="T51" s="34"/>
    </row>
    <row r="52" spans="1:22" s="94" customFormat="1" x14ac:dyDescent="0.15">
      <c r="A52" s="15"/>
      <c r="B52" s="91" t="s">
        <v>92</v>
      </c>
      <c r="C52" s="92"/>
      <c r="D52" s="93"/>
      <c r="E52" s="93"/>
      <c r="F52" s="75">
        <f>SUM(C9:F9)</f>
        <v>37727</v>
      </c>
      <c r="G52" s="74">
        <f>SUM(D9:G9)</f>
        <v>38236</v>
      </c>
      <c r="H52" s="75">
        <f>SUM(E9:H9)</f>
        <v>38790</v>
      </c>
      <c r="I52" s="75">
        <f>SUM(F9:I9)</f>
        <v>39356</v>
      </c>
      <c r="J52" s="75">
        <f>SUM(G9:J9)</f>
        <v>39715</v>
      </c>
      <c r="K52" s="74">
        <f>SUM(H9:K9)</f>
        <v>39804</v>
      </c>
      <c r="L52" s="75">
        <f>SUM(I9:L9)</f>
        <v>39777</v>
      </c>
      <c r="M52" s="75">
        <f>SUM(J9:M9)</f>
        <v>39620</v>
      </c>
      <c r="N52" s="75">
        <f>SUM(K9:N9)</f>
        <v>39505</v>
      </c>
      <c r="O52" s="74">
        <f>SUM(L9:O9)</f>
        <v>39530</v>
      </c>
      <c r="P52" s="75">
        <f>SUM(M9:P9)</f>
        <v>39582</v>
      </c>
      <c r="Q52" s="75">
        <f>SUM(N9:Q9)</f>
        <v>39764</v>
      </c>
      <c r="R52" s="75">
        <f>SUM(O9:R9)</f>
        <v>39068</v>
      </c>
      <c r="S52" s="74">
        <f>SUM(P9:S9)</f>
        <v>39217</v>
      </c>
      <c r="T52" s="75">
        <f>SUM(Q9:T9)</f>
        <v>39403</v>
      </c>
    </row>
    <row r="53" spans="1:22" s="98" customFormat="1" x14ac:dyDescent="0.15">
      <c r="A53" s="95"/>
      <c r="B53" s="91" t="s">
        <v>93</v>
      </c>
      <c r="C53" s="96"/>
      <c r="D53" s="97"/>
      <c r="E53" s="97"/>
      <c r="G53" s="96"/>
      <c r="H53" s="97"/>
      <c r="I53" s="97"/>
      <c r="J53" s="97">
        <f>J52/F52-1</f>
        <v>5.2694356826675781E-2</v>
      </c>
      <c r="K53" s="96">
        <f>K52/G52-1</f>
        <v>4.1008473689716496E-2</v>
      </c>
      <c r="L53" s="97">
        <f>L52/H52-1</f>
        <v>2.5444702242846118E-2</v>
      </c>
      <c r="M53" s="97">
        <f>M52/I52-1</f>
        <v>6.7079987803637664E-3</v>
      </c>
      <c r="N53" s="97">
        <f>N52/J52-1</f>
        <v>-5.2876746821099996E-3</v>
      </c>
      <c r="O53" s="96">
        <f>O52/K52-1</f>
        <v>-6.8837302783639753E-3</v>
      </c>
      <c r="P53" s="97">
        <f>P52/L52-1</f>
        <v>-4.9023304924956657E-3</v>
      </c>
      <c r="Q53" s="97">
        <f>Q52/M52-1</f>
        <v>3.6345280161533822E-3</v>
      </c>
      <c r="R53" s="97">
        <f>R52/N52-1</f>
        <v>-1.1061890899886073E-2</v>
      </c>
      <c r="S53" s="96">
        <f>S52/O52-1</f>
        <v>-7.9180369339741929E-3</v>
      </c>
      <c r="T53" s="97">
        <f>T52/P52-1</f>
        <v>-4.5222575918346664E-3</v>
      </c>
    </row>
    <row r="54" spans="1:22" x14ac:dyDescent="0.15">
      <c r="C54" s="27"/>
      <c r="D54" s="34"/>
      <c r="E54" s="34"/>
      <c r="G54" s="27"/>
      <c r="H54" s="34"/>
      <c r="I54" s="34"/>
      <c r="J54" s="34"/>
      <c r="K54" s="27"/>
      <c r="L54" s="34"/>
      <c r="M54" s="34"/>
      <c r="N54" s="34"/>
      <c r="O54" s="27"/>
      <c r="P54" s="34"/>
      <c r="Q54" s="34"/>
      <c r="R54" s="85"/>
      <c r="T54" s="34"/>
    </row>
    <row r="55" spans="1:22" x14ac:dyDescent="0.15">
      <c r="B55" s="69" t="s">
        <v>86</v>
      </c>
      <c r="C55" s="27"/>
      <c r="D55" s="34"/>
      <c r="E55" s="34"/>
      <c r="G55" s="44">
        <f t="shared" ref="G55:Q58" si="107">G4/C4-1</f>
        <v>0.11213331018920325</v>
      </c>
      <c r="H55" s="43">
        <f t="shared" si="107"/>
        <v>0.10823327615780443</v>
      </c>
      <c r="I55" s="43">
        <f t="shared" si="107"/>
        <v>0.10788102839858849</v>
      </c>
      <c r="J55" s="43">
        <f t="shared" si="107"/>
        <v>8.1815276446148832E-2</v>
      </c>
      <c r="K55" s="44">
        <f t="shared" si="107"/>
        <v>3.1528016232245992E-2</v>
      </c>
      <c r="L55" s="43">
        <f t="shared" si="107"/>
        <v>2.7240365268534239E-2</v>
      </c>
      <c r="M55" s="43">
        <f t="shared" si="107"/>
        <v>1.0465645381465105E-2</v>
      </c>
      <c r="N55" s="43">
        <f t="shared" si="107"/>
        <v>4.2836041358935706E-3</v>
      </c>
      <c r="O55" s="44">
        <f t="shared" si="107"/>
        <v>2.9656528975639196E-2</v>
      </c>
      <c r="P55" s="43">
        <f t="shared" si="107"/>
        <v>2.6216664155491953E-2</v>
      </c>
      <c r="Q55" s="43">
        <f t="shared" si="107"/>
        <v>4.0228159711798162E-2</v>
      </c>
      <c r="R55" s="43">
        <f t="shared" ref="R55:V58" si="108">R4/N4-1</f>
        <v>6.7657008383585904E-3</v>
      </c>
      <c r="S55" s="44">
        <f t="shared" si="108"/>
        <v>2.0867009551800209E-2</v>
      </c>
      <c r="T55" s="43">
        <f t="shared" si="108"/>
        <v>4.4193216855087369E-2</v>
      </c>
      <c r="U55" s="43">
        <f t="shared" si="108"/>
        <v>2.0000000000000018E-2</v>
      </c>
      <c r="V55" s="43">
        <f t="shared" si="108"/>
        <v>2.0000000000000018E-2</v>
      </c>
    </row>
    <row r="56" spans="1:22" x14ac:dyDescent="0.15">
      <c r="B56" s="69" t="s">
        <v>87</v>
      </c>
      <c r="C56" s="27"/>
      <c r="D56" s="34"/>
      <c r="E56" s="34"/>
      <c r="G56" s="44">
        <f t="shared" si="107"/>
        <v>-0.1320388349514563</v>
      </c>
      <c r="H56" s="43">
        <f t="shared" si="107"/>
        <v>-1.187824795842618E-2</v>
      </c>
      <c r="I56" s="43">
        <f t="shared" si="107"/>
        <v>-1.8387553041018356E-2</v>
      </c>
      <c r="J56" s="43">
        <f t="shared" si="107"/>
        <v>-5.4455445544554504E-2</v>
      </c>
      <c r="K56" s="44">
        <f t="shared" si="107"/>
        <v>-3.0201342281879207E-2</v>
      </c>
      <c r="L56" s="43">
        <f t="shared" si="107"/>
        <v>-8.5649887302779892E-2</v>
      </c>
      <c r="M56" s="43">
        <f t="shared" si="107"/>
        <v>-9.8703170028818454E-2</v>
      </c>
      <c r="N56" s="43">
        <f t="shared" si="107"/>
        <v>1.4901329037454669E-2</v>
      </c>
      <c r="O56" s="44">
        <f t="shared" si="107"/>
        <v>-6.3437139561707045E-2</v>
      </c>
      <c r="P56" s="43">
        <f t="shared" si="107"/>
        <v>-7.4774034511092879E-2</v>
      </c>
      <c r="Q56" s="43">
        <f t="shared" si="107"/>
        <v>-1.5987210231814597E-2</v>
      </c>
      <c r="R56" s="43">
        <f t="shared" si="108"/>
        <v>-0.22261904761904761</v>
      </c>
      <c r="S56" s="44">
        <f t="shared" si="108"/>
        <v>9.1133004926108319E-2</v>
      </c>
      <c r="T56" s="43">
        <f t="shared" si="108"/>
        <v>-3.0195381882770822E-2</v>
      </c>
      <c r="U56" s="43">
        <f t="shared" si="108"/>
        <v>-4.9999999999999933E-2</v>
      </c>
      <c r="V56" s="43">
        <f t="shared" si="108"/>
        <v>-5.0000000000000044E-2</v>
      </c>
    </row>
    <row r="57" spans="1:22" x14ac:dyDescent="0.15">
      <c r="B57" s="69" t="s">
        <v>58</v>
      </c>
      <c r="C57" s="27"/>
      <c r="D57" s="34"/>
      <c r="E57" s="34"/>
      <c r="F57" s="43"/>
      <c r="G57" s="44">
        <f t="shared" si="107"/>
        <v>-5.3212851405622486E-2</v>
      </c>
      <c r="H57" s="43">
        <f t="shared" si="107"/>
        <v>-7.199211045364895E-2</v>
      </c>
      <c r="I57" s="43">
        <f t="shared" si="107"/>
        <v>-3.3073929961089488E-2</v>
      </c>
      <c r="J57" s="43">
        <f t="shared" si="107"/>
        <v>8.9766606822272443E-4</v>
      </c>
      <c r="K57" s="44">
        <f t="shared" si="107"/>
        <v>-4.1357370095440049E-2</v>
      </c>
      <c r="L57" s="43">
        <f t="shared" si="107"/>
        <v>-5.3134962805525987E-2</v>
      </c>
      <c r="M57" s="43">
        <f t="shared" si="107"/>
        <v>-7.9476861167002033E-2</v>
      </c>
      <c r="N57" s="43">
        <f t="shared" si="107"/>
        <v>-0.10852017937219727</v>
      </c>
      <c r="O57" s="44">
        <f t="shared" si="107"/>
        <v>-9.8451327433628277E-2</v>
      </c>
      <c r="P57" s="43">
        <f t="shared" si="107"/>
        <v>-2.2446689113355789E-2</v>
      </c>
      <c r="Q57" s="43">
        <f t="shared" si="107"/>
        <v>-6.3387978142076529E-2</v>
      </c>
      <c r="R57" s="43">
        <f t="shared" si="108"/>
        <v>-9.3561368209255535E-2</v>
      </c>
      <c r="S57" s="44">
        <f t="shared" si="108"/>
        <v>-1.2269938650306678E-3</v>
      </c>
      <c r="T57" s="43">
        <f t="shared" si="108"/>
        <v>-3.0998851894374235E-2</v>
      </c>
      <c r="U57" s="43">
        <f t="shared" si="108"/>
        <v>-5.0000000000000044E-2</v>
      </c>
      <c r="V57" s="43">
        <f t="shared" si="108"/>
        <v>-5.0000000000000044E-2</v>
      </c>
    </row>
    <row r="58" spans="1:22" x14ac:dyDescent="0.15">
      <c r="B58" s="69" t="s">
        <v>88</v>
      </c>
      <c r="C58" s="27"/>
      <c r="D58" s="34"/>
      <c r="E58" s="34"/>
      <c r="F58" s="43"/>
      <c r="G58" s="44">
        <f t="shared" si="107"/>
        <v>6.4356435643564414E-2</v>
      </c>
      <c r="H58" s="43">
        <f t="shared" si="107"/>
        <v>1.4218009478673022E-2</v>
      </c>
      <c r="I58" s="43">
        <f t="shared" si="107"/>
        <v>-1.9704433497536922E-2</v>
      </c>
      <c r="J58" s="43">
        <f t="shared" si="107"/>
        <v>-1.230425055928408E-2</v>
      </c>
      <c r="K58" s="44">
        <f t="shared" ref="K58:Q58" si="109">K7/G7-1</f>
        <v>-5.4651162790697705E-2</v>
      </c>
      <c r="L58" s="43">
        <f t="shared" si="109"/>
        <v>-4.5560747663551449E-2</v>
      </c>
      <c r="M58" s="43">
        <f t="shared" si="109"/>
        <v>-1.2562814070351758E-2</v>
      </c>
      <c r="N58" s="43">
        <f t="shared" si="109"/>
        <v>-6.7950169875424682E-2</v>
      </c>
      <c r="O58" s="44">
        <f t="shared" si="109"/>
        <v>-3.3210332103321027E-2</v>
      </c>
      <c r="P58" s="43">
        <f t="shared" si="109"/>
        <v>-1.346389228886169E-2</v>
      </c>
      <c r="Q58" s="43">
        <f t="shared" si="109"/>
        <v>-1.0178117048346036E-2</v>
      </c>
      <c r="R58" s="43">
        <f t="shared" si="108"/>
        <v>-0.10692588092345079</v>
      </c>
      <c r="S58" s="44">
        <f t="shared" si="108"/>
        <v>-8.3969465648854991E-2</v>
      </c>
      <c r="T58" s="43">
        <f t="shared" si="108"/>
        <v>-6.6997518610421802E-2</v>
      </c>
      <c r="U58" s="43">
        <f t="shared" si="108"/>
        <v>-9.9999999999999978E-2</v>
      </c>
      <c r="V58" s="43">
        <f t="shared" si="108"/>
        <v>-9.9999999999999978E-2</v>
      </c>
    </row>
    <row r="59" spans="1:22" x14ac:dyDescent="0.15">
      <c r="C59" s="27"/>
      <c r="D59" s="34"/>
      <c r="E59" s="34"/>
      <c r="F59" s="28"/>
      <c r="G59" s="27"/>
      <c r="H59" s="34"/>
      <c r="I59" s="34"/>
      <c r="J59" s="35"/>
      <c r="K59" s="27"/>
      <c r="L59" s="34"/>
      <c r="M59" s="34"/>
      <c r="N59" s="34"/>
      <c r="Q59" s="34"/>
      <c r="R59" s="85"/>
    </row>
    <row r="60" spans="1:22" s="28" customFormat="1" x14ac:dyDescent="0.15">
      <c r="A60" s="33"/>
      <c r="B60" s="69"/>
      <c r="C60" s="27"/>
      <c r="G60" s="27"/>
      <c r="J60" s="29"/>
      <c r="K60" s="27"/>
      <c r="O60" s="27"/>
      <c r="R60" s="85"/>
      <c r="S60" s="27"/>
    </row>
    <row r="61" spans="1:22" x14ac:dyDescent="0.15">
      <c r="B61" s="63"/>
      <c r="C61" s="62"/>
      <c r="G61" s="44"/>
      <c r="H61" s="90"/>
      <c r="I61" s="90"/>
      <c r="J61" s="90"/>
      <c r="K61" s="44"/>
      <c r="L61" s="90"/>
      <c r="M61" s="90"/>
      <c r="N61" s="90"/>
      <c r="O61" s="44"/>
      <c r="P61" s="90"/>
      <c r="Q61" s="90"/>
      <c r="R61" s="85"/>
    </row>
    <row r="62" spans="1:22" x14ac:dyDescent="0.15">
      <c r="R62" s="85"/>
    </row>
    <row r="63" spans="1:22" x14ac:dyDescent="0.15">
      <c r="B63" s="63"/>
      <c r="C63" s="44"/>
      <c r="D63" s="43"/>
      <c r="E63" s="43"/>
      <c r="F63" s="43"/>
      <c r="G63" s="44"/>
      <c r="H63" s="43"/>
      <c r="I63" s="43"/>
      <c r="J63" s="43"/>
      <c r="K63" s="44"/>
      <c r="L63" s="43"/>
      <c r="M63" s="43"/>
      <c r="N63" s="43"/>
      <c r="O63" s="44"/>
      <c r="P63" s="43"/>
      <c r="Q63" s="43"/>
      <c r="R63" s="85"/>
    </row>
  </sheetData>
  <hyperlinks>
    <hyperlink ref="A1" r:id="rId1" xr:uid="{EDCBF689-DFA5-934C-B6FC-5D6E9835B685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7EBE-1DCF-814D-89D9-C0446CB926E5}">
  <dimension ref="B4:C13"/>
  <sheetViews>
    <sheetView zoomScale="130" zoomScaleNormal="130" workbookViewId="0">
      <selection activeCell="C25" sqref="C25"/>
    </sheetView>
  </sheetViews>
  <sheetFormatPr baseColWidth="10" defaultRowHeight="13" x14ac:dyDescent="0.15"/>
  <cols>
    <col min="1" max="1" width="10.83203125" style="1"/>
    <col min="2" max="2" width="13" style="1" bestFit="1" customWidth="1"/>
    <col min="3" max="3" width="49.6640625" style="1" bestFit="1" customWidth="1"/>
    <col min="4" max="16384" width="10.83203125" style="1"/>
  </cols>
  <sheetData>
    <row r="4" spans="2:3" x14ac:dyDescent="0.15">
      <c r="B4" s="72" t="s">
        <v>73</v>
      </c>
    </row>
    <row r="6" spans="2:3" x14ac:dyDescent="0.15">
      <c r="B6" s="63" t="s">
        <v>60</v>
      </c>
      <c r="C6" s="63" t="s">
        <v>61</v>
      </c>
    </row>
    <row r="7" spans="2:3" x14ac:dyDescent="0.15">
      <c r="B7" s="63" t="s">
        <v>62</v>
      </c>
      <c r="C7" s="63" t="s">
        <v>63</v>
      </c>
    </row>
    <row r="8" spans="2:3" s="15" customFormat="1" x14ac:dyDescent="0.15">
      <c r="B8" s="15" t="s">
        <v>64</v>
      </c>
      <c r="C8" s="15" t="s">
        <v>75</v>
      </c>
    </row>
    <row r="9" spans="2:3" x14ac:dyDescent="0.15">
      <c r="B9" s="63"/>
      <c r="C9" s="63"/>
    </row>
    <row r="10" spans="2:3" x14ac:dyDescent="0.15">
      <c r="B10" s="72" t="s">
        <v>74</v>
      </c>
      <c r="C10" s="63"/>
    </row>
    <row r="11" spans="2:3" x14ac:dyDescent="0.15">
      <c r="B11" s="63"/>
      <c r="C11" s="63"/>
    </row>
    <row r="12" spans="2:3" x14ac:dyDescent="0.15">
      <c r="B12" s="63" t="s">
        <v>65</v>
      </c>
      <c r="C12" s="63" t="s">
        <v>66</v>
      </c>
    </row>
    <row r="13" spans="2:3" x14ac:dyDescent="0.15">
      <c r="B13" s="63" t="s">
        <v>67</v>
      </c>
      <c r="C13" s="6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2021-02-28T12:12:10Z</dcterms:modified>
</cp:coreProperties>
</file>