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34FB0D92-88F6-5C45-A810-6C86695E1E83}" xr6:coauthVersionLast="46" xr6:coauthVersionMax="46" xr10:uidLastSave="{00000000-0000-0000-0000-000000000000}"/>
  <bookViews>
    <workbookView xWindow="-55700" yWindow="-5940" windowWidth="27420" windowHeight="2708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2" l="1"/>
  <c r="J14" i="2" s="1"/>
  <c r="K14" i="2" s="1"/>
  <c r="L14" i="2" s="1"/>
  <c r="H14" i="2"/>
  <c r="S22" i="2"/>
  <c r="T22" i="2" s="1"/>
  <c r="U22" i="2" s="1"/>
  <c r="V22" i="2" s="1"/>
  <c r="R22" i="2"/>
  <c r="S21" i="2"/>
  <c r="T21" i="2" s="1"/>
  <c r="U21" i="2" s="1"/>
  <c r="V21" i="2" s="1"/>
  <c r="R21" i="2"/>
  <c r="S20" i="2"/>
  <c r="T20" i="2" s="1"/>
  <c r="U20" i="2" s="1"/>
  <c r="V20" i="2" s="1"/>
  <c r="R20" i="2"/>
  <c r="H11" i="2"/>
  <c r="I11" i="2" s="1"/>
  <c r="J11" i="2" s="1"/>
  <c r="K11" i="2" s="1"/>
  <c r="L11" i="2" s="1"/>
  <c r="H10" i="2"/>
  <c r="H15" i="2"/>
  <c r="N21" i="2"/>
  <c r="O21" i="2" s="1"/>
  <c r="P21" i="2" s="1"/>
  <c r="Q21" i="2" s="1"/>
  <c r="M21" i="2"/>
  <c r="O22" i="2"/>
  <c r="P22" i="2" s="1"/>
  <c r="Q22" i="2" s="1"/>
  <c r="N22" i="2"/>
  <c r="M22" i="2"/>
  <c r="N20" i="2"/>
  <c r="O20" i="2" s="1"/>
  <c r="P20" i="2" s="1"/>
  <c r="Q20" i="2" s="1"/>
  <c r="M20" i="2"/>
  <c r="I15" i="2"/>
  <c r="J15" i="2" s="1"/>
  <c r="K15" i="2" s="1"/>
  <c r="L15" i="2" s="1"/>
  <c r="I10" i="2"/>
  <c r="I22" i="2"/>
  <c r="J22" i="2" s="1"/>
  <c r="K22" i="2" s="1"/>
  <c r="L22" i="2" s="1"/>
  <c r="H22" i="2"/>
  <c r="I21" i="2"/>
  <c r="J21" i="2" s="1"/>
  <c r="K21" i="2" s="1"/>
  <c r="L21" i="2" s="1"/>
  <c r="L38" i="2" s="1"/>
  <c r="H21" i="2"/>
  <c r="I20" i="2"/>
  <c r="J20" i="2" s="1"/>
  <c r="K20" i="2" s="1"/>
  <c r="L20" i="2" s="1"/>
  <c r="H20" i="2"/>
  <c r="J10" i="2"/>
  <c r="K10" i="2" s="1"/>
  <c r="L10" i="2" s="1"/>
  <c r="L61" i="2"/>
  <c r="L60" i="2"/>
  <c r="V30" i="2"/>
  <c r="V9" i="2"/>
  <c r="L30" i="2"/>
  <c r="L13" i="2"/>
  <c r="L12" i="2"/>
  <c r="G63" i="2"/>
  <c r="G62" i="2"/>
  <c r="G61" i="2"/>
  <c r="G60" i="2"/>
  <c r="G59" i="2"/>
  <c r="G58" i="2"/>
  <c r="G54" i="2"/>
  <c r="G51" i="2"/>
  <c r="G53" i="2" s="1"/>
  <c r="G50" i="2"/>
  <c r="G56" i="2" s="1"/>
  <c r="G42" i="2"/>
  <c r="G48" i="2"/>
  <c r="G47" i="2"/>
  <c r="G46" i="2"/>
  <c r="G44" i="2"/>
  <c r="G43" i="2"/>
  <c r="C5" i="2"/>
  <c r="C3" i="2"/>
  <c r="G30" i="2"/>
  <c r="G29" i="2" s="1"/>
  <c r="G26" i="2"/>
  <c r="G23" i="2"/>
  <c r="G24" i="2" s="1"/>
  <c r="G19" i="2"/>
  <c r="G27" i="2"/>
  <c r="G25" i="2"/>
  <c r="G22" i="2"/>
  <c r="G21" i="2"/>
  <c r="G20" i="2"/>
  <c r="G18" i="2"/>
  <c r="G17" i="2"/>
  <c r="G15" i="2"/>
  <c r="G14" i="2"/>
  <c r="G13" i="2"/>
  <c r="G12" i="2"/>
  <c r="G11" i="2"/>
  <c r="G10" i="2"/>
  <c r="Y45" i="1"/>
  <c r="Y56" i="1"/>
  <c r="Y55" i="1"/>
  <c r="Y54" i="1"/>
  <c r="Y53" i="1"/>
  <c r="Y52" i="1"/>
  <c r="Y51" i="1"/>
  <c r="Y49" i="1"/>
  <c r="Y43" i="1"/>
  <c r="Y42" i="1"/>
  <c r="Y40" i="1"/>
  <c r="Y35" i="1"/>
  <c r="Y34" i="1" s="1"/>
  <c r="Y32" i="1"/>
  <c r="Y31" i="1"/>
  <c r="Y30" i="1"/>
  <c r="Y29" i="1"/>
  <c r="Y27" i="1"/>
  <c r="Y26" i="1"/>
  <c r="Y25" i="1"/>
  <c r="Y21" i="1"/>
  <c r="Y22" i="1" s="1"/>
  <c r="Y18" i="1"/>
  <c r="Y19" i="1" s="1"/>
  <c r="Y16" i="1"/>
  <c r="Y17" i="1" s="1"/>
  <c r="Y15" i="1"/>
  <c r="Y12" i="1"/>
  <c r="Y11" i="1"/>
  <c r="Y10" i="1"/>
  <c r="X56" i="1"/>
  <c r="X55" i="1"/>
  <c r="X54" i="1"/>
  <c r="X53" i="1"/>
  <c r="X52" i="1"/>
  <c r="X51" i="1"/>
  <c r="X45" i="1"/>
  <c r="X46" i="1" s="1"/>
  <c r="X43" i="1"/>
  <c r="X42" i="1"/>
  <c r="X40" i="1"/>
  <c r="X35" i="1"/>
  <c r="X34" i="1"/>
  <c r="X32" i="1"/>
  <c r="X31" i="1"/>
  <c r="X30" i="1"/>
  <c r="X29" i="1"/>
  <c r="X27" i="1"/>
  <c r="X26" i="1"/>
  <c r="X25" i="1"/>
  <c r="X21" i="1"/>
  <c r="X22" i="1" s="1"/>
  <c r="X19" i="1"/>
  <c r="X15" i="1"/>
  <c r="X16" i="1"/>
  <c r="X17" i="1" s="1"/>
  <c r="X12" i="1"/>
  <c r="X11" i="1"/>
  <c r="X10" i="1"/>
  <c r="H17" i="2" l="1"/>
  <c r="H36" i="2" s="1"/>
  <c r="L59" i="2"/>
  <c r="L58" i="2"/>
  <c r="G55" i="2"/>
  <c r="Y46" i="1"/>
  <c r="Y48" i="1"/>
  <c r="Y47" i="1"/>
  <c r="X48" i="1"/>
  <c r="X47" i="1"/>
  <c r="X49" i="1"/>
  <c r="L63" i="2"/>
  <c r="L62" i="2"/>
  <c r="W56" i="1"/>
  <c r="W55" i="1"/>
  <c r="W54" i="1"/>
  <c r="W53" i="1"/>
  <c r="W52" i="1"/>
  <c r="W51" i="1"/>
  <c r="W45" i="1"/>
  <c r="W47" i="1" s="1"/>
  <c r="W43" i="1"/>
  <c r="W42" i="1"/>
  <c r="W40" i="1"/>
  <c r="W35" i="1"/>
  <c r="W34" i="1" s="1"/>
  <c r="W32" i="1"/>
  <c r="W31" i="1"/>
  <c r="W30" i="1"/>
  <c r="W29" i="1"/>
  <c r="W27" i="1"/>
  <c r="W26" i="1"/>
  <c r="W25" i="1"/>
  <c r="W21" i="1"/>
  <c r="W22" i="1" s="1"/>
  <c r="W18" i="1"/>
  <c r="W19" i="1" s="1"/>
  <c r="V19" i="1"/>
  <c r="W16" i="1"/>
  <c r="W17" i="1" s="1"/>
  <c r="W15" i="1"/>
  <c r="W12" i="1"/>
  <c r="W11" i="1"/>
  <c r="W10" i="1"/>
  <c r="V10" i="1"/>
  <c r="L17" i="2" l="1"/>
  <c r="W48" i="1"/>
  <c r="W49" i="1"/>
  <c r="W46" i="1"/>
  <c r="U9" i="2" l="1"/>
  <c r="T9" i="2"/>
  <c r="S9" i="2"/>
  <c r="R9" i="2"/>
  <c r="F54" i="2"/>
  <c r="F51" i="2"/>
  <c r="F55" i="2" s="1"/>
  <c r="F50" i="2"/>
  <c r="F56" i="2" s="1"/>
  <c r="F42" i="2"/>
  <c r="F48" i="2"/>
  <c r="F47" i="2"/>
  <c r="F46" i="2"/>
  <c r="F44" i="2"/>
  <c r="F43" i="2"/>
  <c r="F27" i="2"/>
  <c r="F25" i="2"/>
  <c r="F22" i="2"/>
  <c r="F21" i="2"/>
  <c r="F20" i="2"/>
  <c r="F18" i="2"/>
  <c r="F15" i="2"/>
  <c r="F14" i="2"/>
  <c r="F13" i="2"/>
  <c r="F12" i="2"/>
  <c r="F11" i="2"/>
  <c r="F10" i="2"/>
  <c r="V40" i="1"/>
  <c r="V35" i="1"/>
  <c r="V56" i="1"/>
  <c r="V55" i="1"/>
  <c r="V54" i="1"/>
  <c r="V53" i="1"/>
  <c r="V52" i="1"/>
  <c r="V51" i="1"/>
  <c r="V43" i="1"/>
  <c r="V42" i="1"/>
  <c r="V32" i="1"/>
  <c r="V31" i="1"/>
  <c r="V30" i="1"/>
  <c r="V29" i="1"/>
  <c r="V18" i="1"/>
  <c r="V16" i="1"/>
  <c r="V15" i="1"/>
  <c r="V11" i="1"/>
  <c r="V12" i="1" s="1"/>
  <c r="V25" i="1" s="1"/>
  <c r="U34" i="1"/>
  <c r="U21" i="1"/>
  <c r="U22" i="1" s="1"/>
  <c r="U19" i="1"/>
  <c r="U16" i="1"/>
  <c r="U17" i="1" s="1"/>
  <c r="U42" i="1"/>
  <c r="U43" i="1"/>
  <c r="U40" i="1"/>
  <c r="U35" i="1"/>
  <c r="U32" i="1"/>
  <c r="U31" i="1"/>
  <c r="U30" i="1"/>
  <c r="U29" i="1"/>
  <c r="U18" i="1"/>
  <c r="U15" i="1"/>
  <c r="U12" i="1"/>
  <c r="U11" i="1"/>
  <c r="U10" i="1"/>
  <c r="V17" i="1" l="1"/>
  <c r="F53" i="2"/>
  <c r="V34" i="1"/>
  <c r="V26" i="1" l="1"/>
  <c r="C4" i="2"/>
  <c r="V27" i="1" l="1"/>
  <c r="V21" i="1"/>
  <c r="R52" i="1"/>
  <c r="F30" i="2"/>
  <c r="H12" i="2"/>
  <c r="I12" i="2" s="1"/>
  <c r="J12" i="2" s="1"/>
  <c r="K12" i="2" s="1"/>
  <c r="U54" i="1"/>
  <c r="U56" i="1"/>
  <c r="U52" i="1"/>
  <c r="U55" i="1"/>
  <c r="U53" i="1"/>
  <c r="T40" i="1"/>
  <c r="T35" i="1"/>
  <c r="T42" i="1" s="1"/>
  <c r="T18" i="1"/>
  <c r="T15" i="1"/>
  <c r="T11" i="1"/>
  <c r="T56" i="1"/>
  <c r="T55" i="1"/>
  <c r="T54" i="1"/>
  <c r="T53" i="1"/>
  <c r="T52" i="1"/>
  <c r="T51" i="1"/>
  <c r="T43" i="1"/>
  <c r="T31" i="1"/>
  <c r="T30" i="1"/>
  <c r="T10" i="1"/>
  <c r="S40" i="1"/>
  <c r="S43" i="1" s="1"/>
  <c r="S35" i="1"/>
  <c r="S34" i="1" s="1"/>
  <c r="S18" i="1"/>
  <c r="S15" i="1"/>
  <c r="S11" i="1"/>
  <c r="S10" i="1"/>
  <c r="S56" i="1"/>
  <c r="S55" i="1"/>
  <c r="S54" i="1"/>
  <c r="S53" i="1"/>
  <c r="S52" i="1"/>
  <c r="S51" i="1"/>
  <c r="S31" i="1"/>
  <c r="S30" i="1"/>
  <c r="V22" i="1" l="1"/>
  <c r="V45" i="1"/>
  <c r="H13" i="2"/>
  <c r="I13" i="2" s="1"/>
  <c r="J13" i="2" s="1"/>
  <c r="K13" i="2" s="1"/>
  <c r="F38" i="2"/>
  <c r="U51" i="1"/>
  <c r="T29" i="1"/>
  <c r="T34" i="1"/>
  <c r="T12" i="1"/>
  <c r="T25" i="1" s="1"/>
  <c r="T16" i="1"/>
  <c r="T17" i="1" s="1"/>
  <c r="S42" i="1"/>
  <c r="S12" i="1"/>
  <c r="S25" i="1" s="1"/>
  <c r="S16" i="1"/>
  <c r="R40" i="1"/>
  <c r="R35" i="1"/>
  <c r="R42" i="1" s="1"/>
  <c r="R18" i="1"/>
  <c r="R15" i="1"/>
  <c r="R11" i="1"/>
  <c r="R56" i="1"/>
  <c r="R55" i="1"/>
  <c r="R54" i="1"/>
  <c r="R53" i="1"/>
  <c r="R51" i="1"/>
  <c r="R10" i="1"/>
  <c r="R43" i="1"/>
  <c r="R34" i="1"/>
  <c r="R31" i="1"/>
  <c r="R30" i="1"/>
  <c r="R29" i="1"/>
  <c r="Q35" i="1"/>
  <c r="Q42" i="1" s="1"/>
  <c r="H30" i="2"/>
  <c r="I30" i="2" s="1"/>
  <c r="J30" i="2" s="1"/>
  <c r="K30" i="2" s="1"/>
  <c r="M30" i="2" s="1"/>
  <c r="N30" i="2" s="1"/>
  <c r="O30" i="2" s="1"/>
  <c r="P30" i="2" s="1"/>
  <c r="Q30" i="2" s="1"/>
  <c r="R30" i="2" s="1"/>
  <c r="S30" i="2" s="1"/>
  <c r="T30" i="2" s="1"/>
  <c r="U30" i="2" s="1"/>
  <c r="H60" i="2"/>
  <c r="E27" i="2"/>
  <c r="E21" i="2"/>
  <c r="E20" i="2"/>
  <c r="E15" i="2"/>
  <c r="E14" i="2"/>
  <c r="E13" i="2"/>
  <c r="E12" i="2"/>
  <c r="F60" i="2" s="1"/>
  <c r="E11" i="2"/>
  <c r="E10" i="2"/>
  <c r="E47" i="2"/>
  <c r="E46" i="2"/>
  <c r="E44" i="2"/>
  <c r="D44" i="2"/>
  <c r="C44" i="2"/>
  <c r="B43" i="2"/>
  <c r="B42" i="2" s="1"/>
  <c r="B44" i="2"/>
  <c r="Q40" i="1"/>
  <c r="Q43" i="1" s="1"/>
  <c r="Q20" i="1"/>
  <c r="Q18" i="1"/>
  <c r="Q15" i="1"/>
  <c r="Q11" i="1"/>
  <c r="Q10" i="1"/>
  <c r="P10" i="1"/>
  <c r="N10" i="1"/>
  <c r="N11" i="1"/>
  <c r="N12" i="1" s="1"/>
  <c r="N15" i="1"/>
  <c r="N32" i="1" s="1"/>
  <c r="N16" i="1"/>
  <c r="N18" i="1"/>
  <c r="E25" i="2" s="1"/>
  <c r="O10" i="1"/>
  <c r="O29" i="1" s="1"/>
  <c r="O11" i="1"/>
  <c r="E18" i="2" s="1"/>
  <c r="O15" i="1"/>
  <c r="O16" i="1"/>
  <c r="O18" i="1"/>
  <c r="O20" i="1"/>
  <c r="P11" i="1"/>
  <c r="P15" i="1"/>
  <c r="T32" i="1" s="1"/>
  <c r="P18" i="1"/>
  <c r="P20" i="1"/>
  <c r="P40" i="1"/>
  <c r="P43" i="1" s="1"/>
  <c r="M10" i="1"/>
  <c r="M12" i="1" s="1"/>
  <c r="M11" i="1"/>
  <c r="M15" i="1"/>
  <c r="D22" i="2" s="1"/>
  <c r="M18" i="1"/>
  <c r="L10" i="1"/>
  <c r="L12" i="1" s="1"/>
  <c r="L11" i="1"/>
  <c r="L16" i="1"/>
  <c r="L18" i="1"/>
  <c r="L20" i="1"/>
  <c r="O40" i="1"/>
  <c r="O43" i="1" s="1"/>
  <c r="K10" i="1"/>
  <c r="K11" i="1"/>
  <c r="K16" i="1"/>
  <c r="K18" i="1"/>
  <c r="K20" i="1"/>
  <c r="D27" i="2" s="1"/>
  <c r="N40" i="1"/>
  <c r="N43" i="1" s="1"/>
  <c r="N35" i="1"/>
  <c r="N34" i="1" s="1"/>
  <c r="O35" i="1"/>
  <c r="O42" i="1" s="1"/>
  <c r="P35" i="1"/>
  <c r="P42" i="1" s="1"/>
  <c r="M35" i="1"/>
  <c r="D43" i="2" s="1"/>
  <c r="P34" i="1"/>
  <c r="Q54" i="1"/>
  <c r="Q53" i="1"/>
  <c r="D10" i="2"/>
  <c r="D15" i="2"/>
  <c r="D14" i="2"/>
  <c r="D13" i="2"/>
  <c r="D12" i="2"/>
  <c r="D11" i="2"/>
  <c r="Q23" i="1"/>
  <c r="E30" i="2" s="1"/>
  <c r="I8" i="1"/>
  <c r="C15" i="2" s="1"/>
  <c r="I7" i="1"/>
  <c r="I55" i="1" s="1"/>
  <c r="C14" i="2"/>
  <c r="I6" i="1"/>
  <c r="C13" i="2"/>
  <c r="I5" i="1"/>
  <c r="C12" i="2" s="1"/>
  <c r="I3" i="1"/>
  <c r="C10" i="2"/>
  <c r="B14" i="2"/>
  <c r="B3" i="1"/>
  <c r="B10" i="1" s="1"/>
  <c r="B12" i="1" s="1"/>
  <c r="C3" i="1"/>
  <c r="C10" i="1" s="1"/>
  <c r="C12" i="1" s="1"/>
  <c r="D3" i="1"/>
  <c r="H51" i="1" s="1"/>
  <c r="E3" i="1"/>
  <c r="I51" i="1" s="1"/>
  <c r="I35" i="1"/>
  <c r="C43" i="2" s="1"/>
  <c r="C42" i="2" s="1"/>
  <c r="D30" i="2"/>
  <c r="C30" i="2"/>
  <c r="J11" i="1"/>
  <c r="D18" i="2" s="1"/>
  <c r="D20" i="2"/>
  <c r="D21" i="2"/>
  <c r="J18" i="1"/>
  <c r="B11" i="2"/>
  <c r="B12" i="2"/>
  <c r="B13" i="2"/>
  <c r="B15" i="2"/>
  <c r="B11" i="1"/>
  <c r="C11" i="1"/>
  <c r="D11" i="1"/>
  <c r="E11" i="1"/>
  <c r="B18" i="2"/>
  <c r="B20" i="2"/>
  <c r="B21" i="2"/>
  <c r="B22" i="2"/>
  <c r="B23" i="2"/>
  <c r="B18" i="1"/>
  <c r="B25" i="2" s="1"/>
  <c r="C18" i="1"/>
  <c r="D18" i="1"/>
  <c r="E18" i="1"/>
  <c r="B20" i="1"/>
  <c r="B27" i="2" s="1"/>
  <c r="C20" i="1"/>
  <c r="D20" i="1"/>
  <c r="E20" i="1"/>
  <c r="B30" i="2"/>
  <c r="Q56" i="1"/>
  <c r="Q55" i="1"/>
  <c r="Q52" i="1"/>
  <c r="Q51" i="1"/>
  <c r="Q31" i="1"/>
  <c r="Q30" i="1"/>
  <c r="P56" i="1"/>
  <c r="O56" i="1"/>
  <c r="N56" i="1"/>
  <c r="L56" i="1"/>
  <c r="K56" i="1"/>
  <c r="J56" i="1"/>
  <c r="P55" i="1"/>
  <c r="O55" i="1"/>
  <c r="N55" i="1"/>
  <c r="M55" i="1"/>
  <c r="L55" i="1"/>
  <c r="K55" i="1"/>
  <c r="J55" i="1"/>
  <c r="H55" i="1"/>
  <c r="G55" i="1"/>
  <c r="F55" i="1"/>
  <c r="P54" i="1"/>
  <c r="O54" i="1"/>
  <c r="N54" i="1"/>
  <c r="M54" i="1"/>
  <c r="L54" i="1"/>
  <c r="K54" i="1"/>
  <c r="J54" i="1"/>
  <c r="P53" i="1"/>
  <c r="O53" i="1"/>
  <c r="N53" i="1"/>
  <c r="M53" i="1"/>
  <c r="L53" i="1"/>
  <c r="K53" i="1"/>
  <c r="J53" i="1"/>
  <c r="P52" i="1"/>
  <c r="P51" i="1"/>
  <c r="O51" i="1"/>
  <c r="N51" i="1"/>
  <c r="M51" i="1"/>
  <c r="L51" i="1"/>
  <c r="K51" i="1"/>
  <c r="J51" i="1"/>
  <c r="G51" i="1"/>
  <c r="M32" i="1"/>
  <c r="M31" i="1"/>
  <c r="M30" i="1"/>
  <c r="N31" i="1"/>
  <c r="N30" i="1"/>
  <c r="J10" i="1"/>
  <c r="J12" i="1" s="1"/>
  <c r="O32" i="1"/>
  <c r="O31" i="1"/>
  <c r="O30" i="1"/>
  <c r="P32" i="1"/>
  <c r="P31" i="1"/>
  <c r="P30" i="1"/>
  <c r="F18" i="1"/>
  <c r="G18" i="1"/>
  <c r="H18" i="1"/>
  <c r="I18" i="1"/>
  <c r="E35" i="1"/>
  <c r="E34" i="1"/>
  <c r="C11" i="2"/>
  <c r="F11" i="1"/>
  <c r="G11" i="1"/>
  <c r="H11" i="1"/>
  <c r="I11" i="1"/>
  <c r="C18" i="2"/>
  <c r="C20" i="2"/>
  <c r="C21" i="2"/>
  <c r="C22" i="2"/>
  <c r="L35" i="1"/>
  <c r="L34" i="1" s="1"/>
  <c r="L36" i="1"/>
  <c r="J16" i="1"/>
  <c r="B16" i="1"/>
  <c r="D35" i="1"/>
  <c r="B35" i="1"/>
  <c r="B34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F31" i="1"/>
  <c r="F32" i="1"/>
  <c r="F30" i="1"/>
  <c r="F10" i="1"/>
  <c r="F12" i="1" s="1"/>
  <c r="F20" i="1"/>
  <c r="G20" i="1"/>
  <c r="H20" i="1"/>
  <c r="I20" i="1"/>
  <c r="C16" i="1"/>
  <c r="D16" i="1"/>
  <c r="E16" i="1"/>
  <c r="G10" i="1"/>
  <c r="H10" i="1"/>
  <c r="L29" i="1" s="1"/>
  <c r="C35" i="1"/>
  <c r="C34" i="1" s="1"/>
  <c r="D34" i="1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F35" i="1"/>
  <c r="F34" i="1"/>
  <c r="H16" i="1"/>
  <c r="F16" i="1"/>
  <c r="K35" i="1"/>
  <c r="K34" i="1" s="1"/>
  <c r="G35" i="1"/>
  <c r="G34" i="1" s="1"/>
  <c r="H35" i="1"/>
  <c r="H34" i="1" s="1"/>
  <c r="J35" i="1"/>
  <c r="J34" i="1" s="1"/>
  <c r="I16" i="1"/>
  <c r="G16" i="1"/>
  <c r="V48" i="1" l="1"/>
  <c r="V46" i="1"/>
  <c r="V47" i="1"/>
  <c r="V49" i="1"/>
  <c r="L17" i="1"/>
  <c r="L25" i="1"/>
  <c r="C25" i="1"/>
  <c r="C17" i="1"/>
  <c r="C19" i="1" s="1"/>
  <c r="B25" i="1"/>
  <c r="B17" i="1"/>
  <c r="B26" i="1" s="1"/>
  <c r="C25" i="2"/>
  <c r="I34" i="1"/>
  <c r="N42" i="1"/>
  <c r="E22" i="2"/>
  <c r="E39" i="2" s="1"/>
  <c r="O12" i="1"/>
  <c r="C27" i="2"/>
  <c r="F51" i="1"/>
  <c r="M16" i="1"/>
  <c r="M17" i="1" s="1"/>
  <c r="C23" i="2"/>
  <c r="C40" i="2" s="1"/>
  <c r="E48" i="2"/>
  <c r="R16" i="1"/>
  <c r="G29" i="1"/>
  <c r="M56" i="1"/>
  <c r="O34" i="1"/>
  <c r="K12" i="1"/>
  <c r="E58" i="2"/>
  <c r="D10" i="1"/>
  <c r="N29" i="1"/>
  <c r="D25" i="2"/>
  <c r="P16" i="1"/>
  <c r="P12" i="1"/>
  <c r="P25" i="1" s="1"/>
  <c r="E59" i="2"/>
  <c r="R32" i="1"/>
  <c r="D42" i="2"/>
  <c r="F17" i="2"/>
  <c r="F36" i="2" s="1"/>
  <c r="Q29" i="1"/>
  <c r="E61" i="2"/>
  <c r="H12" i="1"/>
  <c r="H17" i="1" s="1"/>
  <c r="I10" i="1"/>
  <c r="I12" i="1" s="1"/>
  <c r="Q32" i="1"/>
  <c r="E62" i="2"/>
  <c r="S29" i="1"/>
  <c r="C62" i="2"/>
  <c r="R12" i="1"/>
  <c r="R17" i="1" s="1"/>
  <c r="R26" i="1" s="1"/>
  <c r="E37" i="2"/>
  <c r="S32" i="1"/>
  <c r="C39" i="2"/>
  <c r="C38" i="2"/>
  <c r="E60" i="2"/>
  <c r="E17" i="2"/>
  <c r="D61" i="2"/>
  <c r="D39" i="2"/>
  <c r="C17" i="2"/>
  <c r="D62" i="2"/>
  <c r="D63" i="2"/>
  <c r="E38" i="2"/>
  <c r="D17" i="2"/>
  <c r="D19" i="2" s="1"/>
  <c r="E51" i="2"/>
  <c r="U25" i="1"/>
  <c r="T26" i="1"/>
  <c r="T19" i="1"/>
  <c r="S17" i="1"/>
  <c r="S26" i="1" s="1"/>
  <c r="C6" i="2"/>
  <c r="C7" i="2" s="1"/>
  <c r="C27" i="1"/>
  <c r="C21" i="1"/>
  <c r="C22" i="1" s="1"/>
  <c r="N25" i="1"/>
  <c r="N17" i="1"/>
  <c r="H19" i="1"/>
  <c r="H26" i="1"/>
  <c r="K17" i="1"/>
  <c r="K25" i="1"/>
  <c r="P17" i="1"/>
  <c r="F17" i="1"/>
  <c r="F25" i="1"/>
  <c r="F63" i="2"/>
  <c r="L26" i="1"/>
  <c r="L19" i="1"/>
  <c r="F37" i="2"/>
  <c r="C19" i="2"/>
  <c r="F59" i="2"/>
  <c r="H38" i="2"/>
  <c r="J25" i="1"/>
  <c r="J17" i="1"/>
  <c r="M25" i="1"/>
  <c r="M29" i="1"/>
  <c r="I60" i="2"/>
  <c r="E43" i="2"/>
  <c r="F29" i="1"/>
  <c r="B10" i="2"/>
  <c r="E63" i="2"/>
  <c r="F61" i="2"/>
  <c r="M34" i="1"/>
  <c r="Q12" i="1"/>
  <c r="G38" i="2"/>
  <c r="G12" i="1"/>
  <c r="D37" i="2"/>
  <c r="D23" i="2"/>
  <c r="Q16" i="1"/>
  <c r="F58" i="2"/>
  <c r="F62" i="2"/>
  <c r="D38" i="2"/>
  <c r="E10" i="1"/>
  <c r="E12" i="1" s="1"/>
  <c r="P29" i="1"/>
  <c r="J29" i="1"/>
  <c r="D58" i="2"/>
  <c r="K29" i="1"/>
  <c r="C37" i="2"/>
  <c r="Q34" i="1"/>
  <c r="D60" i="2"/>
  <c r="F23" i="2" l="1"/>
  <c r="O17" i="1"/>
  <c r="O25" i="1"/>
  <c r="E23" i="2"/>
  <c r="E40" i="2" s="1"/>
  <c r="D12" i="1"/>
  <c r="H29" i="1"/>
  <c r="R25" i="1"/>
  <c r="E36" i="2"/>
  <c r="B19" i="1"/>
  <c r="B21" i="1" s="1"/>
  <c r="B22" i="1" s="1"/>
  <c r="H25" i="1"/>
  <c r="R19" i="1"/>
  <c r="R21" i="1" s="1"/>
  <c r="R22" i="1" s="1"/>
  <c r="F19" i="2"/>
  <c r="D40" i="2"/>
  <c r="C26" i="1"/>
  <c r="K59" i="2"/>
  <c r="J60" i="2"/>
  <c r="K60" i="2"/>
  <c r="D36" i="2"/>
  <c r="E19" i="2"/>
  <c r="E24" i="2" s="1"/>
  <c r="T27" i="1"/>
  <c r="T21" i="1"/>
  <c r="S19" i="1"/>
  <c r="S21" i="1" s="1"/>
  <c r="Q25" i="1"/>
  <c r="Q17" i="1"/>
  <c r="P26" i="1"/>
  <c r="P19" i="1"/>
  <c r="C24" i="2"/>
  <c r="C32" i="2"/>
  <c r="K19" i="1"/>
  <c r="K26" i="1"/>
  <c r="E25" i="1"/>
  <c r="E17" i="1"/>
  <c r="I17" i="1"/>
  <c r="I25" i="1"/>
  <c r="B17" i="2"/>
  <c r="C58" i="2"/>
  <c r="I29" i="1"/>
  <c r="G37" i="2"/>
  <c r="H27" i="1"/>
  <c r="H21" i="1"/>
  <c r="H22" i="1" s="1"/>
  <c r="M26" i="1"/>
  <c r="M19" i="1"/>
  <c r="E42" i="2"/>
  <c r="E50" i="2"/>
  <c r="H62" i="2"/>
  <c r="L27" i="1"/>
  <c r="L21" i="1"/>
  <c r="N26" i="1"/>
  <c r="N19" i="1"/>
  <c r="H61" i="2"/>
  <c r="D32" i="2"/>
  <c r="D24" i="2"/>
  <c r="J19" i="1"/>
  <c r="J26" i="1"/>
  <c r="G17" i="1"/>
  <c r="G25" i="1"/>
  <c r="F39" i="2"/>
  <c r="I38" i="2"/>
  <c r="F26" i="1"/>
  <c r="F19" i="1"/>
  <c r="R27" i="1"/>
  <c r="L39" i="2" l="1"/>
  <c r="R38" i="2"/>
  <c r="E32" i="2"/>
  <c r="O19" i="1"/>
  <c r="O26" i="1"/>
  <c r="F32" i="2"/>
  <c r="F24" i="2"/>
  <c r="F26" i="2" s="1"/>
  <c r="F28" i="2" s="1"/>
  <c r="G36" i="2"/>
  <c r="D17" i="1"/>
  <c r="D25" i="1"/>
  <c r="U26" i="1"/>
  <c r="B27" i="1"/>
  <c r="F40" i="2"/>
  <c r="T22" i="1"/>
  <c r="S27" i="1"/>
  <c r="S22" i="1"/>
  <c r="G19" i="1"/>
  <c r="G26" i="1"/>
  <c r="I61" i="2"/>
  <c r="M27" i="1"/>
  <c r="M21" i="1"/>
  <c r="B19" i="2"/>
  <c r="B32" i="2" s="1"/>
  <c r="C36" i="2"/>
  <c r="K27" i="1"/>
  <c r="K21" i="1"/>
  <c r="L22" i="1"/>
  <c r="C26" i="2"/>
  <c r="C33" i="2"/>
  <c r="H23" i="2"/>
  <c r="H40" i="2" s="1"/>
  <c r="G39" i="2"/>
  <c r="P21" i="1"/>
  <c r="P27" i="1"/>
  <c r="H59" i="2"/>
  <c r="I19" i="1"/>
  <c r="I26" i="1"/>
  <c r="F27" i="1"/>
  <c r="F21" i="1"/>
  <c r="F22" i="1" s="1"/>
  <c r="I62" i="2"/>
  <c r="H37" i="2"/>
  <c r="J27" i="1"/>
  <c r="J21" i="1"/>
  <c r="J22" i="1" s="1"/>
  <c r="H58" i="2"/>
  <c r="E33" i="2"/>
  <c r="E26" i="2"/>
  <c r="E26" i="1"/>
  <c r="E19" i="1"/>
  <c r="J38" i="2"/>
  <c r="H63" i="2"/>
  <c r="Q26" i="1"/>
  <c r="Q19" i="1"/>
  <c r="D33" i="2"/>
  <c r="D26" i="2"/>
  <c r="N27" i="1"/>
  <c r="N21" i="1"/>
  <c r="G40" i="2"/>
  <c r="V39" i="2" l="1"/>
  <c r="S38" i="2"/>
  <c r="I17" i="2"/>
  <c r="U27" i="1"/>
  <c r="U45" i="1"/>
  <c r="O21" i="1"/>
  <c r="O22" i="1" s="1"/>
  <c r="O27" i="1"/>
  <c r="D26" i="1"/>
  <c r="D19" i="1"/>
  <c r="J62" i="2"/>
  <c r="J61" i="2"/>
  <c r="K61" i="2"/>
  <c r="K38" i="2"/>
  <c r="N45" i="1"/>
  <c r="K22" i="1"/>
  <c r="E21" i="1"/>
  <c r="E22" i="1" s="1"/>
  <c r="E27" i="1"/>
  <c r="N22" i="1"/>
  <c r="I58" i="2"/>
  <c r="D28" i="2"/>
  <c r="D29" i="2" s="1"/>
  <c r="D34" i="2"/>
  <c r="B24" i="2"/>
  <c r="E28" i="2"/>
  <c r="E34" i="2"/>
  <c r="P22" i="1"/>
  <c r="P45" i="1"/>
  <c r="M22" i="1"/>
  <c r="Q27" i="1"/>
  <c r="Q21" i="1"/>
  <c r="H39" i="2"/>
  <c r="I27" i="1"/>
  <c r="I21" i="1"/>
  <c r="I22" i="1" s="1"/>
  <c r="I63" i="2"/>
  <c r="I59" i="2"/>
  <c r="J59" i="2"/>
  <c r="I37" i="2"/>
  <c r="C28" i="2"/>
  <c r="C29" i="2" s="1"/>
  <c r="C34" i="2"/>
  <c r="O45" i="1"/>
  <c r="G21" i="1"/>
  <c r="G22" i="1" s="1"/>
  <c r="G27" i="1"/>
  <c r="T38" i="2" l="1"/>
  <c r="J17" i="2"/>
  <c r="Q22" i="1"/>
  <c r="S45" i="1"/>
  <c r="T45" i="1"/>
  <c r="D27" i="1"/>
  <c r="D21" i="1"/>
  <c r="D22" i="1" s="1"/>
  <c r="K62" i="2"/>
  <c r="J63" i="2"/>
  <c r="K63" i="2"/>
  <c r="J58" i="2"/>
  <c r="O49" i="1"/>
  <c r="O47" i="1"/>
  <c r="O48" i="1"/>
  <c r="O46" i="1"/>
  <c r="P46" i="1"/>
  <c r="P49" i="1"/>
  <c r="P48" i="1"/>
  <c r="P47" i="1"/>
  <c r="F33" i="2"/>
  <c r="B26" i="2"/>
  <c r="B33" i="2"/>
  <c r="I39" i="2"/>
  <c r="I36" i="2"/>
  <c r="Q45" i="1"/>
  <c r="R45" i="1"/>
  <c r="I23" i="2"/>
  <c r="I40" i="2" s="1"/>
  <c r="G33" i="2"/>
  <c r="G32" i="2"/>
  <c r="H19" i="2" s="1"/>
  <c r="J37" i="2"/>
  <c r="E55" i="2"/>
  <c r="E54" i="2"/>
  <c r="E53" i="2"/>
  <c r="E29" i="2"/>
  <c r="E56" i="2"/>
  <c r="N49" i="1"/>
  <c r="N46" i="1"/>
  <c r="N48" i="1"/>
  <c r="N47" i="1"/>
  <c r="U38" i="2" l="1"/>
  <c r="V38" i="2"/>
  <c r="L37" i="2"/>
  <c r="L23" i="2"/>
  <c r="K58" i="2"/>
  <c r="K17" i="2"/>
  <c r="L36" i="2" s="1"/>
  <c r="T46" i="1"/>
  <c r="T49" i="1"/>
  <c r="T48" i="1"/>
  <c r="T47" i="1"/>
  <c r="U48" i="1"/>
  <c r="U49" i="1"/>
  <c r="U46" i="1"/>
  <c r="U47" i="1"/>
  <c r="S46" i="1"/>
  <c r="S49" i="1"/>
  <c r="S48" i="1"/>
  <c r="S47" i="1"/>
  <c r="J39" i="2"/>
  <c r="F34" i="2"/>
  <c r="M38" i="2"/>
  <c r="J36" i="2"/>
  <c r="B34" i="2"/>
  <c r="B28" i="2"/>
  <c r="B29" i="2" s="1"/>
  <c r="K37" i="2"/>
  <c r="K23" i="2"/>
  <c r="J23" i="2"/>
  <c r="J40" i="2" s="1"/>
  <c r="H32" i="2"/>
  <c r="I19" i="2" s="1"/>
  <c r="H24" i="2"/>
  <c r="H18" i="2"/>
  <c r="R49" i="1"/>
  <c r="R48" i="1"/>
  <c r="R47" i="1"/>
  <c r="R46" i="1"/>
  <c r="Q46" i="1"/>
  <c r="Q49" i="1"/>
  <c r="Q48" i="1"/>
  <c r="Q47" i="1"/>
  <c r="L40" i="2" l="1"/>
  <c r="R37" i="2"/>
  <c r="I18" i="2"/>
  <c r="K40" i="2"/>
  <c r="K36" i="2"/>
  <c r="N38" i="2"/>
  <c r="F29" i="2"/>
  <c r="H33" i="2"/>
  <c r="I24" i="2"/>
  <c r="I32" i="2"/>
  <c r="J19" i="2" s="1"/>
  <c r="K39" i="2"/>
  <c r="S37" i="2" l="1"/>
  <c r="I33" i="2"/>
  <c r="J32" i="2"/>
  <c r="K19" i="2" s="1"/>
  <c r="J24" i="2"/>
  <c r="J18" i="2"/>
  <c r="O38" i="2"/>
  <c r="M17" i="2"/>
  <c r="M37" i="2"/>
  <c r="M23" i="2"/>
  <c r="T37" i="2" l="1"/>
  <c r="M40" i="2"/>
  <c r="P38" i="2"/>
  <c r="Q38" i="2"/>
  <c r="J33" i="2"/>
  <c r="K24" i="2"/>
  <c r="K32" i="2"/>
  <c r="L19" i="2" s="1"/>
  <c r="K18" i="2"/>
  <c r="N37" i="2"/>
  <c r="M36" i="2"/>
  <c r="N17" i="2"/>
  <c r="N23" i="2"/>
  <c r="N40" i="2" s="1"/>
  <c r="M39" i="2"/>
  <c r="U37" i="2" l="1"/>
  <c r="L18" i="2"/>
  <c r="L24" i="2"/>
  <c r="L32" i="2"/>
  <c r="M19" i="2" s="1"/>
  <c r="G28" i="2"/>
  <c r="N36" i="2"/>
  <c r="O17" i="2"/>
  <c r="O37" i="2"/>
  <c r="K33" i="2"/>
  <c r="G34" i="2"/>
  <c r="N39" i="2"/>
  <c r="V37" i="2" l="1"/>
  <c r="V23" i="2"/>
  <c r="L33" i="2"/>
  <c r="O39" i="2"/>
  <c r="P23" i="2"/>
  <c r="P37" i="2"/>
  <c r="M32" i="2"/>
  <c r="N19" i="2" s="1"/>
  <c r="M24" i="2"/>
  <c r="M18" i="2"/>
  <c r="O23" i="2"/>
  <c r="O40" i="2" s="1"/>
  <c r="O36" i="2"/>
  <c r="P17" i="2"/>
  <c r="P40" i="2" l="1"/>
  <c r="M33" i="2"/>
  <c r="P36" i="2"/>
  <c r="Q17" i="2"/>
  <c r="R17" i="2" s="1"/>
  <c r="S17" i="2" s="1"/>
  <c r="T17" i="2" s="1"/>
  <c r="U17" i="2" s="1"/>
  <c r="V17" i="2" s="1"/>
  <c r="Q37" i="2"/>
  <c r="N24" i="2"/>
  <c r="N32" i="2"/>
  <c r="O19" i="2" s="1"/>
  <c r="N18" i="2"/>
  <c r="P39" i="2"/>
  <c r="R36" i="2" l="1"/>
  <c r="Q39" i="2"/>
  <c r="Q23" i="2"/>
  <c r="Q40" i="2" s="1"/>
  <c r="H25" i="2"/>
  <c r="H26" i="2" s="1"/>
  <c r="O32" i="2"/>
  <c r="P19" i="2" s="1"/>
  <c r="O24" i="2"/>
  <c r="O18" i="2"/>
  <c r="N33" i="2"/>
  <c r="Q36" i="2"/>
  <c r="S36" i="2" l="1"/>
  <c r="R39" i="2"/>
  <c r="R23" i="2"/>
  <c r="R40" i="2" s="1"/>
  <c r="H27" i="2"/>
  <c r="H34" i="2" s="1"/>
  <c r="O33" i="2"/>
  <c r="P24" i="2"/>
  <c r="P32" i="2"/>
  <c r="Q19" i="2" s="1"/>
  <c r="P18" i="2"/>
  <c r="T36" i="2" l="1"/>
  <c r="S39" i="2"/>
  <c r="S23" i="2"/>
  <c r="S40" i="2" s="1"/>
  <c r="H28" i="2"/>
  <c r="Q24" i="2"/>
  <c r="Q32" i="2"/>
  <c r="R19" i="2" s="1"/>
  <c r="Q18" i="2"/>
  <c r="P33" i="2"/>
  <c r="U36" i="2" l="1"/>
  <c r="T39" i="2"/>
  <c r="T23" i="2"/>
  <c r="T40" i="2" s="1"/>
  <c r="R18" i="2"/>
  <c r="R24" i="2"/>
  <c r="R32" i="2"/>
  <c r="S19" i="2" s="1"/>
  <c r="H29" i="2"/>
  <c r="H42" i="2"/>
  <c r="I25" i="2" s="1"/>
  <c r="I26" i="2" s="1"/>
  <c r="Q33" i="2"/>
  <c r="V36" i="2" l="1"/>
  <c r="U39" i="2"/>
  <c r="U23" i="2"/>
  <c r="S18" i="2"/>
  <c r="S24" i="2"/>
  <c r="S32" i="2"/>
  <c r="T19" i="2" s="1"/>
  <c r="R33" i="2"/>
  <c r="I27" i="2"/>
  <c r="I34" i="2" s="1"/>
  <c r="U40" i="2" l="1"/>
  <c r="V40" i="2"/>
  <c r="T24" i="2"/>
  <c r="T32" i="2"/>
  <c r="U19" i="2" s="1"/>
  <c r="T18" i="2"/>
  <c r="S33" i="2"/>
  <c r="I28" i="2"/>
  <c r="U24" i="2" l="1"/>
  <c r="U32" i="2"/>
  <c r="V19" i="2" s="1"/>
  <c r="U18" i="2"/>
  <c r="T33" i="2"/>
  <c r="I29" i="2"/>
  <c r="I42" i="2"/>
  <c r="J25" i="2" s="1"/>
  <c r="J26" i="2" s="1"/>
  <c r="V24" i="2" l="1"/>
  <c r="V32" i="2"/>
  <c r="V18" i="2"/>
  <c r="U33" i="2"/>
  <c r="J27" i="2"/>
  <c r="J34" i="2" s="1"/>
  <c r="V33" i="2" l="1"/>
  <c r="J28" i="2"/>
  <c r="J29" i="2" l="1"/>
  <c r="J42" i="2"/>
  <c r="K25" i="2" s="1"/>
  <c r="K26" i="2" s="1"/>
  <c r="K27" i="2" l="1"/>
  <c r="K34" i="2" s="1"/>
  <c r="K28" i="2" l="1"/>
  <c r="K42" i="2" l="1"/>
  <c r="L25" i="2" s="1"/>
  <c r="L26" i="2" s="1"/>
  <c r="K29" i="2"/>
  <c r="L27" i="2" l="1"/>
  <c r="L34" i="2" s="1"/>
  <c r="L28" i="2"/>
  <c r="L29" i="2" l="1"/>
  <c r="L42" i="2"/>
  <c r="M25" i="2" s="1"/>
  <c r="M26" i="2" s="1"/>
  <c r="M27" i="2" s="1"/>
  <c r="M34" i="2" s="1"/>
  <c r="M28" i="2" l="1"/>
  <c r="M29" i="2" l="1"/>
  <c r="M42" i="2"/>
  <c r="N25" i="2" s="1"/>
  <c r="N26" i="2" s="1"/>
  <c r="N27" i="2"/>
  <c r="N34" i="2" s="1"/>
  <c r="N28" i="2" l="1"/>
  <c r="N42" i="2" s="1"/>
  <c r="N29" i="2" l="1"/>
  <c r="O25" i="2"/>
  <c r="O26" i="2" s="1"/>
  <c r="O27" i="2" l="1"/>
  <c r="O34" i="2" s="1"/>
  <c r="O28" i="2" l="1"/>
  <c r="O29" i="2" l="1"/>
  <c r="O42" i="2"/>
  <c r="P25" i="2" l="1"/>
  <c r="P26" i="2" s="1"/>
  <c r="P27" i="2" l="1"/>
  <c r="P34" i="2" s="1"/>
  <c r="P28" i="2"/>
  <c r="P29" i="2" l="1"/>
  <c r="P42" i="2"/>
  <c r="Q25" i="2" l="1"/>
  <c r="Q26" i="2" s="1"/>
  <c r="Q27" i="2" l="1"/>
  <c r="Q34" i="2" s="1"/>
  <c r="Q28" i="2"/>
  <c r="Q29" i="2" l="1"/>
  <c r="Q42" i="2"/>
  <c r="R25" i="2" l="1"/>
  <c r="R26" i="2" s="1"/>
  <c r="R27" i="2" l="1"/>
  <c r="R34" i="2" s="1"/>
  <c r="R28" i="2"/>
  <c r="R29" i="2" l="1"/>
  <c r="R42" i="2"/>
  <c r="S25" i="2" l="1"/>
  <c r="S26" i="2" s="1"/>
  <c r="S27" i="2" l="1"/>
  <c r="S34" i="2" s="1"/>
  <c r="S28" i="2" l="1"/>
  <c r="S29" i="2" s="1"/>
  <c r="S42" i="2" l="1"/>
  <c r="T25" i="2"/>
  <c r="T26" i="2" s="1"/>
  <c r="T27" i="2" l="1"/>
  <c r="T34" i="2" s="1"/>
  <c r="T28" i="2"/>
  <c r="T29" i="2" l="1"/>
  <c r="T42" i="2"/>
  <c r="U25" i="2" l="1"/>
  <c r="U26" i="2" s="1"/>
  <c r="U27" i="2" l="1"/>
  <c r="U34" i="2" s="1"/>
  <c r="U28" i="2"/>
  <c r="U29" i="2" l="1"/>
  <c r="U42" i="2"/>
  <c r="V25" i="2" l="1"/>
  <c r="V26" i="2" s="1"/>
  <c r="V27" i="2" l="1"/>
  <c r="V34" i="2" s="1"/>
  <c r="V28" i="2"/>
  <c r="V29" i="2" l="1"/>
  <c r="W28" i="2"/>
  <c r="V42" i="2"/>
  <c r="X28" i="2" l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FP28" i="2" s="1"/>
  <c r="FQ28" i="2" s="1"/>
  <c r="FR28" i="2" s="1"/>
  <c r="FS28" i="2" s="1"/>
  <c r="FT28" i="2" s="1"/>
  <c r="FU28" i="2" s="1"/>
  <c r="FV28" i="2" s="1"/>
  <c r="FW28" i="2" s="1"/>
  <c r="FX28" i="2" s="1"/>
  <c r="FY28" i="2" s="1"/>
  <c r="FZ28" i="2" s="1"/>
  <c r="GA28" i="2" s="1"/>
  <c r="GB28" i="2" s="1"/>
  <c r="GC28" i="2" s="1"/>
  <c r="GD28" i="2" s="1"/>
  <c r="GE28" i="2" s="1"/>
  <c r="GF28" i="2" s="1"/>
  <c r="GG28" i="2" s="1"/>
  <c r="GH28" i="2" s="1"/>
  <c r="GI28" i="2" s="1"/>
  <c r="GJ28" i="2" s="1"/>
  <c r="GK28" i="2" s="1"/>
  <c r="GL28" i="2" s="1"/>
  <c r="GM28" i="2" s="1"/>
  <c r="GN28" i="2" s="1"/>
  <c r="GO28" i="2" s="1"/>
  <c r="GP28" i="2" s="1"/>
  <c r="GQ28" i="2" s="1"/>
  <c r="GR28" i="2" s="1"/>
  <c r="GS28" i="2" s="1"/>
  <c r="GT28" i="2" s="1"/>
  <c r="GU28" i="2" s="1"/>
  <c r="F5" i="2" s="1"/>
  <c r="F6" i="2" l="1"/>
  <c r="F7" i="2" s="1"/>
  <c r="G7" i="2" s="1"/>
</calcChain>
</file>

<file path=xl/sharedStrings.xml><?xml version="1.0" encoding="utf-8"?>
<sst xmlns="http://schemas.openxmlformats.org/spreadsheetml/2006/main" count="229" uniqueCount="178">
  <si>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</si>
  <si>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</si>
  <si>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</si>
  <si>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</si>
  <si>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</si>
  <si>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</si>
  <si>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</si>
  <si>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</si>
  <si>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</si>
  <si>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</si>
  <si>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</si>
  <si>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</si>
  <si>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</si>
  <si>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</si>
  <si>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</si>
  <si>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</si>
  <si>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</si>
  <si>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</si>
  <si>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</si>
  <si>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</si>
  <si>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</si>
  <si>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</si>
  <si>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</si>
  <si>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</si>
  <si>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</si>
  <si>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</si>
  <si>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</si>
  <si>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Online stores</t>
  </si>
  <si>
    <t>Physical stores</t>
  </si>
  <si>
    <t>AWS</t>
  </si>
  <si>
    <t>Other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</si>
  <si>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</si>
  <si>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</si>
  <si>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</si>
  <si>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</si>
  <si>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</si>
  <si>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</si>
  <si>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</si>
  <si>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</si>
  <si>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</si>
  <si>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</si>
  <si>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</si>
  <si>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</si>
  <si>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</si>
  <si>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</si>
  <si>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</si>
  <si>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</si>
  <si>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</si>
  <si>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</si>
  <si>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</si>
  <si>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</si>
  <si>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</si>
  <si>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</si>
  <si>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</si>
  <si>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</si>
  <si>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</si>
  <si>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</si>
  <si>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</si>
  <si>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</si>
  <si>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</si>
  <si>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</si>
  <si>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</si>
  <si>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R&amp;D y/y</t>
  </si>
  <si>
    <t>S&amp;M y/y</t>
  </si>
  <si>
    <t>G&amp;A y/y</t>
  </si>
  <si>
    <t>Price</t>
  </si>
  <si>
    <t>Market Cap</t>
  </si>
  <si>
    <t>EV</t>
  </si>
  <si>
    <t>per share</t>
  </si>
  <si>
    <t>Amazon.com Inc (AMZN)</t>
  </si>
  <si>
    <t>EDGAR</t>
  </si>
  <si>
    <t>CEO</t>
  </si>
  <si>
    <t>Founder</t>
  </si>
  <si>
    <t>Jeff Bezos</t>
  </si>
  <si>
    <t>Online stores y/y</t>
  </si>
  <si>
    <t>Physical stores y/y</t>
  </si>
  <si>
    <t>Third-party seller</t>
  </si>
  <si>
    <t>Subscription</t>
  </si>
  <si>
    <t>Third-party seller y/y</t>
  </si>
  <si>
    <t>Subscription y/y</t>
  </si>
  <si>
    <t>AWS y/y</t>
  </si>
  <si>
    <t>Other y/y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</si>
  <si>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</si>
  <si>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</si>
  <si>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</si>
  <si>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</si>
  <si>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</si>
  <si>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</si>
  <si>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</si>
  <si>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</si>
  <si>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</si>
  <si>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</si>
  <si>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</si>
  <si>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A9.com</t>
  </si>
  <si>
    <t>AbeBooks</t>
  </si>
  <si>
    <t>Amazon Air</t>
  </si>
  <si>
    <t>Alexa Internet</t>
  </si>
  <si>
    <t>Amazon Books</t>
  </si>
  <si>
    <t>Amazon Game Studios</t>
  </si>
  <si>
    <t>Amazon Lab126</t>
  </si>
  <si>
    <t>Amazon Studios</t>
  </si>
  <si>
    <t>Amazon Web Services</t>
  </si>
  <si>
    <t>Audible</t>
  </si>
  <si>
    <t>Body Labs</t>
  </si>
  <si>
    <t>Book Depository</t>
  </si>
  <si>
    <t>Digital Photography Review</t>
  </si>
  <si>
    <t>Goodreads</t>
  </si>
  <si>
    <t>Graphiq</t>
  </si>
  <si>
    <t>IMDb</t>
  </si>
  <si>
    <t>Ring</t>
  </si>
  <si>
    <t>Souq.com</t>
  </si>
  <si>
    <t>Twitch Interactive</t>
  </si>
  <si>
    <t>Whole Foods Market</t>
  </si>
  <si>
    <t>Woot</t>
  </si>
  <si>
    <t>Zappos</t>
  </si>
  <si>
    <t>Q119</t>
  </si>
  <si>
    <t>31/3/2019</t>
  </si>
  <si>
    <t>Q219</t>
  </si>
  <si>
    <t>Q319</t>
  </si>
  <si>
    <t>Q419</t>
  </si>
  <si>
    <t>30/6/2019</t>
  </si>
  <si>
    <t>30/9/2019</t>
  </si>
  <si>
    <t>31/12/2019</t>
  </si>
  <si>
    <t>OE y/y</t>
  </si>
  <si>
    <t>Amazon.com</t>
  </si>
  <si>
    <t>E-commerce website</t>
  </si>
  <si>
    <t>Online bookstore for rare items</t>
  </si>
  <si>
    <t>Retail bookstores</t>
  </si>
  <si>
    <t>Cargo airline</t>
  </si>
  <si>
    <t>Internet</t>
  </si>
  <si>
    <t>Search engine and technology</t>
  </si>
  <si>
    <t>Web traffic analysis</t>
  </si>
  <si>
    <t>Shoppping</t>
  </si>
  <si>
    <t>Video game development</t>
  </si>
  <si>
    <t>Research and development</t>
  </si>
  <si>
    <t>Original television content</t>
  </si>
  <si>
    <t>Cloud computing platform</t>
  </si>
  <si>
    <t>Digital audiobooks</t>
  </si>
  <si>
    <t>Artifical intelligence for motion</t>
  </si>
  <si>
    <t>Onlne bookstore in UK</t>
  </si>
  <si>
    <t>Website about cameras and photography</t>
  </si>
  <si>
    <t>Social community about books</t>
  </si>
  <si>
    <t>Artifical intelligence for interactive content</t>
  </si>
  <si>
    <t>Online movie database</t>
  </si>
  <si>
    <t>Home security and smart homes</t>
  </si>
  <si>
    <t>E-commerce website in English-Arabic</t>
  </si>
  <si>
    <t>Live streaming service</t>
  </si>
  <si>
    <t>Supermarket</t>
  </si>
  <si>
    <t>Discounts and deals</t>
  </si>
  <si>
    <t>Online shoe and clothing retailer</t>
  </si>
  <si>
    <t>https://www.amazon.com/</t>
  </si>
  <si>
    <t>Amazon 4-star</t>
  </si>
  <si>
    <t>Amazon Go</t>
  </si>
  <si>
    <t>Retail grocery stores</t>
  </si>
  <si>
    <t>Retail merchandise stores</t>
  </si>
  <si>
    <t>https://www.abebooks.com/</t>
  </si>
  <si>
    <t>https://www.bookdepository.com/</t>
  </si>
  <si>
    <t>https://www.wholefoodsmarket.com/</t>
  </si>
  <si>
    <t>https://www.woot.com/</t>
  </si>
  <si>
    <t>https://www.zappos.com/</t>
  </si>
  <si>
    <t>https://www.alexa.com/</t>
  </si>
  <si>
    <t>https://aws.amazon.com/</t>
  </si>
  <si>
    <t>https://www.audible.com/</t>
  </si>
  <si>
    <t>https://www.dpreview.com/</t>
  </si>
  <si>
    <t>https://www.goodreads.com/</t>
  </si>
  <si>
    <t>https://www.imdb.com/</t>
  </si>
  <si>
    <t>https://www.twitch.tv/</t>
  </si>
  <si>
    <t>https://amazongames.com/</t>
  </si>
  <si>
    <t>https://studios.amazon.com/</t>
  </si>
  <si>
    <t>https://ring.com/</t>
  </si>
  <si>
    <t>Amazon Prime Video</t>
  </si>
  <si>
    <t>Television and movie streaming</t>
  </si>
  <si>
    <t>https://www.primevideo.com/</t>
  </si>
  <si>
    <t>Q120</t>
  </si>
  <si>
    <t>Q220</t>
  </si>
  <si>
    <t>Q320</t>
  </si>
  <si>
    <t/>
  </si>
  <si>
    <t>Q420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</si>
</sst>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4" applyFont="1"/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6" fillId="0" borderId="0" xfId="0" applyFont="1" applyBorder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0" fontId="5" fillId="0" borderId="0" xfId="0" applyFont="1" applyFill="1" applyBorder="1"/>
    <xf numFmtId="0" fontId="5" fillId="0" borderId="0" xfId="0" applyFont="1"/>
    <xf numFmtId="0" fontId="6" fillId="0" borderId="0" xfId="0" applyFont="1"/>
    <xf numFmtId="4" fontId="5" fillId="0" borderId="0" xfId="0" applyNumberFormat="1" applyFont="1" applyBorder="1"/>
    <xf numFmtId="10" fontId="5" fillId="0" borderId="0" xfId="0" applyNumberFormat="1" applyFont="1"/>
    <xf numFmtId="3" fontId="5" fillId="0" borderId="0" xfId="0" applyNumberFormat="1" applyFont="1" applyBorder="1"/>
    <xf numFmtId="0" fontId="7" fillId="0" borderId="0" xfId="0" applyFont="1"/>
    <xf numFmtId="3" fontId="5" fillId="2" borderId="0" xfId="0" applyNumberFormat="1" applyFont="1" applyFill="1" applyBorder="1"/>
    <xf numFmtId="164" fontId="5" fillId="2" borderId="0" xfId="0" applyNumberFormat="1" applyFont="1" applyFill="1"/>
    <xf numFmtId="164" fontId="6" fillId="2" borderId="0" xfId="0" applyNumberFormat="1" applyFont="1" applyFill="1"/>
    <xf numFmtId="4" fontId="5" fillId="2" borderId="0" xfId="0" applyNumberFormat="1" applyFont="1" applyFill="1" applyBorder="1"/>
    <xf numFmtId="0" fontId="7" fillId="0" borderId="0" xfId="0" applyFont="1" applyBorder="1"/>
    <xf numFmtId="3" fontId="6" fillId="2" borderId="0" xfId="0" applyNumberFormat="1" applyFont="1" applyFill="1" applyBorder="1"/>
    <xf numFmtId="3" fontId="6" fillId="0" borderId="0" xfId="0" applyNumberFormat="1" applyFont="1" applyFill="1" applyBorder="1"/>
    <xf numFmtId="3" fontId="6" fillId="0" borderId="0" xfId="0" applyNumberFormat="1" applyFont="1" applyBorder="1"/>
    <xf numFmtId="2" fontId="5" fillId="2" borderId="0" xfId="0" applyNumberFormat="1" applyFont="1" applyFill="1" applyBorder="1"/>
    <xf numFmtId="2" fontId="5" fillId="0" borderId="0" xfId="0" applyNumberFormat="1" applyFont="1" applyBorder="1"/>
    <xf numFmtId="9" fontId="6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9" fontId="5" fillId="0" borderId="0" xfId="1" applyNumberFormat="1" applyFont="1"/>
    <xf numFmtId="3" fontId="5" fillId="0" borderId="0" xfId="0" applyNumberFormat="1" applyFont="1"/>
    <xf numFmtId="3" fontId="6" fillId="2" borderId="0" xfId="0" applyNumberFormat="1" applyFont="1" applyFill="1"/>
    <xf numFmtId="3" fontId="6" fillId="0" borderId="0" xfId="0" applyNumberFormat="1" applyFont="1"/>
    <xf numFmtId="9" fontId="5" fillId="0" borderId="0" xfId="0" applyNumberFormat="1" applyFont="1"/>
    <xf numFmtId="0" fontId="4" fillId="0" borderId="0" xfId="4" applyFont="1" applyAlignment="1">
      <alignment horizontal="right"/>
    </xf>
    <xf numFmtId="0" fontId="4" fillId="0" borderId="0" xfId="4" applyFont="1" applyAlignment="1">
      <alignment horizontal="left"/>
    </xf>
    <xf numFmtId="9" fontId="7" fillId="0" borderId="0" xfId="1" applyFont="1" applyBorder="1"/>
    <xf numFmtId="0" fontId="4" fillId="0" borderId="0" xfId="4"/>
    <xf numFmtId="0" fontId="0" fillId="0" borderId="0" xfId="0" applyFont="1"/>
    <xf numFmtId="0" fontId="0" fillId="0" borderId="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0" fontId="5" fillId="0" borderId="1" xfId="0" applyFont="1" applyBorder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5" fillId="0" borderId="1" xfId="0" applyNumberFormat="1" applyFont="1" applyBorder="1"/>
    <xf numFmtId="3" fontId="5" fillId="0" borderId="0" xfId="0" applyNumberFormat="1" applyFont="1" applyFill="1" applyBorder="1"/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5" fillId="0" borderId="0" xfId="0" quotePrefix="1" applyNumberFormat="1" applyFont="1" applyBorder="1"/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135467</xdr:colOff>
      <xdr:row>8</xdr:row>
      <xdr:rowOff>25400</xdr:rowOff>
    </xdr:from>
    <xdr:to>
      <xdr:col>7</xdr:col>
      <xdr:colOff>135467</xdr:colOff>
      <xdr:row>64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760634" y="1380067"/>
          <a:ext cx="0" cy="945726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205740</xdr:colOff>
      <xdr:row>1</xdr:row>
      <xdr:rowOff>12700</xdr:rowOff>
    </xdr:from>
    <xdr:to>
      <xdr:col>25</xdr:col>
      <xdr:colOff>205740</xdr:colOff>
      <xdr:row>56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186140" y="175260"/>
          <a:ext cx="0" cy="9080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r.aboutamazon.com/investor-relations" TargetMode="External"/><Relationship Id="rId1" Type="http://schemas.openxmlformats.org/officeDocument/2006/relationships/hyperlink" Target="https://en.wikipedia.org/wiki/Jeff_Bez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018724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ws.amazon.com/" TargetMode="External"/><Relationship Id="rId13" Type="http://schemas.openxmlformats.org/officeDocument/2006/relationships/hyperlink" Target="https://www.twitch.tv/" TargetMode="External"/><Relationship Id="rId3" Type="http://schemas.openxmlformats.org/officeDocument/2006/relationships/hyperlink" Target="https://www.bookdepository.com/" TargetMode="External"/><Relationship Id="rId7" Type="http://schemas.openxmlformats.org/officeDocument/2006/relationships/hyperlink" Target="https://www.alexa.com/" TargetMode="External"/><Relationship Id="rId12" Type="http://schemas.openxmlformats.org/officeDocument/2006/relationships/hyperlink" Target="https://www.imdb.com/" TargetMode="External"/><Relationship Id="rId17" Type="http://schemas.openxmlformats.org/officeDocument/2006/relationships/hyperlink" Target="https://www.primevideo.com/" TargetMode="External"/><Relationship Id="rId2" Type="http://schemas.openxmlformats.org/officeDocument/2006/relationships/hyperlink" Target="https://www.abebooks.com/" TargetMode="External"/><Relationship Id="rId16" Type="http://schemas.openxmlformats.org/officeDocument/2006/relationships/hyperlink" Target="https://ring.com/" TargetMode="External"/><Relationship Id="rId1" Type="http://schemas.openxmlformats.org/officeDocument/2006/relationships/hyperlink" Target="https://www.amazon.com/" TargetMode="External"/><Relationship Id="rId6" Type="http://schemas.openxmlformats.org/officeDocument/2006/relationships/hyperlink" Target="https://www.zappos.com/" TargetMode="External"/><Relationship Id="rId11" Type="http://schemas.openxmlformats.org/officeDocument/2006/relationships/hyperlink" Target="https://www.goodreads.com/" TargetMode="External"/><Relationship Id="rId5" Type="http://schemas.openxmlformats.org/officeDocument/2006/relationships/hyperlink" Target="https://www.woot.com/" TargetMode="External"/><Relationship Id="rId15" Type="http://schemas.openxmlformats.org/officeDocument/2006/relationships/hyperlink" Target="https://studios.amazon.com/" TargetMode="External"/><Relationship Id="rId10" Type="http://schemas.openxmlformats.org/officeDocument/2006/relationships/hyperlink" Target="https://www.dpreview.com/" TargetMode="External"/><Relationship Id="rId4" Type="http://schemas.openxmlformats.org/officeDocument/2006/relationships/hyperlink" Target="https://www.wholefoodsmarket.com/" TargetMode="External"/><Relationship Id="rId9" Type="http://schemas.openxmlformats.org/officeDocument/2006/relationships/hyperlink" Target="https://www.audible.com/" TargetMode="External"/><Relationship Id="rId14" Type="http://schemas.openxmlformats.org/officeDocument/2006/relationships/hyperlink" Target="https://amazonga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76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46" sqref="I46"/>
    </sheetView>
  </sheetViews>
  <sheetFormatPr baseColWidth="10" defaultRowHeight="13" x14ac:dyDescent="0.15"/>
  <cols>
    <col min="1" max="1" width="22" style="24" customWidth="1"/>
    <col min="2" max="16384" width="10.83203125" style="24"/>
  </cols>
  <sheetData>
    <row r="1" spans="1:22" x14ac:dyDescent="0.15">
      <c r="A1" s="1" t="s">
        <v>92</v>
      </c>
      <c r="B1" s="25" t="s">
        <v>69</v>
      </c>
    </row>
    <row r="2" spans="1:22" x14ac:dyDescent="0.15">
      <c r="B2" s="24" t="s">
        <v>65</v>
      </c>
      <c r="C2" s="26">
        <v>3277.71</v>
      </c>
      <c r="D2" s="57">
        <v>44239</v>
      </c>
      <c r="E2" s="6" t="s">
        <v>41</v>
      </c>
      <c r="F2" s="27">
        <v>-0.02</v>
      </c>
      <c r="I2" s="44"/>
    </row>
    <row r="3" spans="1:22" x14ac:dyDescent="0.15">
      <c r="A3" s="25" t="s">
        <v>71</v>
      </c>
      <c r="B3" s="24" t="s">
        <v>17</v>
      </c>
      <c r="C3" s="28">
        <f>Reports!Y23</f>
        <v>513</v>
      </c>
      <c r="D3" s="52" t="s">
        <v>177</v>
      </c>
      <c r="E3" s="6" t="s">
        <v>42</v>
      </c>
      <c r="F3" s="27">
        <v>0.02</v>
      </c>
      <c r="G3" s="29"/>
      <c r="I3" s="44"/>
    </row>
    <row r="4" spans="1:22" x14ac:dyDescent="0.15">
      <c r="A4" s="1"/>
      <c r="B4" s="24" t="s">
        <v>66</v>
      </c>
      <c r="C4" s="30">
        <f>C2*C3</f>
        <v>1681465.23</v>
      </c>
      <c r="E4" s="6" t="s">
        <v>43</v>
      </c>
      <c r="F4" s="27">
        <v>0.05</v>
      </c>
      <c r="G4" s="29"/>
      <c r="I4" s="47"/>
    </row>
    <row r="5" spans="1:22" x14ac:dyDescent="0.15">
      <c r="B5" s="24" t="s">
        <v>37</v>
      </c>
      <c r="C5" s="28">
        <f>Reports!Y34</f>
        <v>52580</v>
      </c>
      <c r="D5" s="52" t="s">
        <v>177</v>
      </c>
      <c r="E5" s="6" t="s">
        <v>44</v>
      </c>
      <c r="F5" s="31">
        <f>NPV(F4,H28:GU28)</f>
        <v>1899892.2529511203</v>
      </c>
      <c r="G5" s="29"/>
      <c r="I5" s="47"/>
    </row>
    <row r="6" spans="1:22" x14ac:dyDescent="0.15">
      <c r="A6" s="25" t="s">
        <v>72</v>
      </c>
      <c r="B6" s="24" t="s">
        <v>67</v>
      </c>
      <c r="C6" s="30">
        <f>C4-C5</f>
        <v>1628885.23</v>
      </c>
      <c r="E6" s="7" t="s">
        <v>45</v>
      </c>
      <c r="F6" s="32">
        <f>F5+C5</f>
        <v>1952472.2529511203</v>
      </c>
      <c r="I6" s="47"/>
    </row>
    <row r="7" spans="1:22" x14ac:dyDescent="0.15">
      <c r="A7" s="1" t="s">
        <v>73</v>
      </c>
      <c r="B7" s="29" t="s">
        <v>68</v>
      </c>
      <c r="C7" s="33">
        <f>C6/C3</f>
        <v>3175.2148732943469</v>
      </c>
      <c r="E7" s="34" t="s">
        <v>68</v>
      </c>
      <c r="F7" s="33">
        <f>F6/C3</f>
        <v>3805.988797175673</v>
      </c>
      <c r="G7" s="47">
        <f>F7/C2-1</f>
        <v>0.16117313526079879</v>
      </c>
    </row>
    <row r="9" spans="1:22" x14ac:dyDescent="0.15">
      <c r="B9" s="24">
        <v>2015</v>
      </c>
      <c r="C9" s="24">
        <v>2016</v>
      </c>
      <c r="D9" s="24">
        <v>2017</v>
      </c>
      <c r="E9" s="24">
        <f>D9+1</f>
        <v>2018</v>
      </c>
      <c r="F9" s="24">
        <f t="shared" ref="F9:V9" si="0">E9+1</f>
        <v>2019</v>
      </c>
      <c r="G9" s="24">
        <f t="shared" si="0"/>
        <v>2020</v>
      </c>
      <c r="H9" s="24">
        <f t="shared" si="0"/>
        <v>2021</v>
      </c>
      <c r="I9" s="24">
        <f t="shared" si="0"/>
        <v>2022</v>
      </c>
      <c r="J9" s="24">
        <f t="shared" si="0"/>
        <v>2023</v>
      </c>
      <c r="K9" s="24">
        <f t="shared" si="0"/>
        <v>2024</v>
      </c>
      <c r="L9" s="24">
        <f t="shared" si="0"/>
        <v>2025</v>
      </c>
      <c r="M9" s="24">
        <f t="shared" si="0"/>
        <v>2026</v>
      </c>
      <c r="N9" s="24">
        <f t="shared" si="0"/>
        <v>2027</v>
      </c>
      <c r="O9" s="24">
        <f t="shared" si="0"/>
        <v>2028</v>
      </c>
      <c r="P9" s="24">
        <f t="shared" si="0"/>
        <v>2029</v>
      </c>
      <c r="Q9" s="24">
        <f t="shared" si="0"/>
        <v>2030</v>
      </c>
      <c r="R9" s="24">
        <f t="shared" si="0"/>
        <v>2031</v>
      </c>
      <c r="S9" s="24">
        <f t="shared" si="0"/>
        <v>2032</v>
      </c>
      <c r="T9" s="24">
        <f t="shared" si="0"/>
        <v>2033</v>
      </c>
      <c r="U9" s="24">
        <f t="shared" si="0"/>
        <v>2034</v>
      </c>
      <c r="V9" s="24">
        <f t="shared" si="0"/>
        <v>2035</v>
      </c>
    </row>
    <row r="10" spans="1:22" x14ac:dyDescent="0.15">
      <c r="A10" s="24" t="s">
        <v>27</v>
      </c>
      <c r="B10" s="28">
        <f>SUM(Reports!B3:E3)</f>
        <v>99127</v>
      </c>
      <c r="C10" s="28">
        <f>SUM(Reports!F3:I3)</f>
        <v>91431</v>
      </c>
      <c r="D10" s="28">
        <f>SUM(Reports!J3:M3)</f>
        <v>108355</v>
      </c>
      <c r="E10" s="28">
        <f>SUM(Reports!N3:Q3)</f>
        <v>122987</v>
      </c>
      <c r="F10" s="28">
        <f>SUM(Reports!R3:U3)</f>
        <v>141247</v>
      </c>
      <c r="G10" s="28">
        <f>SUM(Reports!V3:Y3)</f>
        <v>197349</v>
      </c>
      <c r="H10" s="28">
        <f t="shared" ref="H10:L10" si="1">G10*1.1</f>
        <v>217083.90000000002</v>
      </c>
      <c r="I10" s="28">
        <f t="shared" si="1"/>
        <v>238792.29000000004</v>
      </c>
      <c r="J10" s="28">
        <f t="shared" si="1"/>
        <v>262671.51900000009</v>
      </c>
      <c r="K10" s="28">
        <f t="shared" si="1"/>
        <v>288938.67090000014</v>
      </c>
      <c r="L10" s="28">
        <f t="shared" si="1"/>
        <v>317832.53799000016</v>
      </c>
    </row>
    <row r="11" spans="1:22" x14ac:dyDescent="0.15">
      <c r="A11" s="24" t="s">
        <v>28</v>
      </c>
      <c r="B11" s="28">
        <f>SUM(Reports!B4:E4)</f>
        <v>0</v>
      </c>
      <c r="C11" s="28">
        <f>SUM(Reports!F4:I4)</f>
        <v>0</v>
      </c>
      <c r="D11" s="28">
        <f>SUM(Reports!J4:M4)</f>
        <v>5798</v>
      </c>
      <c r="E11" s="28">
        <f>SUM(Reports!N4:Q4)</f>
        <v>17224</v>
      </c>
      <c r="F11" s="28">
        <f>SUM(Reports!R4:U4)</f>
        <v>17192</v>
      </c>
      <c r="G11" s="28">
        <f>SUM(Reports!V4:Y4)</f>
        <v>16224</v>
      </c>
      <c r="H11" s="28">
        <f>G11*1.05</f>
        <v>17035.2</v>
      </c>
      <c r="I11" s="28">
        <f>H11*1.05</f>
        <v>17886.960000000003</v>
      </c>
      <c r="J11" s="28">
        <f t="shared" ref="J11:L11" si="2">I11*1.05</f>
        <v>18781.308000000005</v>
      </c>
      <c r="K11" s="28">
        <f t="shared" si="2"/>
        <v>19720.373400000004</v>
      </c>
      <c r="L11" s="28">
        <f t="shared" si="2"/>
        <v>20706.392070000005</v>
      </c>
    </row>
    <row r="12" spans="1:22" x14ac:dyDescent="0.15">
      <c r="A12" s="24" t="s">
        <v>76</v>
      </c>
      <c r="B12" s="28">
        <f>SUM(Reports!B5:E5)</f>
        <v>0</v>
      </c>
      <c r="C12" s="28">
        <f>SUM(Reports!F5:I5)</f>
        <v>22993</v>
      </c>
      <c r="D12" s="28">
        <f>SUM(Reports!J5:M5)</f>
        <v>31880</v>
      </c>
      <c r="E12" s="28">
        <f>SUM(Reports!N5:Q5)</f>
        <v>42745</v>
      </c>
      <c r="F12" s="28">
        <f>SUM(Reports!R5:U5)</f>
        <v>53761</v>
      </c>
      <c r="G12" s="28">
        <f>SUM(Reports!V5:Y5)</f>
        <v>80437</v>
      </c>
      <c r="H12" s="28">
        <f t="shared" ref="H12:L12" si="3">G12*1.2</f>
        <v>96524.4</v>
      </c>
      <c r="I12" s="28">
        <f t="shared" si="3"/>
        <v>115829.27999999998</v>
      </c>
      <c r="J12" s="28">
        <f t="shared" si="3"/>
        <v>138995.13599999997</v>
      </c>
      <c r="K12" s="28">
        <f t="shared" si="3"/>
        <v>166794.16319999995</v>
      </c>
      <c r="L12" s="28">
        <f t="shared" si="3"/>
        <v>200152.99583999993</v>
      </c>
    </row>
    <row r="13" spans="1:22" x14ac:dyDescent="0.15">
      <c r="A13" s="24" t="s">
        <v>77</v>
      </c>
      <c r="B13" s="28">
        <f>SUM(Reports!B6:E6)</f>
        <v>0</v>
      </c>
      <c r="C13" s="28">
        <f>SUM(Reports!F6:I6)</f>
        <v>6394</v>
      </c>
      <c r="D13" s="28">
        <f>SUM(Reports!J6:M6)</f>
        <v>9722</v>
      </c>
      <c r="E13" s="28">
        <f>SUM(Reports!N6:Q6)</f>
        <v>14167</v>
      </c>
      <c r="F13" s="28">
        <f>SUM(Reports!R6:U6)</f>
        <v>19210</v>
      </c>
      <c r="G13" s="28">
        <f>SUM(Reports!V6:Y6)</f>
        <v>25207</v>
      </c>
      <c r="H13" s="28">
        <f t="shared" ref="H13:L14" si="4">G13*1.3</f>
        <v>32769.1</v>
      </c>
      <c r="I13" s="28">
        <f t="shared" si="4"/>
        <v>42599.83</v>
      </c>
      <c r="J13" s="28">
        <f t="shared" si="4"/>
        <v>55379.779000000002</v>
      </c>
      <c r="K13" s="28">
        <f t="shared" si="4"/>
        <v>71993.712700000004</v>
      </c>
      <c r="L13" s="28">
        <f t="shared" si="4"/>
        <v>93591.826510000014</v>
      </c>
    </row>
    <row r="14" spans="1:22" x14ac:dyDescent="0.15">
      <c r="A14" s="24" t="s">
        <v>29</v>
      </c>
      <c r="B14" s="28">
        <f>SUM(Reports!B7:E7)</f>
        <v>7870</v>
      </c>
      <c r="C14" s="28">
        <f>SUM(Reports!F7:I7)</f>
        <v>12219</v>
      </c>
      <c r="D14" s="28">
        <f>SUM(Reports!J7:M7)</f>
        <v>17458</v>
      </c>
      <c r="E14" s="28">
        <f>SUM(Reports!N7:Q7)</f>
        <v>25656</v>
      </c>
      <c r="F14" s="28">
        <f>SUM(Reports!R7:U7)</f>
        <v>35026</v>
      </c>
      <c r="G14" s="28">
        <f>SUM(Reports!V7:Y7)</f>
        <v>45373</v>
      </c>
      <c r="H14" s="28">
        <f>G14*1.25</f>
        <v>56716.25</v>
      </c>
      <c r="I14" s="28">
        <f t="shared" ref="I14:L14" si="5">H14*1.25</f>
        <v>70895.3125</v>
      </c>
      <c r="J14" s="28">
        <f t="shared" si="5"/>
        <v>88619.140625</v>
      </c>
      <c r="K14" s="28">
        <f t="shared" si="5"/>
        <v>110773.92578125</v>
      </c>
      <c r="L14" s="28">
        <f t="shared" si="5"/>
        <v>138467.4072265625</v>
      </c>
    </row>
    <row r="15" spans="1:22" x14ac:dyDescent="0.15">
      <c r="A15" s="24" t="s">
        <v>30</v>
      </c>
      <c r="B15" s="28">
        <f>SUM(Reports!B8:E8)</f>
        <v>0</v>
      </c>
      <c r="C15" s="28">
        <f>SUM(Reports!F8:I8)</f>
        <v>2950</v>
      </c>
      <c r="D15" s="28">
        <f>SUM(Reports!J8:M8)</f>
        <v>4653</v>
      </c>
      <c r="E15" s="28">
        <f>SUM(Reports!N8:Q8)</f>
        <v>10108</v>
      </c>
      <c r="F15" s="28">
        <f>SUM(Reports!R8:U8)</f>
        <v>14086</v>
      </c>
      <c r="G15" s="28">
        <f>SUM(Reports!V8:Y8)</f>
        <v>21477</v>
      </c>
      <c r="H15" s="28">
        <f>G15*1.35</f>
        <v>28993.95</v>
      </c>
      <c r="I15" s="28">
        <f t="shared" ref="I15:L15" si="6">H15*1.35</f>
        <v>39141.832500000004</v>
      </c>
      <c r="J15" s="28">
        <f t="shared" si="6"/>
        <v>52841.473875000011</v>
      </c>
      <c r="K15" s="28">
        <f t="shared" si="6"/>
        <v>71335.989731250025</v>
      </c>
      <c r="L15" s="28">
        <f t="shared" si="6"/>
        <v>96303.586137187536</v>
      </c>
    </row>
    <row r="17" spans="1:203" x14ac:dyDescent="0.15">
      <c r="A17" s="25" t="s">
        <v>4</v>
      </c>
      <c r="B17" s="35">
        <f t="shared" ref="B17:E17" si="7">SUM(B10:B15)</f>
        <v>106997</v>
      </c>
      <c r="C17" s="35">
        <f t="shared" si="7"/>
        <v>135987</v>
      </c>
      <c r="D17" s="35">
        <f t="shared" si="7"/>
        <v>177866</v>
      </c>
      <c r="E17" s="35">
        <f t="shared" si="7"/>
        <v>232887</v>
      </c>
      <c r="F17" s="35">
        <f t="shared" ref="F17:K17" si="8">SUM(F10:F15)</f>
        <v>280522</v>
      </c>
      <c r="G17" s="35">
        <f t="shared" si="8"/>
        <v>386067</v>
      </c>
      <c r="H17" s="36">
        <f>SUM(H10:H15)</f>
        <v>449122.8</v>
      </c>
      <c r="I17" s="36">
        <f t="shared" si="8"/>
        <v>525145.505</v>
      </c>
      <c r="J17" s="36">
        <f t="shared" si="8"/>
        <v>617288.35650000011</v>
      </c>
      <c r="K17" s="36">
        <f t="shared" si="8"/>
        <v>729556.83571250003</v>
      </c>
      <c r="L17" s="36">
        <f t="shared" ref="L17" si="9">SUM(L10:L15)</f>
        <v>867054.74577375024</v>
      </c>
      <c r="M17" s="37">
        <f t="shared" ref="M17:V17" si="10">L17*1.1</f>
        <v>953760.22035112535</v>
      </c>
      <c r="N17" s="37">
        <f t="shared" si="10"/>
        <v>1049136.242386238</v>
      </c>
      <c r="O17" s="37">
        <f t="shared" si="10"/>
        <v>1154049.866624862</v>
      </c>
      <c r="P17" s="37">
        <f t="shared" si="10"/>
        <v>1269454.8532873483</v>
      </c>
      <c r="Q17" s="37">
        <f t="shared" si="10"/>
        <v>1396400.3386160831</v>
      </c>
      <c r="R17" s="37">
        <f>Q17*1.05</f>
        <v>1466220.3555468873</v>
      </c>
      <c r="S17" s="37">
        <f t="shared" ref="S17:V17" si="11">R17*1.05</f>
        <v>1539531.3733242317</v>
      </c>
      <c r="T17" s="37">
        <f t="shared" si="11"/>
        <v>1616507.9419904433</v>
      </c>
      <c r="U17" s="37">
        <f t="shared" si="11"/>
        <v>1697333.3390899654</v>
      </c>
      <c r="V17" s="37">
        <f t="shared" si="11"/>
        <v>1782200.0060444637</v>
      </c>
    </row>
    <row r="18" spans="1:203" x14ac:dyDescent="0.15">
      <c r="A18" s="24" t="s">
        <v>5</v>
      </c>
      <c r="B18" s="28">
        <f>SUM(Reports!B11:E11)</f>
        <v>85233</v>
      </c>
      <c r="C18" s="28">
        <f>SUM(Reports!F11:I11)</f>
        <v>106049</v>
      </c>
      <c r="D18" s="28">
        <f>SUM(Reports!J11:M11)</f>
        <v>137338</v>
      </c>
      <c r="E18" s="28">
        <f>SUM(Reports!N11:Q11)</f>
        <v>173183</v>
      </c>
      <c r="F18" s="28">
        <f>SUM(Reports!R11:U11)</f>
        <v>205767</v>
      </c>
      <c r="G18" s="28">
        <f>SUM(Reports!V11:Y11)</f>
        <v>291823</v>
      </c>
      <c r="H18" s="28">
        <f t="shared" ref="H18" si="12">H17-H19</f>
        <v>334994.8271779872</v>
      </c>
      <c r="I18" s="28">
        <f>I17-I19</f>
        <v>386447.71428803366</v>
      </c>
      <c r="J18" s="28">
        <f t="shared" ref="J18" si="13">J17-J19</f>
        <v>448081.55097698839</v>
      </c>
      <c r="K18" s="28">
        <f t="shared" ref="K18:L18" si="14">K17-K19</f>
        <v>522280.20450442069</v>
      </c>
      <c r="L18" s="28">
        <f t="shared" si="14"/>
        <v>612042.61397400289</v>
      </c>
      <c r="M18" s="28">
        <f t="shared" ref="M18" si="15">M17-M19</f>
        <v>673246.87537140329</v>
      </c>
      <c r="N18" s="28">
        <f t="shared" ref="N18" si="16">N17-N19</f>
        <v>740571.56290854362</v>
      </c>
      <c r="O18" s="28">
        <f t="shared" ref="O18" si="17">O17-O19</f>
        <v>814628.71919939818</v>
      </c>
      <c r="P18" s="28">
        <f t="shared" ref="P18" si="18">P17-P19</f>
        <v>896091.59111933806</v>
      </c>
      <c r="Q18" s="28">
        <f t="shared" ref="Q18:R18" si="19">Q17-Q19</f>
        <v>985700.75023127184</v>
      </c>
      <c r="R18" s="28">
        <f t="shared" si="19"/>
        <v>1034985.7877428355</v>
      </c>
      <c r="S18" s="28">
        <f t="shared" ref="S18:U18" si="20">S17-S19</f>
        <v>1086735.0771299773</v>
      </c>
      <c r="T18" s="28">
        <f t="shared" si="20"/>
        <v>1141071.830986476</v>
      </c>
      <c r="U18" s="28">
        <f t="shared" si="20"/>
        <v>1198125.4225357999</v>
      </c>
      <c r="V18" s="28">
        <f t="shared" ref="V18" si="21">V17-V19</f>
        <v>1258031.6936625899</v>
      </c>
    </row>
    <row r="19" spans="1:203" x14ac:dyDescent="0.15">
      <c r="A19" s="24" t="s">
        <v>6</v>
      </c>
      <c r="B19" s="30">
        <f t="shared" ref="B19:G19" si="22">B17-B18</f>
        <v>21764</v>
      </c>
      <c r="C19" s="30">
        <f t="shared" si="22"/>
        <v>29938</v>
      </c>
      <c r="D19" s="30">
        <f t="shared" si="22"/>
        <v>40528</v>
      </c>
      <c r="E19" s="30">
        <f t="shared" si="22"/>
        <v>59704</v>
      </c>
      <c r="F19" s="30">
        <f t="shared" si="22"/>
        <v>74755</v>
      </c>
      <c r="G19" s="30">
        <f t="shared" si="22"/>
        <v>94244</v>
      </c>
      <c r="H19" s="28">
        <f t="shared" ref="H19:L19" si="23">H17*(G32+0.01)</f>
        <v>114127.97282201276</v>
      </c>
      <c r="I19" s="28">
        <f t="shared" si="23"/>
        <v>138697.79071196631</v>
      </c>
      <c r="J19" s="28">
        <f t="shared" si="23"/>
        <v>169206.80552301175</v>
      </c>
      <c r="K19" s="28">
        <f t="shared" si="23"/>
        <v>207276.63120807934</v>
      </c>
      <c r="L19" s="28">
        <f t="shared" si="23"/>
        <v>255012.13179974732</v>
      </c>
      <c r="M19" s="28">
        <f t="shared" ref="M19:V19" si="24">M17*L32</f>
        <v>280513.34497972205</v>
      </c>
      <c r="N19" s="28">
        <f t="shared" si="24"/>
        <v>308564.67947769433</v>
      </c>
      <c r="O19" s="28">
        <f t="shared" si="24"/>
        <v>339421.14742546377</v>
      </c>
      <c r="P19" s="28">
        <f t="shared" si="24"/>
        <v>373363.26216801023</v>
      </c>
      <c r="Q19" s="28">
        <f t="shared" si="24"/>
        <v>410699.58838481124</v>
      </c>
      <c r="R19" s="28">
        <f t="shared" si="24"/>
        <v>431234.5678040518</v>
      </c>
      <c r="S19" s="28">
        <f t="shared" si="24"/>
        <v>452796.29619425442</v>
      </c>
      <c r="T19" s="28">
        <f t="shared" si="24"/>
        <v>475436.11100396712</v>
      </c>
      <c r="U19" s="28">
        <f t="shared" si="24"/>
        <v>499207.91655416548</v>
      </c>
      <c r="V19" s="28">
        <f t="shared" si="24"/>
        <v>524168.31238187378</v>
      </c>
    </row>
    <row r="20" spans="1:203" x14ac:dyDescent="0.15">
      <c r="A20" s="24" t="s">
        <v>7</v>
      </c>
      <c r="B20" s="28">
        <f>SUM(Reports!B13:E13)</f>
        <v>12542</v>
      </c>
      <c r="C20" s="28">
        <f>SUM(Reports!F13:I13)</f>
        <v>16086</v>
      </c>
      <c r="D20" s="28">
        <f>SUM(Reports!J13:M13)</f>
        <v>22620</v>
      </c>
      <c r="E20" s="28">
        <f>SUM(Reports!N13:Q13)</f>
        <v>28837</v>
      </c>
      <c r="F20" s="28">
        <f>SUM(Reports!R13:U13)</f>
        <v>35932</v>
      </c>
      <c r="G20" s="28">
        <f>SUM(Reports!V13:Y13)</f>
        <v>42738</v>
      </c>
      <c r="H20" s="28">
        <f>G20*1.2</f>
        <v>51285.599999999999</v>
      </c>
      <c r="I20" s="28">
        <f t="shared" ref="I20:L20" si="25">H20*1.2</f>
        <v>61542.719999999994</v>
      </c>
      <c r="J20" s="28">
        <f t="shared" si="25"/>
        <v>73851.263999999996</v>
      </c>
      <c r="K20" s="28">
        <f t="shared" si="25"/>
        <v>88621.516799999998</v>
      </c>
      <c r="L20" s="28">
        <f t="shared" si="25"/>
        <v>106345.82015999999</v>
      </c>
      <c r="M20" s="28">
        <f>L20*1.1</f>
        <v>116980.402176</v>
      </c>
      <c r="N20" s="28">
        <f t="shared" ref="N20:V20" si="26">M20*1.1</f>
        <v>128678.44239360001</v>
      </c>
      <c r="O20" s="28">
        <f t="shared" si="26"/>
        <v>141546.28663296002</v>
      </c>
      <c r="P20" s="28">
        <f t="shared" si="26"/>
        <v>155700.91529625605</v>
      </c>
      <c r="Q20" s="28">
        <f t="shared" si="26"/>
        <v>171271.00682588166</v>
      </c>
      <c r="R20" s="28">
        <f>Q20*1.05</f>
        <v>179834.55716717575</v>
      </c>
      <c r="S20" s="28">
        <f t="shared" ref="S20:V20" si="27">R20*1.05</f>
        <v>188826.28502553454</v>
      </c>
      <c r="T20" s="28">
        <f t="shared" si="27"/>
        <v>198267.59927681126</v>
      </c>
      <c r="U20" s="28">
        <f t="shared" si="27"/>
        <v>208180.97924065182</v>
      </c>
      <c r="V20" s="28">
        <f t="shared" si="27"/>
        <v>218590.02820268442</v>
      </c>
    </row>
    <row r="21" spans="1:203" x14ac:dyDescent="0.15">
      <c r="A21" s="24" t="s">
        <v>8</v>
      </c>
      <c r="B21" s="28">
        <f>SUM(Reports!B14:E14)</f>
        <v>5252</v>
      </c>
      <c r="C21" s="28">
        <f>SUM(Reports!F14:I14)</f>
        <v>7233</v>
      </c>
      <c r="D21" s="28">
        <f>SUM(Reports!J14:M14)</f>
        <v>10068</v>
      </c>
      <c r="E21" s="28">
        <f>SUM(Reports!N14:Q14)</f>
        <v>13814</v>
      </c>
      <c r="F21" s="28">
        <f>SUM(Reports!R14:U14)</f>
        <v>18879</v>
      </c>
      <c r="G21" s="28">
        <f>SUM(Reports!V14:Y14)</f>
        <v>22010</v>
      </c>
      <c r="H21" s="28">
        <f>G21*1.3</f>
        <v>28613</v>
      </c>
      <c r="I21" s="28">
        <f t="shared" ref="I21:L21" si="28">H21*1.3</f>
        <v>37196.9</v>
      </c>
      <c r="J21" s="28">
        <f t="shared" si="28"/>
        <v>48355.97</v>
      </c>
      <c r="K21" s="28">
        <f t="shared" si="28"/>
        <v>62862.761000000006</v>
      </c>
      <c r="L21" s="28">
        <f t="shared" si="28"/>
        <v>81721.589300000007</v>
      </c>
      <c r="M21" s="28">
        <f>L21*1.1</f>
        <v>89893.748230000012</v>
      </c>
      <c r="N21" s="28">
        <f t="shared" ref="N21:Q21" si="29">M21*1.1</f>
        <v>98883.123053000018</v>
      </c>
      <c r="O21" s="28">
        <f t="shared" si="29"/>
        <v>108771.43535830003</v>
      </c>
      <c r="P21" s="28">
        <f t="shared" si="29"/>
        <v>119648.57889413004</v>
      </c>
      <c r="Q21" s="28">
        <f t="shared" si="29"/>
        <v>131613.43678354306</v>
      </c>
      <c r="R21" s="28">
        <f>Q21*0.95</f>
        <v>125032.7649443659</v>
      </c>
      <c r="S21" s="28">
        <f t="shared" ref="S21:V21" si="30">R21*0.95</f>
        <v>118781.1266971476</v>
      </c>
      <c r="T21" s="28">
        <f t="shared" si="30"/>
        <v>112842.07036229021</v>
      </c>
      <c r="U21" s="28">
        <f t="shared" si="30"/>
        <v>107199.96684417569</v>
      </c>
      <c r="V21" s="28">
        <f t="shared" si="30"/>
        <v>101839.96850196691</v>
      </c>
    </row>
    <row r="22" spans="1:203" x14ac:dyDescent="0.15">
      <c r="A22" s="24" t="s">
        <v>9</v>
      </c>
      <c r="B22" s="28">
        <f>SUM(Reports!B15:E15)</f>
        <v>1747</v>
      </c>
      <c r="C22" s="28">
        <f>SUM(Reports!F15:I15)</f>
        <v>2433</v>
      </c>
      <c r="D22" s="28">
        <f>SUM(Reports!J15:M15)</f>
        <v>3733</v>
      </c>
      <c r="E22" s="28">
        <f>SUM(Reports!N15:Q15)</f>
        <v>4633</v>
      </c>
      <c r="F22" s="28">
        <f>SUM(Reports!R15:U15)</f>
        <v>5404</v>
      </c>
      <c r="G22" s="28">
        <f>SUM(Reports!V15:Y15)</f>
        <v>6594</v>
      </c>
      <c r="H22" s="28">
        <f>G22*1.2</f>
        <v>7912.7999999999993</v>
      </c>
      <c r="I22" s="28">
        <f t="shared" ref="I22:L22" si="31">H22*1.2</f>
        <v>9495.3599999999988</v>
      </c>
      <c r="J22" s="28">
        <f t="shared" si="31"/>
        <v>11394.431999999999</v>
      </c>
      <c r="K22" s="28">
        <f t="shared" si="31"/>
        <v>13673.318399999998</v>
      </c>
      <c r="L22" s="28">
        <f t="shared" si="31"/>
        <v>16407.982079999998</v>
      </c>
      <c r="M22" s="28">
        <f>L22*1.05</f>
        <v>17228.381183999998</v>
      </c>
      <c r="N22" s="28">
        <f t="shared" ref="N22:Q22" si="32">M22*1.05</f>
        <v>18089.800243199999</v>
      </c>
      <c r="O22" s="28">
        <f t="shared" si="32"/>
        <v>18994.29025536</v>
      </c>
      <c r="P22" s="28">
        <f t="shared" si="32"/>
        <v>19944.004768128001</v>
      </c>
      <c r="Q22" s="28">
        <f t="shared" si="32"/>
        <v>20941.205006534401</v>
      </c>
      <c r="R22" s="28">
        <f>Q22*0.98</f>
        <v>20522.380906403712</v>
      </c>
      <c r="S22" s="28">
        <f t="shared" ref="S22:V22" si="33">R22*0.98</f>
        <v>20111.933288275639</v>
      </c>
      <c r="T22" s="28">
        <f t="shared" si="33"/>
        <v>19709.694622510127</v>
      </c>
      <c r="U22" s="28">
        <f t="shared" si="33"/>
        <v>19315.500730059925</v>
      </c>
      <c r="V22" s="28">
        <f t="shared" si="33"/>
        <v>18929.190715458724</v>
      </c>
    </row>
    <row r="23" spans="1:203" x14ac:dyDescent="0.15">
      <c r="A23" s="24" t="s">
        <v>10</v>
      </c>
      <c r="B23" s="30">
        <f t="shared" ref="B23:F23" si="34">SUM(B20:B22)</f>
        <v>19541</v>
      </c>
      <c r="C23" s="30">
        <f t="shared" si="34"/>
        <v>25752</v>
      </c>
      <c r="D23" s="30">
        <f t="shared" si="34"/>
        <v>36421</v>
      </c>
      <c r="E23" s="30">
        <f t="shared" si="34"/>
        <v>47284</v>
      </c>
      <c r="F23" s="30">
        <f t="shared" si="34"/>
        <v>60215</v>
      </c>
      <c r="G23" s="30">
        <f t="shared" ref="G23" si="35">SUM(G20:G22)</f>
        <v>71342</v>
      </c>
      <c r="H23" s="28">
        <f t="shared" ref="H23" si="36">SUM(H20:H22)</f>
        <v>87811.400000000009</v>
      </c>
      <c r="I23" s="28">
        <f t="shared" ref="I23" si="37">SUM(I20:I22)</f>
        <v>108234.98</v>
      </c>
      <c r="J23" s="28">
        <f t="shared" ref="J23" si="38">SUM(J20:J22)</f>
        <v>133601.666</v>
      </c>
      <c r="K23" s="28">
        <f t="shared" ref="K23:L23" si="39">SUM(K20:K22)</f>
        <v>165157.5962</v>
      </c>
      <c r="L23" s="28">
        <f t="shared" si="39"/>
        <v>204475.39153999998</v>
      </c>
      <c r="M23" s="28">
        <f t="shared" ref="M23" si="40">SUM(M20:M22)</f>
        <v>224102.53159000003</v>
      </c>
      <c r="N23" s="28">
        <f t="shared" ref="N23" si="41">SUM(N20:N22)</f>
        <v>245651.36568980003</v>
      </c>
      <c r="O23" s="28">
        <f t="shared" ref="O23" si="42">SUM(O20:O22)</f>
        <v>269312.01224662008</v>
      </c>
      <c r="P23" s="28">
        <f t="shared" ref="P23" si="43">SUM(P20:P22)</f>
        <v>295293.49895851407</v>
      </c>
      <c r="Q23" s="28">
        <f t="shared" ref="Q23:R23" si="44">SUM(Q20:Q22)</f>
        <v>323825.64861595916</v>
      </c>
      <c r="R23" s="28">
        <f t="shared" si="44"/>
        <v>325389.70301794534</v>
      </c>
      <c r="S23" s="28">
        <f t="shared" ref="S23:U23" si="45">SUM(S20:S22)</f>
        <v>327719.34501095774</v>
      </c>
      <c r="T23" s="28">
        <f t="shared" si="45"/>
        <v>330819.3642616116</v>
      </c>
      <c r="U23" s="28">
        <f t="shared" si="45"/>
        <v>334696.44681488746</v>
      </c>
      <c r="V23" s="28">
        <f t="shared" ref="V23" si="46">SUM(V20:V22)</f>
        <v>339359.18742011004</v>
      </c>
    </row>
    <row r="24" spans="1:203" x14ac:dyDescent="0.15">
      <c r="A24" s="24" t="s">
        <v>11</v>
      </c>
      <c r="B24" s="30">
        <f t="shared" ref="B24:G24" si="47">B19-B23</f>
        <v>2223</v>
      </c>
      <c r="C24" s="30">
        <f t="shared" si="47"/>
        <v>4186</v>
      </c>
      <c r="D24" s="30">
        <f t="shared" si="47"/>
        <v>4107</v>
      </c>
      <c r="E24" s="30">
        <f t="shared" si="47"/>
        <v>12420</v>
      </c>
      <c r="F24" s="30">
        <f t="shared" si="47"/>
        <v>14540</v>
      </c>
      <c r="G24" s="30">
        <f t="shared" si="47"/>
        <v>22902</v>
      </c>
      <c r="H24" s="28">
        <f t="shared" ref="H24" si="48">H19-H23</f>
        <v>26316.572822012749</v>
      </c>
      <c r="I24" s="28">
        <f t="shared" ref="I24" si="49">I19-I23</f>
        <v>30462.810711966318</v>
      </c>
      <c r="J24" s="28">
        <f t="shared" ref="J24" si="50">J19-J23</f>
        <v>35605.139523011749</v>
      </c>
      <c r="K24" s="28">
        <f t="shared" ref="K24:L24" si="51">K19-K23</f>
        <v>42119.035008079343</v>
      </c>
      <c r="L24" s="28">
        <f t="shared" si="51"/>
        <v>50536.740259747341</v>
      </c>
      <c r="M24" s="28">
        <f t="shared" ref="M24" si="52">M19-M23</f>
        <v>56410.813389722025</v>
      </c>
      <c r="N24" s="28">
        <f t="shared" ref="N24" si="53">N19-N23</f>
        <v>62913.313787894294</v>
      </c>
      <c r="O24" s="28">
        <f t="shared" ref="O24" si="54">O19-O23</f>
        <v>70109.135178843688</v>
      </c>
      <c r="P24" s="28">
        <f t="shared" ref="P24" si="55">P19-P23</f>
        <v>78069.763209496159</v>
      </c>
      <c r="Q24" s="28">
        <f t="shared" ref="Q24:R24" si="56">Q19-Q23</f>
        <v>86873.939768852084</v>
      </c>
      <c r="R24" s="28">
        <f t="shared" si="56"/>
        <v>105844.86478610645</v>
      </c>
      <c r="S24" s="28">
        <f t="shared" ref="S24:U24" si="57">S19-S23</f>
        <v>125076.95118329668</v>
      </c>
      <c r="T24" s="28">
        <f t="shared" si="57"/>
        <v>144616.74674235552</v>
      </c>
      <c r="U24" s="28">
        <f t="shared" si="57"/>
        <v>164511.46973927802</v>
      </c>
      <c r="V24" s="28">
        <f t="shared" ref="V24" si="58">V19-V23</f>
        <v>184809.12496176374</v>
      </c>
    </row>
    <row r="25" spans="1:203" x14ac:dyDescent="0.15">
      <c r="A25" s="24" t="s">
        <v>12</v>
      </c>
      <c r="B25" s="28">
        <f>SUM(Reports!B18:E18)</f>
        <v>-665</v>
      </c>
      <c r="C25" s="28">
        <f>SUM(Reports!F18:I18)</f>
        <v>-294</v>
      </c>
      <c r="D25" s="28">
        <f>SUM(Reports!J18:M18)</f>
        <v>-300</v>
      </c>
      <c r="E25" s="28">
        <f>SUM(Reports!N18:Q18)</f>
        <v>-1159</v>
      </c>
      <c r="F25" s="28">
        <f>SUM(Reports!R18:U18)</f>
        <v>-575</v>
      </c>
      <c r="G25" s="28">
        <f>SUM(Reports!V18:Y18)</f>
        <v>1204</v>
      </c>
      <c r="H25" s="28">
        <f t="shared" ref="H25:V25" si="59">G42*$F$3</f>
        <v>1051.5999999999999</v>
      </c>
      <c r="I25" s="28">
        <f t="shared" si="59"/>
        <v>1516.8589379742166</v>
      </c>
      <c r="J25" s="28">
        <f t="shared" si="59"/>
        <v>2060.5133220232055</v>
      </c>
      <c r="K25" s="28">
        <f t="shared" si="59"/>
        <v>2700.8294203888004</v>
      </c>
      <c r="L25" s="28">
        <f t="shared" si="59"/>
        <v>3462.7671156727588</v>
      </c>
      <c r="M25" s="28">
        <f t="shared" si="59"/>
        <v>4380.7587410549004</v>
      </c>
      <c r="N25" s="28">
        <f t="shared" si="59"/>
        <v>5414.2154672781089</v>
      </c>
      <c r="O25" s="28">
        <f t="shared" si="59"/>
        <v>6575.7834646160391</v>
      </c>
      <c r="P25" s="28">
        <f t="shared" si="59"/>
        <v>7879.4270815548543</v>
      </c>
      <c r="Q25" s="28">
        <f t="shared" si="59"/>
        <v>9340.563316502723</v>
      </c>
      <c r="R25" s="28">
        <f t="shared" si="59"/>
        <v>10976.209868953754</v>
      </c>
      <c r="S25" s="28">
        <f t="shared" si="59"/>
        <v>12962.168138089779</v>
      </c>
      <c r="T25" s="28">
        <f t="shared" si="59"/>
        <v>15308.833166553348</v>
      </c>
      <c r="U25" s="28">
        <f t="shared" si="59"/>
        <v>18027.568025004799</v>
      </c>
      <c r="V25" s="28">
        <f t="shared" si="59"/>
        <v>21130.731666997606</v>
      </c>
    </row>
    <row r="26" spans="1:203" x14ac:dyDescent="0.15">
      <c r="A26" s="24" t="s">
        <v>13</v>
      </c>
      <c r="B26" s="30">
        <f t="shared" ref="B26:G26" si="60">B24+B25</f>
        <v>1558</v>
      </c>
      <c r="C26" s="30">
        <f t="shared" si="60"/>
        <v>3892</v>
      </c>
      <c r="D26" s="30">
        <f t="shared" si="60"/>
        <v>3807</v>
      </c>
      <c r="E26" s="30">
        <f t="shared" si="60"/>
        <v>11261</v>
      </c>
      <c r="F26" s="30">
        <f t="shared" si="60"/>
        <v>13965</v>
      </c>
      <c r="G26" s="30">
        <f t="shared" si="60"/>
        <v>24106</v>
      </c>
      <c r="H26" s="28">
        <f t="shared" ref="H26" si="61">H24+H25</f>
        <v>27368.172822012748</v>
      </c>
      <c r="I26" s="28">
        <f t="shared" ref="I26" si="62">I24+I25</f>
        <v>31979.669649940533</v>
      </c>
      <c r="J26" s="28">
        <f t="shared" ref="J26" si="63">J24+J25</f>
        <v>37665.652845034958</v>
      </c>
      <c r="K26" s="28">
        <f t="shared" ref="K26:L26" si="64">K24+K25</f>
        <v>44819.864428468143</v>
      </c>
      <c r="L26" s="28">
        <f t="shared" si="64"/>
        <v>53999.5073754201</v>
      </c>
      <c r="M26" s="28">
        <f t="shared" ref="M26" si="65">M24+M25</f>
        <v>60791.572130776927</v>
      </c>
      <c r="N26" s="28">
        <f t="shared" ref="N26" si="66">N24+N25</f>
        <v>68327.529255172398</v>
      </c>
      <c r="O26" s="28">
        <f t="shared" ref="O26" si="67">O24+O25</f>
        <v>76684.918643459721</v>
      </c>
      <c r="P26" s="28">
        <f t="shared" ref="P26" si="68">P24+P25</f>
        <v>85949.190291051011</v>
      </c>
      <c r="Q26" s="28">
        <f t="shared" ref="Q26:R26" si="69">Q24+Q25</f>
        <v>96214.503085354809</v>
      </c>
      <c r="R26" s="28">
        <f t="shared" si="69"/>
        <v>116821.07465506021</v>
      </c>
      <c r="S26" s="28">
        <f t="shared" ref="S26:U26" si="70">S24+S25</f>
        <v>138039.11932138645</v>
      </c>
      <c r="T26" s="28">
        <f t="shared" si="70"/>
        <v>159925.57990890887</v>
      </c>
      <c r="U26" s="28">
        <f t="shared" si="70"/>
        <v>182539.03776428281</v>
      </c>
      <c r="V26" s="28">
        <f t="shared" ref="V26" si="71">V24+V25</f>
        <v>205939.85662876134</v>
      </c>
    </row>
    <row r="27" spans="1:203" x14ac:dyDescent="0.15">
      <c r="A27" s="24" t="s">
        <v>14</v>
      </c>
      <c r="B27" s="28">
        <f>SUM(Reports!B20:E20)</f>
        <v>972</v>
      </c>
      <c r="C27" s="28">
        <f>SUM(Reports!F20:I20)</f>
        <v>1521</v>
      </c>
      <c r="D27" s="28">
        <f>SUM(Reports!J20:M20)</f>
        <v>774</v>
      </c>
      <c r="E27" s="28">
        <f>SUM(Reports!N20:Q20)</f>
        <v>1188</v>
      </c>
      <c r="F27" s="28">
        <f>SUM(Reports!R20:U20)</f>
        <v>2373</v>
      </c>
      <c r="G27" s="28">
        <f>SUM(Reports!V20:Y20)</f>
        <v>2863</v>
      </c>
      <c r="H27" s="28">
        <f t="shared" ref="H27:Q27" si="72">H26*0.15</f>
        <v>4105.2259233019122</v>
      </c>
      <c r="I27" s="28">
        <f t="shared" si="72"/>
        <v>4796.95044749108</v>
      </c>
      <c r="J27" s="28">
        <f t="shared" si="72"/>
        <v>5649.8479267552439</v>
      </c>
      <c r="K27" s="28">
        <f t="shared" si="72"/>
        <v>6722.9796642702213</v>
      </c>
      <c r="L27" s="28">
        <f t="shared" ref="L27" si="73">L26*0.15</f>
        <v>8099.9261063130143</v>
      </c>
      <c r="M27" s="28">
        <f t="shared" si="72"/>
        <v>9118.7358196165387</v>
      </c>
      <c r="N27" s="28">
        <f t="shared" si="72"/>
        <v>10249.12938827586</v>
      </c>
      <c r="O27" s="28">
        <f t="shared" si="72"/>
        <v>11502.737796518957</v>
      </c>
      <c r="P27" s="28">
        <f t="shared" si="72"/>
        <v>12892.378543657651</v>
      </c>
      <c r="Q27" s="28">
        <f t="shared" si="72"/>
        <v>14432.175462803221</v>
      </c>
      <c r="R27" s="28">
        <f t="shared" ref="R27:U27" si="74">R26*0.15</f>
        <v>17523.161198259029</v>
      </c>
      <c r="S27" s="28">
        <f t="shared" si="74"/>
        <v>20705.867898207965</v>
      </c>
      <c r="T27" s="28">
        <f t="shared" si="74"/>
        <v>23988.83698633633</v>
      </c>
      <c r="U27" s="28">
        <f t="shared" si="74"/>
        <v>27380.855664642422</v>
      </c>
      <c r="V27" s="28">
        <f t="shared" ref="V27" si="75">V26*0.15</f>
        <v>30890.9784943142</v>
      </c>
    </row>
    <row r="28" spans="1:203" s="25" customFormat="1" x14ac:dyDescent="0.15">
      <c r="A28" s="25" t="s">
        <v>15</v>
      </c>
      <c r="B28" s="35">
        <f t="shared" ref="B28:G28" si="76">B26-B27</f>
        <v>586</v>
      </c>
      <c r="C28" s="35">
        <f t="shared" si="76"/>
        <v>2371</v>
      </c>
      <c r="D28" s="35">
        <f t="shared" si="76"/>
        <v>3033</v>
      </c>
      <c r="E28" s="35">
        <f t="shared" si="76"/>
        <v>10073</v>
      </c>
      <c r="F28" s="35">
        <f t="shared" si="76"/>
        <v>11592</v>
      </c>
      <c r="G28" s="35">
        <f t="shared" si="76"/>
        <v>21243</v>
      </c>
      <c r="H28" s="35">
        <f t="shared" ref="H28" si="77">H26-H27</f>
        <v>23262.946898710834</v>
      </c>
      <c r="I28" s="35">
        <f t="shared" ref="I28" si="78">I26-I27</f>
        <v>27182.719202449454</v>
      </c>
      <c r="J28" s="35">
        <f t="shared" ref="J28" si="79">J26-J27</f>
        <v>32015.804918279715</v>
      </c>
      <c r="K28" s="35">
        <f t="shared" ref="K28:L28" si="80">K26-K27</f>
        <v>38096.884764197923</v>
      </c>
      <c r="L28" s="35">
        <f t="shared" si="80"/>
        <v>45899.58126910709</v>
      </c>
      <c r="M28" s="35">
        <f>M26-M27</f>
        <v>51672.83631116039</v>
      </c>
      <c r="N28" s="35">
        <f t="shared" ref="N28" si="81">N26-N27</f>
        <v>58078.399866896536</v>
      </c>
      <c r="O28" s="35">
        <f t="shared" ref="O28" si="82">O26-O27</f>
        <v>65182.180846940762</v>
      </c>
      <c r="P28" s="35">
        <f t="shared" ref="P28" si="83">P26-P27</f>
        <v>73056.811747393367</v>
      </c>
      <c r="Q28" s="35">
        <f t="shared" ref="Q28:R28" si="84">Q26-Q27</f>
        <v>81782.327622551587</v>
      </c>
      <c r="R28" s="35">
        <f t="shared" si="84"/>
        <v>99297.91345680118</v>
      </c>
      <c r="S28" s="35">
        <f t="shared" ref="S28:U28" si="85">S26-S27</f>
        <v>117333.25142317847</v>
      </c>
      <c r="T28" s="35">
        <f t="shared" si="85"/>
        <v>135936.74292257254</v>
      </c>
      <c r="U28" s="35">
        <f t="shared" si="85"/>
        <v>155158.1820996404</v>
      </c>
      <c r="V28" s="35">
        <f t="shared" ref="V28" si="86">V26-V27</f>
        <v>175048.87813444715</v>
      </c>
      <c r="W28" s="35">
        <f t="shared" ref="W28:CD28" si="87">V28*($F$2+1)</f>
        <v>171547.90057175819</v>
      </c>
      <c r="X28" s="35">
        <f t="shared" si="87"/>
        <v>168116.94256032302</v>
      </c>
      <c r="Y28" s="35">
        <f t="shared" si="87"/>
        <v>164754.60370911655</v>
      </c>
      <c r="Z28" s="35">
        <f t="shared" si="87"/>
        <v>161459.51163493423</v>
      </c>
      <c r="AA28" s="35">
        <f t="shared" si="87"/>
        <v>158230.32140223554</v>
      </c>
      <c r="AB28" s="35">
        <f t="shared" si="87"/>
        <v>155065.71497419084</v>
      </c>
      <c r="AC28" s="35">
        <f t="shared" si="87"/>
        <v>151964.40067470702</v>
      </c>
      <c r="AD28" s="35">
        <f t="shared" si="87"/>
        <v>148925.11266121289</v>
      </c>
      <c r="AE28" s="35">
        <f t="shared" si="87"/>
        <v>145946.61040798863</v>
      </c>
      <c r="AF28" s="35">
        <f t="shared" si="87"/>
        <v>143027.67819982886</v>
      </c>
      <c r="AG28" s="35">
        <f t="shared" si="87"/>
        <v>140167.1246358323</v>
      </c>
      <c r="AH28" s="35">
        <f t="shared" si="87"/>
        <v>137363.78214311565</v>
      </c>
      <c r="AI28" s="35">
        <f t="shared" si="87"/>
        <v>134616.50650025334</v>
      </c>
      <c r="AJ28" s="35">
        <f t="shared" si="87"/>
        <v>131924.17637024826</v>
      </c>
      <c r="AK28" s="35">
        <f t="shared" si="87"/>
        <v>129285.69284284329</v>
      </c>
      <c r="AL28" s="35">
        <f t="shared" si="87"/>
        <v>126699.97898598642</v>
      </c>
      <c r="AM28" s="35">
        <f t="shared" si="87"/>
        <v>124165.97940626669</v>
      </c>
      <c r="AN28" s="35">
        <f t="shared" si="87"/>
        <v>121682.65981814136</v>
      </c>
      <c r="AO28" s="35">
        <f t="shared" si="87"/>
        <v>119249.00662177854</v>
      </c>
      <c r="AP28" s="35">
        <f t="shared" si="87"/>
        <v>116864.02648934296</v>
      </c>
      <c r="AQ28" s="35">
        <f t="shared" si="87"/>
        <v>114526.74595955609</v>
      </c>
      <c r="AR28" s="35">
        <f t="shared" si="87"/>
        <v>112236.21104036497</v>
      </c>
      <c r="AS28" s="35">
        <f t="shared" si="87"/>
        <v>109991.48681955767</v>
      </c>
      <c r="AT28" s="35">
        <f t="shared" si="87"/>
        <v>107791.65708316652</v>
      </c>
      <c r="AU28" s="35">
        <f t="shared" si="87"/>
        <v>105635.82394150319</v>
      </c>
      <c r="AV28" s="35">
        <f t="shared" si="87"/>
        <v>103523.10746267311</v>
      </c>
      <c r="AW28" s="35">
        <f t="shared" si="87"/>
        <v>101452.64531341965</v>
      </c>
      <c r="AX28" s="35">
        <f t="shared" si="87"/>
        <v>99423.592407151256</v>
      </c>
      <c r="AY28" s="35">
        <f t="shared" si="87"/>
        <v>97435.120559008225</v>
      </c>
      <c r="AZ28" s="35">
        <f t="shared" si="87"/>
        <v>95486.418147828052</v>
      </c>
      <c r="BA28" s="35">
        <f t="shared" si="87"/>
        <v>93576.689784871487</v>
      </c>
      <c r="BB28" s="35">
        <f t="shared" si="87"/>
        <v>91705.155989174062</v>
      </c>
      <c r="BC28" s="35">
        <f t="shared" si="87"/>
        <v>89871.05286939058</v>
      </c>
      <c r="BD28" s="35">
        <f t="shared" si="87"/>
        <v>88073.631812002772</v>
      </c>
      <c r="BE28" s="35">
        <f t="shared" si="87"/>
        <v>86312.159175762717</v>
      </c>
      <c r="BF28" s="35">
        <f t="shared" si="87"/>
        <v>84585.915992247465</v>
      </c>
      <c r="BG28" s="35">
        <f t="shared" si="87"/>
        <v>82894.197672402515</v>
      </c>
      <c r="BH28" s="35">
        <f t="shared" si="87"/>
        <v>81236.313718954465</v>
      </c>
      <c r="BI28" s="35">
        <f t="shared" si="87"/>
        <v>79611.587444575373</v>
      </c>
      <c r="BJ28" s="35">
        <f t="shared" si="87"/>
        <v>78019.355695683858</v>
      </c>
      <c r="BK28" s="35">
        <f t="shared" si="87"/>
        <v>76458.968581770183</v>
      </c>
      <c r="BL28" s="35">
        <f t="shared" si="87"/>
        <v>74929.789210134782</v>
      </c>
      <c r="BM28" s="35">
        <f t="shared" si="87"/>
        <v>73431.193425932084</v>
      </c>
      <c r="BN28" s="35">
        <f t="shared" si="87"/>
        <v>71962.569557413444</v>
      </c>
      <c r="BO28" s="35">
        <f t="shared" si="87"/>
        <v>70523.318166265177</v>
      </c>
      <c r="BP28" s="35">
        <f t="shared" si="87"/>
        <v>69112.851802939869</v>
      </c>
      <c r="BQ28" s="35">
        <f t="shared" si="87"/>
        <v>67730.59476688107</v>
      </c>
      <c r="BR28" s="35">
        <f t="shared" si="87"/>
        <v>66375.982871543441</v>
      </c>
      <c r="BS28" s="35">
        <f t="shared" si="87"/>
        <v>65048.463214112569</v>
      </c>
      <c r="BT28" s="35">
        <f t="shared" si="87"/>
        <v>63747.493949830314</v>
      </c>
      <c r="BU28" s="35">
        <f t="shared" si="87"/>
        <v>62472.544070833705</v>
      </c>
      <c r="BV28" s="35">
        <f t="shared" si="87"/>
        <v>61223.093189417028</v>
      </c>
      <c r="BW28" s="35">
        <f t="shared" si="87"/>
        <v>59998.631325628689</v>
      </c>
      <c r="BX28" s="35">
        <f t="shared" si="87"/>
        <v>58798.658699116117</v>
      </c>
      <c r="BY28" s="35">
        <f t="shared" si="87"/>
        <v>57622.685525133791</v>
      </c>
      <c r="BZ28" s="35">
        <f t="shared" si="87"/>
        <v>56470.231814631115</v>
      </c>
      <c r="CA28" s="35">
        <f t="shared" si="87"/>
        <v>55340.827178338492</v>
      </c>
      <c r="CB28" s="35">
        <f t="shared" si="87"/>
        <v>54234.010634771723</v>
      </c>
      <c r="CC28" s="35">
        <f t="shared" si="87"/>
        <v>53149.330422076288</v>
      </c>
      <c r="CD28" s="35">
        <f t="shared" si="87"/>
        <v>52086.343813634761</v>
      </c>
      <c r="CE28" s="35">
        <f t="shared" ref="CE28:DR28" si="88">CD28*($F$2+1)</f>
        <v>51044.616937362065</v>
      </c>
      <c r="CF28" s="35">
        <f t="shared" si="88"/>
        <v>50023.724598614826</v>
      </c>
      <c r="CG28" s="35">
        <f t="shared" si="88"/>
        <v>49023.250106642532</v>
      </c>
      <c r="CH28" s="35">
        <f t="shared" si="88"/>
        <v>48042.785104509683</v>
      </c>
      <c r="CI28" s="35">
        <f t="shared" si="88"/>
        <v>47081.92940241949</v>
      </c>
      <c r="CJ28" s="35">
        <f t="shared" si="88"/>
        <v>46140.290814371096</v>
      </c>
      <c r="CK28" s="35">
        <f t="shared" si="88"/>
        <v>45217.484998083673</v>
      </c>
      <c r="CL28" s="35">
        <f t="shared" si="88"/>
        <v>44313.135298121997</v>
      </c>
      <c r="CM28" s="35">
        <f t="shared" si="88"/>
        <v>43426.872592159554</v>
      </c>
      <c r="CN28" s="35">
        <f t="shared" si="88"/>
        <v>42558.335140316362</v>
      </c>
      <c r="CO28" s="35">
        <f t="shared" si="88"/>
        <v>41707.16843751003</v>
      </c>
      <c r="CP28" s="35">
        <f t="shared" si="88"/>
        <v>40873.025068759831</v>
      </c>
      <c r="CQ28" s="35">
        <f t="shared" si="88"/>
        <v>40055.56456738463</v>
      </c>
      <c r="CR28" s="35">
        <f t="shared" si="88"/>
        <v>39254.45327603694</v>
      </c>
      <c r="CS28" s="35">
        <f t="shared" si="88"/>
        <v>38469.3642105162</v>
      </c>
      <c r="CT28" s="35">
        <f t="shared" si="88"/>
        <v>37699.976926305877</v>
      </c>
      <c r="CU28" s="35">
        <f t="shared" si="88"/>
        <v>36945.977387779756</v>
      </c>
      <c r="CV28" s="35">
        <f t="shared" si="88"/>
        <v>36207.057840024157</v>
      </c>
      <c r="CW28" s="35">
        <f t="shared" si="88"/>
        <v>35482.916683223673</v>
      </c>
      <c r="CX28" s="35">
        <f t="shared" si="88"/>
        <v>34773.258349559197</v>
      </c>
      <c r="CY28" s="35">
        <f t="shared" si="88"/>
        <v>34077.793182568013</v>
      </c>
      <c r="CZ28" s="35">
        <f t="shared" si="88"/>
        <v>33396.237318916654</v>
      </c>
      <c r="DA28" s="35">
        <f t="shared" si="88"/>
        <v>32728.312572538322</v>
      </c>
      <c r="DB28" s="35">
        <f t="shared" si="88"/>
        <v>32073.746321087554</v>
      </c>
      <c r="DC28" s="35">
        <f t="shared" si="88"/>
        <v>31432.271394665804</v>
      </c>
      <c r="DD28" s="35">
        <f t="shared" si="88"/>
        <v>30803.625966772488</v>
      </c>
      <c r="DE28" s="35">
        <f t="shared" si="88"/>
        <v>30187.553447437036</v>
      </c>
      <c r="DF28" s="35">
        <f t="shared" si="88"/>
        <v>29583.802378488293</v>
      </c>
      <c r="DG28" s="35">
        <f t="shared" si="88"/>
        <v>28992.126330918527</v>
      </c>
      <c r="DH28" s="35">
        <f t="shared" si="88"/>
        <v>28412.283804300157</v>
      </c>
      <c r="DI28" s="35">
        <f t="shared" si="88"/>
        <v>27844.038128214153</v>
      </c>
      <c r="DJ28" s="35">
        <f t="shared" si="88"/>
        <v>27287.157365649869</v>
      </c>
      <c r="DK28" s="35">
        <f t="shared" si="88"/>
        <v>26741.414218336871</v>
      </c>
      <c r="DL28" s="35">
        <f t="shared" si="88"/>
        <v>26206.585933970135</v>
      </c>
      <c r="DM28" s="35">
        <f t="shared" si="88"/>
        <v>25682.454215290731</v>
      </c>
      <c r="DN28" s="35">
        <f t="shared" si="88"/>
        <v>25168.805130984914</v>
      </c>
      <c r="DO28" s="35">
        <f t="shared" si="88"/>
        <v>24665.429028365215</v>
      </c>
      <c r="DP28" s="35">
        <f t="shared" si="88"/>
        <v>24172.120447797912</v>
      </c>
      <c r="DQ28" s="35">
        <f t="shared" si="88"/>
        <v>23688.678038841954</v>
      </c>
      <c r="DR28" s="35">
        <f t="shared" si="88"/>
        <v>23214.904478065113</v>
      </c>
      <c r="DS28" s="35">
        <f t="shared" ref="DS28" si="89">DR28*($F$2+1)</f>
        <v>22750.606388503809</v>
      </c>
      <c r="DT28" s="35">
        <f t="shared" ref="DT28" si="90">DS28*($F$2+1)</f>
        <v>22295.594260733731</v>
      </c>
      <c r="DU28" s="35">
        <f t="shared" ref="DU28" si="91">DT28*($F$2+1)</f>
        <v>21849.682375519056</v>
      </c>
      <c r="DV28" s="35">
        <f t="shared" ref="DV28" si="92">DU28*($F$2+1)</f>
        <v>21412.688728008674</v>
      </c>
      <c r="DW28" s="35">
        <f t="shared" ref="DW28" si="93">DV28*($F$2+1)</f>
        <v>20984.434953448501</v>
      </c>
      <c r="DX28" s="35">
        <f t="shared" ref="DX28" si="94">DW28*($F$2+1)</f>
        <v>20564.74625437953</v>
      </c>
      <c r="DY28" s="35">
        <f t="shared" ref="DY28" si="95">DX28*($F$2+1)</f>
        <v>20153.45132929194</v>
      </c>
      <c r="DZ28" s="35">
        <f t="shared" ref="DZ28" si="96">DY28*($F$2+1)</f>
        <v>19750.382302706101</v>
      </c>
      <c r="EA28" s="35">
        <f t="shared" ref="EA28" si="97">DZ28*($F$2+1)</f>
        <v>19355.374656651977</v>
      </c>
      <c r="EB28" s="35">
        <f t="shared" ref="EB28" si="98">EA28*($F$2+1)</f>
        <v>18968.267163518936</v>
      </c>
      <c r="EC28" s="35">
        <f t="shared" ref="EC28" si="99">EB28*($F$2+1)</f>
        <v>18588.901820248557</v>
      </c>
      <c r="ED28" s="35">
        <f t="shared" ref="ED28" si="100">EC28*($F$2+1)</f>
        <v>18217.123783843585</v>
      </c>
      <c r="EE28" s="35">
        <f t="shared" ref="EE28" si="101">ED28*($F$2+1)</f>
        <v>17852.781308166712</v>
      </c>
      <c r="EF28" s="35">
        <f t="shared" ref="EF28" si="102">EE28*($F$2+1)</f>
        <v>17495.725682003376</v>
      </c>
      <c r="EG28" s="35">
        <f t="shared" ref="EG28" si="103">EF28*($F$2+1)</f>
        <v>17145.811168363307</v>
      </c>
      <c r="EH28" s="35">
        <f t="shared" ref="EH28" si="104">EG28*($F$2+1)</f>
        <v>16802.894944996042</v>
      </c>
      <c r="EI28" s="35">
        <f t="shared" ref="EI28" si="105">EH28*($F$2+1)</f>
        <v>16466.83704609612</v>
      </c>
      <c r="EJ28" s="35">
        <f t="shared" ref="EJ28" si="106">EI28*($F$2+1)</f>
        <v>16137.500305174197</v>
      </c>
      <c r="EK28" s="35">
        <f t="shared" ref="EK28" si="107">EJ28*($F$2+1)</f>
        <v>15814.750299070713</v>
      </c>
      <c r="EL28" s="35">
        <f t="shared" ref="EL28" si="108">EK28*($F$2+1)</f>
        <v>15498.455293089299</v>
      </c>
      <c r="EM28" s="35">
        <f t="shared" ref="EM28" si="109">EL28*($F$2+1)</f>
        <v>15188.486187227512</v>
      </c>
      <c r="EN28" s="35">
        <f t="shared" ref="EN28" si="110">EM28*($F$2+1)</f>
        <v>14884.716463482962</v>
      </c>
      <c r="EO28" s="35">
        <f t="shared" ref="EO28" si="111">EN28*($F$2+1)</f>
        <v>14587.022134213303</v>
      </c>
      <c r="EP28" s="35">
        <f t="shared" ref="EP28" si="112">EO28*($F$2+1)</f>
        <v>14295.281691529037</v>
      </c>
      <c r="EQ28" s="35">
        <f t="shared" ref="EQ28" si="113">EP28*($F$2+1)</f>
        <v>14009.376057698455</v>
      </c>
      <c r="ER28" s="35">
        <f t="shared" ref="ER28" si="114">EQ28*($F$2+1)</f>
        <v>13729.188536544485</v>
      </c>
      <c r="ES28" s="35">
        <f t="shared" ref="ES28" si="115">ER28*($F$2+1)</f>
        <v>13454.604765813596</v>
      </c>
      <c r="ET28" s="35">
        <f t="shared" ref="ET28" si="116">ES28*($F$2+1)</f>
        <v>13185.512670497325</v>
      </c>
      <c r="EU28" s="35">
        <f t="shared" ref="EU28" si="117">ET28*($F$2+1)</f>
        <v>12921.802417087378</v>
      </c>
      <c r="EV28" s="35">
        <f t="shared" ref="EV28" si="118">EU28*($F$2+1)</f>
        <v>12663.36636874563</v>
      </c>
      <c r="EW28" s="35">
        <f t="shared" ref="EW28" si="119">EV28*($F$2+1)</f>
        <v>12410.099041370717</v>
      </c>
      <c r="EX28" s="35">
        <f t="shared" ref="EX28" si="120">EW28*($F$2+1)</f>
        <v>12161.897060543302</v>
      </c>
      <c r="EY28" s="35">
        <f t="shared" ref="EY28" si="121">EX28*($F$2+1)</f>
        <v>11918.659119332437</v>
      </c>
      <c r="EZ28" s="35">
        <f t="shared" ref="EZ28" si="122">EY28*($F$2+1)</f>
        <v>11680.285936945787</v>
      </c>
      <c r="FA28" s="35">
        <f t="shared" ref="FA28" si="123">EZ28*($F$2+1)</f>
        <v>11446.680218206871</v>
      </c>
      <c r="FB28" s="35">
        <f t="shared" ref="FB28" si="124">FA28*($F$2+1)</f>
        <v>11217.746613842733</v>
      </c>
      <c r="FC28" s="35">
        <f t="shared" ref="FC28" si="125">FB28*($F$2+1)</f>
        <v>10993.391681565879</v>
      </c>
      <c r="FD28" s="35">
        <f t="shared" ref="FD28" si="126">FC28*($F$2+1)</f>
        <v>10773.523847934563</v>
      </c>
      <c r="FE28" s="35">
        <f t="shared" ref="FE28" si="127">FD28*($F$2+1)</f>
        <v>10558.053370975871</v>
      </c>
      <c r="FF28" s="35">
        <f t="shared" ref="FF28" si="128">FE28*($F$2+1)</f>
        <v>10346.892303556353</v>
      </c>
      <c r="FG28" s="35">
        <f t="shared" ref="FG28" si="129">FF28*($F$2+1)</f>
        <v>10139.954457485226</v>
      </c>
      <c r="FH28" s="35">
        <f t="shared" ref="FH28" si="130">FG28*($F$2+1)</f>
        <v>9937.1553683355214</v>
      </c>
      <c r="FI28" s="35">
        <f t="shared" ref="FI28" si="131">FH28*($F$2+1)</f>
        <v>9738.4122609688111</v>
      </c>
      <c r="FJ28" s="35">
        <f t="shared" ref="FJ28" si="132">FI28*($F$2+1)</f>
        <v>9543.6440157494344</v>
      </c>
      <c r="FK28" s="35">
        <f t="shared" ref="FK28" si="133">FJ28*($F$2+1)</f>
        <v>9352.7711354344447</v>
      </c>
      <c r="FL28" s="35">
        <f t="shared" ref="FL28" si="134">FK28*($F$2+1)</f>
        <v>9165.715712725756</v>
      </c>
      <c r="FM28" s="35">
        <f t="shared" ref="FM28" si="135">FL28*($F$2+1)</f>
        <v>8982.4013984712401</v>
      </c>
      <c r="FN28" s="35">
        <f t="shared" ref="FN28" si="136">FM28*($F$2+1)</f>
        <v>8802.7533705018159</v>
      </c>
      <c r="FO28" s="35">
        <f t="shared" ref="FO28" si="137">FN28*($F$2+1)</f>
        <v>8626.69830309178</v>
      </c>
      <c r="FP28" s="35">
        <f t="shared" ref="FP28" si="138">FO28*($F$2+1)</f>
        <v>8454.1643370299444</v>
      </c>
      <c r="FQ28" s="35">
        <f t="shared" ref="FQ28" si="139">FP28*($F$2+1)</f>
        <v>8285.0810502893455</v>
      </c>
      <c r="FR28" s="35">
        <f t="shared" ref="FR28" si="140">FQ28*($F$2+1)</f>
        <v>8119.3794292835582</v>
      </c>
      <c r="FS28" s="35">
        <f t="shared" ref="FS28" si="141">FR28*($F$2+1)</f>
        <v>7956.9918406978868</v>
      </c>
      <c r="FT28" s="35">
        <f t="shared" ref="FT28" si="142">FS28*($F$2+1)</f>
        <v>7797.8520038839288</v>
      </c>
      <c r="FU28" s="35">
        <f t="shared" ref="FU28" si="143">FT28*($F$2+1)</f>
        <v>7641.8949638062504</v>
      </c>
      <c r="FV28" s="35">
        <f t="shared" ref="FV28" si="144">FU28*($F$2+1)</f>
        <v>7489.057064530125</v>
      </c>
      <c r="FW28" s="35">
        <f t="shared" ref="FW28" si="145">FV28*($F$2+1)</f>
        <v>7339.2759232395219</v>
      </c>
      <c r="FX28" s="35">
        <f t="shared" ref="FX28" si="146">FW28*($F$2+1)</f>
        <v>7192.4904047747314</v>
      </c>
      <c r="FY28" s="35">
        <f t="shared" ref="FY28" si="147">FX28*($F$2+1)</f>
        <v>7048.6405966792363</v>
      </c>
      <c r="FZ28" s="35">
        <f t="shared" ref="FZ28" si="148">FY28*($F$2+1)</f>
        <v>6907.6677847456513</v>
      </c>
      <c r="GA28" s="35">
        <f t="shared" ref="GA28" si="149">FZ28*($F$2+1)</f>
        <v>6769.5144290507378</v>
      </c>
      <c r="GB28" s="35">
        <f t="shared" ref="GB28" si="150">GA28*($F$2+1)</f>
        <v>6634.124140469723</v>
      </c>
      <c r="GC28" s="35">
        <f t="shared" ref="GC28" si="151">GB28*($F$2+1)</f>
        <v>6501.441657660328</v>
      </c>
      <c r="GD28" s="35">
        <f t="shared" ref="GD28" si="152">GC28*($F$2+1)</f>
        <v>6371.4128245071215</v>
      </c>
      <c r="GE28" s="35">
        <f t="shared" ref="GE28" si="153">GD28*($F$2+1)</f>
        <v>6243.9845680169792</v>
      </c>
      <c r="GF28" s="35">
        <f t="shared" ref="GF28" si="154">GE28*($F$2+1)</f>
        <v>6119.1048766566391</v>
      </c>
      <c r="GG28" s="35">
        <f t="shared" ref="GG28" si="155">GF28*($F$2+1)</f>
        <v>5996.7227791235064</v>
      </c>
      <c r="GH28" s="35">
        <f t="shared" ref="GH28" si="156">GG28*($F$2+1)</f>
        <v>5876.7883235410363</v>
      </c>
      <c r="GI28" s="35">
        <f t="shared" ref="GI28" si="157">GH28*($F$2+1)</f>
        <v>5759.2525570702155</v>
      </c>
      <c r="GJ28" s="35">
        <f t="shared" ref="GJ28" si="158">GI28*($F$2+1)</f>
        <v>5644.0675059288114</v>
      </c>
      <c r="GK28" s="35">
        <f t="shared" ref="GK28" si="159">GJ28*($F$2+1)</f>
        <v>5531.1861558102355</v>
      </c>
      <c r="GL28" s="35">
        <f t="shared" ref="GL28" si="160">GK28*($F$2+1)</f>
        <v>5420.5624326940306</v>
      </c>
      <c r="GM28" s="35">
        <f t="shared" ref="GM28" si="161">GL28*($F$2+1)</f>
        <v>5312.1511840401499</v>
      </c>
      <c r="GN28" s="35">
        <f t="shared" ref="GN28" si="162">GM28*($F$2+1)</f>
        <v>5205.9081603593468</v>
      </c>
      <c r="GO28" s="35">
        <f t="shared" ref="GO28" si="163">GN28*($F$2+1)</f>
        <v>5101.7899971521601</v>
      </c>
      <c r="GP28" s="35">
        <f t="shared" ref="GP28" si="164">GO28*($F$2+1)</f>
        <v>4999.7541972091167</v>
      </c>
      <c r="GQ28" s="35">
        <f t="shared" ref="GQ28" si="165">GP28*($F$2+1)</f>
        <v>4899.7591132649341</v>
      </c>
      <c r="GR28" s="35">
        <f t="shared" ref="GR28" si="166">GQ28*($F$2+1)</f>
        <v>4801.7639309996357</v>
      </c>
      <c r="GS28" s="35">
        <f t="shared" ref="GS28" si="167">GR28*($F$2+1)</f>
        <v>4705.7286523796429</v>
      </c>
      <c r="GT28" s="35">
        <f t="shared" ref="GT28" si="168">GS28*($F$2+1)</f>
        <v>4611.6140793320501</v>
      </c>
      <c r="GU28" s="35">
        <f t="shared" ref="GU28" si="169">GT28*($F$2+1)</f>
        <v>4519.3817977454091</v>
      </c>
    </row>
    <row r="29" spans="1:203" x14ac:dyDescent="0.15">
      <c r="A29" s="24" t="s">
        <v>16</v>
      </c>
      <c r="B29" s="38">
        <f t="shared" ref="B29:G29" si="170">B28/B30</f>
        <v>1.2182952182952183</v>
      </c>
      <c r="C29" s="38">
        <f t="shared" si="170"/>
        <v>4.8786008230452671</v>
      </c>
      <c r="D29" s="38">
        <f t="shared" si="170"/>
        <v>6.11491935483871</v>
      </c>
      <c r="E29" s="38">
        <f t="shared" si="170"/>
        <v>20.105788423153694</v>
      </c>
      <c r="F29" s="38">
        <f t="shared" si="170"/>
        <v>22.954455445544554</v>
      </c>
      <c r="G29" s="38">
        <f t="shared" si="170"/>
        <v>41.409356725146196</v>
      </c>
      <c r="H29" s="39">
        <f t="shared" ref="H29" si="171">H28/H30</f>
        <v>45.346875046219949</v>
      </c>
      <c r="I29" s="39">
        <f t="shared" ref="I29" si="172">I28/I30</f>
        <v>52.98775672992096</v>
      </c>
      <c r="J29" s="39">
        <f t="shared" ref="J29" si="173">J28/J30</f>
        <v>62.408976448888332</v>
      </c>
      <c r="K29" s="39">
        <f t="shared" ref="K29:L29" si="174">K28/K30</f>
        <v>74.262933263543715</v>
      </c>
      <c r="L29" s="39">
        <f t="shared" si="174"/>
        <v>89.472867970968991</v>
      </c>
      <c r="M29" s="39">
        <f t="shared" ref="M29" si="175">M28/M30</f>
        <v>100.72677643501051</v>
      </c>
      <c r="N29" s="39">
        <f t="shared" ref="N29" si="176">N28/N30</f>
        <v>113.21325510116284</v>
      </c>
      <c r="O29" s="39">
        <f t="shared" ref="O29" si="177">O28/O30</f>
        <v>127.06078137805217</v>
      </c>
      <c r="P29" s="39">
        <f t="shared" ref="P29" si="178">P28/P30</f>
        <v>142.41093907873952</v>
      </c>
      <c r="Q29" s="39">
        <f t="shared" ref="Q29:R29" si="179">Q28/Q30</f>
        <v>159.4197419542916</v>
      </c>
      <c r="R29" s="39">
        <f t="shared" si="179"/>
        <v>193.56318412631808</v>
      </c>
      <c r="S29" s="39">
        <f t="shared" ref="S29:U29" si="180">S28/S30</f>
        <v>228.71978834927577</v>
      </c>
      <c r="T29" s="39">
        <f t="shared" si="180"/>
        <v>264.98390433250006</v>
      </c>
      <c r="U29" s="39">
        <f t="shared" si="180"/>
        <v>302.45259668545884</v>
      </c>
      <c r="V29" s="39">
        <f t="shared" ref="V29" si="181">V28/V30</f>
        <v>341.22588330301591</v>
      </c>
    </row>
    <row r="30" spans="1:203" x14ac:dyDescent="0.15">
      <c r="A30" s="24" t="s">
        <v>17</v>
      </c>
      <c r="B30" s="28">
        <f>Reports!E23</f>
        <v>481</v>
      </c>
      <c r="C30" s="28">
        <f>Reports!I23</f>
        <v>486</v>
      </c>
      <c r="D30" s="28">
        <f>Reports!M23</f>
        <v>496</v>
      </c>
      <c r="E30" s="28">
        <f>Reports!Q23</f>
        <v>501</v>
      </c>
      <c r="F30" s="28">
        <f>Reports!U23</f>
        <v>505</v>
      </c>
      <c r="G30" s="28">
        <f>Reports!Y23</f>
        <v>513</v>
      </c>
      <c r="H30" s="28">
        <f t="shared" ref="H30:V30" si="182">G30</f>
        <v>513</v>
      </c>
      <c r="I30" s="28">
        <f t="shared" si="182"/>
        <v>513</v>
      </c>
      <c r="J30" s="28">
        <f t="shared" si="182"/>
        <v>513</v>
      </c>
      <c r="K30" s="28">
        <f t="shared" si="182"/>
        <v>513</v>
      </c>
      <c r="L30" s="28">
        <f t="shared" si="182"/>
        <v>513</v>
      </c>
      <c r="M30" s="28">
        <f t="shared" si="182"/>
        <v>513</v>
      </c>
      <c r="N30" s="28">
        <f t="shared" si="182"/>
        <v>513</v>
      </c>
      <c r="O30" s="28">
        <f t="shared" si="182"/>
        <v>513</v>
      </c>
      <c r="P30" s="28">
        <f t="shared" si="182"/>
        <v>513</v>
      </c>
      <c r="Q30" s="28">
        <f t="shared" si="182"/>
        <v>513</v>
      </c>
      <c r="R30" s="28">
        <f t="shared" si="182"/>
        <v>513</v>
      </c>
      <c r="S30" s="28">
        <f t="shared" si="182"/>
        <v>513</v>
      </c>
      <c r="T30" s="28">
        <f t="shared" si="182"/>
        <v>513</v>
      </c>
      <c r="U30" s="28">
        <f t="shared" si="182"/>
        <v>513</v>
      </c>
      <c r="V30" s="28">
        <f t="shared" si="182"/>
        <v>513</v>
      </c>
    </row>
    <row r="31" spans="1:203" x14ac:dyDescent="0.1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03" x14ac:dyDescent="0.15">
      <c r="A32" s="24" t="s">
        <v>19</v>
      </c>
      <c r="B32" s="42">
        <f>IFERROR(B19/B17,0)</f>
        <v>0.20340757217492078</v>
      </c>
      <c r="C32" s="42">
        <f t="shared" ref="C32:Q32" si="183">IFERROR(C19/C17,0)</f>
        <v>0.22015339701589123</v>
      </c>
      <c r="D32" s="42">
        <f t="shared" si="183"/>
        <v>0.22785692600047228</v>
      </c>
      <c r="E32" s="42">
        <f t="shared" si="183"/>
        <v>0.25636467471348767</v>
      </c>
      <c r="F32" s="42">
        <f>IFERROR(F19/F17,0)</f>
        <v>0.26648533804835273</v>
      </c>
      <c r="G32" s="42">
        <f t="shared" si="183"/>
        <v>0.24411306845702949</v>
      </c>
      <c r="H32" s="42">
        <f t="shared" si="183"/>
        <v>0.25411306845702947</v>
      </c>
      <c r="I32" s="42">
        <f t="shared" si="183"/>
        <v>0.26411306845702948</v>
      </c>
      <c r="J32" s="42">
        <f t="shared" si="183"/>
        <v>0.27411306845702949</v>
      </c>
      <c r="K32" s="42">
        <f t="shared" si="183"/>
        <v>0.28411306845702949</v>
      </c>
      <c r="L32" s="42">
        <f t="shared" ref="L32" si="184">IFERROR(L19/L17,0)</f>
        <v>0.2941130684570295</v>
      </c>
      <c r="M32" s="42">
        <f t="shared" si="183"/>
        <v>0.2941130684570295</v>
      </c>
      <c r="N32" s="42">
        <f t="shared" si="183"/>
        <v>0.2941130684570295</v>
      </c>
      <c r="O32" s="42">
        <f t="shared" si="183"/>
        <v>0.2941130684570295</v>
      </c>
      <c r="P32" s="42">
        <f t="shared" si="183"/>
        <v>0.2941130684570295</v>
      </c>
      <c r="Q32" s="42">
        <f t="shared" si="183"/>
        <v>0.2941130684570295</v>
      </c>
      <c r="R32" s="42">
        <f t="shared" ref="R32:U32" si="185">IFERROR(R19/R17,0)</f>
        <v>0.2941130684570295</v>
      </c>
      <c r="S32" s="42">
        <f t="shared" si="185"/>
        <v>0.2941130684570295</v>
      </c>
      <c r="T32" s="42">
        <f t="shared" si="185"/>
        <v>0.2941130684570295</v>
      </c>
      <c r="U32" s="42">
        <f t="shared" si="185"/>
        <v>0.2941130684570295</v>
      </c>
      <c r="V32" s="42">
        <f t="shared" ref="V32" si="186">IFERROR(V19/V17,0)</f>
        <v>0.2941130684570295</v>
      </c>
    </row>
    <row r="33" spans="1:22" x14ac:dyDescent="0.15">
      <c r="A33" s="24" t="s">
        <v>20</v>
      </c>
      <c r="B33" s="41">
        <f t="shared" ref="B33:Q33" si="187">IFERROR(B24/B17,0)</f>
        <v>2.0776283447199454E-2</v>
      </c>
      <c r="C33" s="41">
        <f t="shared" si="187"/>
        <v>3.0782354195621642E-2</v>
      </c>
      <c r="D33" s="41">
        <f t="shared" si="187"/>
        <v>2.3090416380870993E-2</v>
      </c>
      <c r="E33" s="41">
        <f t="shared" si="187"/>
        <v>5.3330585219441187E-2</v>
      </c>
      <c r="F33" s="41">
        <f t="shared" si="187"/>
        <v>5.1831941879781268E-2</v>
      </c>
      <c r="G33" s="41">
        <f>IFERROR(G24/G17,0)</f>
        <v>5.9321309513633645E-2</v>
      </c>
      <c r="H33" s="41">
        <f t="shared" si="187"/>
        <v>5.8595495089567372E-2</v>
      </c>
      <c r="I33" s="41">
        <f t="shared" si="187"/>
        <v>5.8008324210956197E-2</v>
      </c>
      <c r="J33" s="41">
        <f t="shared" si="187"/>
        <v>5.7679914335160058E-2</v>
      </c>
      <c r="K33" s="41">
        <f t="shared" si="187"/>
        <v>5.7732356063726051E-2</v>
      </c>
      <c r="L33" s="41">
        <f t="shared" ref="L33" si="188">IFERROR(L24/L17,0)</f>
        <v>5.8285524075701707E-2</v>
      </c>
      <c r="M33" s="41">
        <f t="shared" si="187"/>
        <v>5.9145697404903795E-2</v>
      </c>
      <c r="N33" s="41">
        <f t="shared" si="187"/>
        <v>5.996677194641499E-2</v>
      </c>
      <c r="O33" s="41">
        <f t="shared" si="187"/>
        <v>6.0750524917857401E-2</v>
      </c>
      <c r="P33" s="41">
        <f t="shared" si="187"/>
        <v>6.1498652754234363E-2</v>
      </c>
      <c r="Q33" s="41">
        <f t="shared" si="187"/>
        <v>6.2212774779866774E-2</v>
      </c>
      <c r="R33" s="41">
        <f t="shared" ref="R33:U33" si="189">IFERROR(R24/R17,0)</f>
        <v>7.2188920570965098E-2</v>
      </c>
      <c r="S33" s="41">
        <f t="shared" si="189"/>
        <v>8.1243522120126976E-2</v>
      </c>
      <c r="T33" s="41">
        <f t="shared" si="189"/>
        <v>8.9462441220230324E-2</v>
      </c>
      <c r="U33" s="41">
        <f t="shared" si="189"/>
        <v>9.6923489305572555E-2</v>
      </c>
      <c r="V33" s="41">
        <f t="shared" ref="V33" si="190">IFERROR(V24/V17,0)</f>
        <v>0.10369718568901912</v>
      </c>
    </row>
    <row r="34" spans="1:22" x14ac:dyDescent="0.15">
      <c r="A34" s="24" t="s">
        <v>21</v>
      </c>
      <c r="B34" s="41">
        <f t="shared" ref="B34:Q34" si="191">IFERROR(B27/B26,0)</f>
        <v>0.62387676508344025</v>
      </c>
      <c r="C34" s="41">
        <f t="shared" si="191"/>
        <v>0.39080164439876669</v>
      </c>
      <c r="D34" s="41">
        <f t="shared" si="191"/>
        <v>0.20330969267139479</v>
      </c>
      <c r="E34" s="41">
        <f t="shared" si="191"/>
        <v>0.10549684752686263</v>
      </c>
      <c r="F34" s="41">
        <f t="shared" si="191"/>
        <v>0.1699248120300752</v>
      </c>
      <c r="G34" s="41">
        <f t="shared" si="191"/>
        <v>0.11876711192234299</v>
      </c>
      <c r="H34" s="41">
        <f t="shared" si="191"/>
        <v>0.15</v>
      </c>
      <c r="I34" s="41">
        <f t="shared" si="191"/>
        <v>0.15</v>
      </c>
      <c r="J34" s="41">
        <f t="shared" si="191"/>
        <v>0.15</v>
      </c>
      <c r="K34" s="41">
        <f t="shared" si="191"/>
        <v>0.15</v>
      </c>
      <c r="L34" s="41">
        <f t="shared" ref="L34" si="192">IFERROR(L27/L26,0)</f>
        <v>0.15</v>
      </c>
      <c r="M34" s="41">
        <f t="shared" si="191"/>
        <v>0.15</v>
      </c>
      <c r="N34" s="41">
        <f t="shared" si="191"/>
        <v>0.15</v>
      </c>
      <c r="O34" s="41">
        <f t="shared" si="191"/>
        <v>0.15</v>
      </c>
      <c r="P34" s="41">
        <f t="shared" si="191"/>
        <v>0.15</v>
      </c>
      <c r="Q34" s="41">
        <f t="shared" si="191"/>
        <v>0.15</v>
      </c>
      <c r="R34" s="41">
        <f t="shared" ref="R34:U34" si="193">IFERROR(R27/R26,0)</f>
        <v>0.15</v>
      </c>
      <c r="S34" s="41">
        <f t="shared" si="193"/>
        <v>0.15</v>
      </c>
      <c r="T34" s="41">
        <f t="shared" si="193"/>
        <v>0.15</v>
      </c>
      <c r="U34" s="41">
        <f t="shared" si="193"/>
        <v>0.15</v>
      </c>
      <c r="V34" s="41">
        <f t="shared" ref="V34" si="194">IFERROR(V27/V26,0)</f>
        <v>0.15</v>
      </c>
    </row>
    <row r="35" spans="1:22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15">
      <c r="A36" s="25" t="s">
        <v>18</v>
      </c>
      <c r="B36" s="7"/>
      <c r="C36" s="40">
        <f t="shared" ref="C36:V36" si="195">C17/B17-1</f>
        <v>0.27094217594885839</v>
      </c>
      <c r="D36" s="40">
        <f t="shared" si="195"/>
        <v>0.30796326119408479</v>
      </c>
      <c r="E36" s="40">
        <f t="shared" si="195"/>
        <v>0.3093396152159491</v>
      </c>
      <c r="F36" s="40">
        <f>F17/E17-1</f>
        <v>0.20454125820676983</v>
      </c>
      <c r="G36" s="40">
        <f>G17/F17-1</f>
        <v>0.37624500039212605</v>
      </c>
      <c r="H36" s="40">
        <f>H17/G17-1</f>
        <v>0.16332864502793543</v>
      </c>
      <c r="I36" s="40">
        <f t="shared" si="195"/>
        <v>0.16926930674639551</v>
      </c>
      <c r="J36" s="40">
        <f t="shared" si="195"/>
        <v>0.17546156374317645</v>
      </c>
      <c r="K36" s="40">
        <f t="shared" si="195"/>
        <v>0.1818736381957009</v>
      </c>
      <c r="L36" s="40">
        <f t="shared" si="195"/>
        <v>0.18846771537267126</v>
      </c>
      <c r="M36" s="40">
        <f t="shared" si="195"/>
        <v>0.10000000000000009</v>
      </c>
      <c r="N36" s="40">
        <f t="shared" si="195"/>
        <v>0.10000000000000009</v>
      </c>
      <c r="O36" s="40">
        <f t="shared" si="195"/>
        <v>0.10000000000000009</v>
      </c>
      <c r="P36" s="40">
        <f t="shared" si="195"/>
        <v>0.10000000000000009</v>
      </c>
      <c r="Q36" s="40">
        <f t="shared" si="195"/>
        <v>0.10000000000000009</v>
      </c>
      <c r="R36" s="40">
        <f t="shared" si="195"/>
        <v>5.0000000000000044E-2</v>
      </c>
      <c r="S36" s="40">
        <f t="shared" si="195"/>
        <v>5.0000000000000044E-2</v>
      </c>
      <c r="T36" s="40">
        <f t="shared" si="195"/>
        <v>5.0000000000000044E-2</v>
      </c>
      <c r="U36" s="40">
        <f t="shared" si="195"/>
        <v>5.0000000000000044E-2</v>
      </c>
      <c r="V36" s="40">
        <f t="shared" si="195"/>
        <v>5.0000000000000044E-2</v>
      </c>
    </row>
    <row r="37" spans="1:22" x14ac:dyDescent="0.15">
      <c r="A37" s="24" t="s">
        <v>62</v>
      </c>
      <c r="B37" s="6"/>
      <c r="C37" s="41">
        <f t="shared" ref="C37:V37" si="196">C20/B20-1</f>
        <v>0.28257056290862703</v>
      </c>
      <c r="D37" s="41">
        <f t="shared" si="196"/>
        <v>0.40619171950764632</v>
      </c>
      <c r="E37" s="41">
        <f t="shared" si="196"/>
        <v>0.27484526967285583</v>
      </c>
      <c r="F37" s="41">
        <f t="shared" si="196"/>
        <v>0.24603807608281025</v>
      </c>
      <c r="G37" s="41">
        <f t="shared" si="196"/>
        <v>0.18941333630190349</v>
      </c>
      <c r="H37" s="41">
        <f t="shared" si="196"/>
        <v>0.19999999999999996</v>
      </c>
      <c r="I37" s="41">
        <f t="shared" si="196"/>
        <v>0.19999999999999996</v>
      </c>
      <c r="J37" s="41">
        <f t="shared" si="196"/>
        <v>0.19999999999999996</v>
      </c>
      <c r="K37" s="41">
        <f t="shared" si="196"/>
        <v>0.19999999999999996</v>
      </c>
      <c r="L37" s="41">
        <f t="shared" si="196"/>
        <v>0.19999999999999996</v>
      </c>
      <c r="M37" s="41">
        <f t="shared" si="196"/>
        <v>0.10000000000000009</v>
      </c>
      <c r="N37" s="41">
        <f t="shared" si="196"/>
        <v>0.10000000000000009</v>
      </c>
      <c r="O37" s="41">
        <f t="shared" si="196"/>
        <v>0.10000000000000009</v>
      </c>
      <c r="P37" s="41">
        <f t="shared" si="196"/>
        <v>0.10000000000000009</v>
      </c>
      <c r="Q37" s="41">
        <f t="shared" si="196"/>
        <v>0.10000000000000009</v>
      </c>
      <c r="R37" s="41">
        <f t="shared" si="196"/>
        <v>5.0000000000000044E-2</v>
      </c>
      <c r="S37" s="41">
        <f t="shared" si="196"/>
        <v>5.0000000000000044E-2</v>
      </c>
      <c r="T37" s="41">
        <f t="shared" si="196"/>
        <v>5.0000000000000044E-2</v>
      </c>
      <c r="U37" s="41">
        <f t="shared" si="196"/>
        <v>5.0000000000000044E-2</v>
      </c>
      <c r="V37" s="41">
        <f t="shared" si="196"/>
        <v>5.0000000000000044E-2</v>
      </c>
    </row>
    <row r="38" spans="1:22" x14ac:dyDescent="0.15">
      <c r="A38" s="24" t="s">
        <v>63</v>
      </c>
      <c r="B38" s="6"/>
      <c r="C38" s="41">
        <f t="shared" ref="C38:V38" si="197">C21/B21-1</f>
        <v>0.37718964204112715</v>
      </c>
      <c r="D38" s="41">
        <f t="shared" si="197"/>
        <v>0.3919535462463708</v>
      </c>
      <c r="E38" s="41">
        <f t="shared" si="197"/>
        <v>0.37206992451330945</v>
      </c>
      <c r="F38" s="41">
        <f t="shared" si="197"/>
        <v>0.36665701462284628</v>
      </c>
      <c r="G38" s="41">
        <f t="shared" si="197"/>
        <v>0.1658456486042692</v>
      </c>
      <c r="H38" s="41">
        <f t="shared" si="197"/>
        <v>0.30000000000000004</v>
      </c>
      <c r="I38" s="41">
        <f t="shared" si="197"/>
        <v>0.30000000000000004</v>
      </c>
      <c r="J38" s="41">
        <f t="shared" si="197"/>
        <v>0.30000000000000004</v>
      </c>
      <c r="K38" s="41">
        <f t="shared" si="197"/>
        <v>0.30000000000000004</v>
      </c>
      <c r="L38" s="41">
        <f t="shared" si="197"/>
        <v>0.30000000000000004</v>
      </c>
      <c r="M38" s="41">
        <f t="shared" si="197"/>
        <v>0.10000000000000009</v>
      </c>
      <c r="N38" s="41">
        <f t="shared" si="197"/>
        <v>0.10000000000000009</v>
      </c>
      <c r="O38" s="41">
        <f t="shared" si="197"/>
        <v>0.10000000000000009</v>
      </c>
      <c r="P38" s="41">
        <f t="shared" si="197"/>
        <v>0.10000000000000009</v>
      </c>
      <c r="Q38" s="41">
        <f t="shared" si="197"/>
        <v>0.10000000000000009</v>
      </c>
      <c r="R38" s="41">
        <f t="shared" si="197"/>
        <v>-5.0000000000000044E-2</v>
      </c>
      <c r="S38" s="41">
        <f t="shared" si="197"/>
        <v>-5.0000000000000044E-2</v>
      </c>
      <c r="T38" s="41">
        <f t="shared" si="197"/>
        <v>-5.0000000000000155E-2</v>
      </c>
      <c r="U38" s="41">
        <f t="shared" si="197"/>
        <v>-5.0000000000000044E-2</v>
      </c>
      <c r="V38" s="41">
        <f t="shared" si="197"/>
        <v>-4.9999999999999933E-2</v>
      </c>
    </row>
    <row r="39" spans="1:22" x14ac:dyDescent="0.15">
      <c r="A39" s="24" t="s">
        <v>64</v>
      </c>
      <c r="B39" s="6"/>
      <c r="C39" s="41">
        <f t="shared" ref="C39:V39" si="198">C22/B22-1</f>
        <v>0.39267315397824842</v>
      </c>
      <c r="D39" s="41">
        <f t="shared" si="198"/>
        <v>0.53431976983148366</v>
      </c>
      <c r="E39" s="41">
        <f t="shared" si="198"/>
        <v>0.24109295472810066</v>
      </c>
      <c r="F39" s="41">
        <f t="shared" si="198"/>
        <v>0.16641484998920775</v>
      </c>
      <c r="G39" s="41">
        <f t="shared" si="198"/>
        <v>0.22020725388601026</v>
      </c>
      <c r="H39" s="41">
        <f t="shared" si="198"/>
        <v>0.19999999999999996</v>
      </c>
      <c r="I39" s="41">
        <f t="shared" si="198"/>
        <v>0.19999999999999996</v>
      </c>
      <c r="J39" s="41">
        <f t="shared" si="198"/>
        <v>0.19999999999999996</v>
      </c>
      <c r="K39" s="41">
        <f t="shared" si="198"/>
        <v>0.19999999999999996</v>
      </c>
      <c r="L39" s="41">
        <f t="shared" si="198"/>
        <v>0.19999999999999996</v>
      </c>
      <c r="M39" s="41">
        <f t="shared" si="198"/>
        <v>5.0000000000000044E-2</v>
      </c>
      <c r="N39" s="41">
        <f t="shared" si="198"/>
        <v>5.0000000000000044E-2</v>
      </c>
      <c r="O39" s="41">
        <f t="shared" si="198"/>
        <v>5.0000000000000044E-2</v>
      </c>
      <c r="P39" s="41">
        <f t="shared" si="198"/>
        <v>5.0000000000000044E-2</v>
      </c>
      <c r="Q39" s="41">
        <f t="shared" si="198"/>
        <v>5.0000000000000044E-2</v>
      </c>
      <c r="R39" s="41">
        <f t="shared" si="198"/>
        <v>-2.0000000000000018E-2</v>
      </c>
      <c r="S39" s="41">
        <f t="shared" si="198"/>
        <v>-1.9999999999999907E-2</v>
      </c>
      <c r="T39" s="41">
        <f t="shared" si="198"/>
        <v>-1.9999999999999907E-2</v>
      </c>
      <c r="U39" s="41">
        <f t="shared" si="198"/>
        <v>-2.0000000000000018E-2</v>
      </c>
      <c r="V39" s="41">
        <f t="shared" si="198"/>
        <v>-2.0000000000000129E-2</v>
      </c>
    </row>
    <row r="40" spans="1:22" s="29" customFormat="1" x14ac:dyDescent="0.15">
      <c r="A40" s="29" t="s">
        <v>123</v>
      </c>
      <c r="B40" s="34"/>
      <c r="C40" s="50">
        <f>C23/B23-1</f>
        <v>0.31784453200962082</v>
      </c>
      <c r="D40" s="50">
        <f t="shared" ref="D40:V40" si="199">D23/C23-1</f>
        <v>0.41429791860826337</v>
      </c>
      <c r="E40" s="50">
        <f t="shared" si="199"/>
        <v>0.29826199170808043</v>
      </c>
      <c r="F40" s="50">
        <f t="shared" si="199"/>
        <v>0.27347517130530408</v>
      </c>
      <c r="G40" s="50">
        <f t="shared" si="199"/>
        <v>0.18478784356057454</v>
      </c>
      <c r="H40" s="50">
        <f t="shared" si="199"/>
        <v>0.23085139188696702</v>
      </c>
      <c r="I40" s="50">
        <f t="shared" si="199"/>
        <v>0.23258460746554532</v>
      </c>
      <c r="J40" s="50">
        <f t="shared" si="199"/>
        <v>0.23436680082538941</v>
      </c>
      <c r="K40" s="50">
        <f t="shared" si="199"/>
        <v>0.23619413698029779</v>
      </c>
      <c r="L40" s="50">
        <f t="shared" si="199"/>
        <v>0.23806228865421075</v>
      </c>
      <c r="M40" s="50">
        <f t="shared" si="199"/>
        <v>9.5987785631213907E-2</v>
      </c>
      <c r="N40" s="50">
        <f t="shared" si="199"/>
        <v>9.6156138651856127E-2</v>
      </c>
      <c r="O40" s="50">
        <f t="shared" si="199"/>
        <v>9.6317993146017633E-2</v>
      </c>
      <c r="P40" s="50">
        <f t="shared" si="199"/>
        <v>9.6473553092394804E-2</v>
      </c>
      <c r="Q40" s="50">
        <f t="shared" si="199"/>
        <v>9.6623020005779381E-2</v>
      </c>
      <c r="R40" s="50">
        <f t="shared" si="199"/>
        <v>4.8299274892862343E-3</v>
      </c>
      <c r="S40" s="50">
        <f t="shared" si="199"/>
        <v>7.1595442984375701E-3</v>
      </c>
      <c r="T40" s="50">
        <f t="shared" si="199"/>
        <v>9.459372166602531E-3</v>
      </c>
      <c r="U40" s="50">
        <f t="shared" si="199"/>
        <v>1.1719636067645256E-2</v>
      </c>
      <c r="V40" s="50">
        <f t="shared" si="199"/>
        <v>1.3931252182672438E-2</v>
      </c>
    </row>
    <row r="41" spans="1:22" x14ac:dyDescent="0.15">
      <c r="B41" s="6"/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25" customFormat="1" x14ac:dyDescent="0.15">
      <c r="A42" s="7" t="s">
        <v>37</v>
      </c>
      <c r="B42" s="45">
        <f t="shared" ref="B42:G42" si="200">B43-B44</f>
        <v>11581</v>
      </c>
      <c r="C42" s="45">
        <f t="shared" si="200"/>
        <v>18287</v>
      </c>
      <c r="D42" s="45">
        <f t="shared" si="200"/>
        <v>6243</v>
      </c>
      <c r="E42" s="45">
        <f t="shared" si="200"/>
        <v>17755</v>
      </c>
      <c r="F42" s="45">
        <f t="shared" si="200"/>
        <v>31607</v>
      </c>
      <c r="G42" s="45">
        <f t="shared" si="200"/>
        <v>52580</v>
      </c>
      <c r="H42" s="46">
        <f t="shared" ref="H42:V42" si="201">G42+H28</f>
        <v>75842.946898710827</v>
      </c>
      <c r="I42" s="46">
        <f t="shared" si="201"/>
        <v>103025.66610116028</v>
      </c>
      <c r="J42" s="46">
        <f t="shared" si="201"/>
        <v>135041.47101944001</v>
      </c>
      <c r="K42" s="46">
        <f t="shared" si="201"/>
        <v>173138.35578363793</v>
      </c>
      <c r="L42" s="46">
        <f t="shared" si="201"/>
        <v>219037.93705274502</v>
      </c>
      <c r="M42" s="46">
        <f t="shared" si="201"/>
        <v>270710.77336390543</v>
      </c>
      <c r="N42" s="46">
        <f t="shared" si="201"/>
        <v>328789.17323080194</v>
      </c>
      <c r="O42" s="46">
        <f t="shared" si="201"/>
        <v>393971.35407774273</v>
      </c>
      <c r="P42" s="46">
        <f t="shared" si="201"/>
        <v>467028.16582513612</v>
      </c>
      <c r="Q42" s="46">
        <f t="shared" si="201"/>
        <v>548810.49344768771</v>
      </c>
      <c r="R42" s="46">
        <f t="shared" si="201"/>
        <v>648108.40690448892</v>
      </c>
      <c r="S42" s="46">
        <f t="shared" si="201"/>
        <v>765441.65832766739</v>
      </c>
      <c r="T42" s="46">
        <f t="shared" si="201"/>
        <v>901378.40125023993</v>
      </c>
      <c r="U42" s="46">
        <f t="shared" si="201"/>
        <v>1056536.5833498803</v>
      </c>
      <c r="V42" s="46">
        <f t="shared" si="201"/>
        <v>1231585.4614843274</v>
      </c>
    </row>
    <row r="43" spans="1:22" x14ac:dyDescent="0.15">
      <c r="A43" s="6" t="s">
        <v>38</v>
      </c>
      <c r="B43" s="44">
        <f>Reports!E35</f>
        <v>19808</v>
      </c>
      <c r="C43" s="44">
        <f>Reports!I35</f>
        <v>25981</v>
      </c>
      <c r="D43" s="44">
        <f>Reports!M35</f>
        <v>30986</v>
      </c>
      <c r="E43" s="44">
        <f>Reports!Q35</f>
        <v>41250</v>
      </c>
      <c r="F43" s="44">
        <f>Reports!U35</f>
        <v>55021</v>
      </c>
      <c r="G43" s="44">
        <f>Reports!Y35</f>
        <v>84396</v>
      </c>
    </row>
    <row r="44" spans="1:22" x14ac:dyDescent="0.15">
      <c r="A44" s="6" t="s">
        <v>39</v>
      </c>
      <c r="B44" s="44">
        <f>Reports!E36</f>
        <v>8227</v>
      </c>
      <c r="C44" s="44">
        <f>Reports!I36</f>
        <v>7694</v>
      </c>
      <c r="D44" s="44">
        <f>Reports!M36</f>
        <v>24743</v>
      </c>
      <c r="E44" s="44">
        <f>Reports!Q36</f>
        <v>23495</v>
      </c>
      <c r="F44" s="44">
        <f>Reports!U36</f>
        <v>23414</v>
      </c>
      <c r="G44" s="44">
        <f>Reports!Y36</f>
        <v>31816</v>
      </c>
    </row>
    <row r="45" spans="1:22" x14ac:dyDescent="0.15">
      <c r="A45" s="6"/>
    </row>
    <row r="46" spans="1:22" x14ac:dyDescent="0.15">
      <c r="A46" s="23" t="s">
        <v>82</v>
      </c>
      <c r="E46" s="44">
        <f>Reports!Q38</f>
        <v>14548</v>
      </c>
      <c r="F46" s="44">
        <f>Reports!U38</f>
        <v>14754</v>
      </c>
      <c r="G46" s="44">
        <f>Reports!Y38</f>
        <v>15017</v>
      </c>
    </row>
    <row r="47" spans="1:22" x14ac:dyDescent="0.15">
      <c r="A47" s="23" t="s">
        <v>83</v>
      </c>
      <c r="E47" s="44">
        <f>Reports!Q39</f>
        <v>162648</v>
      </c>
      <c r="F47" s="44">
        <f>Reports!U39</f>
        <v>225248</v>
      </c>
      <c r="G47" s="44">
        <f>Reports!Y39</f>
        <v>321195</v>
      </c>
    </row>
    <row r="48" spans="1:22" x14ac:dyDescent="0.15">
      <c r="A48" s="23" t="s">
        <v>84</v>
      </c>
      <c r="E48" s="44">
        <f>Reports!Q40</f>
        <v>119099</v>
      </c>
      <c r="F48" s="44">
        <f>Reports!U40</f>
        <v>163188</v>
      </c>
      <c r="G48" s="44">
        <f>Reports!Y40</f>
        <v>227791</v>
      </c>
    </row>
    <row r="49" spans="1:22" x14ac:dyDescent="0.15">
      <c r="A49" s="6"/>
    </row>
    <row r="50" spans="1:22" x14ac:dyDescent="0.15">
      <c r="A50" s="23" t="s">
        <v>85</v>
      </c>
      <c r="E50" s="10">
        <f>E47-E46-E43</f>
        <v>106850</v>
      </c>
      <c r="F50" s="10">
        <f>F47-F46-F43</f>
        <v>155473</v>
      </c>
      <c r="G50" s="10">
        <f>G47-G46-G43</f>
        <v>221782</v>
      </c>
    </row>
    <row r="51" spans="1:22" x14ac:dyDescent="0.15">
      <c r="A51" s="23" t="s">
        <v>86</v>
      </c>
      <c r="E51" s="10">
        <f>E47-E48</f>
        <v>43549</v>
      </c>
      <c r="F51" s="10">
        <f>F47-F48</f>
        <v>62060</v>
      </c>
      <c r="G51" s="10">
        <f>G47-G48</f>
        <v>93404</v>
      </c>
    </row>
    <row r="52" spans="1:22" x14ac:dyDescent="0.15">
      <c r="A52" s="23"/>
      <c r="E52" s="2"/>
      <c r="F52" s="2"/>
      <c r="G52" s="2"/>
    </row>
    <row r="53" spans="1:22" x14ac:dyDescent="0.15">
      <c r="A53" s="23" t="s">
        <v>88</v>
      </c>
      <c r="E53" s="19">
        <f>E28/E51</f>
        <v>0.231302670555007</v>
      </c>
      <c r="F53" s="19">
        <f>F28/F51</f>
        <v>0.1867869803416049</v>
      </c>
      <c r="G53" s="19">
        <f>G28/G51</f>
        <v>0.22743137338871997</v>
      </c>
    </row>
    <row r="54" spans="1:22" x14ac:dyDescent="0.15">
      <c r="A54" s="23" t="s">
        <v>89</v>
      </c>
      <c r="E54" s="19">
        <f>E28/E47</f>
        <v>6.1931287196891449E-2</v>
      </c>
      <c r="F54" s="19">
        <f>F28/F47</f>
        <v>5.1463276033527489E-2</v>
      </c>
      <c r="G54" s="19">
        <f>G28/G47</f>
        <v>6.6137393172371925E-2</v>
      </c>
    </row>
    <row r="55" spans="1:22" x14ac:dyDescent="0.15">
      <c r="A55" s="23" t="s">
        <v>90</v>
      </c>
      <c r="E55" s="19">
        <f>E28/(E51-E46)</f>
        <v>0.34733285059135893</v>
      </c>
      <c r="F55" s="19">
        <f>F28/(F51-F46)</f>
        <v>0.24504291210417284</v>
      </c>
      <c r="G55" s="19">
        <f>G28/(G51-G46)</f>
        <v>0.27100156913773965</v>
      </c>
    </row>
    <row r="56" spans="1:22" x14ac:dyDescent="0.15">
      <c r="A56" s="23" t="s">
        <v>91</v>
      </c>
      <c r="E56" s="19">
        <f>E28/E50</f>
        <v>9.4272344408048672E-2</v>
      </c>
      <c r="F56" s="19">
        <f>F28/F50</f>
        <v>7.4559569828844874E-2</v>
      </c>
      <c r="G56" s="19">
        <f>G28/G50</f>
        <v>9.5783246611537462E-2</v>
      </c>
    </row>
    <row r="57" spans="1:22" x14ac:dyDescent="0.1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15">
      <c r="A58" s="6" t="s">
        <v>74</v>
      </c>
      <c r="C58" s="43">
        <f>C10/B10-1</f>
        <v>-7.7637777800195762E-2</v>
      </c>
      <c r="D58" s="43">
        <f>D10/C10-1</f>
        <v>0.18510133324583555</v>
      </c>
      <c r="E58" s="43">
        <f>E10/D10-1</f>
        <v>0.13503760786304286</v>
      </c>
      <c r="F58" s="43">
        <f t="shared" ref="F58:L58" si="202">F10/E10-1</f>
        <v>0.14847097660728359</v>
      </c>
      <c r="G58" s="43">
        <f t="shared" si="202"/>
        <v>0.39719073679440986</v>
      </c>
      <c r="H58" s="43">
        <f t="shared" si="202"/>
        <v>0.10000000000000009</v>
      </c>
      <c r="I58" s="43">
        <f t="shared" si="202"/>
        <v>0.10000000000000009</v>
      </c>
      <c r="J58" s="43">
        <f t="shared" si="202"/>
        <v>0.10000000000000009</v>
      </c>
      <c r="K58" s="43">
        <f t="shared" si="202"/>
        <v>0.10000000000000009</v>
      </c>
      <c r="L58" s="43">
        <f t="shared" si="202"/>
        <v>0.10000000000000009</v>
      </c>
    </row>
    <row r="59" spans="1:22" x14ac:dyDescent="0.15">
      <c r="A59" s="6" t="s">
        <v>75</v>
      </c>
      <c r="C59" s="43"/>
      <c r="D59" s="43"/>
      <c r="E59" s="43">
        <f t="shared" ref="E59:L63" si="203">E11/D11-1</f>
        <v>1.9706795446705763</v>
      </c>
      <c r="F59" s="43">
        <f t="shared" si="203"/>
        <v>-1.8578727357175806E-3</v>
      </c>
      <c r="G59" s="43">
        <f t="shared" si="203"/>
        <v>-5.6305258259655599E-2</v>
      </c>
      <c r="H59" s="43">
        <f t="shared" si="203"/>
        <v>5.0000000000000044E-2</v>
      </c>
      <c r="I59" s="43">
        <f t="shared" si="203"/>
        <v>5.0000000000000044E-2</v>
      </c>
      <c r="J59" s="43">
        <f t="shared" si="203"/>
        <v>5.0000000000000044E-2</v>
      </c>
      <c r="K59" s="43">
        <f t="shared" si="203"/>
        <v>5.0000000000000044E-2</v>
      </c>
      <c r="L59" s="43">
        <f t="shared" si="203"/>
        <v>5.0000000000000044E-2</v>
      </c>
    </row>
    <row r="60" spans="1:22" x14ac:dyDescent="0.15">
      <c r="A60" s="6" t="s">
        <v>78</v>
      </c>
      <c r="C60" s="43"/>
      <c r="D60" s="43">
        <f t="shared" ref="D60:D63" si="204">D12/C12-1</f>
        <v>0.3865089375027182</v>
      </c>
      <c r="E60" s="43">
        <f t="shared" si="203"/>
        <v>0.34080928481806771</v>
      </c>
      <c r="F60" s="43">
        <f t="shared" si="203"/>
        <v>0.25771435255585451</v>
      </c>
      <c r="G60" s="43">
        <f t="shared" si="203"/>
        <v>0.4961961273041795</v>
      </c>
      <c r="H60" s="43">
        <f t="shared" si="203"/>
        <v>0.19999999999999996</v>
      </c>
      <c r="I60" s="43">
        <f t="shared" si="203"/>
        <v>0.19999999999999996</v>
      </c>
      <c r="J60" s="43">
        <f t="shared" si="203"/>
        <v>0.19999999999999996</v>
      </c>
      <c r="K60" s="43">
        <f t="shared" si="203"/>
        <v>0.19999999999999996</v>
      </c>
      <c r="L60" s="43">
        <f t="shared" si="203"/>
        <v>0.19999999999999996</v>
      </c>
    </row>
    <row r="61" spans="1:22" x14ac:dyDescent="0.15">
      <c r="A61" s="6" t="s">
        <v>79</v>
      </c>
      <c r="C61" s="43"/>
      <c r="D61" s="43">
        <f t="shared" si="204"/>
        <v>0.52048795746011889</v>
      </c>
      <c r="E61" s="43">
        <f t="shared" si="203"/>
        <v>0.45721045052458331</v>
      </c>
      <c r="F61" s="43">
        <f t="shared" si="203"/>
        <v>0.35596809486835612</v>
      </c>
      <c r="G61" s="43">
        <f t="shared" si="203"/>
        <v>0.31218115564810001</v>
      </c>
      <c r="H61" s="43">
        <f t="shared" si="203"/>
        <v>0.30000000000000004</v>
      </c>
      <c r="I61" s="43">
        <f t="shared" si="203"/>
        <v>0.30000000000000004</v>
      </c>
      <c r="J61" s="43">
        <f t="shared" si="203"/>
        <v>0.30000000000000004</v>
      </c>
      <c r="K61" s="43">
        <f t="shared" si="203"/>
        <v>0.30000000000000004</v>
      </c>
      <c r="L61" s="43">
        <f t="shared" si="203"/>
        <v>0.30000000000000004</v>
      </c>
    </row>
    <row r="62" spans="1:22" x14ac:dyDescent="0.15">
      <c r="A62" s="6" t="s">
        <v>80</v>
      </c>
      <c r="C62" s="43">
        <f t="shared" ref="C62" si="205">C14/B14-1</f>
        <v>0.5526048284625158</v>
      </c>
      <c r="D62" s="43">
        <f t="shared" si="204"/>
        <v>0.42875849087486695</v>
      </c>
      <c r="E62" s="43">
        <f t="shared" si="203"/>
        <v>0.46958414480467403</v>
      </c>
      <c r="F62" s="43">
        <f t="shared" si="203"/>
        <v>0.36521671343935136</v>
      </c>
      <c r="G62" s="43">
        <f t="shared" si="203"/>
        <v>0.2954091246502597</v>
      </c>
      <c r="H62" s="43">
        <f t="shared" si="203"/>
        <v>0.25</v>
      </c>
      <c r="I62" s="43">
        <f t="shared" si="203"/>
        <v>0.25</v>
      </c>
      <c r="J62" s="43">
        <f t="shared" si="203"/>
        <v>0.25</v>
      </c>
      <c r="K62" s="43">
        <f t="shared" si="203"/>
        <v>0.25</v>
      </c>
      <c r="L62" s="43">
        <f t="shared" si="203"/>
        <v>0.25</v>
      </c>
    </row>
    <row r="63" spans="1:22" x14ac:dyDescent="0.15">
      <c r="A63" s="6" t="s">
        <v>81</v>
      </c>
      <c r="C63" s="43"/>
      <c r="D63" s="43">
        <f t="shared" si="204"/>
        <v>0.57728813559322023</v>
      </c>
      <c r="E63" s="43">
        <f t="shared" si="203"/>
        <v>1.1723619170427679</v>
      </c>
      <c r="F63" s="43">
        <f t="shared" si="203"/>
        <v>0.39354966363276622</v>
      </c>
      <c r="G63" s="43">
        <f t="shared" si="203"/>
        <v>0.52470538122958965</v>
      </c>
      <c r="H63" s="43">
        <f t="shared" si="203"/>
        <v>0.35000000000000009</v>
      </c>
      <c r="I63" s="43">
        <f t="shared" si="203"/>
        <v>0.35000000000000009</v>
      </c>
      <c r="J63" s="43">
        <f t="shared" si="203"/>
        <v>0.35000000000000009</v>
      </c>
      <c r="K63" s="43">
        <f t="shared" si="203"/>
        <v>0.35000000000000031</v>
      </c>
      <c r="L63" s="43">
        <f t="shared" si="203"/>
        <v>0.35000000000000009</v>
      </c>
    </row>
    <row r="66" spans="1:1" x14ac:dyDescent="0.15">
      <c r="A66" s="7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  <row r="73" spans="1:1" x14ac:dyDescent="0.15">
      <c r="A73" s="6"/>
    </row>
    <row r="74" spans="1:1" x14ac:dyDescent="0.15">
      <c r="A74" s="23"/>
    </row>
    <row r="75" spans="1:1" x14ac:dyDescent="0.15">
      <c r="A75" s="23"/>
    </row>
    <row r="76" spans="1:1" x14ac:dyDescent="0.15">
      <c r="A76" s="6"/>
    </row>
  </sheetData>
  <hyperlinks>
    <hyperlink ref="A7" r:id="rId1" xr:uid="{00000000-0004-0000-0000-000001000000}"/>
    <hyperlink ref="A1" r:id="rId2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6"/>
  <sheetViews>
    <sheetView zoomScale="125" zoomScaleNormal="125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A41" sqref="AA41"/>
    </sheetView>
  </sheetViews>
  <sheetFormatPr baseColWidth="10" defaultRowHeight="13" x14ac:dyDescent="0.15"/>
  <cols>
    <col min="1" max="1" width="16.1640625" style="6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3"/>
    <col min="19" max="21" width="10.83203125" style="6"/>
    <col min="22" max="22" width="10.83203125" style="56"/>
    <col min="23" max="16384" width="10.83203125" style="6"/>
  </cols>
  <sheetData>
    <row r="1" spans="1:27" s="2" customFormat="1" x14ac:dyDescent="0.15">
      <c r="A1" s="49" t="s">
        <v>70</v>
      </c>
      <c r="B1" s="2" t="s">
        <v>54</v>
      </c>
      <c r="C1" s="2" t="s">
        <v>55</v>
      </c>
      <c r="D1" s="2" t="s">
        <v>56</v>
      </c>
      <c r="E1" s="2" t="s">
        <v>57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46</v>
      </c>
      <c r="O1" s="5" t="s">
        <v>47</v>
      </c>
      <c r="P1" s="5" t="s">
        <v>48</v>
      </c>
      <c r="Q1" s="5" t="s">
        <v>49</v>
      </c>
      <c r="R1" s="3" t="s">
        <v>115</v>
      </c>
      <c r="S1" s="2" t="s">
        <v>117</v>
      </c>
      <c r="T1" s="2" t="s">
        <v>118</v>
      </c>
      <c r="U1" s="2" t="s">
        <v>119</v>
      </c>
      <c r="V1" s="53" t="s">
        <v>173</v>
      </c>
      <c r="W1" s="2" t="s">
        <v>174</v>
      </c>
      <c r="X1" s="2" t="s">
        <v>175</v>
      </c>
      <c r="Y1" s="2" t="s">
        <v>177</v>
      </c>
    </row>
    <row r="2" spans="1:27" s="2" customFormat="1" x14ac:dyDescent="0.15">
      <c r="A2" s="48"/>
      <c r="B2" s="2" t="s">
        <v>58</v>
      </c>
      <c r="C2" s="2" t="s">
        <v>59</v>
      </c>
      <c r="D2" s="2" t="s">
        <v>60</v>
      </c>
      <c r="E2" s="2" t="s">
        <v>61</v>
      </c>
      <c r="F2" s="3" t="s">
        <v>33</v>
      </c>
      <c r="G2" s="2" t="s">
        <v>32</v>
      </c>
      <c r="H2" s="2" t="s">
        <v>31</v>
      </c>
      <c r="I2" s="2" t="s">
        <v>36</v>
      </c>
      <c r="J2" s="3" t="s">
        <v>35</v>
      </c>
      <c r="K2" s="2" t="s">
        <v>34</v>
      </c>
      <c r="L2" s="2" t="s">
        <v>26</v>
      </c>
      <c r="M2" s="2" t="s">
        <v>40</v>
      </c>
      <c r="N2" s="3" t="s">
        <v>50</v>
      </c>
      <c r="O2" s="2" t="s">
        <v>51</v>
      </c>
      <c r="P2" s="2" t="s">
        <v>52</v>
      </c>
      <c r="Q2" s="2" t="s">
        <v>53</v>
      </c>
      <c r="R2" s="3" t="s">
        <v>116</v>
      </c>
      <c r="S2" s="2" t="s">
        <v>120</v>
      </c>
      <c r="T2" s="2" t="s">
        <v>121</v>
      </c>
      <c r="U2" s="2" t="s">
        <v>122</v>
      </c>
      <c r="V2" s="54">
        <v>43921</v>
      </c>
      <c r="W2" s="58">
        <v>44012</v>
      </c>
      <c r="X2" s="58">
        <v>44104</v>
      </c>
      <c r="Y2" s="58">
        <v>44196</v>
      </c>
    </row>
    <row r="3" spans="1:27" s="28" customFormat="1" x14ac:dyDescent="0.15">
      <c r="A3" s="28" t="s">
        <v>27</v>
      </c>
      <c r="B3" s="5">
        <f>13406+7745</f>
        <v>21151</v>
      </c>
      <c r="C3" s="5">
        <f>13796+7565</f>
        <v>21361</v>
      </c>
      <c r="D3" s="5">
        <f>15006+8267</f>
        <v>23273</v>
      </c>
      <c r="E3" s="5">
        <f>21501+11841</f>
        <v>33342</v>
      </c>
      <c r="F3" s="4">
        <v>19916</v>
      </c>
      <c r="G3" s="5">
        <v>20378</v>
      </c>
      <c r="H3" s="5">
        <v>21590</v>
      </c>
      <c r="I3" s="5">
        <f>91431-SUM(F3:H3)</f>
        <v>29547</v>
      </c>
      <c r="J3" s="4">
        <v>22826</v>
      </c>
      <c r="K3" s="5">
        <v>23754</v>
      </c>
      <c r="L3" s="5">
        <v>26392</v>
      </c>
      <c r="M3" s="5">
        <v>35383</v>
      </c>
      <c r="N3" s="4">
        <v>26939</v>
      </c>
      <c r="O3" s="5">
        <v>27165</v>
      </c>
      <c r="P3" s="5">
        <v>29061</v>
      </c>
      <c r="Q3" s="5">
        <v>39822</v>
      </c>
      <c r="R3" s="4">
        <v>29498</v>
      </c>
      <c r="S3" s="5">
        <v>31053</v>
      </c>
      <c r="T3" s="5">
        <v>35039</v>
      </c>
      <c r="U3" s="5">
        <v>45657</v>
      </c>
      <c r="V3" s="55">
        <v>36652</v>
      </c>
      <c r="W3" s="59">
        <v>45896</v>
      </c>
      <c r="X3" s="28">
        <v>48350</v>
      </c>
      <c r="Y3" s="28">
        <v>66451</v>
      </c>
    </row>
    <row r="4" spans="1:27" s="28" customFormat="1" x14ac:dyDescent="0.15">
      <c r="A4" s="28" t="s">
        <v>28</v>
      </c>
      <c r="B4" s="5">
        <v>0</v>
      </c>
      <c r="C4" s="5">
        <v>0</v>
      </c>
      <c r="D4" s="5">
        <v>0</v>
      </c>
      <c r="E4" s="5">
        <v>0</v>
      </c>
      <c r="F4" s="4">
        <v>0</v>
      </c>
      <c r="G4" s="5">
        <v>0</v>
      </c>
      <c r="H4" s="5">
        <v>0</v>
      </c>
      <c r="I4" s="5">
        <v>0</v>
      </c>
      <c r="J4" s="4">
        <v>0</v>
      </c>
      <c r="K4" s="5">
        <v>0</v>
      </c>
      <c r="L4" s="5">
        <v>1276</v>
      </c>
      <c r="M4" s="5">
        <v>4522</v>
      </c>
      <c r="N4" s="4">
        <v>4263</v>
      </c>
      <c r="O4" s="5">
        <v>4312</v>
      </c>
      <c r="P4" s="5">
        <v>4248</v>
      </c>
      <c r="Q4" s="5">
        <v>4401</v>
      </c>
      <c r="R4" s="4">
        <v>4307</v>
      </c>
      <c r="S4" s="5">
        <v>4330</v>
      </c>
      <c r="T4" s="5">
        <v>4192</v>
      </c>
      <c r="U4" s="5">
        <v>4363</v>
      </c>
      <c r="V4" s="55">
        <v>4640</v>
      </c>
      <c r="W4" s="59">
        <v>3774</v>
      </c>
      <c r="X4" s="28">
        <v>3788</v>
      </c>
      <c r="Y4" s="28">
        <v>4022</v>
      </c>
    </row>
    <row r="5" spans="1:27" s="28" customFormat="1" x14ac:dyDescent="0.15">
      <c r="A5" s="28" t="s">
        <v>76</v>
      </c>
      <c r="B5" s="5">
        <v>0</v>
      </c>
      <c r="C5" s="5">
        <v>0</v>
      </c>
      <c r="D5" s="5">
        <v>0</v>
      </c>
      <c r="E5" s="5">
        <v>0</v>
      </c>
      <c r="F5" s="4">
        <v>4801</v>
      </c>
      <c r="G5" s="5">
        <v>5083</v>
      </c>
      <c r="H5" s="5">
        <v>5652</v>
      </c>
      <c r="I5" s="5">
        <f>22993-SUM(F5:H5)</f>
        <v>7457</v>
      </c>
      <c r="J5" s="4">
        <v>6438</v>
      </c>
      <c r="K5" s="5">
        <v>6991</v>
      </c>
      <c r="L5" s="5">
        <v>7928</v>
      </c>
      <c r="M5" s="5">
        <v>10523</v>
      </c>
      <c r="N5" s="4">
        <v>9265</v>
      </c>
      <c r="O5" s="5">
        <v>9702</v>
      </c>
      <c r="P5" s="5">
        <v>10395</v>
      </c>
      <c r="Q5" s="5">
        <v>13383</v>
      </c>
      <c r="R5" s="4">
        <v>11141</v>
      </c>
      <c r="S5" s="5">
        <v>11962</v>
      </c>
      <c r="T5" s="5">
        <v>13212</v>
      </c>
      <c r="U5" s="5">
        <v>17446</v>
      </c>
      <c r="V5" s="55">
        <v>14479</v>
      </c>
      <c r="W5" s="59">
        <v>18195</v>
      </c>
      <c r="X5" s="28">
        <v>20436</v>
      </c>
      <c r="Y5" s="28">
        <v>27327</v>
      </c>
    </row>
    <row r="6" spans="1:27" s="28" customFormat="1" x14ac:dyDescent="0.15">
      <c r="A6" s="28" t="s">
        <v>77</v>
      </c>
      <c r="B6" s="5">
        <v>0</v>
      </c>
      <c r="C6" s="5">
        <v>0</v>
      </c>
      <c r="D6" s="5">
        <v>0</v>
      </c>
      <c r="E6" s="5">
        <v>0</v>
      </c>
      <c r="F6" s="4">
        <v>1300</v>
      </c>
      <c r="G6" s="5">
        <v>1431</v>
      </c>
      <c r="H6" s="5">
        <v>1532</v>
      </c>
      <c r="I6" s="5">
        <f>6394-SUM(F6:H6)</f>
        <v>2131</v>
      </c>
      <c r="J6" s="4">
        <v>1939</v>
      </c>
      <c r="K6" s="5">
        <v>2165</v>
      </c>
      <c r="L6" s="5">
        <v>2441</v>
      </c>
      <c r="M6" s="5">
        <v>3177</v>
      </c>
      <c r="N6" s="4">
        <v>3102</v>
      </c>
      <c r="O6" s="5">
        <v>3408</v>
      </c>
      <c r="P6" s="5">
        <v>3698</v>
      </c>
      <c r="Q6" s="5">
        <v>3959</v>
      </c>
      <c r="R6" s="4">
        <v>4342</v>
      </c>
      <c r="S6" s="5">
        <v>4676</v>
      </c>
      <c r="T6" s="5">
        <v>4957</v>
      </c>
      <c r="U6" s="5">
        <v>5235</v>
      </c>
      <c r="V6" s="55">
        <v>5556</v>
      </c>
      <c r="W6" s="59">
        <v>6018</v>
      </c>
      <c r="X6" s="28">
        <v>6572</v>
      </c>
      <c r="Y6" s="28">
        <v>7061</v>
      </c>
    </row>
    <row r="7" spans="1:27" s="28" customFormat="1" x14ac:dyDescent="0.15">
      <c r="A7" s="28" t="s">
        <v>29</v>
      </c>
      <c r="B7" s="5">
        <v>1556</v>
      </c>
      <c r="C7" s="5">
        <v>1824</v>
      </c>
      <c r="D7" s="5">
        <v>2085</v>
      </c>
      <c r="E7" s="5">
        <v>2405</v>
      </c>
      <c r="F7" s="4">
        <v>2566</v>
      </c>
      <c r="G7" s="5">
        <v>2886</v>
      </c>
      <c r="H7" s="5">
        <v>3231</v>
      </c>
      <c r="I7" s="5">
        <f>12219-SUM(F7:H7)</f>
        <v>3536</v>
      </c>
      <c r="J7" s="4">
        <v>3661</v>
      </c>
      <c r="K7" s="5">
        <v>4100</v>
      </c>
      <c r="L7" s="5">
        <v>4584</v>
      </c>
      <c r="M7" s="5">
        <v>5113</v>
      </c>
      <c r="N7" s="4">
        <v>5442</v>
      </c>
      <c r="O7" s="5">
        <v>6105</v>
      </c>
      <c r="P7" s="5">
        <v>6679</v>
      </c>
      <c r="Q7" s="5">
        <v>7430</v>
      </c>
      <c r="R7" s="4">
        <v>7696</v>
      </c>
      <c r="S7" s="5">
        <v>8381</v>
      </c>
      <c r="T7" s="5">
        <v>8995</v>
      </c>
      <c r="U7" s="5">
        <v>9954</v>
      </c>
      <c r="V7" s="55">
        <v>10219</v>
      </c>
      <c r="W7" s="59">
        <v>10808</v>
      </c>
      <c r="X7" s="28">
        <v>11604</v>
      </c>
      <c r="Y7" s="28">
        <v>12742</v>
      </c>
    </row>
    <row r="8" spans="1:27" s="28" customFormat="1" x14ac:dyDescent="0.15">
      <c r="A8" s="28" t="s">
        <v>30</v>
      </c>
      <c r="B8" s="5">
        <v>0</v>
      </c>
      <c r="C8" s="5">
        <v>0</v>
      </c>
      <c r="D8" s="5">
        <v>0</v>
      </c>
      <c r="E8" s="5">
        <v>0</v>
      </c>
      <c r="F8" s="4">
        <v>545</v>
      </c>
      <c r="G8" s="5">
        <v>626</v>
      </c>
      <c r="H8" s="5">
        <v>709</v>
      </c>
      <c r="I8" s="5">
        <f>2950-SUM(F8:H8)</f>
        <v>1070</v>
      </c>
      <c r="J8" s="4">
        <v>850</v>
      </c>
      <c r="K8" s="5">
        <v>945</v>
      </c>
      <c r="L8" s="5">
        <v>1123</v>
      </c>
      <c r="M8" s="5">
        <v>1735</v>
      </c>
      <c r="N8" s="4">
        <v>2031</v>
      </c>
      <c r="O8" s="5">
        <v>2194</v>
      </c>
      <c r="P8" s="5">
        <v>2495</v>
      </c>
      <c r="Q8" s="5">
        <v>3388</v>
      </c>
      <c r="R8" s="4">
        <v>2716</v>
      </c>
      <c r="S8" s="5">
        <v>3002</v>
      </c>
      <c r="T8" s="5">
        <v>3586</v>
      </c>
      <c r="U8" s="5">
        <v>4782</v>
      </c>
      <c r="V8" s="55">
        <v>3906</v>
      </c>
      <c r="W8" s="59">
        <v>4221</v>
      </c>
      <c r="X8" s="28">
        <v>5398</v>
      </c>
      <c r="Y8" s="28">
        <v>7952</v>
      </c>
    </row>
    <row r="9" spans="1:27" s="65" customFormat="1" x14ac:dyDescent="0.15">
      <c r="F9" s="66"/>
      <c r="J9" s="66"/>
      <c r="N9" s="66"/>
      <c r="R9" s="66"/>
      <c r="U9" s="65">
        <v>86500</v>
      </c>
      <c r="V9" s="66">
        <v>73000</v>
      </c>
      <c r="W9" s="65">
        <v>81000</v>
      </c>
      <c r="Y9" s="65">
        <v>112000</v>
      </c>
    </row>
    <row r="10" spans="1:27" s="37" customFormat="1" x14ac:dyDescent="0.15">
      <c r="A10" s="37" t="s">
        <v>4</v>
      </c>
      <c r="B10" s="8">
        <f>SUM(B3:B8)</f>
        <v>22707</v>
      </c>
      <c r="C10" s="8">
        <f t="shared" ref="C10:K10" si="0">SUM(C3:C8)</f>
        <v>23185</v>
      </c>
      <c r="D10" s="8">
        <f t="shared" si="0"/>
        <v>25358</v>
      </c>
      <c r="E10" s="8">
        <f t="shared" si="0"/>
        <v>35747</v>
      </c>
      <c r="F10" s="9">
        <f t="shared" si="0"/>
        <v>29128</v>
      </c>
      <c r="G10" s="8">
        <f t="shared" si="0"/>
        <v>30404</v>
      </c>
      <c r="H10" s="8">
        <f t="shared" si="0"/>
        <v>32714</v>
      </c>
      <c r="I10" s="8">
        <f t="shared" si="0"/>
        <v>43741</v>
      </c>
      <c r="J10" s="9">
        <f t="shared" si="0"/>
        <v>35714</v>
      </c>
      <c r="K10" s="8">
        <f t="shared" si="0"/>
        <v>37955</v>
      </c>
      <c r="L10" s="8">
        <f>SUM(L3:L8)</f>
        <v>43744</v>
      </c>
      <c r="M10" s="8">
        <f>SUM(M3:M8)</f>
        <v>60453</v>
      </c>
      <c r="N10" s="9">
        <f t="shared" ref="N10" si="1">SUM(N3:N8)</f>
        <v>51042</v>
      </c>
      <c r="O10" s="8">
        <f t="shared" ref="O10" si="2">SUM(O3:O8)</f>
        <v>52886</v>
      </c>
      <c r="P10" s="8">
        <f t="shared" ref="P10:Y10" si="3">SUM(P3:P8)</f>
        <v>56576</v>
      </c>
      <c r="Q10" s="8">
        <f t="shared" si="3"/>
        <v>72383</v>
      </c>
      <c r="R10" s="9">
        <f t="shared" si="3"/>
        <v>59700</v>
      </c>
      <c r="S10" s="8">
        <f t="shared" si="3"/>
        <v>63404</v>
      </c>
      <c r="T10" s="8">
        <f t="shared" si="3"/>
        <v>69981</v>
      </c>
      <c r="U10" s="8">
        <f t="shared" si="3"/>
        <v>87437</v>
      </c>
      <c r="V10" s="9">
        <f>SUM(V3:V8)</f>
        <v>75452</v>
      </c>
      <c r="W10" s="8">
        <f t="shared" si="3"/>
        <v>88912</v>
      </c>
      <c r="X10" s="8">
        <f t="shared" si="3"/>
        <v>96148</v>
      </c>
      <c r="Y10" s="8">
        <f t="shared" si="3"/>
        <v>125555</v>
      </c>
    </row>
    <row r="11" spans="1:27" s="28" customFormat="1" x14ac:dyDescent="0.15">
      <c r="A11" s="28" t="s">
        <v>5</v>
      </c>
      <c r="B11" s="5">
        <f>15395+2759+44</f>
        <v>18198</v>
      </c>
      <c r="C11" s="5">
        <f>15160+2876+48</f>
        <v>18084</v>
      </c>
      <c r="D11" s="5">
        <f>16755+3230+43</f>
        <v>20028</v>
      </c>
      <c r="E11" s="5">
        <f>24341+4546+36</f>
        <v>28923</v>
      </c>
      <c r="F11" s="4">
        <f>18866+3687+45</f>
        <v>22598</v>
      </c>
      <c r="G11" s="5">
        <f>19180+3878+55</f>
        <v>23113</v>
      </c>
      <c r="H11" s="5">
        <f>21260+4335+32</f>
        <v>25627</v>
      </c>
      <c r="I11" s="5">
        <f>28958+5719+34</f>
        <v>34711</v>
      </c>
      <c r="J11" s="4">
        <f>22440+4697+44</f>
        <v>27181</v>
      </c>
      <c r="K11" s="5">
        <f>23451+5158+66</f>
        <v>28675</v>
      </c>
      <c r="L11" s="5">
        <f>27549+6420+45</f>
        <v>34014</v>
      </c>
      <c r="M11" s="5">
        <f>38494+8974</f>
        <v>47468</v>
      </c>
      <c r="N11" s="4">
        <f>30735+7792</f>
        <v>38527</v>
      </c>
      <c r="O11" s="5">
        <f>30632+7932</f>
        <v>38564</v>
      </c>
      <c r="P11" s="5">
        <f>33003+8275</f>
        <v>41278</v>
      </c>
      <c r="Q11" s="5">
        <f>44786+10028</f>
        <v>54814</v>
      </c>
      <c r="R11" s="4">
        <f>33920+8601</f>
        <v>42521</v>
      </c>
      <c r="S11" s="5">
        <f>36337+9271</f>
        <v>45608</v>
      </c>
      <c r="T11" s="5">
        <f>41302+10167</f>
        <v>51469</v>
      </c>
      <c r="U11" s="5">
        <f>53977+12192</f>
        <v>66169</v>
      </c>
      <c r="V11" s="55">
        <f>44257+11531</f>
        <v>55788</v>
      </c>
      <c r="W11" s="28">
        <f>52660+13806</f>
        <v>66466</v>
      </c>
      <c r="X11" s="28">
        <f>57106+14705</f>
        <v>71811</v>
      </c>
      <c r="Y11" s="28">
        <f>79284+18474</f>
        <v>97758</v>
      </c>
      <c r="AA11" s="64" t="s">
        <v>176</v>
      </c>
    </row>
    <row r="12" spans="1:27" s="28" customFormat="1" x14ac:dyDescent="0.15">
      <c r="A12" s="28" t="s">
        <v>6</v>
      </c>
      <c r="B12" s="10">
        <f>B10-B11</f>
        <v>4509</v>
      </c>
      <c r="C12" s="10">
        <f>C10-C11</f>
        <v>5101</v>
      </c>
      <c r="D12" s="10">
        <f>D10-D11</f>
        <v>5330</v>
      </c>
      <c r="E12" s="10">
        <f>E10-E11</f>
        <v>6824</v>
      </c>
      <c r="F12" s="11">
        <f>F10-F11</f>
        <v>6530</v>
      </c>
      <c r="G12" s="10">
        <f t="shared" ref="G12:L12" si="4">G10-G11</f>
        <v>7291</v>
      </c>
      <c r="H12" s="10">
        <f t="shared" si="4"/>
        <v>7087</v>
      </c>
      <c r="I12" s="10">
        <f t="shared" si="4"/>
        <v>9030</v>
      </c>
      <c r="J12" s="11">
        <f t="shared" si="4"/>
        <v>8533</v>
      </c>
      <c r="K12" s="10">
        <f t="shared" si="4"/>
        <v>9280</v>
      </c>
      <c r="L12" s="10">
        <f t="shared" si="4"/>
        <v>9730</v>
      </c>
      <c r="M12" s="10">
        <f t="shared" ref="M12" si="5">M10-M11</f>
        <v>12985</v>
      </c>
      <c r="N12" s="11">
        <f t="shared" ref="N12" si="6">N10-N11</f>
        <v>12515</v>
      </c>
      <c r="O12" s="10">
        <f t="shared" ref="O12" si="7">O10-O11</f>
        <v>14322</v>
      </c>
      <c r="P12" s="10">
        <f t="shared" ref="P12:Q12" si="8">P10-P11</f>
        <v>15298</v>
      </c>
      <c r="Q12" s="10">
        <f t="shared" si="8"/>
        <v>17569</v>
      </c>
      <c r="R12" s="11">
        <f t="shared" ref="R12:S12" si="9">R10-R11</f>
        <v>17179</v>
      </c>
      <c r="S12" s="10">
        <f t="shared" si="9"/>
        <v>17796</v>
      </c>
      <c r="T12" s="10">
        <f t="shared" ref="T12:V12" si="10">T10-T11</f>
        <v>18512</v>
      </c>
      <c r="U12" s="10">
        <f t="shared" si="10"/>
        <v>21268</v>
      </c>
      <c r="V12" s="11">
        <f t="shared" si="10"/>
        <v>19664</v>
      </c>
      <c r="W12" s="10">
        <f>W10-W11</f>
        <v>22446</v>
      </c>
      <c r="X12" s="10">
        <f>X10-X11</f>
        <v>24337</v>
      </c>
      <c r="Y12" s="10">
        <f>Y10-Y11</f>
        <v>27797</v>
      </c>
    </row>
    <row r="13" spans="1:27" s="28" customFormat="1" x14ac:dyDescent="0.15">
      <c r="A13" s="28" t="s">
        <v>7</v>
      </c>
      <c r="B13" s="5">
        <v>2754</v>
      </c>
      <c r="C13" s="5">
        <v>3020</v>
      </c>
      <c r="D13" s="5">
        <v>3197</v>
      </c>
      <c r="E13" s="5">
        <v>3571</v>
      </c>
      <c r="F13" s="4">
        <v>3526</v>
      </c>
      <c r="G13" s="5">
        <v>3880</v>
      </c>
      <c r="H13" s="5">
        <v>4135</v>
      </c>
      <c r="I13" s="5">
        <v>4545</v>
      </c>
      <c r="J13" s="4">
        <v>4813</v>
      </c>
      <c r="K13" s="5">
        <v>5549</v>
      </c>
      <c r="L13" s="5">
        <v>5944</v>
      </c>
      <c r="M13" s="5">
        <v>6314</v>
      </c>
      <c r="N13" s="4">
        <v>6759</v>
      </c>
      <c r="O13" s="5">
        <v>7247</v>
      </c>
      <c r="P13" s="5">
        <v>7162</v>
      </c>
      <c r="Q13" s="5">
        <v>7669</v>
      </c>
      <c r="R13" s="4">
        <v>7927</v>
      </c>
      <c r="S13" s="5">
        <v>9065</v>
      </c>
      <c r="T13" s="5">
        <v>9200</v>
      </c>
      <c r="U13" s="5">
        <v>9740</v>
      </c>
      <c r="V13" s="55">
        <v>9325</v>
      </c>
      <c r="W13" s="28">
        <v>10388</v>
      </c>
      <c r="X13" s="28">
        <v>10976</v>
      </c>
      <c r="Y13" s="28">
        <v>12049</v>
      </c>
    </row>
    <row r="14" spans="1:27" s="28" customFormat="1" x14ac:dyDescent="0.15">
      <c r="A14" s="28" t="s">
        <v>8</v>
      </c>
      <c r="B14" s="5">
        <v>1083</v>
      </c>
      <c r="C14" s="5">
        <v>1150</v>
      </c>
      <c r="D14" s="5">
        <v>1264</v>
      </c>
      <c r="E14" s="5">
        <v>1755</v>
      </c>
      <c r="F14" s="4">
        <v>1436</v>
      </c>
      <c r="G14" s="5">
        <v>1546</v>
      </c>
      <c r="H14" s="5">
        <v>1738</v>
      </c>
      <c r="I14" s="5">
        <v>2513</v>
      </c>
      <c r="J14" s="4">
        <v>1920</v>
      </c>
      <c r="K14" s="5">
        <v>2229</v>
      </c>
      <c r="L14" s="5">
        <v>2479</v>
      </c>
      <c r="M14" s="5">
        <v>3440</v>
      </c>
      <c r="N14" s="4">
        <v>2699</v>
      </c>
      <c r="O14" s="5">
        <v>2901</v>
      </c>
      <c r="P14" s="5">
        <v>3303</v>
      </c>
      <c r="Q14" s="5">
        <v>4911</v>
      </c>
      <c r="R14" s="4">
        <v>3664</v>
      </c>
      <c r="S14" s="5">
        <v>4291</v>
      </c>
      <c r="T14" s="5">
        <v>4752</v>
      </c>
      <c r="U14" s="5">
        <v>6172</v>
      </c>
      <c r="V14" s="55">
        <v>4828</v>
      </c>
      <c r="W14" s="28">
        <v>4345</v>
      </c>
      <c r="X14" s="28">
        <v>5434</v>
      </c>
      <c r="Y14" s="28">
        <v>7403</v>
      </c>
    </row>
    <row r="15" spans="1:27" s="28" customFormat="1" x14ac:dyDescent="0.15">
      <c r="A15" s="28" t="s">
        <v>9</v>
      </c>
      <c r="B15" s="5">
        <v>427</v>
      </c>
      <c r="C15" s="5">
        <v>467</v>
      </c>
      <c r="D15" s="5">
        <v>463</v>
      </c>
      <c r="E15" s="5">
        <v>390</v>
      </c>
      <c r="F15" s="4">
        <v>497</v>
      </c>
      <c r="G15" s="5">
        <v>580</v>
      </c>
      <c r="H15" s="5">
        <v>639</v>
      </c>
      <c r="I15" s="5">
        <v>717</v>
      </c>
      <c r="J15" s="4">
        <v>795</v>
      </c>
      <c r="K15" s="5">
        <v>874</v>
      </c>
      <c r="L15" s="5">
        <v>960</v>
      </c>
      <c r="M15" s="5">
        <f>1044+60</f>
        <v>1104</v>
      </c>
      <c r="N15" s="4">
        <f>1067+63</f>
        <v>1130</v>
      </c>
      <c r="O15" s="5">
        <f>1111+80</f>
        <v>1191</v>
      </c>
      <c r="P15" s="5">
        <f>1041+68</f>
        <v>1109</v>
      </c>
      <c r="Q15" s="5">
        <f>1117+86</f>
        <v>1203</v>
      </c>
      <c r="R15" s="4">
        <f>1173-5</f>
        <v>1168</v>
      </c>
      <c r="S15" s="5">
        <f>1270+86</f>
        <v>1356</v>
      </c>
      <c r="T15" s="5">
        <f>1348+55</f>
        <v>1403</v>
      </c>
      <c r="U15" s="5">
        <f>1412+65</f>
        <v>1477</v>
      </c>
      <c r="V15" s="60">
        <f>1452+70</f>
        <v>1522</v>
      </c>
      <c r="W15" s="28">
        <f>1580+290</f>
        <v>1870</v>
      </c>
      <c r="X15" s="28">
        <f>1668+62</f>
        <v>1730</v>
      </c>
      <c r="Y15" s="28">
        <f>1968+-496</f>
        <v>1472</v>
      </c>
    </row>
    <row r="16" spans="1:27" s="28" customFormat="1" x14ac:dyDescent="0.15">
      <c r="A16" s="28" t="s">
        <v>10</v>
      </c>
      <c r="B16" s="10">
        <f>SUM(B13:B15)</f>
        <v>4264</v>
      </c>
      <c r="C16" s="10">
        <f>SUM(C13:C15)</f>
        <v>4637</v>
      </c>
      <c r="D16" s="10">
        <f>SUM(D13:D15)</f>
        <v>4924</v>
      </c>
      <c r="E16" s="10">
        <f>SUM(E13:E15)</f>
        <v>5716</v>
      </c>
      <c r="F16" s="11">
        <f>SUM(F13:F15)</f>
        <v>5459</v>
      </c>
      <c r="G16" s="10">
        <f t="shared" ref="G16:K16" si="11">SUM(G13:G15)</f>
        <v>6006</v>
      </c>
      <c r="H16" s="10">
        <f t="shared" si="11"/>
        <v>6512</v>
      </c>
      <c r="I16" s="10">
        <f t="shared" si="11"/>
        <v>7775</v>
      </c>
      <c r="J16" s="11">
        <f t="shared" si="11"/>
        <v>7528</v>
      </c>
      <c r="K16" s="10">
        <f t="shared" si="11"/>
        <v>8652</v>
      </c>
      <c r="L16" s="10">
        <f>SUM(L13:L15)</f>
        <v>9383</v>
      </c>
      <c r="M16" s="10">
        <f>SUM(M13:M15)</f>
        <v>10858</v>
      </c>
      <c r="N16" s="11">
        <f t="shared" ref="N16" si="12">SUM(N13:N15)</f>
        <v>10588</v>
      </c>
      <c r="O16" s="10">
        <f t="shared" ref="O16" si="13">SUM(O13:O15)</f>
        <v>11339</v>
      </c>
      <c r="P16" s="10">
        <f t="shared" ref="P16:T16" si="14">SUM(P13:P15)</f>
        <v>11574</v>
      </c>
      <c r="Q16" s="10">
        <f t="shared" si="14"/>
        <v>13783</v>
      </c>
      <c r="R16" s="11">
        <f t="shared" si="14"/>
        <v>12759</v>
      </c>
      <c r="S16" s="10">
        <f t="shared" si="14"/>
        <v>14712</v>
      </c>
      <c r="T16" s="10">
        <f t="shared" si="14"/>
        <v>15355</v>
      </c>
      <c r="U16" s="10">
        <f t="shared" ref="U16:W16" si="15">SUM(U13:U15)</f>
        <v>17389</v>
      </c>
      <c r="V16" s="11">
        <f t="shared" si="15"/>
        <v>15675</v>
      </c>
      <c r="W16" s="10">
        <f t="shared" si="15"/>
        <v>16603</v>
      </c>
      <c r="X16" s="10">
        <f t="shared" ref="X16:Y16" si="16">SUM(X13:X15)</f>
        <v>18140</v>
      </c>
      <c r="Y16" s="10">
        <f t="shared" si="16"/>
        <v>20924</v>
      </c>
    </row>
    <row r="17" spans="1:25" s="28" customFormat="1" x14ac:dyDescent="0.15">
      <c r="A17" s="28" t="s">
        <v>11</v>
      </c>
      <c r="B17" s="10">
        <f>B12-B16</f>
        <v>245</v>
      </c>
      <c r="C17" s="10">
        <f>C12-C16</f>
        <v>464</v>
      </c>
      <c r="D17" s="10">
        <f>D12-D16</f>
        <v>406</v>
      </c>
      <c r="E17" s="10">
        <f>E12-E16</f>
        <v>1108</v>
      </c>
      <c r="F17" s="11">
        <f>F12-F16</f>
        <v>1071</v>
      </c>
      <c r="G17" s="10">
        <f t="shared" ref="G17:H17" si="17">G12-G16</f>
        <v>1285</v>
      </c>
      <c r="H17" s="10">
        <f t="shared" si="17"/>
        <v>575</v>
      </c>
      <c r="I17" s="10">
        <f t="shared" ref="I17:P17" si="18">I12-I16</f>
        <v>1255</v>
      </c>
      <c r="J17" s="11">
        <f t="shared" si="18"/>
        <v>1005</v>
      </c>
      <c r="K17" s="10">
        <f t="shared" si="18"/>
        <v>628</v>
      </c>
      <c r="L17" s="10">
        <f t="shared" si="18"/>
        <v>347</v>
      </c>
      <c r="M17" s="10">
        <f t="shared" si="18"/>
        <v>2127</v>
      </c>
      <c r="N17" s="11">
        <f t="shared" si="18"/>
        <v>1927</v>
      </c>
      <c r="O17" s="10">
        <f t="shared" si="18"/>
        <v>2983</v>
      </c>
      <c r="P17" s="10">
        <f t="shared" si="18"/>
        <v>3724</v>
      </c>
      <c r="Q17" s="10">
        <f t="shared" ref="Q17:R17" si="19">Q12-Q16</f>
        <v>3786</v>
      </c>
      <c r="R17" s="11">
        <f t="shared" si="19"/>
        <v>4420</v>
      </c>
      <c r="S17" s="10">
        <f t="shared" ref="S17:T17" si="20">S12-S16</f>
        <v>3084</v>
      </c>
      <c r="T17" s="10">
        <f t="shared" si="20"/>
        <v>3157</v>
      </c>
      <c r="U17" s="10">
        <f t="shared" ref="U17:W17" si="21">U12-U16</f>
        <v>3879</v>
      </c>
      <c r="V17" s="11">
        <f t="shared" si="21"/>
        <v>3989</v>
      </c>
      <c r="W17" s="10">
        <f t="shared" si="21"/>
        <v>5843</v>
      </c>
      <c r="X17" s="10">
        <f t="shared" ref="X17:Y17" si="22">X12-X16</f>
        <v>6197</v>
      </c>
      <c r="Y17" s="10">
        <f t="shared" si="22"/>
        <v>6873</v>
      </c>
    </row>
    <row r="18" spans="1:25" s="28" customFormat="1" x14ac:dyDescent="0.15">
      <c r="A18" s="28" t="s">
        <v>12</v>
      </c>
      <c r="B18" s="5">
        <f>11-115-130</f>
        <v>-234</v>
      </c>
      <c r="C18" s="5">
        <f>12-114</f>
        <v>-102</v>
      </c>
      <c r="D18" s="5">
        <f>13-116-56</f>
        <v>-159</v>
      </c>
      <c r="E18" s="5">
        <f>13-115-68</f>
        <v>-170</v>
      </c>
      <c r="F18" s="4">
        <f>21-117+81</f>
        <v>-15</v>
      </c>
      <c r="G18" s="5">
        <f>24-116-14</f>
        <v>-106</v>
      </c>
      <c r="H18" s="5">
        <f>26-118+8</f>
        <v>-84</v>
      </c>
      <c r="I18" s="5">
        <f>30-133+14</f>
        <v>-89</v>
      </c>
      <c r="J18" s="4">
        <f>39-139+48</f>
        <v>-52</v>
      </c>
      <c r="K18" s="5">
        <f>44-143+137</f>
        <v>38</v>
      </c>
      <c r="L18" s="5">
        <f>54-228+143</f>
        <v>-31</v>
      </c>
      <c r="M18" s="5">
        <f>66-339+18</f>
        <v>-255</v>
      </c>
      <c r="N18" s="4">
        <f>80-330+239</f>
        <v>-11</v>
      </c>
      <c r="O18" s="5">
        <f>94-343-129</f>
        <v>-378</v>
      </c>
      <c r="P18" s="5">
        <f>117-358-93</f>
        <v>-334</v>
      </c>
      <c r="Q18" s="5">
        <f>150-387-199</f>
        <v>-436</v>
      </c>
      <c r="R18" s="4">
        <f>183-366+164</f>
        <v>-19</v>
      </c>
      <c r="S18" s="5">
        <f>-195-7</f>
        <v>-202</v>
      </c>
      <c r="T18" s="5">
        <f>-525-4</f>
        <v>-529</v>
      </c>
      <c r="U18" s="5">
        <f>211-455+418+1</f>
        <v>175</v>
      </c>
      <c r="V18" s="60">
        <f>202-402-406-104</f>
        <v>-710</v>
      </c>
      <c r="W18" s="28">
        <f>135-403+646+6</f>
        <v>384</v>
      </c>
      <c r="X18" s="28">
        <v>615</v>
      </c>
      <c r="Y18" s="28">
        <f>100-414+1206+23</f>
        <v>915</v>
      </c>
    </row>
    <row r="19" spans="1:25" s="28" customFormat="1" x14ac:dyDescent="0.15">
      <c r="A19" s="28" t="s">
        <v>13</v>
      </c>
      <c r="B19" s="10">
        <f>B17+B18</f>
        <v>11</v>
      </c>
      <c r="C19" s="10">
        <f>C17+C18</f>
        <v>362</v>
      </c>
      <c r="D19" s="10">
        <f>D17+D18</f>
        <v>247</v>
      </c>
      <c r="E19" s="10">
        <f>E17+E18</f>
        <v>938</v>
      </c>
      <c r="F19" s="11">
        <f>F17+F18</f>
        <v>1056</v>
      </c>
      <c r="G19" s="10">
        <f t="shared" ref="G19:I19" si="23">G17+G18</f>
        <v>1179</v>
      </c>
      <c r="H19" s="10">
        <f t="shared" si="23"/>
        <v>491</v>
      </c>
      <c r="I19" s="10">
        <f t="shared" si="23"/>
        <v>1166</v>
      </c>
      <c r="J19" s="11">
        <f t="shared" ref="J19:K19" si="24">J17+J18</f>
        <v>953</v>
      </c>
      <c r="K19" s="10">
        <f t="shared" si="24"/>
        <v>666</v>
      </c>
      <c r="L19" s="10">
        <f t="shared" ref="L19:M19" si="25">L17+L18</f>
        <v>316</v>
      </c>
      <c r="M19" s="10">
        <f t="shared" si="25"/>
        <v>1872</v>
      </c>
      <c r="N19" s="11">
        <f t="shared" ref="N19" si="26">N17+N18</f>
        <v>1916</v>
      </c>
      <c r="O19" s="10">
        <f t="shared" ref="O19" si="27">O17+O18</f>
        <v>2605</v>
      </c>
      <c r="P19" s="10">
        <f t="shared" ref="P19:Q19" si="28">P17+P18</f>
        <v>3390</v>
      </c>
      <c r="Q19" s="10">
        <f t="shared" si="28"/>
        <v>3350</v>
      </c>
      <c r="R19" s="11">
        <f t="shared" ref="R19:S19" si="29">R17+R18</f>
        <v>4401</v>
      </c>
      <c r="S19" s="10">
        <f t="shared" si="29"/>
        <v>2882</v>
      </c>
      <c r="T19" s="10">
        <f t="shared" ref="T19:Y19" si="30">T17+T18</f>
        <v>2628</v>
      </c>
      <c r="U19" s="10">
        <f t="shared" si="30"/>
        <v>4054</v>
      </c>
      <c r="V19" s="11">
        <f t="shared" si="30"/>
        <v>3279</v>
      </c>
      <c r="W19" s="10">
        <f t="shared" si="30"/>
        <v>6227</v>
      </c>
      <c r="X19" s="10">
        <f t="shared" si="30"/>
        <v>6812</v>
      </c>
      <c r="Y19" s="10">
        <f t="shared" si="30"/>
        <v>7788</v>
      </c>
    </row>
    <row r="20" spans="1:25" s="28" customFormat="1" x14ac:dyDescent="0.15">
      <c r="A20" s="28" t="s">
        <v>14</v>
      </c>
      <c r="B20" s="5">
        <f>71+7</f>
        <v>78</v>
      </c>
      <c r="C20" s="5">
        <f>266+4</f>
        <v>270</v>
      </c>
      <c r="D20" s="5">
        <f>161+7</f>
        <v>168</v>
      </c>
      <c r="E20" s="5">
        <f>453+3</f>
        <v>456</v>
      </c>
      <c r="F20" s="4">
        <f>475+68</f>
        <v>543</v>
      </c>
      <c r="G20" s="5">
        <f>307+15</f>
        <v>322</v>
      </c>
      <c r="H20" s="5">
        <f>229+10</f>
        <v>239</v>
      </c>
      <c r="I20" s="5">
        <f>414+3</f>
        <v>417</v>
      </c>
      <c r="J20" s="4">
        <v>229</v>
      </c>
      <c r="K20" s="5">
        <f>467+2</f>
        <v>469</v>
      </c>
      <c r="L20" s="5">
        <f>58+2</f>
        <v>60</v>
      </c>
      <c r="M20" s="5">
        <v>16</v>
      </c>
      <c r="N20" s="4">
        <v>287</v>
      </c>
      <c r="O20" s="5">
        <f>74-3</f>
        <v>71</v>
      </c>
      <c r="P20" s="5">
        <f>508-1</f>
        <v>507</v>
      </c>
      <c r="Q20" s="12">
        <f>327-4</f>
        <v>323</v>
      </c>
      <c r="R20" s="4">
        <v>836</v>
      </c>
      <c r="S20" s="5">
        <v>257</v>
      </c>
      <c r="T20" s="5">
        <v>494</v>
      </c>
      <c r="U20" s="5">
        <v>786</v>
      </c>
      <c r="V20" s="55">
        <v>744</v>
      </c>
      <c r="W20" s="28">
        <v>984</v>
      </c>
      <c r="X20" s="28">
        <v>569</v>
      </c>
      <c r="Y20" s="28">
        <v>566</v>
      </c>
    </row>
    <row r="21" spans="1:25" s="37" customFormat="1" x14ac:dyDescent="0.15">
      <c r="A21" s="37" t="s">
        <v>15</v>
      </c>
      <c r="B21" s="8">
        <f>B19-B20</f>
        <v>-67</v>
      </c>
      <c r="C21" s="8">
        <f>C19-C20</f>
        <v>92</v>
      </c>
      <c r="D21" s="8">
        <f>D19-D20</f>
        <v>79</v>
      </c>
      <c r="E21" s="8">
        <f>E19-E20</f>
        <v>482</v>
      </c>
      <c r="F21" s="9">
        <f>F19-F20</f>
        <v>513</v>
      </c>
      <c r="G21" s="8">
        <f t="shared" ref="G21:H21" si="31">G19-G20</f>
        <v>857</v>
      </c>
      <c r="H21" s="8">
        <f t="shared" si="31"/>
        <v>252</v>
      </c>
      <c r="I21" s="8">
        <f t="shared" ref="I21:P21" si="32">I19-I20</f>
        <v>749</v>
      </c>
      <c r="J21" s="9">
        <f t="shared" si="32"/>
        <v>724</v>
      </c>
      <c r="K21" s="8">
        <f t="shared" si="32"/>
        <v>197</v>
      </c>
      <c r="L21" s="8">
        <f t="shared" si="32"/>
        <v>256</v>
      </c>
      <c r="M21" s="8">
        <f t="shared" si="32"/>
        <v>1856</v>
      </c>
      <c r="N21" s="9">
        <f t="shared" si="32"/>
        <v>1629</v>
      </c>
      <c r="O21" s="8">
        <f t="shared" si="32"/>
        <v>2534</v>
      </c>
      <c r="P21" s="8">
        <f t="shared" si="32"/>
        <v>2883</v>
      </c>
      <c r="Q21" s="8">
        <f t="shared" ref="Q21:R21" si="33">Q19-Q20</f>
        <v>3027</v>
      </c>
      <c r="R21" s="9">
        <f t="shared" si="33"/>
        <v>3565</v>
      </c>
      <c r="S21" s="8">
        <f t="shared" ref="S21:Y21" si="34">S19-S20</f>
        <v>2625</v>
      </c>
      <c r="T21" s="8">
        <f t="shared" si="34"/>
        <v>2134</v>
      </c>
      <c r="U21" s="8">
        <f t="shared" si="34"/>
        <v>3268</v>
      </c>
      <c r="V21" s="9">
        <f t="shared" si="34"/>
        <v>2535</v>
      </c>
      <c r="W21" s="8">
        <f t="shared" si="34"/>
        <v>5243</v>
      </c>
      <c r="X21" s="8">
        <f t="shared" si="34"/>
        <v>6243</v>
      </c>
      <c r="Y21" s="8">
        <f t="shared" si="34"/>
        <v>7222</v>
      </c>
    </row>
    <row r="22" spans="1:25" x14ac:dyDescent="0.15">
      <c r="A22" s="6" t="s">
        <v>16</v>
      </c>
      <c r="B22" s="13">
        <f>IFERROR(B21/B23,0)</f>
        <v>-0.14408602150537633</v>
      </c>
      <c r="C22" s="13">
        <f t="shared" ref="C22:H22" si="35">IFERROR(C21/C23,0)</f>
        <v>0.19327731092436976</v>
      </c>
      <c r="D22" s="13">
        <f t="shared" si="35"/>
        <v>0.16527196652719664</v>
      </c>
      <c r="E22" s="13">
        <f t="shared" si="35"/>
        <v>1.002079002079002</v>
      </c>
      <c r="F22" s="14">
        <f t="shared" si="35"/>
        <v>1.0665280665280665</v>
      </c>
      <c r="G22" s="13">
        <f t="shared" si="35"/>
        <v>1.7743271221532091</v>
      </c>
      <c r="H22" s="13">
        <f t="shared" si="35"/>
        <v>0.51958762886597942</v>
      </c>
      <c r="I22" s="13">
        <f t="shared" ref="I22:K22" si="36">IFERROR(I21/I23,0)</f>
        <v>1.5411522633744856</v>
      </c>
      <c r="J22" s="14">
        <f t="shared" si="36"/>
        <v>1.4775510204081632</v>
      </c>
      <c r="K22" s="13">
        <f t="shared" si="36"/>
        <v>0.39878542510121456</v>
      </c>
      <c r="L22" s="13">
        <f>IFERROR(L21/L23,0)</f>
        <v>0.51821862348178138</v>
      </c>
      <c r="M22" s="13">
        <f>IFERROR(M21/M23,0)</f>
        <v>3.7419354838709675</v>
      </c>
      <c r="N22" s="14">
        <f t="shared" ref="N22" si="37">IFERROR(N21/N23,0)</f>
        <v>3.2710843373493974</v>
      </c>
      <c r="O22" s="13">
        <f t="shared" ref="O22" si="38">IFERROR(O21/O23,0)</f>
        <v>5.0679999999999996</v>
      </c>
      <c r="P22" s="13">
        <f t="shared" ref="P22:T22" si="39">IFERROR(P21/P23,0)</f>
        <v>5.7544910179640718</v>
      </c>
      <c r="Q22" s="13">
        <f t="shared" si="39"/>
        <v>6.0419161676646711</v>
      </c>
      <c r="R22" s="14">
        <f t="shared" si="39"/>
        <v>7.1015936254980083</v>
      </c>
      <c r="S22" s="13">
        <f t="shared" si="39"/>
        <v>5.2186878727634198</v>
      </c>
      <c r="T22" s="13">
        <f t="shared" si="39"/>
        <v>4.2341269841269842</v>
      </c>
      <c r="U22" s="13">
        <f t="shared" ref="U22:W22" si="40">IFERROR(U21/U23,0)</f>
        <v>6.4712871287128717</v>
      </c>
      <c r="V22" s="14">
        <f t="shared" si="40"/>
        <v>5.0098814229249014</v>
      </c>
      <c r="W22" s="13">
        <f t="shared" si="40"/>
        <v>10.300589390962672</v>
      </c>
      <c r="X22" s="13">
        <f t="shared" ref="X22:Y22" si="41">IFERROR(X21/X23,0)</f>
        <v>12.386904761904763</v>
      </c>
      <c r="Y22" s="13">
        <f t="shared" si="41"/>
        <v>14.077972709551657</v>
      </c>
    </row>
    <row r="23" spans="1:25" s="28" customFormat="1" x14ac:dyDescent="0.15">
      <c r="A23" s="28" t="s">
        <v>17</v>
      </c>
      <c r="B23" s="5">
        <v>465</v>
      </c>
      <c r="C23" s="5">
        <v>476</v>
      </c>
      <c r="D23" s="5">
        <v>478</v>
      </c>
      <c r="E23" s="5">
        <v>481</v>
      </c>
      <c r="F23" s="4">
        <v>481</v>
      </c>
      <c r="G23" s="5">
        <v>483</v>
      </c>
      <c r="H23" s="5">
        <v>485</v>
      </c>
      <c r="I23" s="5">
        <v>486</v>
      </c>
      <c r="J23" s="4">
        <v>490</v>
      </c>
      <c r="K23" s="5">
        <v>494</v>
      </c>
      <c r="L23" s="5">
        <v>494</v>
      </c>
      <c r="M23" s="5">
        <v>496</v>
      </c>
      <c r="N23" s="4">
        <v>498</v>
      </c>
      <c r="O23" s="5">
        <v>500</v>
      </c>
      <c r="P23" s="5">
        <v>501</v>
      </c>
      <c r="Q23" s="5">
        <f>P23</f>
        <v>501</v>
      </c>
      <c r="R23" s="4">
        <v>502</v>
      </c>
      <c r="S23" s="5">
        <v>503</v>
      </c>
      <c r="T23" s="5">
        <v>504</v>
      </c>
      <c r="U23" s="5">
        <v>505</v>
      </c>
      <c r="V23" s="55">
        <v>506</v>
      </c>
      <c r="W23" s="28">
        <v>509</v>
      </c>
      <c r="X23" s="28">
        <v>504</v>
      </c>
      <c r="Y23" s="28">
        <v>513</v>
      </c>
    </row>
    <row r="24" spans="1:25" x14ac:dyDescent="0.15">
      <c r="B24" s="5"/>
      <c r="C24" s="5"/>
      <c r="D24" s="5"/>
      <c r="E24" s="5"/>
      <c r="F24" s="4"/>
      <c r="G24" s="5"/>
      <c r="H24" s="5"/>
      <c r="I24" s="5"/>
      <c r="J24" s="4"/>
      <c r="K24" s="5"/>
      <c r="L24" s="5"/>
      <c r="M24" s="5"/>
      <c r="N24" s="4"/>
      <c r="O24" s="5"/>
      <c r="P24" s="5"/>
      <c r="Q24" s="5"/>
      <c r="R24" s="4"/>
      <c r="S24" s="5"/>
      <c r="T24" s="5"/>
      <c r="U24" s="5"/>
    </row>
    <row r="25" spans="1:25" x14ac:dyDescent="0.15">
      <c r="A25" s="6" t="s">
        <v>19</v>
      </c>
      <c r="B25" s="19">
        <f t="shared" ref="B25:Q25" si="42">IFERROR(B12/B10,0)</f>
        <v>0.19857312722948869</v>
      </c>
      <c r="C25" s="19">
        <f t="shared" si="42"/>
        <v>0.22001293940047445</v>
      </c>
      <c r="D25" s="19">
        <f t="shared" si="42"/>
        <v>0.21019007808186765</v>
      </c>
      <c r="E25" s="19">
        <f t="shared" si="42"/>
        <v>0.19089713822138921</v>
      </c>
      <c r="F25" s="20">
        <f t="shared" si="42"/>
        <v>0.22418291678110408</v>
      </c>
      <c r="G25" s="19">
        <f t="shared" si="42"/>
        <v>0.23980397316142613</v>
      </c>
      <c r="H25" s="19">
        <f t="shared" si="42"/>
        <v>0.21663507978235619</v>
      </c>
      <c r="I25" s="19">
        <f t="shared" si="42"/>
        <v>0.20644246816487963</v>
      </c>
      <c r="J25" s="20">
        <f t="shared" si="42"/>
        <v>0.23892591140729125</v>
      </c>
      <c r="K25" s="19">
        <f t="shared" si="42"/>
        <v>0.24450006586747464</v>
      </c>
      <c r="L25" s="19">
        <f t="shared" si="42"/>
        <v>0.22243050475493781</v>
      </c>
      <c r="M25" s="19">
        <f t="shared" si="42"/>
        <v>0.21479496468330769</v>
      </c>
      <c r="N25" s="20">
        <f t="shared" si="42"/>
        <v>0.24519023549233965</v>
      </c>
      <c r="O25" s="19">
        <f t="shared" si="42"/>
        <v>0.27080890973036342</v>
      </c>
      <c r="P25" s="19">
        <f t="shared" si="42"/>
        <v>0.27039734162895929</v>
      </c>
      <c r="Q25" s="19">
        <f t="shared" si="42"/>
        <v>0.24272273876462705</v>
      </c>
      <c r="R25" s="20">
        <f t="shared" ref="R25:S25" si="43">IFERROR(R12/R10,0)</f>
        <v>0.28775544388609714</v>
      </c>
      <c r="S25" s="19">
        <f t="shared" si="43"/>
        <v>0.28067629802536115</v>
      </c>
      <c r="T25" s="19">
        <f t="shared" ref="T25:U25" si="44">IFERROR(T12/T10,0)</f>
        <v>0.26452894357039769</v>
      </c>
      <c r="U25" s="19">
        <f t="shared" si="44"/>
        <v>0.24323798849457323</v>
      </c>
      <c r="V25" s="20">
        <f t="shared" ref="V25:W25" si="45">IFERROR(V12/V10,0)</f>
        <v>0.26061602078142393</v>
      </c>
      <c r="W25" s="19">
        <f t="shared" si="45"/>
        <v>0.25245186251574592</v>
      </c>
      <c r="X25" s="19">
        <f t="shared" ref="X25:Y25" si="46">IFERROR(X12/X10,0)</f>
        <v>0.25312018970753419</v>
      </c>
      <c r="Y25" s="19">
        <f t="shared" si="46"/>
        <v>0.22139301501334077</v>
      </c>
    </row>
    <row r="26" spans="1:25" x14ac:dyDescent="0.15">
      <c r="A26" s="6" t="s">
        <v>20</v>
      </c>
      <c r="B26" s="21">
        <f t="shared" ref="B26:Q26" si="47">IFERROR(B17/B10,0)</f>
        <v>1.0789624344915665E-2</v>
      </c>
      <c r="C26" s="21">
        <f t="shared" si="47"/>
        <v>2.0012939400474446E-2</v>
      </c>
      <c r="D26" s="21">
        <f t="shared" si="47"/>
        <v>1.6010726397980915E-2</v>
      </c>
      <c r="E26" s="21">
        <f t="shared" si="47"/>
        <v>3.0995608023050885E-2</v>
      </c>
      <c r="F26" s="22">
        <f t="shared" si="47"/>
        <v>3.6768744850315845E-2</v>
      </c>
      <c r="G26" s="21">
        <f t="shared" si="47"/>
        <v>4.2264175766346536E-2</v>
      </c>
      <c r="H26" s="21">
        <f t="shared" si="47"/>
        <v>1.7576572721159138E-2</v>
      </c>
      <c r="I26" s="21">
        <f t="shared" si="47"/>
        <v>2.8691616561121146E-2</v>
      </c>
      <c r="J26" s="22">
        <f t="shared" si="47"/>
        <v>2.8140225121800973E-2</v>
      </c>
      <c r="K26" s="21">
        <f t="shared" si="47"/>
        <v>1.6545909629824794E-2</v>
      </c>
      <c r="L26" s="21">
        <f t="shared" si="47"/>
        <v>7.932516459400147E-3</v>
      </c>
      <c r="M26" s="21">
        <f t="shared" si="47"/>
        <v>3.5184358096372388E-2</v>
      </c>
      <c r="N26" s="22">
        <f t="shared" si="47"/>
        <v>3.7753222836095765E-2</v>
      </c>
      <c r="O26" s="21">
        <f t="shared" si="47"/>
        <v>5.6404341413606625E-2</v>
      </c>
      <c r="P26" s="21">
        <f t="shared" si="47"/>
        <v>6.5822963800904979E-2</v>
      </c>
      <c r="Q26" s="21">
        <f t="shared" si="47"/>
        <v>5.230509926363925E-2</v>
      </c>
      <c r="R26" s="22">
        <f t="shared" ref="R26:S26" si="48">IFERROR(R17/R10,0)</f>
        <v>7.4036850921273031E-2</v>
      </c>
      <c r="S26" s="21">
        <f t="shared" si="48"/>
        <v>4.8640464324017411E-2</v>
      </c>
      <c r="T26" s="21">
        <f t="shared" ref="T26:U26" si="49">IFERROR(T17/T10,0)</f>
        <v>4.5112244752147014E-2</v>
      </c>
      <c r="U26" s="21">
        <f t="shared" si="49"/>
        <v>4.4363370197971111E-2</v>
      </c>
      <c r="V26" s="22">
        <f t="shared" ref="V26:W26" si="50">IFERROR(V17/V10,0)</f>
        <v>5.2868048560674334E-2</v>
      </c>
      <c r="W26" s="21">
        <f t="shared" si="50"/>
        <v>6.5716663667446468E-2</v>
      </c>
      <c r="X26" s="21">
        <f t="shared" ref="X26:Y26" si="51">IFERROR(X17/X10,0)</f>
        <v>6.4452718725298494E-2</v>
      </c>
      <c r="Y26" s="21">
        <f t="shared" si="51"/>
        <v>5.4740950181195493E-2</v>
      </c>
    </row>
    <row r="27" spans="1:25" x14ac:dyDescent="0.15">
      <c r="A27" s="6" t="s">
        <v>21</v>
      </c>
      <c r="B27" s="21">
        <f t="shared" ref="B27:Q27" si="52">IFERROR(B20/B19,0)</f>
        <v>7.0909090909090908</v>
      </c>
      <c r="C27" s="21">
        <f t="shared" si="52"/>
        <v>0.7458563535911602</v>
      </c>
      <c r="D27" s="21">
        <f t="shared" si="52"/>
        <v>0.68016194331983804</v>
      </c>
      <c r="E27" s="21">
        <f t="shared" si="52"/>
        <v>0.48614072494669508</v>
      </c>
      <c r="F27" s="22">
        <f t="shared" si="52"/>
        <v>0.51420454545454541</v>
      </c>
      <c r="G27" s="21">
        <f t="shared" si="52"/>
        <v>0.2731128074639525</v>
      </c>
      <c r="H27" s="21">
        <f t="shared" si="52"/>
        <v>0.48676171079429736</v>
      </c>
      <c r="I27" s="21">
        <f t="shared" si="52"/>
        <v>0.35763293310463123</v>
      </c>
      <c r="J27" s="22">
        <f t="shared" si="52"/>
        <v>0.2402938090241343</v>
      </c>
      <c r="K27" s="21">
        <f t="shared" si="52"/>
        <v>0.70420420420420415</v>
      </c>
      <c r="L27" s="21">
        <f t="shared" si="52"/>
        <v>0.189873417721519</v>
      </c>
      <c r="M27" s="21">
        <f t="shared" si="52"/>
        <v>8.5470085470085479E-3</v>
      </c>
      <c r="N27" s="22">
        <f t="shared" si="52"/>
        <v>0.14979123173277661</v>
      </c>
      <c r="O27" s="21">
        <f t="shared" si="52"/>
        <v>2.72552783109405E-2</v>
      </c>
      <c r="P27" s="21">
        <f t="shared" si="52"/>
        <v>0.14955752212389381</v>
      </c>
      <c r="Q27" s="21">
        <f t="shared" si="52"/>
        <v>9.6417910447761199E-2</v>
      </c>
      <c r="R27" s="22">
        <f t="shared" ref="R27:S27" si="53">IFERROR(R20/R19,0)</f>
        <v>0.18995682799363781</v>
      </c>
      <c r="S27" s="21">
        <f t="shared" si="53"/>
        <v>8.9174184594031924E-2</v>
      </c>
      <c r="T27" s="21">
        <f t="shared" ref="T27:U27" si="54">IFERROR(T20/T19,0)</f>
        <v>0.18797564687975646</v>
      </c>
      <c r="U27" s="21">
        <f t="shared" si="54"/>
        <v>0.19388258510113468</v>
      </c>
      <c r="V27" s="22">
        <f t="shared" ref="V27:W27" si="55">IFERROR(V20/V19,0)</f>
        <v>0.22689844464775846</v>
      </c>
      <c r="W27" s="21">
        <f t="shared" si="55"/>
        <v>0.15802151919062149</v>
      </c>
      <c r="X27" s="21">
        <f t="shared" ref="X27:Y27" si="56">IFERROR(X20/X19,0)</f>
        <v>8.352906635349383E-2</v>
      </c>
      <c r="Y27" s="21">
        <f t="shared" si="56"/>
        <v>7.2675911658962505E-2</v>
      </c>
    </row>
    <row r="28" spans="1:25" x14ac:dyDescent="0.15">
      <c r="S28" s="2"/>
      <c r="T28" s="2"/>
      <c r="U28" s="2"/>
      <c r="V28" s="3"/>
      <c r="W28" s="2"/>
      <c r="X28" s="2"/>
      <c r="Y28" s="2"/>
    </row>
    <row r="29" spans="1:25" s="7" customFormat="1" x14ac:dyDescent="0.15">
      <c r="A29" s="7" t="s">
        <v>18</v>
      </c>
      <c r="B29" s="15"/>
      <c r="C29" s="15"/>
      <c r="D29" s="15"/>
      <c r="E29" s="15"/>
      <c r="F29" s="16">
        <f t="shared" ref="F29:R29" si="57">IFERROR((F10/B10)-1,0)</f>
        <v>0.28277623640287142</v>
      </c>
      <c r="G29" s="15">
        <f t="shared" si="57"/>
        <v>0.31136510675005402</v>
      </c>
      <c r="H29" s="15">
        <f t="shared" si="57"/>
        <v>0.29008596892499416</v>
      </c>
      <c r="I29" s="15">
        <f t="shared" si="57"/>
        <v>0.22362715752370832</v>
      </c>
      <c r="J29" s="16">
        <f t="shared" si="57"/>
        <v>0.22610546553144739</v>
      </c>
      <c r="K29" s="15">
        <f t="shared" si="57"/>
        <v>0.24835547954216541</v>
      </c>
      <c r="L29" s="15">
        <f t="shared" si="57"/>
        <v>0.33716451672067005</v>
      </c>
      <c r="M29" s="15">
        <f t="shared" si="57"/>
        <v>0.38206716810315267</v>
      </c>
      <c r="N29" s="16">
        <f t="shared" si="57"/>
        <v>0.42918743349946809</v>
      </c>
      <c r="O29" s="15">
        <f t="shared" si="57"/>
        <v>0.39338690554604128</v>
      </c>
      <c r="P29" s="15">
        <f t="shared" si="57"/>
        <v>0.29334308705193846</v>
      </c>
      <c r="Q29" s="15">
        <f t="shared" si="57"/>
        <v>0.19734339073329688</v>
      </c>
      <c r="R29" s="16">
        <f t="shared" si="57"/>
        <v>0.16962501469378166</v>
      </c>
      <c r="S29" s="15">
        <f t="shared" ref="S29:Y29" si="58">IFERROR((S10/O10)-1,0)</f>
        <v>0.1988806111258179</v>
      </c>
      <c r="T29" s="15">
        <f t="shared" si="58"/>
        <v>0.23693792420814486</v>
      </c>
      <c r="U29" s="15">
        <f t="shared" si="58"/>
        <v>0.20797701117665746</v>
      </c>
      <c r="V29" s="16">
        <f t="shared" si="58"/>
        <v>0.26385259631490787</v>
      </c>
      <c r="W29" s="15">
        <f t="shared" si="58"/>
        <v>0.40230900258658764</v>
      </c>
      <c r="X29" s="15">
        <f t="shared" si="58"/>
        <v>0.37391577713950919</v>
      </c>
      <c r="Y29" s="15">
        <f t="shared" si="58"/>
        <v>0.43594816839553041</v>
      </c>
    </row>
    <row r="30" spans="1:25" x14ac:dyDescent="0.15">
      <c r="A30" s="6" t="s">
        <v>62</v>
      </c>
      <c r="B30" s="17"/>
      <c r="C30" s="17"/>
      <c r="D30" s="17"/>
      <c r="E30" s="17"/>
      <c r="F30" s="18">
        <f t="shared" ref="F30:T32" si="59">F13/B13-1</f>
        <v>0.280319535221496</v>
      </c>
      <c r="G30" s="17">
        <f t="shared" si="59"/>
        <v>0.2847682119205297</v>
      </c>
      <c r="H30" s="17">
        <f t="shared" si="59"/>
        <v>0.29340006255864881</v>
      </c>
      <c r="I30" s="17">
        <f t="shared" si="59"/>
        <v>0.27275273032763936</v>
      </c>
      <c r="J30" s="18">
        <f t="shared" si="59"/>
        <v>0.36500283607487227</v>
      </c>
      <c r="K30" s="17">
        <f t="shared" si="59"/>
        <v>0.43015463917525776</v>
      </c>
      <c r="L30" s="17">
        <f t="shared" si="59"/>
        <v>0.43748488512696504</v>
      </c>
      <c r="M30" s="17">
        <f t="shared" si="59"/>
        <v>0.38921892189218932</v>
      </c>
      <c r="N30" s="18">
        <f t="shared" si="59"/>
        <v>0.40432162892167045</v>
      </c>
      <c r="O30" s="17">
        <f t="shared" si="59"/>
        <v>0.30600108127590553</v>
      </c>
      <c r="P30" s="17">
        <f t="shared" si="59"/>
        <v>0.20491251682368783</v>
      </c>
      <c r="Q30" s="17">
        <f t="shared" si="59"/>
        <v>0.21460247070003158</v>
      </c>
      <c r="R30" s="18">
        <f t="shared" si="59"/>
        <v>0.17280662819943782</v>
      </c>
      <c r="S30" s="17">
        <f t="shared" si="59"/>
        <v>0.25086242583137852</v>
      </c>
      <c r="T30" s="17">
        <f t="shared" si="59"/>
        <v>0.28455738620497062</v>
      </c>
      <c r="U30" s="17">
        <f t="shared" ref="U30:Y32" si="60">U13/Q13-1</f>
        <v>0.27004824618594347</v>
      </c>
      <c r="V30" s="18">
        <f t="shared" si="60"/>
        <v>0.17635927841554189</v>
      </c>
      <c r="W30" s="17">
        <f t="shared" si="60"/>
        <v>0.14594594594594601</v>
      </c>
      <c r="X30" s="17">
        <f t="shared" si="60"/>
        <v>0.19304347826086965</v>
      </c>
      <c r="Y30" s="17">
        <f t="shared" si="60"/>
        <v>0.23706365503080074</v>
      </c>
    </row>
    <row r="31" spans="1:25" x14ac:dyDescent="0.15">
      <c r="A31" s="6" t="s">
        <v>63</v>
      </c>
      <c r="B31" s="17"/>
      <c r="C31" s="17"/>
      <c r="D31" s="17"/>
      <c r="E31" s="17"/>
      <c r="F31" s="18">
        <f t="shared" si="59"/>
        <v>0.32594644506001846</v>
      </c>
      <c r="G31" s="17">
        <f t="shared" si="59"/>
        <v>0.34434782608695658</v>
      </c>
      <c r="H31" s="17">
        <f t="shared" si="59"/>
        <v>0.375</v>
      </c>
      <c r="I31" s="17">
        <f t="shared" si="59"/>
        <v>0.431908831908832</v>
      </c>
      <c r="J31" s="18">
        <f t="shared" si="59"/>
        <v>0.3370473537604457</v>
      </c>
      <c r="K31" s="17">
        <f t="shared" si="59"/>
        <v>0.44178525226390675</v>
      </c>
      <c r="L31" s="17">
        <f t="shared" si="59"/>
        <v>0.42635212888377438</v>
      </c>
      <c r="M31" s="17">
        <f t="shared" si="59"/>
        <v>0.36888181456426583</v>
      </c>
      <c r="N31" s="18">
        <f t="shared" si="59"/>
        <v>0.4057291666666667</v>
      </c>
      <c r="O31" s="17">
        <f t="shared" si="59"/>
        <v>0.30148048452220721</v>
      </c>
      <c r="P31" s="17">
        <f t="shared" si="59"/>
        <v>0.33239209358612354</v>
      </c>
      <c r="Q31" s="17">
        <f t="shared" si="59"/>
        <v>0.42761627906976751</v>
      </c>
      <c r="R31" s="18">
        <f t="shared" si="59"/>
        <v>0.35753982956650621</v>
      </c>
      <c r="S31" s="17">
        <f t="shared" si="59"/>
        <v>0.4791451223715959</v>
      </c>
      <c r="T31" s="17">
        <f t="shared" si="59"/>
        <v>0.43869209809264298</v>
      </c>
      <c r="U31" s="17">
        <f t="shared" si="60"/>
        <v>0.25677051517002658</v>
      </c>
      <c r="V31" s="18">
        <f t="shared" si="60"/>
        <v>0.31768558951965065</v>
      </c>
      <c r="W31" s="17">
        <f t="shared" si="60"/>
        <v>1.2584479142391025E-2</v>
      </c>
      <c r="X31" s="17">
        <f t="shared" si="60"/>
        <v>0.1435185185185186</v>
      </c>
      <c r="Y31" s="17">
        <f t="shared" si="60"/>
        <v>0.19944912508101109</v>
      </c>
    </row>
    <row r="32" spans="1:25" x14ac:dyDescent="0.15">
      <c r="A32" s="6" t="s">
        <v>64</v>
      </c>
      <c r="B32" s="17"/>
      <c r="C32" s="17"/>
      <c r="D32" s="17"/>
      <c r="E32" s="17"/>
      <c r="F32" s="18">
        <f t="shared" si="59"/>
        <v>0.16393442622950816</v>
      </c>
      <c r="G32" s="17">
        <f t="shared" si="59"/>
        <v>0.24197002141327628</v>
      </c>
      <c r="H32" s="17">
        <f t="shared" si="59"/>
        <v>0.38012958963282939</v>
      </c>
      <c r="I32" s="17">
        <f t="shared" si="59"/>
        <v>0.83846153846153837</v>
      </c>
      <c r="J32" s="18">
        <f t="shared" si="59"/>
        <v>0.5995975855130784</v>
      </c>
      <c r="K32" s="17">
        <f t="shared" si="59"/>
        <v>0.50689655172413794</v>
      </c>
      <c r="L32" s="17">
        <f t="shared" si="59"/>
        <v>0.50234741784037551</v>
      </c>
      <c r="M32" s="17">
        <f t="shared" si="59"/>
        <v>0.53974895397489542</v>
      </c>
      <c r="N32" s="18">
        <f t="shared" si="59"/>
        <v>0.42138364779874204</v>
      </c>
      <c r="O32" s="17">
        <f t="shared" si="59"/>
        <v>0.36270022883295194</v>
      </c>
      <c r="P32" s="17">
        <f t="shared" si="59"/>
        <v>0.15520833333333339</v>
      </c>
      <c r="Q32" s="17">
        <f t="shared" si="59"/>
        <v>8.9673913043478271E-2</v>
      </c>
      <c r="R32" s="18">
        <f t="shared" si="59"/>
        <v>3.3628318584070893E-2</v>
      </c>
      <c r="S32" s="17">
        <f t="shared" si="59"/>
        <v>0.13853904282115859</v>
      </c>
      <c r="T32" s="17">
        <f t="shared" si="59"/>
        <v>0.26510369702434633</v>
      </c>
      <c r="U32" s="17">
        <f t="shared" si="60"/>
        <v>0.22776392352452213</v>
      </c>
      <c r="V32" s="18">
        <f t="shared" si="60"/>
        <v>0.30308219178082196</v>
      </c>
      <c r="W32" s="17">
        <f t="shared" si="60"/>
        <v>0.37905604719764008</v>
      </c>
      <c r="X32" s="17">
        <f t="shared" si="60"/>
        <v>0.23307198859586609</v>
      </c>
      <c r="Y32" s="17">
        <f t="shared" si="60"/>
        <v>-3.3852403520649998E-3</v>
      </c>
    </row>
    <row r="33" spans="1:25" x14ac:dyDescent="0.15">
      <c r="S33" s="2"/>
      <c r="T33" s="2"/>
      <c r="U33" s="2"/>
      <c r="V33" s="3"/>
    </row>
    <row r="34" spans="1:25" s="37" customFormat="1" x14ac:dyDescent="0.15">
      <c r="A34" s="37" t="s">
        <v>37</v>
      </c>
      <c r="B34" s="8">
        <f>B35-B36</f>
        <v>5524</v>
      </c>
      <c r="C34" s="8">
        <f>C35-C36</f>
        <v>5751</v>
      </c>
      <c r="D34" s="8">
        <f>D35-D36</f>
        <v>6185</v>
      </c>
      <c r="E34" s="8">
        <f>E35-E36</f>
        <v>11581</v>
      </c>
      <c r="F34" s="9">
        <f>F35-F36</f>
        <v>7640</v>
      </c>
      <c r="G34" s="8">
        <f t="shared" ref="G34:K34" si="61">G35-G36</f>
        <v>8328</v>
      </c>
      <c r="H34" s="8">
        <f t="shared" si="61"/>
        <v>10142</v>
      </c>
      <c r="I34" s="8">
        <f t="shared" si="61"/>
        <v>18287</v>
      </c>
      <c r="J34" s="9">
        <f t="shared" si="61"/>
        <v>13840</v>
      </c>
      <c r="K34" s="8">
        <f t="shared" si="61"/>
        <v>13768</v>
      </c>
      <c r="L34" s="8">
        <f>L35-L36</f>
        <v>-400</v>
      </c>
      <c r="M34" s="8">
        <f>M35-M36</f>
        <v>6243</v>
      </c>
      <c r="N34" s="9">
        <f t="shared" ref="N34" si="62">N35-N36</f>
        <v>323</v>
      </c>
      <c r="O34" s="8">
        <f t="shared" ref="O34" si="63">O35-O36</f>
        <v>2412</v>
      </c>
      <c r="P34" s="8">
        <f t="shared" ref="P34:T34" si="64">P35-P36</f>
        <v>5081</v>
      </c>
      <c r="Q34" s="8">
        <f t="shared" si="64"/>
        <v>17755</v>
      </c>
      <c r="R34" s="9">
        <f t="shared" si="64"/>
        <v>13745</v>
      </c>
      <c r="S34" s="8">
        <f t="shared" si="64"/>
        <v>18134</v>
      </c>
      <c r="T34" s="8">
        <f t="shared" si="64"/>
        <v>20929</v>
      </c>
      <c r="U34" s="8">
        <f>U35-U36</f>
        <v>31607</v>
      </c>
      <c r="V34" s="9">
        <f>V35-V36</f>
        <v>25855</v>
      </c>
      <c r="W34" s="8">
        <f t="shared" ref="W34:Y34" si="65">W35-W36</f>
        <v>38263</v>
      </c>
      <c r="X34" s="8">
        <f t="shared" si="65"/>
        <v>35473</v>
      </c>
      <c r="Y34" s="8">
        <f t="shared" si="65"/>
        <v>52580</v>
      </c>
    </row>
    <row r="35" spans="1:25" s="28" customFormat="1" x14ac:dyDescent="0.15">
      <c r="A35" s="28" t="s">
        <v>38</v>
      </c>
      <c r="B35" s="5">
        <f>10237+3544</f>
        <v>13781</v>
      </c>
      <c r="C35" s="5">
        <f>10269+3732</f>
        <v>14001</v>
      </c>
      <c r="D35" s="5">
        <f>10709+3719</f>
        <v>14428</v>
      </c>
      <c r="E35" s="5">
        <f>15890+3918</f>
        <v>19808</v>
      </c>
      <c r="F35" s="4">
        <f>12470+3389</f>
        <v>15859</v>
      </c>
      <c r="G35" s="5">
        <f>12521+4019</f>
        <v>16540</v>
      </c>
      <c r="H35" s="5">
        <f>13656+4691</f>
        <v>18347</v>
      </c>
      <c r="I35" s="5">
        <f>19334+6647</f>
        <v>25981</v>
      </c>
      <c r="J35" s="4">
        <f>15440+6091</f>
        <v>21531</v>
      </c>
      <c r="K35" s="5">
        <f>13203+8248</f>
        <v>21451</v>
      </c>
      <c r="L35" s="5">
        <f>12767+11543</f>
        <v>24310</v>
      </c>
      <c r="M35" s="5">
        <f>20522+10464</f>
        <v>30986</v>
      </c>
      <c r="N35" s="4">
        <f>16676+8287</f>
        <v>24963</v>
      </c>
      <c r="O35" s="5">
        <f>19823+7227</f>
        <v>27050</v>
      </c>
      <c r="P35" s="5">
        <f>20425+9340</f>
        <v>29765</v>
      </c>
      <c r="Q35" s="5">
        <f>31750+9500</f>
        <v>41250</v>
      </c>
      <c r="R35" s="4">
        <f>23115+13905</f>
        <v>37020</v>
      </c>
      <c r="S35" s="5">
        <f>22616+18847</f>
        <v>41463</v>
      </c>
      <c r="T35" s="5">
        <f>23255+20146</f>
        <v>43401</v>
      </c>
      <c r="U35" s="5">
        <f>36092+18929</f>
        <v>55021</v>
      </c>
      <c r="V35" s="4">
        <f>27201+22091</f>
        <v>49292</v>
      </c>
      <c r="W35" s="5">
        <f>37466+33925</f>
        <v>71391</v>
      </c>
      <c r="X35" s="28">
        <f>29930+38472</f>
        <v>68402</v>
      </c>
      <c r="Y35" s="28">
        <f>42122+42274</f>
        <v>84396</v>
      </c>
    </row>
    <row r="36" spans="1:25" s="28" customFormat="1" x14ac:dyDescent="0.15">
      <c r="A36" s="28" t="s">
        <v>39</v>
      </c>
      <c r="B36" s="5">
        <v>8257</v>
      </c>
      <c r="C36" s="5">
        <v>8250</v>
      </c>
      <c r="D36" s="5">
        <v>8243</v>
      </c>
      <c r="E36" s="5">
        <v>8227</v>
      </c>
      <c r="F36" s="4">
        <v>8219</v>
      </c>
      <c r="G36" s="5">
        <v>8212</v>
      </c>
      <c r="H36" s="5">
        <v>8205</v>
      </c>
      <c r="I36" s="5">
        <v>7694</v>
      </c>
      <c r="J36" s="4">
        <v>7691</v>
      </c>
      <c r="K36" s="5">
        <v>7683</v>
      </c>
      <c r="L36" s="5">
        <f>24710</f>
        <v>24710</v>
      </c>
      <c r="M36" s="5">
        <v>24743</v>
      </c>
      <c r="N36" s="4">
        <v>24640</v>
      </c>
      <c r="O36" s="5">
        <v>24638</v>
      </c>
      <c r="P36" s="5">
        <v>24684</v>
      </c>
      <c r="Q36" s="5">
        <v>23495</v>
      </c>
      <c r="R36" s="4">
        <v>23275</v>
      </c>
      <c r="S36" s="5">
        <v>23329</v>
      </c>
      <c r="T36" s="5">
        <v>22472</v>
      </c>
      <c r="U36" s="5">
        <v>23414</v>
      </c>
      <c r="V36" s="4">
        <v>23437</v>
      </c>
      <c r="W36" s="5">
        <v>33128</v>
      </c>
      <c r="X36" s="28">
        <v>32929</v>
      </c>
      <c r="Y36" s="28">
        <v>31816</v>
      </c>
    </row>
    <row r="37" spans="1:25" s="28" customFormat="1" x14ac:dyDescent="0.15">
      <c r="B37" s="5"/>
      <c r="C37" s="5"/>
      <c r="D37" s="5"/>
      <c r="E37" s="5"/>
      <c r="F37" s="4"/>
      <c r="G37" s="5"/>
      <c r="H37" s="5"/>
      <c r="I37" s="5"/>
      <c r="J37" s="4"/>
      <c r="K37" s="5"/>
      <c r="L37" s="5"/>
      <c r="M37" s="5"/>
      <c r="N37" s="4"/>
      <c r="O37" s="5"/>
      <c r="P37" s="5"/>
      <c r="Q37" s="5"/>
      <c r="R37" s="4"/>
      <c r="S37" s="5"/>
      <c r="T37" s="5"/>
      <c r="U37" s="5"/>
      <c r="V37" s="4"/>
    </row>
    <row r="38" spans="1:25" s="28" customFormat="1" x14ac:dyDescent="0.15">
      <c r="A38" s="61" t="s">
        <v>82</v>
      </c>
      <c r="B38" s="5"/>
      <c r="C38" s="5"/>
      <c r="D38" s="5"/>
      <c r="E38" s="5"/>
      <c r="F38" s="4"/>
      <c r="G38" s="5"/>
      <c r="H38" s="5"/>
      <c r="I38" s="5"/>
      <c r="J38" s="4"/>
      <c r="K38" s="5"/>
      <c r="L38" s="5"/>
      <c r="M38" s="5"/>
      <c r="N38" s="4">
        <v>13388</v>
      </c>
      <c r="O38" s="5">
        <v>13944</v>
      </c>
      <c r="P38" s="5">
        <v>14553</v>
      </c>
      <c r="Q38" s="5">
        <v>14548</v>
      </c>
      <c r="R38" s="4">
        <v>14708</v>
      </c>
      <c r="S38" s="5">
        <v>14727</v>
      </c>
      <c r="T38" s="5">
        <v>14734</v>
      </c>
      <c r="U38" s="5">
        <v>14754</v>
      </c>
      <c r="V38" s="4">
        <v>14739</v>
      </c>
      <c r="W38" s="5">
        <v>14751</v>
      </c>
      <c r="X38" s="28">
        <v>14960</v>
      </c>
      <c r="Y38" s="28">
        <v>15017</v>
      </c>
    </row>
    <row r="39" spans="1:25" s="28" customFormat="1" x14ac:dyDescent="0.15">
      <c r="A39" s="61" t="s">
        <v>83</v>
      </c>
      <c r="B39" s="5"/>
      <c r="C39" s="5"/>
      <c r="D39" s="5"/>
      <c r="E39" s="5"/>
      <c r="F39" s="4"/>
      <c r="G39" s="5"/>
      <c r="H39" s="5"/>
      <c r="I39" s="5"/>
      <c r="J39" s="4"/>
      <c r="K39" s="5"/>
      <c r="L39" s="5"/>
      <c r="M39" s="5"/>
      <c r="N39" s="4">
        <v>126362</v>
      </c>
      <c r="O39" s="5">
        <v>134100</v>
      </c>
      <c r="P39" s="5">
        <v>143695</v>
      </c>
      <c r="Q39" s="5">
        <v>162648</v>
      </c>
      <c r="R39" s="4">
        <v>178102</v>
      </c>
      <c r="S39" s="5">
        <v>191351</v>
      </c>
      <c r="T39" s="5">
        <v>199099</v>
      </c>
      <c r="U39" s="5">
        <v>225248</v>
      </c>
      <c r="V39" s="4">
        <v>221238</v>
      </c>
      <c r="W39" s="5">
        <v>258314</v>
      </c>
      <c r="X39" s="28">
        <v>282179</v>
      </c>
      <c r="Y39" s="28">
        <v>321195</v>
      </c>
    </row>
    <row r="40" spans="1:25" s="28" customFormat="1" x14ac:dyDescent="0.15">
      <c r="A40" s="61" t="s">
        <v>84</v>
      </c>
      <c r="B40" s="5"/>
      <c r="C40" s="5"/>
      <c r="D40" s="5"/>
      <c r="E40" s="5"/>
      <c r="F40" s="4"/>
      <c r="G40" s="5"/>
      <c r="H40" s="5"/>
      <c r="I40" s="5"/>
      <c r="J40" s="4"/>
      <c r="K40" s="5"/>
      <c r="L40" s="5"/>
      <c r="M40" s="5"/>
      <c r="N40" s="4">
        <f>48045+24640+22214</f>
        <v>94899</v>
      </c>
      <c r="O40" s="5">
        <f>50801+24638+23666</f>
        <v>99105</v>
      </c>
      <c r="P40" s="5">
        <f>55324+24684+24562</f>
        <v>104570</v>
      </c>
      <c r="Q40" s="5">
        <f>68391+23495+27213</f>
        <v>119099</v>
      </c>
      <c r="R40" s="4">
        <f>63695+33275+23322+9400</f>
        <v>129692</v>
      </c>
      <c r="S40" s="5">
        <f>69678+35134+23329+10149</f>
        <v>138290</v>
      </c>
      <c r="T40" s="5">
        <f>72136+37058+22472+10925</f>
        <v>142591</v>
      </c>
      <c r="U40" s="5">
        <f>87812+39791+23414+12171</f>
        <v>163188</v>
      </c>
      <c r="V40" s="4">
        <f>79711+40300+23437+12518</f>
        <v>155966</v>
      </c>
      <c r="W40" s="5">
        <f>93896+42798+33128+14764</f>
        <v>184586</v>
      </c>
      <c r="X40" s="28">
        <f>101912+48589+32929+15974</f>
        <v>199404</v>
      </c>
      <c r="Y40" s="28">
        <f>126385+52573+31816+17017</f>
        <v>227791</v>
      </c>
    </row>
    <row r="41" spans="1:25" s="28" customFormat="1" x14ac:dyDescent="0.15">
      <c r="B41" s="5"/>
      <c r="C41" s="5"/>
      <c r="D41" s="5"/>
      <c r="E41" s="5"/>
      <c r="F41" s="4"/>
      <c r="G41" s="5"/>
      <c r="H41" s="5"/>
      <c r="I41" s="5"/>
      <c r="J41" s="4"/>
      <c r="K41" s="5"/>
      <c r="L41" s="5"/>
      <c r="M41" s="5"/>
      <c r="N41" s="4"/>
      <c r="O41" s="5"/>
      <c r="P41" s="5"/>
      <c r="Q41" s="5"/>
      <c r="R41" s="4"/>
      <c r="S41" s="5"/>
      <c r="T41" s="5"/>
      <c r="U41" s="5"/>
      <c r="V41" s="4"/>
    </row>
    <row r="42" spans="1:25" s="28" customFormat="1" x14ac:dyDescent="0.15">
      <c r="A42" s="61" t="s">
        <v>85</v>
      </c>
      <c r="B42" s="5"/>
      <c r="C42" s="5"/>
      <c r="D42" s="5"/>
      <c r="E42" s="5"/>
      <c r="F42" s="4"/>
      <c r="G42" s="5"/>
      <c r="H42" s="5"/>
      <c r="I42" s="5"/>
      <c r="J42" s="4"/>
      <c r="K42" s="5"/>
      <c r="L42" s="5"/>
      <c r="M42" s="5"/>
      <c r="N42" s="11">
        <f t="shared" ref="N42:T42" si="66">N39-N38-N35</f>
        <v>88011</v>
      </c>
      <c r="O42" s="10">
        <f t="shared" si="66"/>
        <v>93106</v>
      </c>
      <c r="P42" s="10">
        <f t="shared" si="66"/>
        <v>99377</v>
      </c>
      <c r="Q42" s="10">
        <f t="shared" si="66"/>
        <v>106850</v>
      </c>
      <c r="R42" s="11">
        <f t="shared" si="66"/>
        <v>126374</v>
      </c>
      <c r="S42" s="10">
        <f t="shared" si="66"/>
        <v>135161</v>
      </c>
      <c r="T42" s="10">
        <f t="shared" si="66"/>
        <v>140964</v>
      </c>
      <c r="U42" s="10">
        <f>U39-U38-U35</f>
        <v>155473</v>
      </c>
      <c r="V42" s="11">
        <f>V39-V38-V35</f>
        <v>157207</v>
      </c>
      <c r="W42" s="10">
        <f t="shared" ref="W42:X42" si="67">W39-W38-W35</f>
        <v>172172</v>
      </c>
      <c r="X42" s="10">
        <f t="shared" si="67"/>
        <v>198817</v>
      </c>
      <c r="Y42" s="10">
        <f t="shared" ref="Y42" si="68">Y39-Y38-Y35</f>
        <v>221782</v>
      </c>
    </row>
    <row r="43" spans="1:25" s="28" customFormat="1" x14ac:dyDescent="0.15">
      <c r="A43" s="61" t="s">
        <v>86</v>
      </c>
      <c r="B43" s="5"/>
      <c r="C43" s="5"/>
      <c r="D43" s="5"/>
      <c r="E43" s="5"/>
      <c r="F43" s="4"/>
      <c r="G43" s="5"/>
      <c r="H43" s="5"/>
      <c r="I43" s="5"/>
      <c r="J43" s="4"/>
      <c r="K43" s="5"/>
      <c r="L43" s="5"/>
      <c r="M43" s="5"/>
      <c r="N43" s="11">
        <f t="shared" ref="N43:T43" si="69">N39-N40</f>
        <v>31463</v>
      </c>
      <c r="O43" s="10">
        <f t="shared" si="69"/>
        <v>34995</v>
      </c>
      <c r="P43" s="10">
        <f t="shared" si="69"/>
        <v>39125</v>
      </c>
      <c r="Q43" s="10">
        <f t="shared" si="69"/>
        <v>43549</v>
      </c>
      <c r="R43" s="11">
        <f t="shared" si="69"/>
        <v>48410</v>
      </c>
      <c r="S43" s="10">
        <f t="shared" si="69"/>
        <v>53061</v>
      </c>
      <c r="T43" s="10">
        <f t="shared" si="69"/>
        <v>56508</v>
      </c>
      <c r="U43" s="10">
        <f>U39-U40</f>
        <v>62060</v>
      </c>
      <c r="V43" s="11">
        <f>V39-V40</f>
        <v>65272</v>
      </c>
      <c r="W43" s="10">
        <f t="shared" ref="W43:X43" si="70">W39-W40</f>
        <v>73728</v>
      </c>
      <c r="X43" s="10">
        <f t="shared" si="70"/>
        <v>82775</v>
      </c>
      <c r="Y43" s="10">
        <f t="shared" ref="Y43" si="71">Y39-Y40</f>
        <v>93404</v>
      </c>
    </row>
    <row r="44" spans="1:25" s="28" customFormat="1" x14ac:dyDescent="0.15">
      <c r="B44" s="5"/>
      <c r="C44" s="5"/>
      <c r="D44" s="5"/>
      <c r="E44" s="5"/>
      <c r="F44" s="4"/>
      <c r="G44" s="5"/>
      <c r="H44" s="5"/>
      <c r="I44" s="5"/>
      <c r="J44" s="4"/>
      <c r="K44" s="5"/>
      <c r="L44" s="5"/>
      <c r="M44" s="5"/>
      <c r="N44" s="4"/>
      <c r="O44" s="5"/>
      <c r="P44" s="5"/>
      <c r="Q44" s="5"/>
      <c r="R44" s="4"/>
      <c r="S44" s="5"/>
      <c r="T44" s="5"/>
      <c r="U44" s="5"/>
      <c r="V44" s="4"/>
    </row>
    <row r="45" spans="1:25" s="37" customFormat="1" x14ac:dyDescent="0.15">
      <c r="A45" s="36" t="s">
        <v>87</v>
      </c>
      <c r="B45" s="62"/>
      <c r="C45" s="62"/>
      <c r="D45" s="62"/>
      <c r="E45" s="62"/>
      <c r="F45" s="63"/>
      <c r="G45" s="62"/>
      <c r="H45" s="62"/>
      <c r="I45" s="62"/>
      <c r="J45" s="63"/>
      <c r="K45" s="62"/>
      <c r="L45" s="62"/>
      <c r="M45" s="62"/>
      <c r="N45" s="9">
        <f t="shared" ref="N45:T45" si="72">SUM(K21:N21)</f>
        <v>3938</v>
      </c>
      <c r="O45" s="8">
        <f t="shared" si="72"/>
        <v>6275</v>
      </c>
      <c r="P45" s="8">
        <f t="shared" si="72"/>
        <v>8902</v>
      </c>
      <c r="Q45" s="8">
        <f t="shared" si="72"/>
        <v>10073</v>
      </c>
      <c r="R45" s="9">
        <f t="shared" si="72"/>
        <v>12009</v>
      </c>
      <c r="S45" s="8">
        <f t="shared" si="72"/>
        <v>12100</v>
      </c>
      <c r="T45" s="8">
        <f t="shared" si="72"/>
        <v>11351</v>
      </c>
      <c r="U45" s="8">
        <f>SUM(R21:U21)</f>
        <v>11592</v>
      </c>
      <c r="V45" s="9">
        <f>SUM(S21:V21)</f>
        <v>10562</v>
      </c>
      <c r="W45" s="8">
        <f t="shared" ref="W45:X45" si="73">SUM(T21:W21)</f>
        <v>13180</v>
      </c>
      <c r="X45" s="8">
        <f t="shared" si="73"/>
        <v>17289</v>
      </c>
      <c r="Y45" s="8">
        <f>SUM(V21:Y21)</f>
        <v>21243</v>
      </c>
    </row>
    <row r="46" spans="1:25" x14ac:dyDescent="0.15">
      <c r="A46" s="23" t="s">
        <v>88</v>
      </c>
      <c r="N46" s="20">
        <f t="shared" ref="N46:U46" si="74">N45/N43</f>
        <v>0.12516288974350825</v>
      </c>
      <c r="O46" s="19">
        <f t="shared" si="74"/>
        <v>0.17931133019002715</v>
      </c>
      <c r="P46" s="19">
        <f t="shared" si="74"/>
        <v>0.22752715654952077</v>
      </c>
      <c r="Q46" s="19">
        <f t="shared" si="74"/>
        <v>0.231302670555007</v>
      </c>
      <c r="R46" s="20">
        <f t="shared" si="74"/>
        <v>0.24806858087172071</v>
      </c>
      <c r="S46" s="19">
        <f t="shared" si="74"/>
        <v>0.22803942632064983</v>
      </c>
      <c r="T46" s="19">
        <f t="shared" si="74"/>
        <v>0.20087421250088483</v>
      </c>
      <c r="U46" s="19">
        <f t="shared" si="74"/>
        <v>0.1867869803416049</v>
      </c>
      <c r="V46" s="20">
        <f t="shared" ref="V46:W46" si="75">V45/V43</f>
        <v>0.16181517342811619</v>
      </c>
      <c r="W46" s="19">
        <f t="shared" si="75"/>
        <v>0.17876519097222221</v>
      </c>
      <c r="X46" s="19">
        <f t="shared" ref="X46:Y46" si="76">X45/X43</f>
        <v>0.20886741165810932</v>
      </c>
      <c r="Y46" s="19">
        <f t="shared" si="76"/>
        <v>0.22743137338871997</v>
      </c>
    </row>
    <row r="47" spans="1:25" x14ac:dyDescent="0.15">
      <c r="A47" s="23" t="s">
        <v>89</v>
      </c>
      <c r="N47" s="20">
        <f t="shared" ref="N47:U47" si="77">N45/N39</f>
        <v>3.116443234516706E-2</v>
      </c>
      <c r="O47" s="19">
        <f t="shared" si="77"/>
        <v>4.679343773303505E-2</v>
      </c>
      <c r="P47" s="19">
        <f t="shared" si="77"/>
        <v>6.1950659382720347E-2</v>
      </c>
      <c r="Q47" s="19">
        <f t="shared" si="77"/>
        <v>6.1931287196891449E-2</v>
      </c>
      <c r="R47" s="20">
        <f t="shared" si="77"/>
        <v>6.7427653816352434E-2</v>
      </c>
      <c r="S47" s="19">
        <f t="shared" si="77"/>
        <v>6.3234579385527123E-2</v>
      </c>
      <c r="T47" s="19">
        <f t="shared" si="77"/>
        <v>5.7011838331684238E-2</v>
      </c>
      <c r="U47" s="19">
        <f t="shared" si="77"/>
        <v>5.1463276033527489E-2</v>
      </c>
      <c r="V47" s="20">
        <f t="shared" ref="V47:W47" si="78">V45/V39</f>
        <v>4.7740442419475858E-2</v>
      </c>
      <c r="W47" s="19">
        <f t="shared" si="78"/>
        <v>5.1023173347166627E-2</v>
      </c>
      <c r="X47" s="19">
        <f t="shared" ref="X47:Y47" si="79">X45/X39</f>
        <v>6.1269619638598193E-2</v>
      </c>
      <c r="Y47" s="19">
        <f t="shared" si="79"/>
        <v>6.6137393172371925E-2</v>
      </c>
    </row>
    <row r="48" spans="1:25" x14ac:dyDescent="0.15">
      <c r="A48" s="23" t="s">
        <v>90</v>
      </c>
      <c r="N48" s="20">
        <f t="shared" ref="N48:U48" si="80">N45/(N43-N38)</f>
        <v>0.21786998616874134</v>
      </c>
      <c r="O48" s="19">
        <f t="shared" si="80"/>
        <v>0.29808560163412662</v>
      </c>
      <c r="P48" s="19">
        <f t="shared" si="80"/>
        <v>0.36228227250529055</v>
      </c>
      <c r="Q48" s="19">
        <f t="shared" si="80"/>
        <v>0.34733285059135893</v>
      </c>
      <c r="R48" s="20">
        <f t="shared" si="80"/>
        <v>0.35632900124621686</v>
      </c>
      <c r="S48" s="19">
        <f t="shared" si="80"/>
        <v>0.3156466844054886</v>
      </c>
      <c r="T48" s="19">
        <f t="shared" si="80"/>
        <v>0.27172403887585578</v>
      </c>
      <c r="U48" s="19">
        <f t="shared" si="80"/>
        <v>0.24504291210417284</v>
      </c>
      <c r="V48" s="20">
        <f t="shared" ref="V48:W48" si="81">V45/(V43-V38)</f>
        <v>0.20901193279639046</v>
      </c>
      <c r="W48" s="19">
        <f t="shared" si="81"/>
        <v>0.22347694864099565</v>
      </c>
      <c r="X48" s="19">
        <f t="shared" ref="X48:Y48" si="82">X45/(X43-X38)</f>
        <v>0.25494359654943599</v>
      </c>
      <c r="Y48" s="19">
        <f t="shared" si="82"/>
        <v>0.27100156913773965</v>
      </c>
    </row>
    <row r="49" spans="1:25" x14ac:dyDescent="0.15">
      <c r="A49" s="23" t="s">
        <v>91</v>
      </c>
      <c r="N49" s="20">
        <f t="shared" ref="N49:U49" si="83">N45/N42</f>
        <v>4.4744406949131357E-2</v>
      </c>
      <c r="O49" s="19">
        <f t="shared" si="83"/>
        <v>6.7396300990269151E-2</v>
      </c>
      <c r="P49" s="19">
        <f t="shared" si="83"/>
        <v>8.9578071384726843E-2</v>
      </c>
      <c r="Q49" s="19">
        <f t="shared" si="83"/>
        <v>9.4272344408048672E-2</v>
      </c>
      <c r="R49" s="20">
        <f t="shared" si="83"/>
        <v>9.5027458179688856E-2</v>
      </c>
      <c r="S49" s="19">
        <f t="shared" si="83"/>
        <v>8.9522865323577061E-2</v>
      </c>
      <c r="T49" s="19">
        <f t="shared" si="83"/>
        <v>8.052410544536194E-2</v>
      </c>
      <c r="U49" s="19">
        <f t="shared" si="83"/>
        <v>7.4559569828844874E-2</v>
      </c>
      <c r="V49" s="20">
        <f t="shared" ref="V49:W49" si="84">V45/V42</f>
        <v>6.7185303453408562E-2</v>
      </c>
      <c r="W49" s="19">
        <f t="shared" si="84"/>
        <v>7.6551355621123057E-2</v>
      </c>
      <c r="X49" s="19">
        <f t="shared" ref="X49:Y49" si="85">X45/X42</f>
        <v>8.6959364641856579E-2</v>
      </c>
      <c r="Y49" s="19">
        <f t="shared" si="85"/>
        <v>9.5783246611537462E-2</v>
      </c>
    </row>
    <row r="50" spans="1:25" x14ac:dyDescent="0.15">
      <c r="S50" s="2"/>
      <c r="T50" s="2"/>
      <c r="U50" s="2"/>
      <c r="V50" s="3"/>
      <c r="W50" s="2"/>
      <c r="X50" s="2"/>
      <c r="Y50" s="2"/>
    </row>
    <row r="51" spans="1:25" x14ac:dyDescent="0.15">
      <c r="A51" s="6" t="s">
        <v>74</v>
      </c>
      <c r="F51" s="18">
        <f t="shared" ref="F51:Y51" si="86">F3/B3-1</f>
        <v>-5.8389674247080525E-2</v>
      </c>
      <c r="G51" s="21">
        <f t="shared" si="86"/>
        <v>-4.6018444829361904E-2</v>
      </c>
      <c r="H51" s="21">
        <f t="shared" si="86"/>
        <v>-7.2315558802045321E-2</v>
      </c>
      <c r="I51" s="21">
        <f t="shared" si="86"/>
        <v>-0.11382040669425952</v>
      </c>
      <c r="J51" s="22">
        <f t="shared" si="86"/>
        <v>0.14611367744527004</v>
      </c>
      <c r="K51" s="21">
        <f t="shared" si="86"/>
        <v>0.16566885857297087</v>
      </c>
      <c r="L51" s="21">
        <f t="shared" si="86"/>
        <v>0.22241778601204265</v>
      </c>
      <c r="M51" s="21">
        <f t="shared" si="86"/>
        <v>0.19751582224929765</v>
      </c>
      <c r="N51" s="22">
        <f t="shared" si="86"/>
        <v>0.18018925786383955</v>
      </c>
      <c r="O51" s="21">
        <f t="shared" si="86"/>
        <v>0.1435968678959334</v>
      </c>
      <c r="P51" s="21">
        <f t="shared" si="86"/>
        <v>0.10112913003940593</v>
      </c>
      <c r="Q51" s="21">
        <f t="shared" si="86"/>
        <v>0.12545572732668231</v>
      </c>
      <c r="R51" s="22">
        <f t="shared" si="86"/>
        <v>9.4992390214930111E-2</v>
      </c>
      <c r="S51" s="21">
        <f t="shared" si="86"/>
        <v>0.14312534511319708</v>
      </c>
      <c r="T51" s="21">
        <f t="shared" si="86"/>
        <v>0.20570524070059526</v>
      </c>
      <c r="U51" s="21">
        <f t="shared" si="86"/>
        <v>0.14652704535181549</v>
      </c>
      <c r="V51" s="22">
        <f t="shared" si="86"/>
        <v>0.24252491694352152</v>
      </c>
      <c r="W51" s="21">
        <f t="shared" si="86"/>
        <v>0.47798924419540789</v>
      </c>
      <c r="X51" s="21">
        <f t="shared" si="86"/>
        <v>0.37989097862381915</v>
      </c>
      <c r="Y51" s="21">
        <f t="shared" si="86"/>
        <v>0.45543947258908823</v>
      </c>
    </row>
    <row r="52" spans="1:25" x14ac:dyDescent="0.15">
      <c r="A52" s="6" t="s">
        <v>75</v>
      </c>
      <c r="F52" s="18"/>
      <c r="G52" s="21"/>
      <c r="H52" s="21"/>
      <c r="I52" s="21"/>
      <c r="J52" s="22"/>
      <c r="K52" s="21"/>
      <c r="L52" s="21"/>
      <c r="M52" s="21"/>
      <c r="N52" s="22"/>
      <c r="O52" s="21"/>
      <c r="P52" s="21">
        <f t="shared" ref="P52:Y56" si="87">P4/L4-1</f>
        <v>2.3291536050156738</v>
      </c>
      <c r="Q52" s="21">
        <f t="shared" si="87"/>
        <v>-2.6758071649712556E-2</v>
      </c>
      <c r="R52" s="22">
        <f>R4/N4-1</f>
        <v>1.0321369927281276E-2</v>
      </c>
      <c r="S52" s="21">
        <f t="shared" si="87"/>
        <v>4.1743970315399892E-3</v>
      </c>
      <c r="T52" s="21">
        <f t="shared" si="87"/>
        <v>-1.3182674199623379E-2</v>
      </c>
      <c r="U52" s="21">
        <f t="shared" si="87"/>
        <v>-8.6344012724380859E-3</v>
      </c>
      <c r="V52" s="22">
        <f t="shared" si="87"/>
        <v>7.7315997213837973E-2</v>
      </c>
      <c r="W52" s="21">
        <f t="shared" si="87"/>
        <v>-0.12840646651270204</v>
      </c>
      <c r="X52" s="21">
        <f t="shared" si="87"/>
        <v>-9.6374045801526753E-2</v>
      </c>
      <c r="Y52" s="21">
        <f t="shared" si="87"/>
        <v>-7.8157231262892535E-2</v>
      </c>
    </row>
    <row r="53" spans="1:25" x14ac:dyDescent="0.15">
      <c r="A53" s="6" t="s">
        <v>78</v>
      </c>
      <c r="F53" s="18"/>
      <c r="G53" s="21"/>
      <c r="H53" s="21"/>
      <c r="I53" s="21"/>
      <c r="J53" s="22">
        <f t="shared" ref="J53:O56" si="88">J5/F5-1</f>
        <v>0.340970631118517</v>
      </c>
      <c r="K53" s="21">
        <f t="shared" si="88"/>
        <v>0.37536887664764906</v>
      </c>
      <c r="L53" s="21">
        <f t="shared" si="88"/>
        <v>0.40268931351733905</v>
      </c>
      <c r="M53" s="21">
        <f t="shared" si="88"/>
        <v>0.41115730186402044</v>
      </c>
      <c r="N53" s="22">
        <f t="shared" si="88"/>
        <v>0.4391115253184219</v>
      </c>
      <c r="O53" s="21">
        <f t="shared" si="88"/>
        <v>0.38778429409240456</v>
      </c>
      <c r="P53" s="21">
        <f t="shared" si="87"/>
        <v>0.31117558022199798</v>
      </c>
      <c r="Q53" s="21">
        <f t="shared" si="87"/>
        <v>0.27178561246792743</v>
      </c>
      <c r="R53" s="22">
        <f t="shared" si="87"/>
        <v>0.20248246087425792</v>
      </c>
      <c r="S53" s="21">
        <f t="shared" si="87"/>
        <v>0.23294166151309015</v>
      </c>
      <c r="T53" s="21">
        <f t="shared" si="87"/>
        <v>0.2709956709956709</v>
      </c>
      <c r="U53" s="21">
        <f t="shared" si="87"/>
        <v>0.30359411193304942</v>
      </c>
      <c r="V53" s="22">
        <f t="shared" si="87"/>
        <v>0.29961403823714217</v>
      </c>
      <c r="W53" s="21">
        <f t="shared" si="87"/>
        <v>0.52106671125229886</v>
      </c>
      <c r="X53" s="21">
        <f t="shared" si="87"/>
        <v>0.54677565849227983</v>
      </c>
      <c r="Y53" s="21">
        <f t="shared" si="87"/>
        <v>0.56637624670411557</v>
      </c>
    </row>
    <row r="54" spans="1:25" x14ac:dyDescent="0.15">
      <c r="A54" s="6" t="s">
        <v>79</v>
      </c>
      <c r="C54" s="5"/>
      <c r="F54" s="18"/>
      <c r="G54" s="21"/>
      <c r="H54" s="21"/>
      <c r="I54" s="21"/>
      <c r="J54" s="22">
        <f t="shared" si="88"/>
        <v>0.49153846153846148</v>
      </c>
      <c r="K54" s="21">
        <f t="shared" si="88"/>
        <v>0.51292802236198454</v>
      </c>
      <c r="L54" s="21">
        <f t="shared" si="88"/>
        <v>0.59334203655352491</v>
      </c>
      <c r="M54" s="21">
        <f t="shared" si="88"/>
        <v>0.49084936649460342</v>
      </c>
      <c r="N54" s="22">
        <f t="shared" si="88"/>
        <v>0.59979370809695709</v>
      </c>
      <c r="O54" s="21">
        <f t="shared" si="88"/>
        <v>0.57413394919168592</v>
      </c>
      <c r="P54" s="21">
        <f t="shared" si="87"/>
        <v>0.51495288816058982</v>
      </c>
      <c r="Q54" s="21">
        <f t="shared" si="87"/>
        <v>0.24614416115832549</v>
      </c>
      <c r="R54" s="22">
        <f t="shared" si="87"/>
        <v>0.39974210186976133</v>
      </c>
      <c r="S54" s="21">
        <f t="shared" si="87"/>
        <v>0.3720657276995305</v>
      </c>
      <c r="T54" s="21">
        <f t="shared" si="87"/>
        <v>0.34045429962141704</v>
      </c>
      <c r="U54" s="21">
        <f t="shared" si="87"/>
        <v>0.3223036120232381</v>
      </c>
      <c r="V54" s="22">
        <f t="shared" si="87"/>
        <v>0.27959465684016571</v>
      </c>
      <c r="W54" s="21">
        <f t="shared" si="87"/>
        <v>0.28699743370402042</v>
      </c>
      <c r="X54" s="21">
        <f t="shared" si="87"/>
        <v>0.32580189630825096</v>
      </c>
      <c r="Y54" s="21">
        <f t="shared" si="87"/>
        <v>0.34880611270296091</v>
      </c>
    </row>
    <row r="55" spans="1:25" x14ac:dyDescent="0.15">
      <c r="A55" s="6" t="s">
        <v>80</v>
      </c>
      <c r="F55" s="18">
        <f>F7/B7-1</f>
        <v>0.64910025706940866</v>
      </c>
      <c r="G55" s="21">
        <f>G7/C7-1</f>
        <v>0.58223684210526305</v>
      </c>
      <c r="H55" s="21">
        <f>H7/D7-1</f>
        <v>0.54964028776978413</v>
      </c>
      <c r="I55" s="21">
        <f>I7/E7-1</f>
        <v>0.47027027027027035</v>
      </c>
      <c r="J55" s="22">
        <f t="shared" si="88"/>
        <v>0.42673421667965705</v>
      </c>
      <c r="K55" s="21">
        <f t="shared" si="88"/>
        <v>0.42065142065142069</v>
      </c>
      <c r="L55" s="21">
        <f t="shared" si="88"/>
        <v>0.41875580315691741</v>
      </c>
      <c r="M55" s="21">
        <f t="shared" si="88"/>
        <v>0.44598416289592757</v>
      </c>
      <c r="N55" s="22">
        <f t="shared" si="88"/>
        <v>0.48647910406992634</v>
      </c>
      <c r="O55" s="21">
        <f t="shared" si="88"/>
        <v>0.48902439024390243</v>
      </c>
      <c r="P55" s="21">
        <f t="shared" si="87"/>
        <v>0.45702443280977323</v>
      </c>
      <c r="Q55" s="21">
        <f t="shared" si="87"/>
        <v>0.45315861529434764</v>
      </c>
      <c r="R55" s="22">
        <f t="shared" si="87"/>
        <v>0.41418596104373395</v>
      </c>
      <c r="S55" s="21">
        <f t="shared" si="87"/>
        <v>0.37280917280917292</v>
      </c>
      <c r="T55" s="21">
        <f t="shared" si="87"/>
        <v>0.34675849678095516</v>
      </c>
      <c r="U55" s="21">
        <f t="shared" si="87"/>
        <v>0.33970390309555865</v>
      </c>
      <c r="V55" s="22">
        <f t="shared" si="87"/>
        <v>0.32783264033264037</v>
      </c>
      <c r="W55" s="21">
        <f t="shared" si="87"/>
        <v>0.28958358191146649</v>
      </c>
      <c r="X55" s="21">
        <f t="shared" si="87"/>
        <v>0.29005002779321853</v>
      </c>
      <c r="Y55" s="21">
        <f t="shared" si="87"/>
        <v>0.28008840667068524</v>
      </c>
    </row>
    <row r="56" spans="1:25" x14ac:dyDescent="0.15">
      <c r="A56" s="6" t="s">
        <v>81</v>
      </c>
      <c r="F56" s="18"/>
      <c r="G56" s="21"/>
      <c r="H56" s="21"/>
      <c r="I56" s="21"/>
      <c r="J56" s="22">
        <f t="shared" si="88"/>
        <v>0.55963302752293576</v>
      </c>
      <c r="K56" s="21">
        <f t="shared" si="88"/>
        <v>0.50958466453674123</v>
      </c>
      <c r="L56" s="21">
        <f t="shared" si="88"/>
        <v>0.58392101551480957</v>
      </c>
      <c r="M56" s="21">
        <f t="shared" si="88"/>
        <v>0.62149532710280364</v>
      </c>
      <c r="N56" s="22">
        <f t="shared" si="88"/>
        <v>1.3894117647058826</v>
      </c>
      <c r="O56" s="21">
        <f t="shared" si="88"/>
        <v>1.3216931216931216</v>
      </c>
      <c r="P56" s="21">
        <f t="shared" si="87"/>
        <v>1.2217275155832592</v>
      </c>
      <c r="Q56" s="21">
        <f t="shared" si="87"/>
        <v>0.95273775216138334</v>
      </c>
      <c r="R56" s="22">
        <f t="shared" si="87"/>
        <v>0.33727227966518947</v>
      </c>
      <c r="S56" s="21">
        <f t="shared" si="87"/>
        <v>0.3682771194165908</v>
      </c>
      <c r="T56" s="21">
        <f t="shared" si="87"/>
        <v>0.43727454909819641</v>
      </c>
      <c r="U56" s="21">
        <f t="shared" si="87"/>
        <v>0.41145218417945695</v>
      </c>
      <c r="V56" s="22">
        <f t="shared" si="87"/>
        <v>0.43814432989690721</v>
      </c>
      <c r="W56" s="21">
        <f t="shared" si="87"/>
        <v>0.40606262491672229</v>
      </c>
      <c r="X56" s="21">
        <f t="shared" si="87"/>
        <v>0.50529838259899607</v>
      </c>
      <c r="Y56" s="21">
        <f t="shared" si="87"/>
        <v>0.66290255123379338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37"/>
  <sheetViews>
    <sheetView workbookViewId="0">
      <selection activeCell="C40" sqref="C40"/>
    </sheetView>
  </sheetViews>
  <sheetFormatPr baseColWidth="10" defaultRowHeight="13" x14ac:dyDescent="0.15"/>
  <cols>
    <col min="1" max="1" width="10.83203125" style="24"/>
    <col min="2" max="2" width="25.33203125" style="24" customWidth="1"/>
    <col min="3" max="3" width="33.83203125" style="24" customWidth="1"/>
    <col min="4" max="4" width="29.1640625" style="24" bestFit="1" customWidth="1"/>
    <col min="5" max="16384" width="10.83203125" style="24"/>
  </cols>
  <sheetData>
    <row r="4" spans="2:4" x14ac:dyDescent="0.15">
      <c r="B4" s="25" t="s">
        <v>132</v>
      </c>
    </row>
    <row r="6" spans="2:4" x14ac:dyDescent="0.15">
      <c r="B6" s="24" t="s">
        <v>124</v>
      </c>
      <c r="C6" s="24" t="s">
        <v>125</v>
      </c>
      <c r="D6" s="1" t="s">
        <v>150</v>
      </c>
    </row>
    <row r="7" spans="2:4" x14ac:dyDescent="0.15">
      <c r="B7" s="24" t="s">
        <v>97</v>
      </c>
      <c r="C7" s="24" t="s">
        <v>127</v>
      </c>
      <c r="D7" s="52"/>
    </row>
    <row r="8" spans="2:4" x14ac:dyDescent="0.15">
      <c r="B8" s="24" t="s">
        <v>94</v>
      </c>
      <c r="C8" s="24" t="s">
        <v>126</v>
      </c>
      <c r="D8" s="51" t="s">
        <v>155</v>
      </c>
    </row>
    <row r="9" spans="2:4" x14ac:dyDescent="0.15">
      <c r="B9" s="24" t="s">
        <v>104</v>
      </c>
      <c r="C9" s="24" t="s">
        <v>139</v>
      </c>
      <c r="D9" s="51" t="s">
        <v>156</v>
      </c>
    </row>
    <row r="10" spans="2:4" x14ac:dyDescent="0.15">
      <c r="B10" s="24" t="s">
        <v>110</v>
      </c>
      <c r="C10" s="24" t="s">
        <v>145</v>
      </c>
    </row>
    <row r="11" spans="2:4" x14ac:dyDescent="0.15">
      <c r="B11" s="24" t="s">
        <v>112</v>
      </c>
      <c r="C11" s="24" t="s">
        <v>147</v>
      </c>
      <c r="D11" s="51" t="s">
        <v>157</v>
      </c>
    </row>
    <row r="12" spans="2:4" x14ac:dyDescent="0.15">
      <c r="B12" s="24" t="s">
        <v>113</v>
      </c>
      <c r="C12" s="24" t="s">
        <v>148</v>
      </c>
      <c r="D12" s="51" t="s">
        <v>158</v>
      </c>
    </row>
    <row r="13" spans="2:4" x14ac:dyDescent="0.15">
      <c r="B13" s="24" t="s">
        <v>114</v>
      </c>
      <c r="C13" s="24" t="s">
        <v>149</v>
      </c>
      <c r="D13" s="51" t="s">
        <v>159</v>
      </c>
    </row>
    <row r="14" spans="2:4" x14ac:dyDescent="0.15">
      <c r="B14" s="52" t="s">
        <v>151</v>
      </c>
      <c r="C14" s="52" t="s">
        <v>154</v>
      </c>
    </row>
    <row r="15" spans="2:4" x14ac:dyDescent="0.15">
      <c r="B15" s="52" t="s">
        <v>152</v>
      </c>
      <c r="C15" s="52" t="s">
        <v>153</v>
      </c>
    </row>
    <row r="17" spans="2:4" s="25" customFormat="1" x14ac:dyDescent="0.15">
      <c r="B17" s="25" t="s">
        <v>129</v>
      </c>
    </row>
    <row r="19" spans="2:4" x14ac:dyDescent="0.15">
      <c r="B19" s="24" t="s">
        <v>93</v>
      </c>
      <c r="C19" s="24" t="s">
        <v>130</v>
      </c>
    </row>
    <row r="20" spans="2:4" x14ac:dyDescent="0.15">
      <c r="B20" s="24" t="s">
        <v>96</v>
      </c>
      <c r="C20" s="24" t="s">
        <v>131</v>
      </c>
      <c r="D20" s="51" t="s">
        <v>160</v>
      </c>
    </row>
    <row r="21" spans="2:4" x14ac:dyDescent="0.15">
      <c r="B21" s="24" t="s">
        <v>101</v>
      </c>
      <c r="C21" s="24" t="s">
        <v>136</v>
      </c>
      <c r="D21" s="51" t="s">
        <v>161</v>
      </c>
    </row>
    <row r="22" spans="2:4" x14ac:dyDescent="0.15">
      <c r="B22" s="24" t="s">
        <v>102</v>
      </c>
      <c r="C22" s="24" t="s">
        <v>137</v>
      </c>
      <c r="D22" s="51" t="s">
        <v>162</v>
      </c>
    </row>
    <row r="23" spans="2:4" x14ac:dyDescent="0.15">
      <c r="B23" s="24" t="s">
        <v>105</v>
      </c>
      <c r="C23" s="24" t="s">
        <v>140</v>
      </c>
      <c r="D23" s="51" t="s">
        <v>163</v>
      </c>
    </row>
    <row r="24" spans="2:4" x14ac:dyDescent="0.15">
      <c r="B24" s="24" t="s">
        <v>106</v>
      </c>
      <c r="C24" s="24" t="s">
        <v>141</v>
      </c>
      <c r="D24" s="51" t="s">
        <v>164</v>
      </c>
    </row>
    <row r="25" spans="2:4" x14ac:dyDescent="0.15">
      <c r="B25" s="24" t="s">
        <v>108</v>
      </c>
      <c r="C25" s="24" t="s">
        <v>143</v>
      </c>
      <c r="D25" s="51" t="s">
        <v>165</v>
      </c>
    </row>
    <row r="26" spans="2:4" x14ac:dyDescent="0.15">
      <c r="B26" s="24" t="s">
        <v>111</v>
      </c>
      <c r="C26" s="24" t="s">
        <v>146</v>
      </c>
      <c r="D26" s="51" t="s">
        <v>166</v>
      </c>
    </row>
    <row r="27" spans="2:4" x14ac:dyDescent="0.15">
      <c r="B27" s="52" t="s">
        <v>170</v>
      </c>
      <c r="C27" s="52" t="s">
        <v>171</v>
      </c>
      <c r="D27" s="51" t="s">
        <v>172</v>
      </c>
    </row>
    <row r="29" spans="2:4" s="25" customFormat="1" x14ac:dyDescent="0.15">
      <c r="B29" s="25" t="s">
        <v>30</v>
      </c>
    </row>
    <row r="31" spans="2:4" x14ac:dyDescent="0.15">
      <c r="B31" s="24" t="s">
        <v>95</v>
      </c>
      <c r="C31" s="24" t="s">
        <v>128</v>
      </c>
    </row>
    <row r="32" spans="2:4" x14ac:dyDescent="0.15">
      <c r="B32" s="24" t="s">
        <v>98</v>
      </c>
      <c r="C32" s="24" t="s">
        <v>133</v>
      </c>
      <c r="D32" s="51" t="s">
        <v>167</v>
      </c>
    </row>
    <row r="33" spans="2:4" x14ac:dyDescent="0.15">
      <c r="B33" s="24" t="s">
        <v>99</v>
      </c>
      <c r="C33" s="24" t="s">
        <v>134</v>
      </c>
    </row>
    <row r="34" spans="2:4" x14ac:dyDescent="0.15">
      <c r="B34" s="24" t="s">
        <v>100</v>
      </c>
      <c r="C34" s="24" t="s">
        <v>135</v>
      </c>
      <c r="D34" s="51" t="s">
        <v>168</v>
      </c>
    </row>
    <row r="35" spans="2:4" x14ac:dyDescent="0.15">
      <c r="B35" s="24" t="s">
        <v>103</v>
      </c>
      <c r="C35" s="24" t="s">
        <v>138</v>
      </c>
    </row>
    <row r="36" spans="2:4" x14ac:dyDescent="0.15">
      <c r="B36" s="24" t="s">
        <v>107</v>
      </c>
      <c r="C36" s="24" t="s">
        <v>142</v>
      </c>
    </row>
    <row r="37" spans="2:4" x14ac:dyDescent="0.15">
      <c r="B37" s="24" t="s">
        <v>109</v>
      </c>
      <c r="C37" s="24" t="s">
        <v>144</v>
      </c>
      <c r="D37" s="51" t="s">
        <v>169</v>
      </c>
    </row>
  </sheetData>
  <hyperlinks>
    <hyperlink ref="D6" r:id="rId1" xr:uid="{613E2F85-2C77-6F44-A8B3-E7AA5AC2DCD3}"/>
    <hyperlink ref="D8" r:id="rId2" xr:uid="{D791A56D-2EDA-4847-BC79-AA2D8E0DBC07}"/>
    <hyperlink ref="D9" r:id="rId3" xr:uid="{E7C47EB9-8CEC-2D47-9EFD-7366C6045F24}"/>
    <hyperlink ref="D11" r:id="rId4" xr:uid="{8D52CD87-9BA2-BA44-AB22-37E034470A4F}"/>
    <hyperlink ref="D12" r:id="rId5" xr:uid="{4E60E6AE-35D0-0948-A195-08721B0818A7}"/>
    <hyperlink ref="D13" r:id="rId6" xr:uid="{255F9BD4-5E2C-5E44-AEE2-1EC3F8090996}"/>
    <hyperlink ref="D20" r:id="rId7" xr:uid="{2DFF2B13-1D8F-B344-B776-2887834359A3}"/>
    <hyperlink ref="D21" r:id="rId8" xr:uid="{C13FF1FA-3F15-9844-AB15-D9A895616728}"/>
    <hyperlink ref="D22" r:id="rId9" xr:uid="{1D0DA47F-9C69-824C-ABA5-4DD5434C31AD}"/>
    <hyperlink ref="D23" r:id="rId10" xr:uid="{750D9DE9-F608-754E-9091-7C38A6A9EE97}"/>
    <hyperlink ref="D24" r:id="rId11" xr:uid="{1F9AC76B-6DE5-D84A-B607-140314CB6057}"/>
    <hyperlink ref="D25" r:id="rId12" xr:uid="{853AD87C-3B0D-E54B-8F2A-01C091B8707B}"/>
    <hyperlink ref="D26" r:id="rId13" xr:uid="{6ED6814C-216A-FC45-A8CF-09549941FAE8}"/>
    <hyperlink ref="D32" r:id="rId14" xr:uid="{2682DFDB-D21D-B640-B93F-48C602EF7245}"/>
    <hyperlink ref="D34" r:id="rId15" xr:uid="{D7FFE4DB-1AF9-EB41-B0B7-91B56693711B}"/>
    <hyperlink ref="D37" r:id="rId16" xr:uid="{0459E221-AB9A-4549-914F-222343011327}"/>
    <hyperlink ref="D27" r:id="rId17" xr:uid="{86D68FB1-51C9-6A45-8B67-9B002321A5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2021-02-16T14:34:09Z</dcterms:modified>
</cp:coreProperties>
</file>