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28477AF-9708-684D-A331-F0C1F841B138}" xr6:coauthVersionLast="46" xr6:coauthVersionMax="46" xr10:uidLastSave="{00000000-0000-0000-0000-000000000000}"/>
  <bookViews>
    <workbookView xWindow="-27020" yWindow="-5940" windowWidth="2700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5" i="2"/>
  <c r="N51" i="1"/>
  <c r="O51" i="1"/>
  <c r="P51" i="1"/>
  <c r="Q51" i="1"/>
  <c r="M50" i="1"/>
  <c r="L50" i="1"/>
  <c r="K50" i="1"/>
  <c r="J50" i="1"/>
  <c r="N50" i="1"/>
  <c r="O50" i="1"/>
  <c r="P50" i="1"/>
  <c r="Q50" i="1"/>
  <c r="V28" i="2"/>
  <c r="V9" i="2"/>
  <c r="G58" i="2"/>
  <c r="G46" i="2"/>
  <c r="G45" i="2"/>
  <c r="G48" i="2" s="1"/>
  <c r="G44" i="2"/>
  <c r="G42" i="2"/>
  <c r="G41" i="2"/>
  <c r="G25" i="2"/>
  <c r="G16" i="2"/>
  <c r="G10" i="2"/>
  <c r="G56" i="2" s="1"/>
  <c r="C5" i="2"/>
  <c r="R27" i="1"/>
  <c r="Q56" i="1"/>
  <c r="Q55" i="1"/>
  <c r="Q53" i="1"/>
  <c r="Q42" i="1"/>
  <c r="Q34" i="1"/>
  <c r="Q41" i="1" s="1"/>
  <c r="Q33" i="1"/>
  <c r="Q16" i="1"/>
  <c r="Q13" i="1"/>
  <c r="Q30" i="1" s="1"/>
  <c r="Q12" i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Q11" i="1"/>
  <c r="G18" i="2" s="1"/>
  <c r="Q8" i="1"/>
  <c r="Q10" i="1" s="1"/>
  <c r="Q6" i="1"/>
  <c r="U9" i="2"/>
  <c r="G12" i="2"/>
  <c r="H12" i="2" s="1"/>
  <c r="P39" i="1"/>
  <c r="P34" i="1"/>
  <c r="P33" i="1"/>
  <c r="M39" i="1"/>
  <c r="M34" i="1"/>
  <c r="I39" i="1"/>
  <c r="I34" i="1"/>
  <c r="E59" i="2"/>
  <c r="D59" i="2"/>
  <c r="C59" i="2"/>
  <c r="E58" i="2"/>
  <c r="D58" i="2"/>
  <c r="C58" i="2"/>
  <c r="C56" i="2"/>
  <c r="D56" i="2"/>
  <c r="C38" i="2"/>
  <c r="C37" i="2"/>
  <c r="C36" i="2"/>
  <c r="C35" i="2"/>
  <c r="C34" i="2"/>
  <c r="D38" i="2"/>
  <c r="D37" i="2"/>
  <c r="D36" i="2"/>
  <c r="D35" i="2"/>
  <c r="D34" i="2"/>
  <c r="D23" i="2"/>
  <c r="C23" i="2"/>
  <c r="B23" i="2"/>
  <c r="F20" i="2"/>
  <c r="F19" i="2"/>
  <c r="F18" i="2"/>
  <c r="F16" i="2"/>
  <c r="E15" i="2"/>
  <c r="D15" i="2"/>
  <c r="C15" i="2"/>
  <c r="B15" i="2"/>
  <c r="F13" i="2"/>
  <c r="F15" i="2" s="1"/>
  <c r="F34" i="2" s="1"/>
  <c r="E13" i="2"/>
  <c r="D13" i="2"/>
  <c r="C13" i="2"/>
  <c r="F10" i="2"/>
  <c r="B13" i="2"/>
  <c r="F12" i="2"/>
  <c r="F58" i="2" s="1"/>
  <c r="C9" i="2"/>
  <c r="D9" i="2" s="1"/>
  <c r="E9" i="2" s="1"/>
  <c r="F9" i="2" s="1"/>
  <c r="B21" i="2"/>
  <c r="P16" i="1"/>
  <c r="O16" i="1"/>
  <c r="N16" i="1"/>
  <c r="G23" i="2" s="1"/>
  <c r="M16" i="1"/>
  <c r="L16" i="1"/>
  <c r="K16" i="1"/>
  <c r="P56" i="1"/>
  <c r="O56" i="1"/>
  <c r="N56" i="1"/>
  <c r="P55" i="1"/>
  <c r="O55" i="1"/>
  <c r="N55" i="1"/>
  <c r="J16" i="1"/>
  <c r="P6" i="1"/>
  <c r="P8" i="1" s="1"/>
  <c r="P10" i="1" s="1"/>
  <c r="O6" i="1"/>
  <c r="O8" i="1" s="1"/>
  <c r="N6" i="1"/>
  <c r="N8" i="1" s="1"/>
  <c r="M6" i="1"/>
  <c r="M8" i="1" s="1"/>
  <c r="L6" i="1"/>
  <c r="L8" i="1" s="1"/>
  <c r="K6" i="1"/>
  <c r="K8" i="1" s="1"/>
  <c r="J6" i="1"/>
  <c r="J8" i="1" s="1"/>
  <c r="O53" i="1"/>
  <c r="O29" i="1"/>
  <c r="O28" i="1"/>
  <c r="O14" i="1"/>
  <c r="P53" i="1"/>
  <c r="P42" i="1"/>
  <c r="P29" i="1"/>
  <c r="P28" i="1"/>
  <c r="I12" i="2" l="1"/>
  <c r="H18" i="2"/>
  <c r="I18" i="2" s="1"/>
  <c r="J18" i="2" s="1"/>
  <c r="K18" i="2" s="1"/>
  <c r="L18" i="2" s="1"/>
  <c r="M18" i="2" s="1"/>
  <c r="N18" i="2" s="1"/>
  <c r="O18" i="2" s="1"/>
  <c r="P18" i="2" s="1"/>
  <c r="Q18" i="2" s="1"/>
  <c r="G49" i="2"/>
  <c r="G13" i="2"/>
  <c r="G20" i="2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V37" i="2" s="1"/>
  <c r="F59" i="2"/>
  <c r="Q29" i="1"/>
  <c r="G40" i="2"/>
  <c r="H23" i="2" s="1"/>
  <c r="Q23" i="1"/>
  <c r="Q27" i="1"/>
  <c r="H58" i="2"/>
  <c r="Q14" i="1"/>
  <c r="Q15" i="1" s="1"/>
  <c r="Q28" i="1"/>
  <c r="C21" i="2"/>
  <c r="B17" i="2"/>
  <c r="C17" i="2"/>
  <c r="P41" i="1"/>
  <c r="P14" i="1"/>
  <c r="P15" i="1" s="1"/>
  <c r="P23" i="1"/>
  <c r="O10" i="1"/>
  <c r="O23" i="1" s="1"/>
  <c r="N53" i="1"/>
  <c r="N29" i="1"/>
  <c r="N28" i="1"/>
  <c r="N14" i="1"/>
  <c r="H13" i="2" l="1"/>
  <c r="G59" i="2"/>
  <c r="G15" i="2"/>
  <c r="G17" i="2" s="1"/>
  <c r="Q24" i="1"/>
  <c r="Q17" i="1"/>
  <c r="G21" i="2"/>
  <c r="G22" i="2" s="1"/>
  <c r="G24" i="2" s="1"/>
  <c r="J12" i="2"/>
  <c r="U36" i="2"/>
  <c r="H59" i="2"/>
  <c r="I58" i="2"/>
  <c r="Q31" i="1"/>
  <c r="B22" i="2"/>
  <c r="B30" i="2"/>
  <c r="C30" i="2"/>
  <c r="C22" i="2"/>
  <c r="M14" i="1"/>
  <c r="N10" i="1"/>
  <c r="N23" i="1" s="1"/>
  <c r="M10" i="1"/>
  <c r="P17" i="1"/>
  <c r="P24" i="1"/>
  <c r="O15" i="1"/>
  <c r="F46" i="2"/>
  <c r="F45" i="2"/>
  <c r="F42" i="2"/>
  <c r="F28" i="2"/>
  <c r="F25" i="2"/>
  <c r="R36" i="2"/>
  <c r="E46" i="2"/>
  <c r="E45" i="2"/>
  <c r="E42" i="2"/>
  <c r="M29" i="1"/>
  <c r="M28" i="1"/>
  <c r="M42" i="1"/>
  <c r="M33" i="1"/>
  <c r="B13" i="1"/>
  <c r="B8" i="1"/>
  <c r="C13" i="1"/>
  <c r="C8" i="1"/>
  <c r="D16" i="1"/>
  <c r="D13" i="1"/>
  <c r="D8" i="1"/>
  <c r="E8" i="1"/>
  <c r="E13" i="1"/>
  <c r="E14" i="1" s="1"/>
  <c r="I16" i="1"/>
  <c r="I13" i="1"/>
  <c r="I8" i="1"/>
  <c r="K12" i="2" l="1"/>
  <c r="Q25" i="1"/>
  <c r="Q19" i="1"/>
  <c r="Q20" i="1" s="1"/>
  <c r="I13" i="2"/>
  <c r="H15" i="2"/>
  <c r="H34" i="2" s="1"/>
  <c r="V36" i="2"/>
  <c r="J58" i="2"/>
  <c r="K58" i="2"/>
  <c r="B24" i="2"/>
  <c r="B31" i="2"/>
  <c r="C31" i="2"/>
  <c r="C24" i="2"/>
  <c r="M15" i="1"/>
  <c r="M17" i="1" s="1"/>
  <c r="N15" i="1"/>
  <c r="O24" i="1"/>
  <c r="O17" i="1"/>
  <c r="P25" i="1"/>
  <c r="P19" i="1"/>
  <c r="P20" i="1" s="1"/>
  <c r="T36" i="2"/>
  <c r="F49" i="2"/>
  <c r="M41" i="1"/>
  <c r="E56" i="2"/>
  <c r="R18" i="2"/>
  <c r="S18" i="2" s="1"/>
  <c r="T18" i="2" s="1"/>
  <c r="U18" i="2" s="1"/>
  <c r="V18" i="2" s="1"/>
  <c r="F41" i="2"/>
  <c r="F40" i="2" s="1"/>
  <c r="F44" i="2"/>
  <c r="F56" i="2"/>
  <c r="E10" i="1"/>
  <c r="F16" i="1"/>
  <c r="F13" i="1"/>
  <c r="J30" i="1" s="1"/>
  <c r="F8" i="1"/>
  <c r="N30" i="1"/>
  <c r="J29" i="1"/>
  <c r="J28" i="1"/>
  <c r="G16" i="1"/>
  <c r="G13" i="1"/>
  <c r="G8" i="1"/>
  <c r="K29" i="1"/>
  <c r="K28" i="1"/>
  <c r="E44" i="2"/>
  <c r="E41" i="2"/>
  <c r="H16" i="1"/>
  <c r="H13" i="1"/>
  <c r="H8" i="1"/>
  <c r="L29" i="1"/>
  <c r="L28" i="1"/>
  <c r="J13" i="2" l="1"/>
  <c r="I15" i="2"/>
  <c r="I34" i="2" s="1"/>
  <c r="I59" i="2"/>
  <c r="L12" i="2"/>
  <c r="U35" i="2"/>
  <c r="B26" i="2"/>
  <c r="B27" i="2" s="1"/>
  <c r="B32" i="2"/>
  <c r="C26" i="2"/>
  <c r="C27" i="2" s="1"/>
  <c r="C32" i="2"/>
  <c r="M30" i="1"/>
  <c r="P30" i="1"/>
  <c r="N24" i="1"/>
  <c r="N17" i="1"/>
  <c r="N27" i="1"/>
  <c r="P27" i="1"/>
  <c r="K30" i="1"/>
  <c r="O30" i="1"/>
  <c r="F23" i="2"/>
  <c r="K10" i="1"/>
  <c r="K23" i="1" s="1"/>
  <c r="O27" i="1"/>
  <c r="S36" i="2"/>
  <c r="O19" i="1"/>
  <c r="O25" i="1"/>
  <c r="F48" i="2"/>
  <c r="M27" i="1"/>
  <c r="L30" i="1"/>
  <c r="J14" i="1"/>
  <c r="L14" i="1"/>
  <c r="K14" i="1"/>
  <c r="E23" i="1"/>
  <c r="E15" i="1"/>
  <c r="J10" i="1"/>
  <c r="H14" i="1"/>
  <c r="I14" i="1"/>
  <c r="H28" i="2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I41" i="1"/>
  <c r="I42" i="1"/>
  <c r="I33" i="1"/>
  <c r="I30" i="1"/>
  <c r="J27" i="1"/>
  <c r="F14" i="1"/>
  <c r="F31" i="1" s="1"/>
  <c r="F30" i="1"/>
  <c r="F29" i="1"/>
  <c r="F28" i="1"/>
  <c r="G14" i="1"/>
  <c r="G30" i="1"/>
  <c r="G29" i="1"/>
  <c r="G28" i="1"/>
  <c r="K27" i="1"/>
  <c r="C10" i="1"/>
  <c r="B14" i="1"/>
  <c r="C14" i="1"/>
  <c r="D14" i="1"/>
  <c r="I28" i="1"/>
  <c r="I29" i="1"/>
  <c r="H30" i="1"/>
  <c r="H29" i="1"/>
  <c r="H28" i="1"/>
  <c r="C4" i="2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L58" i="2" l="1"/>
  <c r="K13" i="2"/>
  <c r="J15" i="2"/>
  <c r="J59" i="2"/>
  <c r="V35" i="2"/>
  <c r="V21" i="2"/>
  <c r="H31" i="1"/>
  <c r="G31" i="1"/>
  <c r="G34" i="2"/>
  <c r="L31" i="1"/>
  <c r="P31" i="1"/>
  <c r="J31" i="1"/>
  <c r="N31" i="1"/>
  <c r="I31" i="1"/>
  <c r="M31" i="1"/>
  <c r="N25" i="1"/>
  <c r="N19" i="1"/>
  <c r="K15" i="1"/>
  <c r="K24" i="1" s="1"/>
  <c r="K31" i="1"/>
  <c r="O31" i="1"/>
  <c r="O20" i="1"/>
  <c r="R9" i="2"/>
  <c r="S9" i="2" s="1"/>
  <c r="T9" i="2" s="1"/>
  <c r="R35" i="2"/>
  <c r="F21" i="2"/>
  <c r="F37" i="2"/>
  <c r="E40" i="2"/>
  <c r="E49" i="2"/>
  <c r="E24" i="1"/>
  <c r="E17" i="1"/>
  <c r="J23" i="1"/>
  <c r="J15" i="1"/>
  <c r="H27" i="1"/>
  <c r="E21" i="2"/>
  <c r="L27" i="1"/>
  <c r="L10" i="1"/>
  <c r="C6" i="2"/>
  <c r="C7" i="2" s="1"/>
  <c r="F35" i="2"/>
  <c r="F36" i="2"/>
  <c r="I10" i="1"/>
  <c r="C15" i="1"/>
  <c r="C23" i="1"/>
  <c r="F10" i="1"/>
  <c r="F27" i="1"/>
  <c r="G10" i="1"/>
  <c r="G27" i="1"/>
  <c r="B10" i="1"/>
  <c r="I27" i="1"/>
  <c r="D10" i="1"/>
  <c r="H10" i="1"/>
  <c r="E37" i="2"/>
  <c r="E48" i="2"/>
  <c r="N20" i="1" l="1"/>
  <c r="Q44" i="1"/>
  <c r="L13" i="2"/>
  <c r="K59" i="2"/>
  <c r="K15" i="2"/>
  <c r="U37" i="2"/>
  <c r="U21" i="2"/>
  <c r="V38" i="2" s="1"/>
  <c r="K17" i="1"/>
  <c r="K25" i="1" s="1"/>
  <c r="S35" i="2"/>
  <c r="F38" i="2"/>
  <c r="K21" i="2"/>
  <c r="E19" i="1"/>
  <c r="E20" i="1" s="1"/>
  <c r="E25" i="1"/>
  <c r="J24" i="1"/>
  <c r="J17" i="1"/>
  <c r="L23" i="1"/>
  <c r="L15" i="1"/>
  <c r="E36" i="2"/>
  <c r="G37" i="2"/>
  <c r="B15" i="1"/>
  <c r="B23" i="1"/>
  <c r="G15" i="1"/>
  <c r="G23" i="1"/>
  <c r="C17" i="1"/>
  <c r="C24" i="1"/>
  <c r="I15" i="1"/>
  <c r="I23" i="1"/>
  <c r="D21" i="2"/>
  <c r="E38" i="2" s="1"/>
  <c r="E35" i="2"/>
  <c r="G36" i="2"/>
  <c r="D23" i="1"/>
  <c r="D15" i="1"/>
  <c r="G38" i="2"/>
  <c r="G35" i="2"/>
  <c r="F15" i="1"/>
  <c r="F23" i="1"/>
  <c r="H15" i="1"/>
  <c r="H23" i="1"/>
  <c r="L59" i="2" l="1"/>
  <c r="L15" i="2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V34" i="2" s="1"/>
  <c r="Q48" i="1"/>
  <c r="Q46" i="1"/>
  <c r="Q45" i="1"/>
  <c r="Q47" i="1"/>
  <c r="K19" i="1"/>
  <c r="K20" i="1" s="1"/>
  <c r="R37" i="2"/>
  <c r="R21" i="2"/>
  <c r="T35" i="2"/>
  <c r="F17" i="2"/>
  <c r="F22" i="2" s="1"/>
  <c r="F24" i="2" s="1"/>
  <c r="M23" i="1"/>
  <c r="E34" i="2"/>
  <c r="J19" i="1"/>
  <c r="J25" i="1"/>
  <c r="L24" i="1"/>
  <c r="L17" i="1"/>
  <c r="I17" i="1"/>
  <c r="I24" i="1"/>
  <c r="C19" i="1"/>
  <c r="C25" i="1"/>
  <c r="H17" i="1"/>
  <c r="H24" i="1"/>
  <c r="G24" i="1"/>
  <c r="G17" i="1"/>
  <c r="F24" i="1"/>
  <c r="F17" i="1"/>
  <c r="H37" i="2"/>
  <c r="D24" i="1"/>
  <c r="D17" i="1"/>
  <c r="H36" i="2"/>
  <c r="E17" i="2"/>
  <c r="B17" i="1"/>
  <c r="B24" i="1"/>
  <c r="H35" i="2"/>
  <c r="H21" i="2"/>
  <c r="H38" i="2" s="1"/>
  <c r="S37" i="2" l="1"/>
  <c r="S21" i="2"/>
  <c r="S38" i="2" s="1"/>
  <c r="M24" i="1"/>
  <c r="D17" i="2"/>
  <c r="D30" i="2" s="1"/>
  <c r="J20" i="1"/>
  <c r="L25" i="1"/>
  <c r="L19" i="1"/>
  <c r="I21" i="2"/>
  <c r="I38" i="2" s="1"/>
  <c r="I35" i="2"/>
  <c r="E22" i="2"/>
  <c r="E30" i="2"/>
  <c r="H19" i="1"/>
  <c r="H20" i="1" s="1"/>
  <c r="H25" i="1"/>
  <c r="C20" i="1"/>
  <c r="I25" i="1"/>
  <c r="I19" i="1"/>
  <c r="I20" i="1" s="1"/>
  <c r="D25" i="1"/>
  <c r="D19" i="1"/>
  <c r="F25" i="1"/>
  <c r="F19" i="1"/>
  <c r="G19" i="1"/>
  <c r="G20" i="1" s="1"/>
  <c r="G25" i="1"/>
  <c r="I36" i="2"/>
  <c r="B25" i="1"/>
  <c r="B19" i="1"/>
  <c r="I37" i="2"/>
  <c r="T37" i="2" l="1"/>
  <c r="T21" i="2"/>
  <c r="M25" i="1"/>
  <c r="M19" i="1"/>
  <c r="D22" i="2"/>
  <c r="D24" i="2" s="1"/>
  <c r="L20" i="1"/>
  <c r="I44" i="1"/>
  <c r="F20" i="1"/>
  <c r="J21" i="2"/>
  <c r="J38" i="2" s="1"/>
  <c r="J35" i="2"/>
  <c r="J37" i="2"/>
  <c r="J36" i="2"/>
  <c r="D20" i="1"/>
  <c r="E31" i="2"/>
  <c r="E24" i="2"/>
  <c r="B20" i="1"/>
  <c r="T38" i="2" l="1"/>
  <c r="U38" i="2"/>
  <c r="R34" i="2"/>
  <c r="M20" i="1"/>
  <c r="P44" i="1"/>
  <c r="S34" i="2"/>
  <c r="M44" i="1"/>
  <c r="D31" i="2"/>
  <c r="F30" i="2"/>
  <c r="K36" i="2"/>
  <c r="I48" i="1"/>
  <c r="I47" i="1"/>
  <c r="I46" i="1"/>
  <c r="I45" i="1"/>
  <c r="K37" i="2"/>
  <c r="E26" i="2"/>
  <c r="E32" i="2"/>
  <c r="K35" i="2"/>
  <c r="K38" i="2"/>
  <c r="D32" i="2"/>
  <c r="F31" i="2"/>
  <c r="U34" i="2" l="1"/>
  <c r="P47" i="1"/>
  <c r="P48" i="1"/>
  <c r="P45" i="1"/>
  <c r="P46" i="1"/>
  <c r="T34" i="2"/>
  <c r="M47" i="1"/>
  <c r="M46" i="1"/>
  <c r="M48" i="1"/>
  <c r="M45" i="1"/>
  <c r="E54" i="2"/>
  <c r="E53" i="2"/>
  <c r="E52" i="2"/>
  <c r="E51" i="2"/>
  <c r="E27" i="2"/>
  <c r="L37" i="2"/>
  <c r="L36" i="2"/>
  <c r="L21" i="2"/>
  <c r="L38" i="2" s="1"/>
  <c r="L35" i="2"/>
  <c r="F32" i="2"/>
  <c r="D26" i="2"/>
  <c r="D27" i="2" s="1"/>
  <c r="G30" i="2" l="1"/>
  <c r="H17" i="2" s="1"/>
  <c r="H16" i="2" s="1"/>
  <c r="G31" i="2"/>
  <c r="F26" i="2"/>
  <c r="F27" i="2" s="1"/>
  <c r="M36" i="2"/>
  <c r="M37" i="2"/>
  <c r="J34" i="2"/>
  <c r="M35" i="2"/>
  <c r="M21" i="2"/>
  <c r="M38" i="2" s="1"/>
  <c r="H22" i="2" l="1"/>
  <c r="H31" i="2" s="1"/>
  <c r="H30" i="2"/>
  <c r="I17" i="2" s="1"/>
  <c r="I22" i="2" s="1"/>
  <c r="I31" i="2" s="1"/>
  <c r="F52" i="2"/>
  <c r="F53" i="2"/>
  <c r="F54" i="2"/>
  <c r="F51" i="2"/>
  <c r="N37" i="2"/>
  <c r="N21" i="2"/>
  <c r="N38" i="2" s="1"/>
  <c r="N35" i="2"/>
  <c r="K34" i="2"/>
  <c r="N36" i="2"/>
  <c r="I16" i="2" l="1"/>
  <c r="I30" i="2"/>
  <c r="J17" i="2" s="1"/>
  <c r="J16" i="2" s="1"/>
  <c r="G32" i="2"/>
  <c r="L34" i="2"/>
  <c r="O35" i="2"/>
  <c r="O21" i="2"/>
  <c r="O38" i="2" s="1"/>
  <c r="O36" i="2"/>
  <c r="O37" i="2"/>
  <c r="J30" i="2" l="1"/>
  <c r="K17" i="2" s="1"/>
  <c r="K22" i="2" s="1"/>
  <c r="K31" i="2" s="1"/>
  <c r="J22" i="2"/>
  <c r="J31" i="2" s="1"/>
  <c r="G26" i="2"/>
  <c r="P36" i="2"/>
  <c r="Q36" i="2"/>
  <c r="P35" i="2"/>
  <c r="P21" i="2"/>
  <c r="P38" i="2" s="1"/>
  <c r="M34" i="2"/>
  <c r="P37" i="2"/>
  <c r="Q37" i="2"/>
  <c r="G27" i="2" l="1"/>
  <c r="G52" i="2"/>
  <c r="G54" i="2"/>
  <c r="G53" i="2"/>
  <c r="G51" i="2"/>
  <c r="K30" i="2"/>
  <c r="L17" i="2" s="1"/>
  <c r="K16" i="2"/>
  <c r="H24" i="2"/>
  <c r="N34" i="2"/>
  <c r="Q35" i="2"/>
  <c r="Q21" i="2"/>
  <c r="Q38" i="2" l="1"/>
  <c r="R38" i="2"/>
  <c r="L16" i="2"/>
  <c r="L30" i="2"/>
  <c r="M17" i="2" s="1"/>
  <c r="L22" i="2"/>
  <c r="L31" i="2" s="1"/>
  <c r="O34" i="2"/>
  <c r="H32" i="2"/>
  <c r="M16" i="2" l="1"/>
  <c r="M22" i="2"/>
  <c r="M31" i="2" s="1"/>
  <c r="M30" i="2"/>
  <c r="N17" i="2" s="1"/>
  <c r="H26" i="2"/>
  <c r="P34" i="2"/>
  <c r="N16" i="2" l="1"/>
  <c r="N30" i="2"/>
  <c r="O17" i="2" s="1"/>
  <c r="N22" i="2"/>
  <c r="N31" i="2" s="1"/>
  <c r="H27" i="2"/>
  <c r="H40" i="2"/>
  <c r="I23" i="2" s="1"/>
  <c r="I24" i="2" s="1"/>
  <c r="Q34" i="2"/>
  <c r="O30" i="2" l="1"/>
  <c r="P17" i="2" s="1"/>
  <c r="O22" i="2"/>
  <c r="O31" i="2" s="1"/>
  <c r="O16" i="2"/>
  <c r="I25" i="2"/>
  <c r="I32" i="2" s="1"/>
  <c r="P16" i="2" l="1"/>
  <c r="P22" i="2"/>
  <c r="P31" i="2" s="1"/>
  <c r="P30" i="2"/>
  <c r="Q17" i="2" s="1"/>
  <c r="I26" i="2"/>
  <c r="Q16" i="2" l="1"/>
  <c r="Q30" i="2"/>
  <c r="R17" i="2" s="1"/>
  <c r="Q22" i="2"/>
  <c r="Q31" i="2" s="1"/>
  <c r="I27" i="2"/>
  <c r="I40" i="2"/>
  <c r="J23" i="2" s="1"/>
  <c r="J24" i="2" s="1"/>
  <c r="R22" i="2" l="1"/>
  <c r="R30" i="2"/>
  <c r="S17" i="2" s="1"/>
  <c r="R16" i="2"/>
  <c r="J25" i="2"/>
  <c r="J32" i="2" s="1"/>
  <c r="S22" i="2" l="1"/>
  <c r="S30" i="2"/>
  <c r="T17" i="2" s="1"/>
  <c r="S16" i="2"/>
  <c r="R31" i="2"/>
  <c r="J26" i="2"/>
  <c r="T30" i="2" l="1"/>
  <c r="U17" i="2" s="1"/>
  <c r="T22" i="2"/>
  <c r="T16" i="2"/>
  <c r="S31" i="2"/>
  <c r="J27" i="2"/>
  <c r="J40" i="2"/>
  <c r="K23" i="2" s="1"/>
  <c r="K24" i="2" s="1"/>
  <c r="U22" i="2" l="1"/>
  <c r="U30" i="2"/>
  <c r="V17" i="2" s="1"/>
  <c r="U16" i="2"/>
  <c r="T31" i="2"/>
  <c r="K25" i="2"/>
  <c r="K32" i="2" s="1"/>
  <c r="V30" i="2" l="1"/>
  <c r="V22" i="2"/>
  <c r="V31" i="2" s="1"/>
  <c r="V16" i="2"/>
  <c r="U31" i="2"/>
  <c r="K26" i="2"/>
  <c r="K27" i="2" l="1"/>
  <c r="K40" i="2"/>
  <c r="L23" i="2" s="1"/>
  <c r="L24" i="2" s="1"/>
  <c r="L25" i="2" l="1"/>
  <c r="L32" i="2" s="1"/>
  <c r="L26" i="2" l="1"/>
  <c r="L27" i="2" l="1"/>
  <c r="L40" i="2"/>
  <c r="M23" i="2" l="1"/>
  <c r="M24" i="2" s="1"/>
  <c r="M25" i="2" l="1"/>
  <c r="M32" i="2" s="1"/>
  <c r="M26" i="2" l="1"/>
  <c r="M27" i="2" s="1"/>
  <c r="M40" i="2" l="1"/>
  <c r="N23" i="2" s="1"/>
  <c r="N24" i="2" s="1"/>
  <c r="N25" i="2" l="1"/>
  <c r="N32" i="2" s="1"/>
  <c r="N26" i="2" l="1"/>
  <c r="N27" i="2" s="1"/>
  <c r="N40" i="2" l="1"/>
  <c r="O23" i="2" s="1"/>
  <c r="O24" i="2" s="1"/>
  <c r="O25" i="2" l="1"/>
  <c r="O32" i="2" s="1"/>
  <c r="O26" i="2" l="1"/>
  <c r="O27" i="2" s="1"/>
  <c r="O40" i="2"/>
  <c r="P23" i="2" l="1"/>
  <c r="P24" i="2" s="1"/>
  <c r="P25" i="2" l="1"/>
  <c r="P32" i="2" s="1"/>
  <c r="P26" i="2" l="1"/>
  <c r="P27" i="2" s="1"/>
  <c r="P40" i="2" l="1"/>
  <c r="Q23" i="2" s="1"/>
  <c r="Q24" i="2" s="1"/>
  <c r="Q25" i="2" l="1"/>
  <c r="Q32" i="2" s="1"/>
  <c r="Q26" i="2"/>
  <c r="Q27" i="2" l="1"/>
  <c r="Q40" i="2"/>
  <c r="R23" i="2" l="1"/>
  <c r="R24" i="2" s="1"/>
  <c r="R25" i="2" l="1"/>
  <c r="R32" i="2" s="1"/>
  <c r="R26" i="2" l="1"/>
  <c r="R27" i="2" s="1"/>
  <c r="R40" i="2"/>
  <c r="S23" i="2" l="1"/>
  <c r="S24" i="2" s="1"/>
  <c r="S25" i="2" l="1"/>
  <c r="S32" i="2" s="1"/>
  <c r="S26" i="2" l="1"/>
  <c r="S27" i="2" s="1"/>
  <c r="S40" i="2" l="1"/>
  <c r="T23" i="2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/>
  <c r="U27" i="2" l="1"/>
  <c r="U40" i="2"/>
  <c r="V23" i="2" l="1"/>
  <c r="V24" i="2" s="1"/>
  <c r="V25" i="2" l="1"/>
  <c r="V32" i="2" s="1"/>
  <c r="V26" i="2"/>
  <c r="W26" i="2" l="1"/>
  <c r="V27" i="2"/>
  <c r="V40" i="2"/>
  <c r="X26" i="2" l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IB26" i="2" s="1"/>
  <c r="IC26" i="2" s="1"/>
  <c r="ID26" i="2" s="1"/>
  <c r="IE26" i="2" s="1"/>
  <c r="IF26" i="2" s="1"/>
  <c r="IG26" i="2" s="1"/>
  <c r="IH26" i="2" s="1"/>
  <c r="II26" i="2" s="1"/>
  <c r="IJ26" i="2" s="1"/>
  <c r="IK26" i="2" s="1"/>
  <c r="F7" i="2" l="1"/>
  <c r="G7" i="2" s="1"/>
</calcChain>
</file>

<file path=xl/sharedStrings.xml><?xml version="1.0" encoding="utf-8"?>
<sst xmlns="http://schemas.openxmlformats.org/spreadsheetml/2006/main" count="132" uniqueCount="88">
  <si>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</si>
  <si>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</si>
  <si>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</si>
  <si>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</si>
  <si>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</si>
  <si>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</si>
  <si>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</si>
  <si>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</si>
  <si>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</si>
  <si>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</si>
  <si>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</si>
  <si>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</si>
  <si>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</si>
  <si>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</si>
  <si>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</si>
  <si>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</si>
  <si>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</si>
  <si>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</si>
  <si>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</si>
  <si>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</si>
  <si>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</si>
  <si>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</si>
  <si>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30/9/2017</t>
  </si>
  <si>
    <t>30/6/2017</t>
  </si>
  <si>
    <t>31/3/2017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</si>
  <si>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</si>
  <si>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</si>
  <si>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</si>
  <si>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</si>
  <si>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</si>
  <si>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</si>
  <si>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</si>
  <si>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</si>
  <si>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</si>
  <si>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</si>
  <si>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</si>
  <si>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</si>
  <si>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</si>
  <si>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</si>
  <si>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</si>
  <si>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</si>
  <si>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</si>
  <si>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R&amp;D y/y</t>
  </si>
  <si>
    <t>S&amp;M y/y</t>
  </si>
  <si>
    <t>G&amp;A y/y</t>
  </si>
  <si>
    <t>EDGAR</t>
  </si>
  <si>
    <t>Investor Relations</t>
  </si>
  <si>
    <t>CEO</t>
  </si>
  <si>
    <t>Founder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</si>
  <si>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</si>
  <si>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</si>
  <si>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</si>
  <si>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</si>
  <si>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</si>
  <si>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</si>
  <si>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</si>
  <si>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</si>
  <si>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</si>
  <si>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</si>
  <si>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</si>
  <si>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</si>
  <si>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</si>
  <si>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Q119</t>
  </si>
  <si>
    <t>Q219</t>
  </si>
  <si>
    <t>Q319</t>
  </si>
  <si>
    <t>Q419</t>
  </si>
  <si>
    <t>Transactions</t>
  </si>
  <si>
    <t>Transactions y/y</t>
  </si>
  <si>
    <t>OE y/y</t>
  </si>
  <si>
    <t>Q120</t>
  </si>
  <si>
    <t>Q220</t>
  </si>
  <si>
    <t>Q320</t>
  </si>
  <si>
    <t>Q420</t>
  </si>
  <si>
    <t>PRODUCTS</t>
  </si>
  <si>
    <t>ContextLogic Inc (WISH)</t>
  </si>
  <si>
    <t>Piotr Szulczewski</t>
  </si>
  <si>
    <t>Sheng Zhang</t>
  </si>
  <si>
    <t>Wish</t>
  </si>
  <si>
    <t>Personalized mobile shopping</t>
  </si>
  <si>
    <t>MAU</t>
  </si>
  <si>
    <t>ARPU</t>
  </si>
  <si>
    <t>MAU y/y</t>
  </si>
  <si>
    <t>ARPU y/y</t>
  </si>
  <si>
    <t>APRU</t>
  </si>
  <si>
    <t>POST IPO</t>
  </si>
  <si>
    <t>Net Income TTM</t>
  </si>
  <si>
    <t>Revenue TTM</t>
  </si>
  <si>
    <t>Revenue TTM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</si>
</sst>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2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/>
    <xf numFmtId="14" fontId="8" fillId="0" borderId="0" xfId="0" applyNumberFormat="1" applyFont="1"/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9" fontId="0" fillId="0" borderId="0" xfId="0" applyNumberFormat="1" applyFont="1"/>
    <xf numFmtId="0" fontId="7" fillId="0" borderId="0" xfId="4"/>
    <xf numFmtId="14" fontId="8" fillId="0" borderId="1" xfId="0" applyNumberFormat="1" applyFont="1" applyBorder="1" applyAlignment="1">
      <alignment horizontal="right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8" fillId="0" borderId="1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8" fillId="0" borderId="0" xfId="0" applyNumberFormat="1" applyFont="1"/>
    <xf numFmtId="4" fontId="8" fillId="2" borderId="1" xfId="0" applyNumberFormat="1" applyFont="1" applyFill="1" applyBorder="1" applyAlignment="1">
      <alignment horizontal="right"/>
    </xf>
    <xf numFmtId="4" fontId="8" fillId="2" borderId="0" xfId="0" applyNumberFormat="1" applyFont="1" applyFill="1" applyBorder="1" applyAlignment="1">
      <alignment horizontal="right"/>
    </xf>
    <xf numFmtId="9" fontId="8" fillId="0" borderId="0" xfId="0" applyNumberFormat="1" applyFont="1" applyAlignment="1">
      <alignment horizontal="right"/>
    </xf>
    <xf numFmtId="9" fontId="8" fillId="0" borderId="0" xfId="0" applyNumberFormat="1" applyFont="1" applyFill="1" applyAlignment="1">
      <alignment horizontal="right"/>
    </xf>
    <xf numFmtId="9" fontId="8" fillId="0" borderId="0" xfId="0" applyNumberFormat="1" applyFont="1" applyBorder="1"/>
    <xf numFmtId="4" fontId="4" fillId="0" borderId="0" xfId="0" applyNumberFormat="1" applyFont="1"/>
    <xf numFmtId="3" fontId="5" fillId="0" borderId="0" xfId="0" applyNumberFormat="1" applyFont="1"/>
    <xf numFmtId="9" fontId="6" fillId="0" borderId="0" xfId="0" applyNumberFormat="1" applyFont="1" applyFill="1" applyBorder="1"/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0" xfId="0" applyNumberFormat="1" applyFont="1"/>
    <xf numFmtId="3" fontId="6" fillId="0" borderId="0" xfId="0" applyNumberFormat="1" applyFont="1" applyFill="1" applyBorder="1"/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137746</xdr:colOff>
      <xdr:row>8</xdr:row>
      <xdr:rowOff>0</xdr:rowOff>
    </xdr:from>
    <xdr:to>
      <xdr:col>7</xdr:col>
      <xdr:colOff>137746</xdr:colOff>
      <xdr:row>60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771054" y="1328615"/>
          <a:ext cx="0" cy="8636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215900</xdr:colOff>
      <xdr:row>1</xdr:row>
      <xdr:rowOff>12700</xdr:rowOff>
    </xdr:from>
    <xdr:to>
      <xdr:col>17</xdr:col>
      <xdr:colOff>215900</xdr:colOff>
      <xdr:row>56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5367977" y="178777"/>
          <a:ext cx="0" cy="877960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fpiotr" TargetMode="External"/><Relationship Id="rId2" Type="http://schemas.openxmlformats.org/officeDocument/2006/relationships/hyperlink" Target="https://twitter.com/sfpiotr" TargetMode="External"/><Relationship Id="rId1" Type="http://schemas.openxmlformats.org/officeDocument/2006/relationships/hyperlink" Target="https://ir.wish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82225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59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3" sqref="H3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2" x14ac:dyDescent="0.15">
      <c r="A1" s="83" t="s">
        <v>46</v>
      </c>
      <c r="B1" s="15" t="s">
        <v>74</v>
      </c>
    </row>
    <row r="2" spans="1:22" x14ac:dyDescent="0.15">
      <c r="B2" s="1" t="s">
        <v>49</v>
      </c>
      <c r="C2" s="2">
        <v>15.94</v>
      </c>
      <c r="D2" s="69">
        <v>44263</v>
      </c>
      <c r="E2" s="3" t="s">
        <v>29</v>
      </c>
      <c r="F2" s="4">
        <v>5.0000000000000001E-3</v>
      </c>
      <c r="K2" s="16"/>
    </row>
    <row r="3" spans="1:22" x14ac:dyDescent="0.15">
      <c r="A3" s="15" t="s">
        <v>47</v>
      </c>
      <c r="B3" s="1" t="s">
        <v>17</v>
      </c>
      <c r="C3" s="5">
        <v>680</v>
      </c>
      <c r="D3" s="70" t="s">
        <v>84</v>
      </c>
      <c r="E3" s="3" t="s">
        <v>30</v>
      </c>
      <c r="F3" s="4">
        <v>0.01</v>
      </c>
      <c r="G3" s="6"/>
      <c r="K3" s="16"/>
    </row>
    <row r="4" spans="1:22" x14ac:dyDescent="0.15">
      <c r="A4" s="83" t="s">
        <v>75</v>
      </c>
      <c r="B4" s="1" t="s">
        <v>50</v>
      </c>
      <c r="C4" s="7">
        <f>C2*C3</f>
        <v>10839.199999999999</v>
      </c>
      <c r="D4" s="71"/>
      <c r="E4" s="3" t="s">
        <v>31</v>
      </c>
      <c r="F4" s="4">
        <v>7.0000000000000007E-2</v>
      </c>
      <c r="G4" s="6"/>
      <c r="K4" s="14"/>
    </row>
    <row r="5" spans="1:22" x14ac:dyDescent="0.15">
      <c r="B5" s="1" t="s">
        <v>25</v>
      </c>
      <c r="C5" s="5">
        <f>Reports!Q33</f>
        <v>2133</v>
      </c>
      <c r="D5" s="70" t="s">
        <v>72</v>
      </c>
      <c r="E5" s="3" t="s">
        <v>32</v>
      </c>
      <c r="F5" s="8">
        <f>NPV(F4,H26:DR26)</f>
        <v>39340.108155625319</v>
      </c>
      <c r="G5" s="6"/>
      <c r="K5" s="14"/>
    </row>
    <row r="6" spans="1:22" x14ac:dyDescent="0.15">
      <c r="A6" s="15" t="s">
        <v>48</v>
      </c>
      <c r="B6" s="1" t="s">
        <v>51</v>
      </c>
      <c r="C6" s="7">
        <f>C4-C5</f>
        <v>8706.1999999999989</v>
      </c>
      <c r="D6" s="71"/>
      <c r="E6" s="9" t="s">
        <v>33</v>
      </c>
      <c r="F6" s="10">
        <f>F5+C5</f>
        <v>41473.108155625319</v>
      </c>
      <c r="K6" s="14"/>
    </row>
    <row r="7" spans="1:22" x14ac:dyDescent="0.15">
      <c r="A7" s="83" t="s">
        <v>75</v>
      </c>
      <c r="B7" s="6" t="s">
        <v>52</v>
      </c>
      <c r="C7" s="11">
        <f>C6/C3</f>
        <v>12.803235294117645</v>
      </c>
      <c r="D7" s="71"/>
      <c r="E7" s="12" t="s">
        <v>52</v>
      </c>
      <c r="F7" s="13">
        <f>F6/C3</f>
        <v>60.989864934743117</v>
      </c>
      <c r="G7" s="14">
        <f>F7/C2-1</f>
        <v>2.8262148641620528</v>
      </c>
    </row>
    <row r="8" spans="1:22" x14ac:dyDescent="0.15">
      <c r="A8" s="73" t="s">
        <v>76</v>
      </c>
    </row>
    <row r="9" spans="1:22" x14ac:dyDescent="0.15">
      <c r="B9" s="1">
        <v>2015</v>
      </c>
      <c r="C9" s="1">
        <f>B9+1</f>
        <v>2016</v>
      </c>
      <c r="D9" s="1">
        <f>C9+1</f>
        <v>2017</v>
      </c>
      <c r="E9" s="1">
        <f>D9+1</f>
        <v>2018</v>
      </c>
      <c r="F9" s="1">
        <f>E9+1</f>
        <v>2019</v>
      </c>
      <c r="G9" s="1">
        <f t="shared" ref="G9:V9" si="0">F9+1</f>
        <v>2020</v>
      </c>
      <c r="H9" s="1">
        <f t="shared" si="0"/>
        <v>2021</v>
      </c>
      <c r="I9" s="1">
        <f t="shared" si="0"/>
        <v>2022</v>
      </c>
      <c r="J9" s="1">
        <f t="shared" si="0"/>
        <v>2023</v>
      </c>
      <c r="K9" s="1">
        <f t="shared" si="0"/>
        <v>2024</v>
      </c>
      <c r="L9" s="1">
        <f t="shared" si="0"/>
        <v>2025</v>
      </c>
      <c r="M9" s="1">
        <f t="shared" si="0"/>
        <v>2026</v>
      </c>
      <c r="N9" s="1">
        <f t="shared" si="0"/>
        <v>2027</v>
      </c>
      <c r="O9" s="1">
        <f t="shared" si="0"/>
        <v>2028</v>
      </c>
      <c r="P9" s="1">
        <f t="shared" si="0"/>
        <v>2029</v>
      </c>
      <c r="Q9" s="1">
        <f t="shared" si="0"/>
        <v>2030</v>
      </c>
      <c r="R9" s="1">
        <f t="shared" si="0"/>
        <v>2031</v>
      </c>
      <c r="S9" s="1">
        <f t="shared" si="0"/>
        <v>2032</v>
      </c>
      <c r="T9" s="1">
        <f t="shared" si="0"/>
        <v>2033</v>
      </c>
      <c r="U9" s="1">
        <f t="shared" si="0"/>
        <v>2034</v>
      </c>
      <c r="V9" s="1">
        <f t="shared" si="0"/>
        <v>2035</v>
      </c>
    </row>
    <row r="10" spans="1:22" x14ac:dyDescent="0.15">
      <c r="A10" s="73" t="s">
        <v>66</v>
      </c>
      <c r="B10" s="16">
        <v>144</v>
      </c>
      <c r="C10" s="16">
        <v>445</v>
      </c>
      <c r="D10" s="16">
        <v>1101</v>
      </c>
      <c r="E10" s="16">
        <v>1728</v>
      </c>
      <c r="F10" s="16">
        <f>SUM(Reports!J3:M3)</f>
        <v>1901</v>
      </c>
      <c r="G10" s="16">
        <f>SUM(Reports!N3:Q3)</f>
        <v>2541</v>
      </c>
      <c r="H10" s="16"/>
      <c r="I10" s="16"/>
      <c r="J10" s="16"/>
      <c r="K10" s="16"/>
    </row>
    <row r="11" spans="1:22" x14ac:dyDescent="0.15">
      <c r="A11" s="73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22" x14ac:dyDescent="0.15">
      <c r="A12" s="73" t="s">
        <v>79</v>
      </c>
      <c r="B12" s="16">
        <v>21</v>
      </c>
      <c r="C12" s="16">
        <v>30</v>
      </c>
      <c r="D12" s="16">
        <v>49</v>
      </c>
      <c r="E12" s="16">
        <v>73</v>
      </c>
      <c r="F12" s="16">
        <f>AVERAGE(Reports!J5:M5)</f>
        <v>89.75</v>
      </c>
      <c r="G12" s="16">
        <f>AVERAGE(Reports!N5:Q5)</f>
        <v>107.25</v>
      </c>
      <c r="H12" s="16">
        <f>G12*1.15</f>
        <v>123.33749999999999</v>
      </c>
      <c r="I12" s="16">
        <f>H12*1.15</f>
        <v>141.83812499999999</v>
      </c>
      <c r="J12" s="16">
        <f>I12*1.15</f>
        <v>163.11384374999997</v>
      </c>
      <c r="K12" s="16">
        <f>J12*1.15</f>
        <v>187.58092031249996</v>
      </c>
      <c r="L12" s="16">
        <f>K12*1.15</f>
        <v>215.71805835937494</v>
      </c>
    </row>
    <row r="13" spans="1:22" s="97" customFormat="1" x14ac:dyDescent="0.15">
      <c r="A13" s="87" t="s">
        <v>83</v>
      </c>
      <c r="B13" s="13">
        <f>SUM(B10)/B12</f>
        <v>6.8571428571428568</v>
      </c>
      <c r="C13" s="13">
        <f>SUM(C10)/C12</f>
        <v>14.833333333333334</v>
      </c>
      <c r="D13" s="13">
        <f>SUM(D10)/D12</f>
        <v>22.469387755102041</v>
      </c>
      <c r="E13" s="13">
        <f>SUM(E10)/E12</f>
        <v>23.671232876712327</v>
      </c>
      <c r="F13" s="13">
        <f>SUM(F10)/F12</f>
        <v>21.181058495821727</v>
      </c>
      <c r="G13" s="13">
        <f>SUM(G10)/G12</f>
        <v>23.692307692307693</v>
      </c>
      <c r="H13" s="97">
        <f>G13*1.1</f>
        <v>26.061538461538465</v>
      </c>
      <c r="I13" s="97">
        <f t="shared" ref="I12:L14" si="1">H13*1.1</f>
        <v>28.667692307692313</v>
      </c>
      <c r="J13" s="97">
        <f t="shared" si="1"/>
        <v>31.534461538461546</v>
      </c>
      <c r="K13" s="97">
        <f t="shared" si="1"/>
        <v>34.687907692307704</v>
      </c>
      <c r="L13" s="97">
        <f t="shared" si="1"/>
        <v>38.156698461538475</v>
      </c>
    </row>
    <row r="14" spans="1:22" s="6" customFormat="1" x14ac:dyDescent="0.15">
      <c r="B14" s="98"/>
      <c r="C14" s="98"/>
      <c r="D14" s="98"/>
      <c r="E14" s="98"/>
      <c r="F14" s="98"/>
      <c r="G14" s="98">
        <v>2480</v>
      </c>
      <c r="H14" s="98">
        <v>3150</v>
      </c>
      <c r="I14" s="98">
        <v>3830</v>
      </c>
    </row>
    <row r="15" spans="1:22" x14ac:dyDescent="0.15">
      <c r="A15" s="15" t="s">
        <v>4</v>
      </c>
      <c r="B15" s="22">
        <f t="shared" ref="B15:K15" si="2">B12*B13</f>
        <v>144</v>
      </c>
      <c r="C15" s="22">
        <f t="shared" si="2"/>
        <v>445</v>
      </c>
      <c r="D15" s="22">
        <f t="shared" si="2"/>
        <v>1101</v>
      </c>
      <c r="E15" s="22">
        <f t="shared" si="2"/>
        <v>1728</v>
      </c>
      <c r="F15" s="22">
        <f t="shared" si="2"/>
        <v>1901</v>
      </c>
      <c r="G15" s="22">
        <f t="shared" si="2"/>
        <v>2541</v>
      </c>
      <c r="H15" s="17">
        <f>H12*H13</f>
        <v>3214.3650000000002</v>
      </c>
      <c r="I15" s="17">
        <f>I12*I13</f>
        <v>4066.1717250000006</v>
      </c>
      <c r="J15" s="17">
        <f>J12*J13</f>
        <v>5143.7072321250007</v>
      </c>
      <c r="K15" s="17">
        <f>K12*K13</f>
        <v>6506.789648638126</v>
      </c>
      <c r="L15" s="17">
        <f>L12*L13</f>
        <v>8231.0889055272291</v>
      </c>
      <c r="M15" s="17">
        <f>L15*1.15</f>
        <v>9465.7522413563129</v>
      </c>
      <c r="N15" s="17">
        <f t="shared" ref="N15:Q15" si="3">M15*1.15</f>
        <v>10885.61507755976</v>
      </c>
      <c r="O15" s="17">
        <f t="shared" si="3"/>
        <v>12518.457339193723</v>
      </c>
      <c r="P15" s="17">
        <f t="shared" si="3"/>
        <v>14396.22594007278</v>
      </c>
      <c r="Q15" s="17">
        <f t="shared" si="3"/>
        <v>16555.659831083696</v>
      </c>
      <c r="R15" s="17">
        <f>Q15*1.05</f>
        <v>17383.44282263788</v>
      </c>
      <c r="S15" s="17">
        <f t="shared" ref="S15:V15" si="4">R15*1.05</f>
        <v>18252.614963769774</v>
      </c>
      <c r="T15" s="17">
        <f t="shared" si="4"/>
        <v>19165.245711958265</v>
      </c>
      <c r="U15" s="17">
        <f t="shared" si="4"/>
        <v>20123.507997556178</v>
      </c>
      <c r="V15" s="17">
        <f t="shared" si="4"/>
        <v>21129.68339743399</v>
      </c>
    </row>
    <row r="16" spans="1:22" x14ac:dyDescent="0.15">
      <c r="A16" s="1" t="s">
        <v>5</v>
      </c>
      <c r="B16" s="16">
        <v>78</v>
      </c>
      <c r="C16" s="16">
        <v>131</v>
      </c>
      <c r="D16" s="16">
        <v>205</v>
      </c>
      <c r="E16" s="16">
        <v>278</v>
      </c>
      <c r="F16" s="16">
        <f>SUM(Reports!J9:M9)</f>
        <v>443</v>
      </c>
      <c r="G16" s="16">
        <f>SUM(Reports!N9:Q9)</f>
        <v>947</v>
      </c>
      <c r="H16" s="5">
        <f t="shared" ref="G16:H16" si="5">H15-H17</f>
        <v>1197.9550000000002</v>
      </c>
      <c r="I16" s="5">
        <f t="shared" ref="I16:Q16" si="6">I15-I17</f>
        <v>1515.4130750000004</v>
      </c>
      <c r="J16" s="5">
        <f t="shared" si="6"/>
        <v>1916.9975398750003</v>
      </c>
      <c r="K16" s="5">
        <f t="shared" si="6"/>
        <v>2425.0018879418753</v>
      </c>
      <c r="L16" s="5">
        <f t="shared" si="6"/>
        <v>3067.627388246472</v>
      </c>
      <c r="M16" s="5">
        <f t="shared" si="6"/>
        <v>3527.7714964834431</v>
      </c>
      <c r="N16" s="5">
        <f t="shared" si="6"/>
        <v>4056.9372209559597</v>
      </c>
      <c r="O16" s="5">
        <f t="shared" si="6"/>
        <v>4665.4778040993533</v>
      </c>
      <c r="P16" s="5">
        <f t="shared" si="6"/>
        <v>5365.2994747142548</v>
      </c>
      <c r="Q16" s="5">
        <f t="shared" si="6"/>
        <v>6170.0943959213928</v>
      </c>
      <c r="R16" s="5">
        <f t="shared" ref="R16:T16" si="7">R15-R17</f>
        <v>6478.5991157174631</v>
      </c>
      <c r="S16" s="5">
        <f t="shared" si="7"/>
        <v>6802.5290715033352</v>
      </c>
      <c r="T16" s="5">
        <f t="shared" si="7"/>
        <v>7142.6555250785041</v>
      </c>
      <c r="U16" s="5">
        <f t="shared" ref="U16:V16" si="8">U15-U17</f>
        <v>7499.7883013324281</v>
      </c>
      <c r="V16" s="5">
        <f t="shared" si="8"/>
        <v>7874.7777163990504</v>
      </c>
    </row>
    <row r="17" spans="1:245" x14ac:dyDescent="0.15">
      <c r="A17" s="1" t="s">
        <v>6</v>
      </c>
      <c r="B17" s="7">
        <f>B15-B16</f>
        <v>66</v>
      </c>
      <c r="C17" s="7">
        <f>C15-C16</f>
        <v>314</v>
      </c>
      <c r="D17" s="7">
        <f>D15-D16</f>
        <v>896</v>
      </c>
      <c r="E17" s="7">
        <f>E15-E16</f>
        <v>1450</v>
      </c>
      <c r="F17" s="7">
        <f>F15-F16</f>
        <v>1458</v>
      </c>
      <c r="G17" s="7">
        <f>G15-G16</f>
        <v>1594</v>
      </c>
      <c r="H17" s="5">
        <f t="shared" ref="H17:V17" si="9">H15*G30</f>
        <v>2016.41</v>
      </c>
      <c r="I17" s="5">
        <f t="shared" si="9"/>
        <v>2550.7586500000002</v>
      </c>
      <c r="J17" s="5">
        <f t="shared" si="9"/>
        <v>3226.7096922500004</v>
      </c>
      <c r="K17" s="5">
        <f t="shared" si="9"/>
        <v>4081.7877606962506</v>
      </c>
      <c r="L17" s="5">
        <f t="shared" si="9"/>
        <v>5163.4615172807571</v>
      </c>
      <c r="M17" s="5">
        <f t="shared" si="9"/>
        <v>5937.9807448728698</v>
      </c>
      <c r="N17" s="5">
        <f t="shared" si="9"/>
        <v>6828.6778566038001</v>
      </c>
      <c r="O17" s="5">
        <f t="shared" si="9"/>
        <v>7852.9795350943696</v>
      </c>
      <c r="P17" s="5">
        <f t="shared" si="9"/>
        <v>9030.9264653585251</v>
      </c>
      <c r="Q17" s="5">
        <f t="shared" si="9"/>
        <v>10385.565435162303</v>
      </c>
      <c r="R17" s="5">
        <f t="shared" si="9"/>
        <v>10904.843706920417</v>
      </c>
      <c r="S17" s="5">
        <f t="shared" si="9"/>
        <v>11450.085892266439</v>
      </c>
      <c r="T17" s="5">
        <f t="shared" si="9"/>
        <v>12022.590186879761</v>
      </c>
      <c r="U17" s="5">
        <f t="shared" si="9"/>
        <v>12623.71969622375</v>
      </c>
      <c r="V17" s="5">
        <f t="shared" si="9"/>
        <v>13254.905681034939</v>
      </c>
    </row>
    <row r="18" spans="1:245" x14ac:dyDescent="0.15">
      <c r="A18" s="1" t="s">
        <v>7</v>
      </c>
      <c r="B18" s="16">
        <v>6</v>
      </c>
      <c r="C18" s="16">
        <v>10</v>
      </c>
      <c r="D18" s="16">
        <v>28</v>
      </c>
      <c r="E18" s="16">
        <v>45</v>
      </c>
      <c r="F18" s="16">
        <f>SUM(Reports!J11:M11)</f>
        <v>74</v>
      </c>
      <c r="G18" s="16">
        <f>SUM(Reports!N11:Q11)</f>
        <v>104</v>
      </c>
      <c r="H18" s="5">
        <f t="shared" ref="H18:L18" si="10">G18*1.3</f>
        <v>135.20000000000002</v>
      </c>
      <c r="I18" s="5">
        <f t="shared" si="10"/>
        <v>175.76000000000002</v>
      </c>
      <c r="J18" s="5">
        <f t="shared" si="10"/>
        <v>228.48800000000003</v>
      </c>
      <c r="K18" s="5">
        <f t="shared" si="10"/>
        <v>297.03440000000006</v>
      </c>
      <c r="L18" s="5">
        <f t="shared" si="10"/>
        <v>386.14472000000012</v>
      </c>
      <c r="M18" s="5">
        <f>L18*1.15</f>
        <v>444.06642800000009</v>
      </c>
      <c r="N18" s="5">
        <f t="shared" ref="N18:Q18" si="11">M18*1.15</f>
        <v>510.67639220000007</v>
      </c>
      <c r="O18" s="5">
        <f t="shared" si="11"/>
        <v>587.27785103000008</v>
      </c>
      <c r="P18" s="5">
        <f t="shared" si="11"/>
        <v>675.36952868449998</v>
      </c>
      <c r="Q18" s="5">
        <f t="shared" si="11"/>
        <v>776.67495798717493</v>
      </c>
      <c r="R18" s="5">
        <f>Q18*1.05</f>
        <v>815.50870588653368</v>
      </c>
      <c r="S18" s="5">
        <f t="shared" ref="S18:V18" si="12">R18*1.05</f>
        <v>856.28414118086039</v>
      </c>
      <c r="T18" s="5">
        <f t="shared" si="12"/>
        <v>899.09834823990343</v>
      </c>
      <c r="U18" s="5">
        <f t="shared" si="12"/>
        <v>944.05326565189864</v>
      </c>
      <c r="V18" s="5">
        <f t="shared" si="12"/>
        <v>991.25592893449357</v>
      </c>
    </row>
    <row r="19" spans="1:245" x14ac:dyDescent="0.15">
      <c r="A19" s="1" t="s">
        <v>8</v>
      </c>
      <c r="B19" s="16">
        <v>560</v>
      </c>
      <c r="C19" s="16">
        <v>428</v>
      </c>
      <c r="D19" s="16">
        <v>989</v>
      </c>
      <c r="E19" s="16">
        <v>1576</v>
      </c>
      <c r="F19" s="16">
        <f>SUM(Reports!J12:M12)</f>
        <v>1463</v>
      </c>
      <c r="G19" s="16">
        <f>SUM(Reports!N12:Q12)</f>
        <v>1685</v>
      </c>
      <c r="H19" s="5">
        <f>G19*1.15</f>
        <v>1937.7499999999998</v>
      </c>
      <c r="I19" s="5">
        <f t="shared" ref="I19:L19" si="13">H19*1.15</f>
        <v>2228.4124999999995</v>
      </c>
      <c r="J19" s="5">
        <f t="shared" si="13"/>
        <v>2562.6743749999991</v>
      </c>
      <c r="K19" s="5">
        <f t="shared" si="13"/>
        <v>2947.0755312499987</v>
      </c>
      <c r="L19" s="5">
        <f t="shared" si="13"/>
        <v>3389.1368609374981</v>
      </c>
      <c r="M19" s="5">
        <f>L19*1.1</f>
        <v>3728.0505470312482</v>
      </c>
      <c r="N19" s="5">
        <f t="shared" ref="N19:Q19" si="14">M19*1.1</f>
        <v>4100.8556017343735</v>
      </c>
      <c r="O19" s="5">
        <f t="shared" si="14"/>
        <v>4510.941161907811</v>
      </c>
      <c r="P19" s="5">
        <f t="shared" si="14"/>
        <v>4962.0352780985922</v>
      </c>
      <c r="Q19" s="5">
        <f t="shared" si="14"/>
        <v>5458.2388059084515</v>
      </c>
      <c r="R19" s="5">
        <f>Q19*1.05</f>
        <v>5731.1507462038744</v>
      </c>
      <c r="S19" s="5">
        <f t="shared" ref="S19:V19" si="15">R19*1.05</f>
        <v>6017.7082835140682</v>
      </c>
      <c r="T19" s="5">
        <f t="shared" si="15"/>
        <v>6318.5936976897719</v>
      </c>
      <c r="U19" s="5">
        <f t="shared" si="15"/>
        <v>6634.5233825742607</v>
      </c>
      <c r="V19" s="5">
        <f t="shared" si="15"/>
        <v>6966.2495517029738</v>
      </c>
    </row>
    <row r="20" spans="1:245" x14ac:dyDescent="0.15">
      <c r="A20" s="1" t="s">
        <v>9</v>
      </c>
      <c r="B20" s="16">
        <v>22</v>
      </c>
      <c r="C20" s="16">
        <v>17</v>
      </c>
      <c r="D20" s="16">
        <v>26</v>
      </c>
      <c r="E20" s="16">
        <v>52</v>
      </c>
      <c r="F20" s="16">
        <f>SUM(Reports!J13:M13)</f>
        <v>65</v>
      </c>
      <c r="G20" s="16">
        <f>SUM(Reports!N13:Q13)</f>
        <v>90</v>
      </c>
      <c r="H20" s="5">
        <f>G20*1.25</f>
        <v>112.5</v>
      </c>
      <c r="I20" s="5">
        <f t="shared" ref="I20:L20" si="16">H20*1.25</f>
        <v>140.625</v>
      </c>
      <c r="J20" s="5">
        <f t="shared" si="16"/>
        <v>175.78125</v>
      </c>
      <c r="K20" s="5">
        <f t="shared" si="16"/>
        <v>219.7265625</v>
      </c>
      <c r="L20" s="5">
        <f t="shared" si="16"/>
        <v>274.658203125</v>
      </c>
      <c r="M20" s="5">
        <f>L20*1.15</f>
        <v>315.85693359375</v>
      </c>
      <c r="N20" s="5">
        <f t="shared" ref="N20:Q20" si="17">M20*1.15</f>
        <v>363.2354736328125</v>
      </c>
      <c r="O20" s="5">
        <f t="shared" si="17"/>
        <v>417.72079467773432</v>
      </c>
      <c r="P20" s="5">
        <f t="shared" si="17"/>
        <v>480.37891387939442</v>
      </c>
      <c r="Q20" s="5">
        <f t="shared" si="17"/>
        <v>552.43575096130348</v>
      </c>
      <c r="R20" s="5">
        <f>Q20*0.98</f>
        <v>541.38703594207743</v>
      </c>
      <c r="S20" s="5">
        <f t="shared" ref="S20:V20" si="18">R20*0.98</f>
        <v>530.55929522323584</v>
      </c>
      <c r="T20" s="5">
        <f t="shared" si="18"/>
        <v>519.94810931877112</v>
      </c>
      <c r="U20" s="5">
        <f t="shared" si="18"/>
        <v>509.54914713239566</v>
      </c>
      <c r="V20" s="5">
        <f t="shared" si="18"/>
        <v>499.35816418974775</v>
      </c>
    </row>
    <row r="21" spans="1:245" x14ac:dyDescent="0.15">
      <c r="A21" s="1" t="s">
        <v>10</v>
      </c>
      <c r="B21" s="7">
        <f>SUM(B18:B20)</f>
        <v>588</v>
      </c>
      <c r="C21" s="7">
        <f>SUM(C18:C20)</f>
        <v>455</v>
      </c>
      <c r="D21" s="7">
        <f>SUM(D18:D20)</f>
        <v>1043</v>
      </c>
      <c r="E21" s="7">
        <f>SUM(E18:E20)</f>
        <v>1673</v>
      </c>
      <c r="F21" s="7">
        <f>SUM(F18:F20)</f>
        <v>1602</v>
      </c>
      <c r="G21" s="7">
        <f>SUM(G18:G20)</f>
        <v>1879</v>
      </c>
      <c r="H21" s="5">
        <f t="shared" ref="G21:H21" si="19">SUM(H18:H20)</f>
        <v>2185.4499999999998</v>
      </c>
      <c r="I21" s="5">
        <f t="shared" ref="I21:Q21" si="20">SUM(I18:I20)</f>
        <v>2544.7974999999997</v>
      </c>
      <c r="J21" s="5">
        <f t="shared" si="20"/>
        <v>2966.943624999999</v>
      </c>
      <c r="K21" s="5">
        <f>SUM(K18:K20)</f>
        <v>3463.8364937499987</v>
      </c>
      <c r="L21" s="5">
        <f t="shared" si="20"/>
        <v>4049.9397840624983</v>
      </c>
      <c r="M21" s="5">
        <f t="shared" si="20"/>
        <v>4487.9739086249983</v>
      </c>
      <c r="N21" s="5">
        <f t="shared" si="20"/>
        <v>4974.767467567186</v>
      </c>
      <c r="O21" s="5">
        <f t="shared" si="20"/>
        <v>5515.9398076155458</v>
      </c>
      <c r="P21" s="5">
        <f t="shared" si="20"/>
        <v>6117.7837206624863</v>
      </c>
      <c r="Q21" s="5">
        <f t="shared" si="20"/>
        <v>6787.34951485693</v>
      </c>
      <c r="R21" s="5">
        <f t="shared" ref="R21:T21" si="21">SUM(R18:R20)</f>
        <v>7088.0464880324853</v>
      </c>
      <c r="S21" s="5">
        <f t="shared" si="21"/>
        <v>7404.5517199181641</v>
      </c>
      <c r="T21" s="5">
        <f t="shared" si="21"/>
        <v>7737.6401552484467</v>
      </c>
      <c r="U21" s="5">
        <f t="shared" ref="U21:V21" si="22">SUM(U18:U20)</f>
        <v>8088.1257953585555</v>
      </c>
      <c r="V21" s="5">
        <f t="shared" si="22"/>
        <v>8456.8636448272155</v>
      </c>
    </row>
    <row r="22" spans="1:245" x14ac:dyDescent="0.15">
      <c r="A22" s="1" t="s">
        <v>11</v>
      </c>
      <c r="B22" s="7">
        <f>B17-B21</f>
        <v>-522</v>
      </c>
      <c r="C22" s="7">
        <f>C17-C21</f>
        <v>-141</v>
      </c>
      <c r="D22" s="7">
        <f>D17-D21</f>
        <v>-147</v>
      </c>
      <c r="E22" s="7">
        <f>E17-E21</f>
        <v>-223</v>
      </c>
      <c r="F22" s="7">
        <f>F17-F21</f>
        <v>-144</v>
      </c>
      <c r="G22" s="7">
        <f>G17-G21</f>
        <v>-285</v>
      </c>
      <c r="H22" s="5">
        <f t="shared" ref="G22:H22" si="23">H17-H21</f>
        <v>-169.03999999999974</v>
      </c>
      <c r="I22" s="5">
        <f t="shared" ref="I22:Q22" si="24">I17-I21</f>
        <v>5.9611500000005435</v>
      </c>
      <c r="J22" s="5">
        <f t="shared" si="24"/>
        <v>259.76606725000147</v>
      </c>
      <c r="K22" s="5">
        <f>K17-K21</f>
        <v>617.95126694625196</v>
      </c>
      <c r="L22" s="5">
        <f t="shared" si="24"/>
        <v>1113.5217332182588</v>
      </c>
      <c r="M22" s="5">
        <f t="shared" si="24"/>
        <v>1450.0068362478714</v>
      </c>
      <c r="N22" s="5">
        <f t="shared" si="24"/>
        <v>1853.9103890366141</v>
      </c>
      <c r="O22" s="5">
        <f t="shared" si="24"/>
        <v>2337.0397274788238</v>
      </c>
      <c r="P22" s="5">
        <f t="shared" si="24"/>
        <v>2913.1427446960388</v>
      </c>
      <c r="Q22" s="5">
        <f t="shared" si="24"/>
        <v>3598.2159203053734</v>
      </c>
      <c r="R22" s="5">
        <f t="shared" ref="R22:T22" si="25">R17-R21</f>
        <v>3816.7972188879321</v>
      </c>
      <c r="S22" s="5">
        <f t="shared" si="25"/>
        <v>4045.5341723482752</v>
      </c>
      <c r="T22" s="5">
        <f t="shared" si="25"/>
        <v>4284.9500316313142</v>
      </c>
      <c r="U22" s="5">
        <f t="shared" ref="U22:V22" si="26">U17-U21</f>
        <v>4535.5939008651949</v>
      </c>
      <c r="V22" s="5">
        <f t="shared" si="26"/>
        <v>4798.0420362077239</v>
      </c>
    </row>
    <row r="23" spans="1:245" x14ac:dyDescent="0.15">
      <c r="A23" s="1" t="s">
        <v>12</v>
      </c>
      <c r="B23" s="16">
        <f>-5-10</f>
        <v>-15</v>
      </c>
      <c r="C23" s="16">
        <f>-5-5</f>
        <v>-10</v>
      </c>
      <c r="D23" s="16">
        <f>10-70</f>
        <v>-60</v>
      </c>
      <c r="E23" s="16">
        <v>15</v>
      </c>
      <c r="F23" s="16">
        <f>SUM(Reports!J16:M16)</f>
        <v>16</v>
      </c>
      <c r="G23" s="16">
        <f>SUM(Reports!N16:Q16)</f>
        <v>-112</v>
      </c>
      <c r="H23" s="5">
        <f>G40*$F$3</f>
        <v>21.330000000000002</v>
      </c>
      <c r="I23" s="5">
        <f t="shared" ref="G23:V23" si="27">H40*$F$3</f>
        <v>19.852900000000002</v>
      </c>
      <c r="J23" s="5">
        <f t="shared" si="27"/>
        <v>20.072319425000007</v>
      </c>
      <c r="K23" s="5">
        <f t="shared" si="27"/>
        <v>22.450945711737518</v>
      </c>
      <c r="L23" s="5">
        <f t="shared" si="27"/>
        <v>27.894364519330431</v>
      </c>
      <c r="M23" s="5">
        <f t="shared" si="27"/>
        <v>37.596401350099939</v>
      </c>
      <c r="N23" s="5">
        <f t="shared" si="27"/>
        <v>50.241028869682694</v>
      </c>
      <c r="O23" s="5">
        <f t="shared" si="27"/>
        <v>66.426315921886214</v>
      </c>
      <c r="P23" s="5">
        <f t="shared" si="27"/>
        <v>86.855777290792247</v>
      </c>
      <c r="Q23" s="5">
        <f t="shared" si="27"/>
        <v>112.35576472768031</v>
      </c>
      <c r="R23" s="5">
        <f t="shared" si="27"/>
        <v>143.89562405046127</v>
      </c>
      <c r="S23" s="5">
        <f t="shared" si="27"/>
        <v>177.5615132154376</v>
      </c>
      <c r="T23" s="5">
        <f t="shared" si="27"/>
        <v>213.45782654272918</v>
      </c>
      <c r="U23" s="5">
        <f t="shared" si="27"/>
        <v>251.69429333720851</v>
      </c>
      <c r="V23" s="5">
        <f t="shared" si="27"/>
        <v>292.38624298792894</v>
      </c>
    </row>
    <row r="24" spans="1:245" x14ac:dyDescent="0.15">
      <c r="A24" s="1" t="s">
        <v>13</v>
      </c>
      <c r="B24" s="7">
        <f>B22+B23</f>
        <v>-537</v>
      </c>
      <c r="C24" s="7">
        <f>C22+C23</f>
        <v>-151</v>
      </c>
      <c r="D24" s="7">
        <f>D22+D23</f>
        <v>-207</v>
      </c>
      <c r="E24" s="7">
        <f>E22+E23</f>
        <v>-208</v>
      </c>
      <c r="F24" s="7">
        <f>F22+F23</f>
        <v>-128</v>
      </c>
      <c r="G24" s="7">
        <f>G22+G23</f>
        <v>-397</v>
      </c>
      <c r="H24" s="5">
        <f t="shared" ref="G24:H24" si="28">H22+H23</f>
        <v>-147.70999999999972</v>
      </c>
      <c r="I24" s="5">
        <f t="shared" ref="I24:Q24" si="29">I22+I23</f>
        <v>25.814050000000545</v>
      </c>
      <c r="J24" s="5">
        <f t="shared" si="29"/>
        <v>279.83838667500146</v>
      </c>
      <c r="K24" s="5">
        <f t="shared" si="29"/>
        <v>640.40221265798948</v>
      </c>
      <c r="L24" s="5">
        <f t="shared" si="29"/>
        <v>1141.4160977375891</v>
      </c>
      <c r="M24" s="5">
        <f t="shared" si="29"/>
        <v>1487.6032375979714</v>
      </c>
      <c r="N24" s="5">
        <f t="shared" si="29"/>
        <v>1904.1514179062967</v>
      </c>
      <c r="O24" s="5">
        <f t="shared" si="29"/>
        <v>2403.4660434007101</v>
      </c>
      <c r="P24" s="5">
        <f t="shared" si="29"/>
        <v>2999.9985219868308</v>
      </c>
      <c r="Q24" s="5">
        <f t="shared" si="29"/>
        <v>3710.5716850330537</v>
      </c>
      <c r="R24" s="5">
        <f t="shared" ref="R24:T24" si="30">R22+R23</f>
        <v>3960.6928429383934</v>
      </c>
      <c r="S24" s="5">
        <f t="shared" si="30"/>
        <v>4223.0956855637132</v>
      </c>
      <c r="T24" s="5">
        <f t="shared" si="30"/>
        <v>4498.4078581740432</v>
      </c>
      <c r="U24" s="5">
        <f t="shared" ref="U24:V24" si="31">U22+U23</f>
        <v>4787.2881942024032</v>
      </c>
      <c r="V24" s="5">
        <f t="shared" si="31"/>
        <v>5090.428279195653</v>
      </c>
    </row>
    <row r="25" spans="1:245" x14ac:dyDescent="0.15">
      <c r="A25" s="1" t="s">
        <v>14</v>
      </c>
      <c r="B25" s="16">
        <v>0</v>
      </c>
      <c r="C25" s="16">
        <v>0</v>
      </c>
      <c r="D25" s="16">
        <v>0</v>
      </c>
      <c r="E25" s="16">
        <v>0</v>
      </c>
      <c r="F25" s="16">
        <f>SUM(Reports!J18:M18)</f>
        <v>1</v>
      </c>
      <c r="G25" s="16">
        <f>SUM(Reports!N18:Q18)</f>
        <v>0</v>
      </c>
      <c r="H25" s="5">
        <v>0</v>
      </c>
      <c r="I25" s="5">
        <f t="shared" ref="H25:Q25" si="32">I24*0.15</f>
        <v>3.8721075000000815</v>
      </c>
      <c r="J25" s="5">
        <f t="shared" si="32"/>
        <v>41.97575800125022</v>
      </c>
      <c r="K25" s="5">
        <f t="shared" si="32"/>
        <v>96.060331898698422</v>
      </c>
      <c r="L25" s="5">
        <f t="shared" si="32"/>
        <v>171.21241466063836</v>
      </c>
      <c r="M25" s="5">
        <f t="shared" si="32"/>
        <v>223.1404856396957</v>
      </c>
      <c r="N25" s="5">
        <f t="shared" si="32"/>
        <v>285.62271268594452</v>
      </c>
      <c r="O25" s="5">
        <f t="shared" si="32"/>
        <v>360.51990651010652</v>
      </c>
      <c r="P25" s="5">
        <f t="shared" si="32"/>
        <v>449.99977829802464</v>
      </c>
      <c r="Q25" s="5">
        <f t="shared" si="32"/>
        <v>556.58575275495798</v>
      </c>
      <c r="R25" s="5">
        <f t="shared" ref="R25:T25" si="33">R24*0.15</f>
        <v>594.10392644075898</v>
      </c>
      <c r="S25" s="5">
        <f t="shared" si="33"/>
        <v>633.46435283455696</v>
      </c>
      <c r="T25" s="5">
        <f t="shared" si="33"/>
        <v>674.76117872610644</v>
      </c>
      <c r="U25" s="5">
        <f t="shared" ref="U25:V25" si="34">U24*0.15</f>
        <v>718.09322913036044</v>
      </c>
      <c r="V25" s="5">
        <f t="shared" si="34"/>
        <v>763.56424187934795</v>
      </c>
    </row>
    <row r="26" spans="1:245" s="15" customFormat="1" x14ac:dyDescent="0.15">
      <c r="A26" s="15" t="s">
        <v>15</v>
      </c>
      <c r="B26" s="22">
        <f>B24-B25</f>
        <v>-537</v>
      </c>
      <c r="C26" s="22">
        <f>C24-C25</f>
        <v>-151</v>
      </c>
      <c r="D26" s="22">
        <f>D24-D25</f>
        <v>-207</v>
      </c>
      <c r="E26" s="22">
        <f>E24-E25</f>
        <v>-208</v>
      </c>
      <c r="F26" s="22">
        <f t="shared" ref="F26:H26" si="35">F24-F25</f>
        <v>-129</v>
      </c>
      <c r="G26" s="22">
        <f t="shared" si="35"/>
        <v>-397</v>
      </c>
      <c r="H26" s="22">
        <f t="shared" si="35"/>
        <v>-147.70999999999972</v>
      </c>
      <c r="I26" s="22">
        <f t="shared" ref="I26" si="36">I24-I25</f>
        <v>21.941942500000465</v>
      </c>
      <c r="J26" s="22">
        <f t="shared" ref="J26" si="37">J24-J25</f>
        <v>237.86262867375123</v>
      </c>
      <c r="K26" s="22">
        <f t="shared" ref="K26" si="38">K24-K25</f>
        <v>544.34188075929103</v>
      </c>
      <c r="L26" s="22">
        <f t="shared" ref="L26" si="39">L24-L25</f>
        <v>970.20368307695071</v>
      </c>
      <c r="M26" s="22">
        <f t="shared" ref="M26" si="40">M24-M25</f>
        <v>1264.4627519582757</v>
      </c>
      <c r="N26" s="22">
        <f t="shared" ref="N26" si="41">N24-N25</f>
        <v>1618.5287052203521</v>
      </c>
      <c r="O26" s="22">
        <f t="shared" ref="O26" si="42">O24-O25</f>
        <v>2042.9461368906036</v>
      </c>
      <c r="P26" s="22">
        <f t="shared" ref="P26" si="43">P24-P25</f>
        <v>2549.9987436888064</v>
      </c>
      <c r="Q26" s="22">
        <f t="shared" ref="Q26:R26" si="44">Q24-Q25</f>
        <v>3153.9859322780958</v>
      </c>
      <c r="R26" s="22">
        <f t="shared" si="44"/>
        <v>3366.5889164976343</v>
      </c>
      <c r="S26" s="22">
        <f t="shared" ref="S26:T26" si="45">S24-S25</f>
        <v>3589.6313327291564</v>
      </c>
      <c r="T26" s="22">
        <f t="shared" si="45"/>
        <v>3823.6466794479365</v>
      </c>
      <c r="U26" s="22">
        <f t="shared" ref="U26:V26" si="46">U24-U25</f>
        <v>4069.1949650720426</v>
      </c>
      <c r="V26" s="22">
        <f t="shared" si="46"/>
        <v>4326.8640373163053</v>
      </c>
      <c r="W26" s="22">
        <f>V26*($F$2+1)</f>
        <v>4348.4983575028864</v>
      </c>
      <c r="X26" s="22">
        <f t="shared" ref="V26:CG26" si="47">W26*($F$2+1)</f>
        <v>4370.2408492904005</v>
      </c>
      <c r="Y26" s="22">
        <f t="shared" si="47"/>
        <v>4392.0920535368523</v>
      </c>
      <c r="Z26" s="22">
        <f t="shared" si="47"/>
        <v>4414.0525138045359</v>
      </c>
      <c r="AA26" s="22">
        <f t="shared" si="47"/>
        <v>4436.1227763735578</v>
      </c>
      <c r="AB26" s="22">
        <f t="shared" si="47"/>
        <v>4458.3033902554253</v>
      </c>
      <c r="AC26" s="22">
        <f t="shared" si="47"/>
        <v>4480.5949072067015</v>
      </c>
      <c r="AD26" s="22">
        <f t="shared" si="47"/>
        <v>4502.9978817427345</v>
      </c>
      <c r="AE26" s="22">
        <f t="shared" si="47"/>
        <v>4525.5128711514481</v>
      </c>
      <c r="AF26" s="22">
        <f t="shared" si="47"/>
        <v>4548.1404355072045</v>
      </c>
      <c r="AG26" s="22">
        <f t="shared" si="47"/>
        <v>4570.8811376847398</v>
      </c>
      <c r="AH26" s="22">
        <f t="shared" si="47"/>
        <v>4593.7355433731627</v>
      </c>
      <c r="AI26" s="22">
        <f t="shared" si="47"/>
        <v>4616.7042210900281</v>
      </c>
      <c r="AJ26" s="22">
        <f t="shared" si="47"/>
        <v>4639.7877421954781</v>
      </c>
      <c r="AK26" s="22">
        <f t="shared" si="47"/>
        <v>4662.9866809064551</v>
      </c>
      <c r="AL26" s="22">
        <f t="shared" si="47"/>
        <v>4686.3016143109871</v>
      </c>
      <c r="AM26" s="22">
        <f t="shared" si="47"/>
        <v>4709.7331223825413</v>
      </c>
      <c r="AN26" s="22">
        <f t="shared" si="47"/>
        <v>4733.2817879944532</v>
      </c>
      <c r="AO26" s="22">
        <f t="shared" si="47"/>
        <v>4756.9481969344251</v>
      </c>
      <c r="AP26" s="22">
        <f t="shared" si="47"/>
        <v>4780.7329379190969</v>
      </c>
      <c r="AQ26" s="22">
        <f t="shared" si="47"/>
        <v>4804.6366026086916</v>
      </c>
      <c r="AR26" s="22">
        <f t="shared" si="47"/>
        <v>4828.659785621735</v>
      </c>
      <c r="AS26" s="22">
        <f t="shared" si="47"/>
        <v>4852.8030845498433</v>
      </c>
      <c r="AT26" s="22">
        <f t="shared" si="47"/>
        <v>4877.0670999725917</v>
      </c>
      <c r="AU26" s="22">
        <f t="shared" si="47"/>
        <v>4901.4524354724545</v>
      </c>
      <c r="AV26" s="22">
        <f t="shared" si="47"/>
        <v>4925.959697649816</v>
      </c>
      <c r="AW26" s="22">
        <f t="shared" si="47"/>
        <v>4950.5894961380645</v>
      </c>
      <c r="AX26" s="22">
        <f t="shared" si="47"/>
        <v>4975.3424436187543</v>
      </c>
      <c r="AY26" s="22">
        <f t="shared" si="47"/>
        <v>5000.2191558368477</v>
      </c>
      <c r="AZ26" s="22">
        <f t="shared" si="47"/>
        <v>5025.2202516160314</v>
      </c>
      <c r="BA26" s="22">
        <f t="shared" si="47"/>
        <v>5050.3463528741113</v>
      </c>
      <c r="BB26" s="22">
        <f t="shared" si="47"/>
        <v>5075.5980846384809</v>
      </c>
      <c r="BC26" s="22">
        <f t="shared" si="47"/>
        <v>5100.9760750616724</v>
      </c>
      <c r="BD26" s="22">
        <f t="shared" si="47"/>
        <v>5126.4809554369804</v>
      </c>
      <c r="BE26" s="22">
        <f t="shared" si="47"/>
        <v>5152.1133602141645</v>
      </c>
      <c r="BF26" s="22">
        <f t="shared" si="47"/>
        <v>5177.8739270152346</v>
      </c>
      <c r="BG26" s="22">
        <f t="shared" si="47"/>
        <v>5203.7632966503106</v>
      </c>
      <c r="BH26" s="22">
        <f t="shared" si="47"/>
        <v>5229.7821131335613</v>
      </c>
      <c r="BI26" s="22">
        <f t="shared" si="47"/>
        <v>5255.9310236992287</v>
      </c>
      <c r="BJ26" s="22">
        <f t="shared" si="47"/>
        <v>5282.2106788177243</v>
      </c>
      <c r="BK26" s="22">
        <f t="shared" si="47"/>
        <v>5308.6217322118127</v>
      </c>
      <c r="BL26" s="22">
        <f t="shared" si="47"/>
        <v>5335.1648408728715</v>
      </c>
      <c r="BM26" s="22">
        <f t="shared" si="47"/>
        <v>5361.8406650772349</v>
      </c>
      <c r="BN26" s="22">
        <f t="shared" si="47"/>
        <v>5388.6498684026201</v>
      </c>
      <c r="BO26" s="22">
        <f t="shared" si="47"/>
        <v>5415.5931177446328</v>
      </c>
      <c r="BP26" s="22">
        <f t="shared" si="47"/>
        <v>5442.6710833333555</v>
      </c>
      <c r="BQ26" s="22">
        <f t="shared" si="47"/>
        <v>5469.8844387500212</v>
      </c>
      <c r="BR26" s="22">
        <f t="shared" si="47"/>
        <v>5497.2338609437711</v>
      </c>
      <c r="BS26" s="22">
        <f t="shared" si="47"/>
        <v>5524.7200302484898</v>
      </c>
      <c r="BT26" s="22">
        <f t="shared" si="47"/>
        <v>5552.3436303997314</v>
      </c>
      <c r="BU26" s="22">
        <f t="shared" si="47"/>
        <v>5580.1053485517295</v>
      </c>
      <c r="BV26" s="22">
        <f t="shared" si="47"/>
        <v>5608.0058752944879</v>
      </c>
      <c r="BW26" s="22">
        <f t="shared" si="47"/>
        <v>5636.0459046709593</v>
      </c>
      <c r="BX26" s="22">
        <f t="shared" si="47"/>
        <v>5664.2261341943131</v>
      </c>
      <c r="BY26" s="22">
        <f t="shared" si="47"/>
        <v>5692.547264865284</v>
      </c>
      <c r="BZ26" s="22">
        <f t="shared" si="47"/>
        <v>5721.0100011896102</v>
      </c>
      <c r="CA26" s="22">
        <f t="shared" si="47"/>
        <v>5749.6150511955575</v>
      </c>
      <c r="CB26" s="22">
        <f t="shared" si="47"/>
        <v>5778.3631264515343</v>
      </c>
      <c r="CC26" s="22">
        <f t="shared" si="47"/>
        <v>5807.2549420837913</v>
      </c>
      <c r="CD26" s="22">
        <f t="shared" si="47"/>
        <v>5836.2912167942095</v>
      </c>
      <c r="CE26" s="22">
        <f t="shared" si="47"/>
        <v>5865.4726728781798</v>
      </c>
      <c r="CF26" s="22">
        <f t="shared" si="47"/>
        <v>5894.8000362425701</v>
      </c>
      <c r="CG26" s="22">
        <f t="shared" si="47"/>
        <v>5924.2740364237825</v>
      </c>
      <c r="CH26" s="22">
        <f t="shared" ref="CH26:ES26" si="48">CG26*($F$2+1)</f>
        <v>5953.8954066059005</v>
      </c>
      <c r="CI26" s="22">
        <f t="shared" si="48"/>
        <v>5983.6648836389295</v>
      </c>
      <c r="CJ26" s="22">
        <f t="shared" si="48"/>
        <v>6013.5832080571236</v>
      </c>
      <c r="CK26" s="22">
        <f t="shared" si="48"/>
        <v>6043.6511240974087</v>
      </c>
      <c r="CL26" s="22">
        <f t="shared" si="48"/>
        <v>6073.8693797178948</v>
      </c>
      <c r="CM26" s="22">
        <f t="shared" si="48"/>
        <v>6104.2387266164833</v>
      </c>
      <c r="CN26" s="22">
        <f t="shared" si="48"/>
        <v>6134.7599202495649</v>
      </c>
      <c r="CO26" s="22">
        <f t="shared" si="48"/>
        <v>6165.4337198508119</v>
      </c>
      <c r="CP26" s="22">
        <f t="shared" si="48"/>
        <v>6196.2608884500651</v>
      </c>
      <c r="CQ26" s="22">
        <f t="shared" si="48"/>
        <v>6227.242192892315</v>
      </c>
      <c r="CR26" s="22">
        <f t="shared" si="48"/>
        <v>6258.3784038567755</v>
      </c>
      <c r="CS26" s="22">
        <f t="shared" si="48"/>
        <v>6289.6702958760588</v>
      </c>
      <c r="CT26" s="22">
        <f t="shared" si="48"/>
        <v>6321.118647355438</v>
      </c>
      <c r="CU26" s="22">
        <f t="shared" si="48"/>
        <v>6352.7242405922143</v>
      </c>
      <c r="CV26" s="22">
        <f t="shared" si="48"/>
        <v>6384.4878617951745</v>
      </c>
      <c r="CW26" s="22">
        <f t="shared" si="48"/>
        <v>6416.4103011041498</v>
      </c>
      <c r="CX26" s="22">
        <f t="shared" si="48"/>
        <v>6448.49235260967</v>
      </c>
      <c r="CY26" s="22">
        <f t="shared" si="48"/>
        <v>6480.7348143727177</v>
      </c>
      <c r="CZ26" s="22">
        <f t="shared" si="48"/>
        <v>6513.1384884445806</v>
      </c>
      <c r="DA26" s="22">
        <f t="shared" si="48"/>
        <v>6545.7041808868025</v>
      </c>
      <c r="DB26" s="22">
        <f t="shared" si="48"/>
        <v>6578.4327017912356</v>
      </c>
      <c r="DC26" s="22">
        <f t="shared" si="48"/>
        <v>6611.324865300191</v>
      </c>
      <c r="DD26" s="22">
        <f t="shared" si="48"/>
        <v>6644.3814896266913</v>
      </c>
      <c r="DE26" s="22">
        <f t="shared" si="48"/>
        <v>6677.603397074824</v>
      </c>
      <c r="DF26" s="22">
        <f t="shared" si="48"/>
        <v>6710.9914140601977</v>
      </c>
      <c r="DG26" s="22">
        <f t="shared" si="48"/>
        <v>6744.5463711304983</v>
      </c>
      <c r="DH26" s="22">
        <f t="shared" si="48"/>
        <v>6778.2691029861498</v>
      </c>
      <c r="DI26" s="22">
        <f t="shared" si="48"/>
        <v>6812.1604485010803</v>
      </c>
      <c r="DJ26" s="22">
        <f t="shared" si="48"/>
        <v>6846.2212507435852</v>
      </c>
      <c r="DK26" s="22">
        <f t="shared" si="48"/>
        <v>6880.4523569973026</v>
      </c>
      <c r="DL26" s="22">
        <f t="shared" si="48"/>
        <v>6914.8546187822885</v>
      </c>
      <c r="DM26" s="22">
        <f t="shared" si="48"/>
        <v>6949.4288918761995</v>
      </c>
      <c r="DN26" s="22">
        <f t="shared" si="48"/>
        <v>6984.1760363355797</v>
      </c>
      <c r="DO26" s="22">
        <f t="shared" si="48"/>
        <v>7019.0969165172573</v>
      </c>
      <c r="DP26" s="22">
        <f t="shared" si="48"/>
        <v>7054.1924010998428</v>
      </c>
      <c r="DQ26" s="22">
        <f t="shared" si="48"/>
        <v>7089.4633631053412</v>
      </c>
      <c r="DR26" s="22">
        <f t="shared" si="48"/>
        <v>7124.9106799208676</v>
      </c>
      <c r="DS26" s="22">
        <f t="shared" si="48"/>
        <v>7160.535233320471</v>
      </c>
      <c r="DT26" s="22">
        <f t="shared" si="48"/>
        <v>7196.3379094870725</v>
      </c>
      <c r="DU26" s="22">
        <f t="shared" si="48"/>
        <v>7232.3195990345066</v>
      </c>
      <c r="DV26" s="22">
        <f t="shared" si="48"/>
        <v>7268.4811970296787</v>
      </c>
      <c r="DW26" s="22">
        <f t="shared" si="48"/>
        <v>7304.8236030148264</v>
      </c>
      <c r="DX26" s="22">
        <f t="shared" si="48"/>
        <v>7341.3477210298997</v>
      </c>
      <c r="DY26" s="22">
        <f t="shared" si="48"/>
        <v>7378.0544596350483</v>
      </c>
      <c r="DZ26" s="22">
        <f t="shared" si="48"/>
        <v>7414.944731933223</v>
      </c>
      <c r="EA26" s="22">
        <f t="shared" si="48"/>
        <v>7452.0194555928883</v>
      </c>
      <c r="EB26" s="22">
        <f t="shared" si="48"/>
        <v>7489.2795528708521</v>
      </c>
      <c r="EC26" s="22">
        <f t="shared" si="48"/>
        <v>7526.7259506352057</v>
      </c>
      <c r="ED26" s="22">
        <f t="shared" si="48"/>
        <v>7564.3595803883809</v>
      </c>
      <c r="EE26" s="22">
        <f t="shared" si="48"/>
        <v>7602.1813782903218</v>
      </c>
      <c r="EF26" s="22">
        <f t="shared" si="48"/>
        <v>7640.1922851817726</v>
      </c>
      <c r="EG26" s="22">
        <f t="shared" si="48"/>
        <v>7678.3932466076803</v>
      </c>
      <c r="EH26" s="22">
        <f t="shared" si="48"/>
        <v>7716.7852128407176</v>
      </c>
      <c r="EI26" s="22">
        <f t="shared" si="48"/>
        <v>7755.36913890492</v>
      </c>
      <c r="EJ26" s="22">
        <f t="shared" si="48"/>
        <v>7794.1459845994441</v>
      </c>
      <c r="EK26" s="22">
        <f t="shared" si="48"/>
        <v>7833.1167145224408</v>
      </c>
      <c r="EL26" s="22">
        <f t="shared" si="48"/>
        <v>7872.2822980950523</v>
      </c>
      <c r="EM26" s="22">
        <f t="shared" si="48"/>
        <v>7911.6437095855263</v>
      </c>
      <c r="EN26" s="22">
        <f t="shared" si="48"/>
        <v>7951.2019281334533</v>
      </c>
      <c r="EO26" s="22">
        <f t="shared" si="48"/>
        <v>7990.9579377741193</v>
      </c>
      <c r="EP26" s="22">
        <f t="shared" si="48"/>
        <v>8030.9127274629891</v>
      </c>
      <c r="EQ26" s="22">
        <f t="shared" si="48"/>
        <v>8071.067291100303</v>
      </c>
      <c r="ER26" s="22">
        <f t="shared" si="48"/>
        <v>8111.422627555804</v>
      </c>
      <c r="ES26" s="22">
        <f t="shared" si="48"/>
        <v>8151.9797406935822</v>
      </c>
      <c r="ET26" s="22">
        <f t="shared" ref="ET26:HE26" si="49">ES26*($F$2+1)</f>
        <v>8192.7396393970484</v>
      </c>
      <c r="EU26" s="22">
        <f t="shared" si="49"/>
        <v>8233.7033375940337</v>
      </c>
      <c r="EV26" s="22">
        <f t="shared" si="49"/>
        <v>8274.8718542820025</v>
      </c>
      <c r="EW26" s="22">
        <f t="shared" si="49"/>
        <v>8316.2462135534115</v>
      </c>
      <c r="EX26" s="22">
        <f t="shared" si="49"/>
        <v>8357.8274446211781</v>
      </c>
      <c r="EY26" s="22">
        <f t="shared" si="49"/>
        <v>8399.6165818442823</v>
      </c>
      <c r="EZ26" s="22">
        <f t="shared" si="49"/>
        <v>8441.6146647535024</v>
      </c>
      <c r="FA26" s="22">
        <f t="shared" si="49"/>
        <v>8483.8227380772696</v>
      </c>
      <c r="FB26" s="22">
        <f t="shared" si="49"/>
        <v>8526.2418517676542</v>
      </c>
      <c r="FC26" s="22">
        <f t="shared" si="49"/>
        <v>8568.873061026492</v>
      </c>
      <c r="FD26" s="22">
        <f t="shared" si="49"/>
        <v>8611.7174263316228</v>
      </c>
      <c r="FE26" s="22">
        <f t="shared" si="49"/>
        <v>8654.7760134632808</v>
      </c>
      <c r="FF26" s="22">
        <f t="shared" si="49"/>
        <v>8698.0498935305968</v>
      </c>
      <c r="FG26" s="22">
        <f t="shared" si="49"/>
        <v>8741.5401429982485</v>
      </c>
      <c r="FH26" s="22">
        <f t="shared" si="49"/>
        <v>8785.2478437132395</v>
      </c>
      <c r="FI26" s="22">
        <f t="shared" si="49"/>
        <v>8829.1740829318042</v>
      </c>
      <c r="FJ26" s="22">
        <f t="shared" si="49"/>
        <v>8873.3199533464631</v>
      </c>
      <c r="FK26" s="22">
        <f t="shared" si="49"/>
        <v>8917.6865531131953</v>
      </c>
      <c r="FL26" s="22">
        <f t="shared" si="49"/>
        <v>8962.2749858787611</v>
      </c>
      <c r="FM26" s="22">
        <f t="shared" si="49"/>
        <v>9007.0863608081545</v>
      </c>
      <c r="FN26" s="22">
        <f t="shared" si="49"/>
        <v>9052.1217926121935</v>
      </c>
      <c r="FO26" s="22">
        <f t="shared" si="49"/>
        <v>9097.3824015752543</v>
      </c>
      <c r="FP26" s="22">
        <f t="shared" si="49"/>
        <v>9142.869313583129</v>
      </c>
      <c r="FQ26" s="22">
        <f t="shared" si="49"/>
        <v>9188.5836601510437</v>
      </c>
      <c r="FR26" s="22">
        <f t="shared" si="49"/>
        <v>9234.5265784517978</v>
      </c>
      <c r="FS26" s="22">
        <f t="shared" si="49"/>
        <v>9280.6992113440556</v>
      </c>
      <c r="FT26" s="22">
        <f t="shared" si="49"/>
        <v>9327.1027074007743</v>
      </c>
      <c r="FU26" s="22">
        <f t="shared" si="49"/>
        <v>9373.7382209377774</v>
      </c>
      <c r="FV26" s="22">
        <f t="shared" si="49"/>
        <v>9420.6069120424654</v>
      </c>
      <c r="FW26" s="22">
        <f t="shared" si="49"/>
        <v>9467.7099466026775</v>
      </c>
      <c r="FX26" s="22">
        <f t="shared" si="49"/>
        <v>9515.0484963356903</v>
      </c>
      <c r="FY26" s="22">
        <f t="shared" si="49"/>
        <v>9562.6237388173686</v>
      </c>
      <c r="FZ26" s="22">
        <f t="shared" si="49"/>
        <v>9610.4368575114549</v>
      </c>
      <c r="GA26" s="22">
        <f t="shared" si="49"/>
        <v>9658.4890417990118</v>
      </c>
      <c r="GB26" s="22">
        <f t="shared" si="49"/>
        <v>9706.7814870080056</v>
      </c>
      <c r="GC26" s="22">
        <f t="shared" si="49"/>
        <v>9755.3153944430451</v>
      </c>
      <c r="GD26" s="22">
        <f t="shared" si="49"/>
        <v>9804.0919714152587</v>
      </c>
      <c r="GE26" s="22">
        <f t="shared" si="49"/>
        <v>9853.1124312723332</v>
      </c>
      <c r="GF26" s="22">
        <f t="shared" si="49"/>
        <v>9902.377993428694</v>
      </c>
      <c r="GG26" s="22">
        <f t="shared" si="49"/>
        <v>9951.8898833958356</v>
      </c>
      <c r="GH26" s="22">
        <f t="shared" si="49"/>
        <v>10001.649332812814</v>
      </c>
      <c r="GI26" s="22">
        <f t="shared" si="49"/>
        <v>10051.657579476878</v>
      </c>
      <c r="GJ26" s="22">
        <f t="shared" si="49"/>
        <v>10101.91586737426</v>
      </c>
      <c r="GK26" s="22">
        <f t="shared" si="49"/>
        <v>10152.425446711131</v>
      </c>
      <c r="GL26" s="22">
        <f t="shared" si="49"/>
        <v>10203.187573944686</v>
      </c>
      <c r="GM26" s="22">
        <f t="shared" si="49"/>
        <v>10254.203511814409</v>
      </c>
      <c r="GN26" s="22">
        <f t="shared" si="49"/>
        <v>10305.47452937348</v>
      </c>
      <c r="GO26" s="22">
        <f t="shared" si="49"/>
        <v>10357.001902020345</v>
      </c>
      <c r="GP26" s="22">
        <f t="shared" si="49"/>
        <v>10408.786911530446</v>
      </c>
      <c r="GQ26" s="22">
        <f t="shared" si="49"/>
        <v>10460.830846088096</v>
      </c>
      <c r="GR26" s="22">
        <f t="shared" si="49"/>
        <v>10513.135000318536</v>
      </c>
      <c r="GS26" s="22">
        <f t="shared" si="49"/>
        <v>10565.700675320128</v>
      </c>
      <c r="GT26" s="22">
        <f t="shared" si="49"/>
        <v>10618.529178696726</v>
      </c>
      <c r="GU26" s="22">
        <f t="shared" si="49"/>
        <v>10671.621824590209</v>
      </c>
      <c r="GV26" s="22">
        <f t="shared" si="49"/>
        <v>10724.979933713159</v>
      </c>
      <c r="GW26" s="22">
        <f t="shared" si="49"/>
        <v>10778.604833381723</v>
      </c>
      <c r="GX26" s="22">
        <f t="shared" si="49"/>
        <v>10832.497857548631</v>
      </c>
      <c r="GY26" s="22">
        <f t="shared" si="49"/>
        <v>10886.660346836374</v>
      </c>
      <c r="GZ26" s="22">
        <f t="shared" si="49"/>
        <v>10941.093648570555</v>
      </c>
      <c r="HA26" s="22">
        <f t="shared" si="49"/>
        <v>10995.799116813407</v>
      </c>
      <c r="HB26" s="22">
        <f t="shared" si="49"/>
        <v>11050.778112397473</v>
      </c>
      <c r="HC26" s="22">
        <f t="shared" si="49"/>
        <v>11106.032002959459</v>
      </c>
      <c r="HD26" s="22">
        <f t="shared" si="49"/>
        <v>11161.562162974255</v>
      </c>
      <c r="HE26" s="22">
        <f t="shared" si="49"/>
        <v>11217.369973789124</v>
      </c>
      <c r="HF26" s="22">
        <f t="shared" ref="HF26:IK26" si="50">HE26*($F$2+1)</f>
        <v>11273.456823658069</v>
      </c>
      <c r="HG26" s="22">
        <f t="shared" si="50"/>
        <v>11329.824107776358</v>
      </c>
      <c r="HH26" s="22">
        <f t="shared" si="50"/>
        <v>11386.473228315239</v>
      </c>
      <c r="HI26" s="22">
        <f t="shared" si="50"/>
        <v>11443.405594456814</v>
      </c>
      <c r="HJ26" s="22">
        <f t="shared" si="50"/>
        <v>11500.622622429097</v>
      </c>
      <c r="HK26" s="22">
        <f t="shared" si="50"/>
        <v>11558.125735541242</v>
      </c>
      <c r="HL26" s="22">
        <f t="shared" si="50"/>
        <v>11615.916364218947</v>
      </c>
      <c r="HM26" s="22">
        <f t="shared" si="50"/>
        <v>11673.995946040041</v>
      </c>
      <c r="HN26" s="22">
        <f t="shared" si="50"/>
        <v>11732.36592577024</v>
      </c>
      <c r="HO26" s="22">
        <f t="shared" si="50"/>
        <v>11791.027755399091</v>
      </c>
      <c r="HP26" s="22">
        <f t="shared" si="50"/>
        <v>11849.982894176084</v>
      </c>
      <c r="HQ26" s="22">
        <f t="shared" si="50"/>
        <v>11909.232808646964</v>
      </c>
      <c r="HR26" s="22">
        <f t="shared" si="50"/>
        <v>11968.778972690197</v>
      </c>
      <c r="HS26" s="22">
        <f t="shared" si="50"/>
        <v>12028.622867553648</v>
      </c>
      <c r="HT26" s="22">
        <f t="shared" si="50"/>
        <v>12088.765981891414</v>
      </c>
      <c r="HU26" s="22">
        <f t="shared" si="50"/>
        <v>12149.209811800871</v>
      </c>
      <c r="HV26" s="22">
        <f t="shared" si="50"/>
        <v>12209.955860859875</v>
      </c>
      <c r="HW26" s="22">
        <f t="shared" si="50"/>
        <v>12271.005640164172</v>
      </c>
      <c r="HX26" s="22">
        <f t="shared" si="50"/>
        <v>12332.360668364992</v>
      </c>
      <c r="HY26" s="22">
        <f t="shared" si="50"/>
        <v>12394.022471706816</v>
      </c>
      <c r="HZ26" s="22">
        <f t="shared" si="50"/>
        <v>12455.992584065349</v>
      </c>
      <c r="IA26" s="22">
        <f t="shared" si="50"/>
        <v>12518.272546985674</v>
      </c>
      <c r="IB26" s="22">
        <f t="shared" si="50"/>
        <v>12580.863909720601</v>
      </c>
      <c r="IC26" s="22">
        <f t="shared" si="50"/>
        <v>12643.768229269202</v>
      </c>
      <c r="ID26" s="22">
        <f t="shared" si="50"/>
        <v>12706.987070415547</v>
      </c>
      <c r="IE26" s="22">
        <f t="shared" si="50"/>
        <v>12770.522005767623</v>
      </c>
      <c r="IF26" s="22">
        <f t="shared" si="50"/>
        <v>12834.37461579646</v>
      </c>
      <c r="IG26" s="22">
        <f t="shared" si="50"/>
        <v>12898.546488875441</v>
      </c>
      <c r="IH26" s="22">
        <f t="shared" si="50"/>
        <v>12963.039221319817</v>
      </c>
      <c r="II26" s="22">
        <f t="shared" si="50"/>
        <v>13027.854417426415</v>
      </c>
      <c r="IJ26" s="22">
        <f t="shared" si="50"/>
        <v>13092.993689513545</v>
      </c>
      <c r="IK26" s="22">
        <f t="shared" si="50"/>
        <v>13158.458657961111</v>
      </c>
    </row>
    <row r="27" spans="1:245" x14ac:dyDescent="0.15">
      <c r="A27" s="1" t="s">
        <v>16</v>
      </c>
      <c r="B27" s="23">
        <f>B26/B28</f>
        <v>-5.610465857039876</v>
      </c>
      <c r="C27" s="23">
        <f>C26/C28</f>
        <v>-1.5480922812682731</v>
      </c>
      <c r="D27" s="23">
        <f>D26/D28</f>
        <v>-2.0619910412167206</v>
      </c>
      <c r="E27" s="23">
        <f>E26/E28</f>
        <v>-2.0200835541520981</v>
      </c>
      <c r="F27" s="23">
        <f>F26/F28</f>
        <v>-0.23177088524503334</v>
      </c>
      <c r="G27" s="23">
        <f>G26/G28</f>
        <v>-0.58382352941176474</v>
      </c>
      <c r="H27" s="18">
        <f t="shared" ref="G27:H27" si="51">H26/H28</f>
        <v>-0.21722058823529372</v>
      </c>
      <c r="I27" s="18">
        <f t="shared" ref="I27:Q27" si="52">I26/I28</f>
        <v>3.2267562500000686E-2</v>
      </c>
      <c r="J27" s="18">
        <f t="shared" si="52"/>
        <v>0.34979798334375178</v>
      </c>
      <c r="K27" s="18">
        <f t="shared" si="52"/>
        <v>0.80050276582248681</v>
      </c>
      <c r="L27" s="18">
        <f t="shared" si="52"/>
        <v>1.4267701221719864</v>
      </c>
      <c r="M27" s="18">
        <f t="shared" si="52"/>
        <v>1.8595040469974642</v>
      </c>
      <c r="N27" s="18">
        <f t="shared" si="52"/>
        <v>2.3801892723828706</v>
      </c>
      <c r="O27" s="18">
        <f t="shared" si="52"/>
        <v>3.0043325542508876</v>
      </c>
      <c r="P27" s="18">
        <f t="shared" si="52"/>
        <v>3.7499981524835388</v>
      </c>
      <c r="Q27" s="18">
        <f t="shared" si="52"/>
        <v>4.6382146062913172</v>
      </c>
      <c r="R27" s="18">
        <f t="shared" ref="R27:T27" si="53">R26/R28</f>
        <v>4.9508660536729918</v>
      </c>
      <c r="S27" s="18">
        <f t="shared" si="53"/>
        <v>5.2788696069546415</v>
      </c>
      <c r="T27" s="18">
        <f t="shared" si="53"/>
        <v>5.6230098227175533</v>
      </c>
      <c r="U27" s="18">
        <f t="shared" ref="U27:V27" si="54">U26/U28</f>
        <v>5.9841102427530037</v>
      </c>
      <c r="V27" s="18">
        <f t="shared" si="54"/>
        <v>6.3630353489945666</v>
      </c>
    </row>
    <row r="28" spans="1:245" x14ac:dyDescent="0.15">
      <c r="A28" s="1" t="s">
        <v>17</v>
      </c>
      <c r="B28" s="5">
        <v>95.713977</v>
      </c>
      <c r="C28" s="5">
        <v>97.539405000000002</v>
      </c>
      <c r="D28" s="5">
        <v>100.388409</v>
      </c>
      <c r="E28" s="5">
        <v>102.966038</v>
      </c>
      <c r="F28" s="5">
        <f>Reports!M21</f>
        <v>556.58414500000003</v>
      </c>
      <c r="G28" s="5">
        <v>680</v>
      </c>
      <c r="H28" s="5">
        <f t="shared" ref="H28" si="55">G28</f>
        <v>680</v>
      </c>
      <c r="I28" s="5">
        <f t="shared" ref="I28" si="56">H28</f>
        <v>680</v>
      </c>
      <c r="J28" s="5">
        <f t="shared" ref="J28" si="57">I28</f>
        <v>680</v>
      </c>
      <c r="K28" s="5">
        <f t="shared" ref="K28" si="58">J28</f>
        <v>680</v>
      </c>
      <c r="L28" s="5">
        <f t="shared" ref="L28" si="59">K28</f>
        <v>680</v>
      </c>
      <c r="M28" s="5">
        <f t="shared" ref="M28" si="60">L28</f>
        <v>680</v>
      </c>
      <c r="N28" s="5">
        <f t="shared" ref="N28" si="61">M28</f>
        <v>680</v>
      </c>
      <c r="O28" s="5">
        <f t="shared" ref="O28" si="62">N28</f>
        <v>680</v>
      </c>
      <c r="P28" s="5">
        <f t="shared" ref="P28" si="63">O28</f>
        <v>680</v>
      </c>
      <c r="Q28" s="5">
        <f t="shared" ref="Q28:V28" si="64">P28</f>
        <v>680</v>
      </c>
      <c r="R28" s="5">
        <f t="shared" si="64"/>
        <v>680</v>
      </c>
      <c r="S28" s="5">
        <f t="shared" si="64"/>
        <v>680</v>
      </c>
      <c r="T28" s="5">
        <f t="shared" si="64"/>
        <v>680</v>
      </c>
      <c r="U28" s="5">
        <f t="shared" si="64"/>
        <v>680</v>
      </c>
      <c r="V28" s="5">
        <f t="shared" si="64"/>
        <v>680</v>
      </c>
    </row>
    <row r="29" spans="1:245" x14ac:dyDescent="0.1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45" x14ac:dyDescent="0.15">
      <c r="A30" s="1" t="s">
        <v>19</v>
      </c>
      <c r="B30" s="21">
        <f t="shared" ref="B30:C30" si="65">IFERROR(B17/B15,0)</f>
        <v>0.45833333333333331</v>
      </c>
      <c r="C30" s="21">
        <f t="shared" si="65"/>
        <v>0.70561797752808986</v>
      </c>
      <c r="D30" s="21">
        <f t="shared" ref="D30:Q30" si="66">IFERROR(D17/D15,0)</f>
        <v>0.81380563124432337</v>
      </c>
      <c r="E30" s="21">
        <f t="shared" si="66"/>
        <v>0.83912037037037035</v>
      </c>
      <c r="F30" s="21">
        <f t="shared" si="66"/>
        <v>0.76696475539189901</v>
      </c>
      <c r="G30" s="21">
        <f t="shared" si="66"/>
        <v>0.6273120818575364</v>
      </c>
      <c r="H30" s="21">
        <f t="shared" si="66"/>
        <v>0.6273120818575364</v>
      </c>
      <c r="I30" s="21">
        <f t="shared" si="66"/>
        <v>0.6273120818575364</v>
      </c>
      <c r="J30" s="21">
        <f t="shared" si="66"/>
        <v>0.6273120818575364</v>
      </c>
      <c r="K30" s="21">
        <f t="shared" si="66"/>
        <v>0.6273120818575364</v>
      </c>
      <c r="L30" s="21">
        <f t="shared" si="66"/>
        <v>0.6273120818575364</v>
      </c>
      <c r="M30" s="21">
        <f t="shared" si="66"/>
        <v>0.6273120818575364</v>
      </c>
      <c r="N30" s="21">
        <f t="shared" si="66"/>
        <v>0.6273120818575364</v>
      </c>
      <c r="O30" s="21">
        <f t="shared" si="66"/>
        <v>0.6273120818575364</v>
      </c>
      <c r="P30" s="21">
        <f t="shared" si="66"/>
        <v>0.6273120818575364</v>
      </c>
      <c r="Q30" s="21">
        <f t="shared" si="66"/>
        <v>0.6273120818575364</v>
      </c>
      <c r="R30" s="21">
        <f t="shared" ref="R30:T30" si="67">IFERROR(R17/R15,0)</f>
        <v>0.6273120818575364</v>
      </c>
      <c r="S30" s="21">
        <f t="shared" si="67"/>
        <v>0.6273120818575364</v>
      </c>
      <c r="T30" s="21">
        <f t="shared" si="67"/>
        <v>0.6273120818575364</v>
      </c>
      <c r="U30" s="21">
        <f t="shared" ref="U30:V30" si="68">IFERROR(U17/U15,0)</f>
        <v>0.6273120818575364</v>
      </c>
      <c r="V30" s="21">
        <f t="shared" si="68"/>
        <v>0.6273120818575364</v>
      </c>
    </row>
    <row r="31" spans="1:245" x14ac:dyDescent="0.15">
      <c r="A31" s="1" t="s">
        <v>20</v>
      </c>
      <c r="B31" s="20">
        <f t="shared" ref="B31:C31" si="69">IFERROR(B22/B15,0)</f>
        <v>-3.625</v>
      </c>
      <c r="C31" s="20">
        <f t="shared" si="69"/>
        <v>-0.31685393258426964</v>
      </c>
      <c r="D31" s="20">
        <f t="shared" ref="D31:Q31" si="70">IFERROR(D22/D15,0)</f>
        <v>-0.1335149863760218</v>
      </c>
      <c r="E31" s="20">
        <f t="shared" si="70"/>
        <v>-0.12905092592592593</v>
      </c>
      <c r="F31" s="20">
        <f t="shared" si="70"/>
        <v>-7.5749605470804837E-2</v>
      </c>
      <c r="G31" s="20">
        <f t="shared" si="70"/>
        <v>-0.11216056670602124</v>
      </c>
      <c r="H31" s="20">
        <f t="shared" si="70"/>
        <v>-5.2588925028738097E-2</v>
      </c>
      <c r="I31" s="20">
        <f t="shared" si="70"/>
        <v>1.4660349840489196E-3</v>
      </c>
      <c r="J31" s="20">
        <f t="shared" si="70"/>
        <v>5.0501720943142654E-2</v>
      </c>
      <c r="K31" s="20">
        <f t="shared" si="70"/>
        <v>9.497022346121016E-2</v>
      </c>
      <c r="L31" s="20">
        <f t="shared" si="70"/>
        <v>0.13528243298046772</v>
      </c>
      <c r="M31" s="20">
        <f t="shared" si="70"/>
        <v>0.15318453296429246</v>
      </c>
      <c r="N31" s="20">
        <f t="shared" si="70"/>
        <v>0.17030828077490751</v>
      </c>
      <c r="O31" s="20">
        <f t="shared" si="70"/>
        <v>0.18668751781114795</v>
      </c>
      <c r="P31" s="20">
        <f t="shared" si="70"/>
        <v>0.20235461410668243</v>
      </c>
      <c r="Q31" s="20">
        <f t="shared" si="70"/>
        <v>0.21734053230241093</v>
      </c>
      <c r="R31" s="20">
        <f t="shared" ref="R31:T31" si="71">IFERROR(R22/R15,0)</f>
        <v>0.21956509178477832</v>
      </c>
      <c r="S31" s="20">
        <f t="shared" si="71"/>
        <v>0.22164134730165466</v>
      </c>
      <c r="T31" s="20">
        <f t="shared" si="71"/>
        <v>0.22357918578407243</v>
      </c>
      <c r="U31" s="20">
        <f t="shared" ref="U31:V31" si="72">IFERROR(U22/U15,0)</f>
        <v>0.22538783503432913</v>
      </c>
      <c r="V31" s="20">
        <f t="shared" si="72"/>
        <v>0.22707590766790206</v>
      </c>
    </row>
    <row r="32" spans="1:245" x14ac:dyDescent="0.15">
      <c r="A32" s="1" t="s">
        <v>21</v>
      </c>
      <c r="B32" s="20">
        <f t="shared" ref="B32:C32" si="73">IFERROR(B25/B24,0)</f>
        <v>0</v>
      </c>
      <c r="C32" s="20">
        <f t="shared" si="73"/>
        <v>0</v>
      </c>
      <c r="D32" s="20">
        <f t="shared" ref="D32:Q32" si="74">IFERROR(D25/D24,0)</f>
        <v>0</v>
      </c>
      <c r="E32" s="20">
        <f t="shared" si="74"/>
        <v>0</v>
      </c>
      <c r="F32" s="20">
        <f t="shared" si="74"/>
        <v>-7.8125E-3</v>
      </c>
      <c r="G32" s="20">
        <f t="shared" si="74"/>
        <v>0</v>
      </c>
      <c r="H32" s="20">
        <f t="shared" si="74"/>
        <v>0</v>
      </c>
      <c r="I32" s="20">
        <f t="shared" si="74"/>
        <v>0.15</v>
      </c>
      <c r="J32" s="20">
        <f t="shared" si="74"/>
        <v>0.15</v>
      </c>
      <c r="K32" s="20">
        <f t="shared" si="74"/>
        <v>0.15</v>
      </c>
      <c r="L32" s="20">
        <f t="shared" si="74"/>
        <v>0.15</v>
      </c>
      <c r="M32" s="20">
        <f t="shared" si="74"/>
        <v>0.15</v>
      </c>
      <c r="N32" s="20">
        <f t="shared" si="74"/>
        <v>0.15</v>
      </c>
      <c r="O32" s="20">
        <f t="shared" si="74"/>
        <v>0.15</v>
      </c>
      <c r="P32" s="20">
        <f t="shared" si="74"/>
        <v>0.15</v>
      </c>
      <c r="Q32" s="20">
        <f t="shared" si="74"/>
        <v>0.15</v>
      </c>
      <c r="R32" s="20">
        <f t="shared" ref="R32:T32" si="75">IFERROR(R25/R24,0)</f>
        <v>0.15</v>
      </c>
      <c r="S32" s="20">
        <f t="shared" si="75"/>
        <v>0.15</v>
      </c>
      <c r="T32" s="20">
        <f t="shared" si="75"/>
        <v>0.15</v>
      </c>
      <c r="U32" s="20">
        <f t="shared" ref="U32:V32" si="76">IFERROR(U25/U24,0)</f>
        <v>0.15</v>
      </c>
      <c r="V32" s="20">
        <f t="shared" si="76"/>
        <v>0.15</v>
      </c>
    </row>
    <row r="33" spans="1:22" x14ac:dyDescent="0.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15">
      <c r="A34" s="15" t="s">
        <v>18</v>
      </c>
      <c r="B34" s="19"/>
      <c r="C34" s="19">
        <f t="shared" ref="C34:H34" si="77">C15/B15-1</f>
        <v>2.0902777777777777</v>
      </c>
      <c r="D34" s="19">
        <f t="shared" si="77"/>
        <v>1.4741573033707867</v>
      </c>
      <c r="E34" s="19">
        <f t="shared" si="77"/>
        <v>0.56948228882833796</v>
      </c>
      <c r="F34" s="19">
        <f t="shared" si="77"/>
        <v>0.1001157407407407</v>
      </c>
      <c r="G34" s="19">
        <f t="shared" si="77"/>
        <v>0.33666491320357705</v>
      </c>
      <c r="H34" s="19">
        <f>H15/G15-1</f>
        <v>0.26500000000000012</v>
      </c>
      <c r="I34" s="19">
        <f>I15/H15-1</f>
        <v>0.26500000000000012</v>
      </c>
      <c r="J34" s="19">
        <f t="shared" ref="I34:V34" si="78">J15/I15-1</f>
        <v>0.2649999999999999</v>
      </c>
      <c r="K34" s="19">
        <f t="shared" si="78"/>
        <v>0.26500000000000012</v>
      </c>
      <c r="L34" s="19">
        <f t="shared" si="78"/>
        <v>0.2649999999999999</v>
      </c>
      <c r="M34" s="19">
        <f t="shared" si="78"/>
        <v>0.14999999999999991</v>
      </c>
      <c r="N34" s="19">
        <f t="shared" si="78"/>
        <v>0.14999999999999991</v>
      </c>
      <c r="O34" s="19">
        <f t="shared" si="78"/>
        <v>0.14999999999999991</v>
      </c>
      <c r="P34" s="19">
        <f t="shared" si="78"/>
        <v>0.14999999999999991</v>
      </c>
      <c r="Q34" s="19">
        <f t="shared" si="78"/>
        <v>0.14999999999999991</v>
      </c>
      <c r="R34" s="19">
        <f t="shared" si="78"/>
        <v>5.0000000000000044E-2</v>
      </c>
      <c r="S34" s="19">
        <f t="shared" si="78"/>
        <v>5.0000000000000044E-2</v>
      </c>
      <c r="T34" s="19">
        <f t="shared" si="78"/>
        <v>5.0000000000000044E-2</v>
      </c>
      <c r="U34" s="19">
        <f t="shared" si="78"/>
        <v>5.0000000000000044E-2</v>
      </c>
      <c r="V34" s="19">
        <f t="shared" si="78"/>
        <v>5.0000000000000044E-2</v>
      </c>
    </row>
    <row r="35" spans="1:22" x14ac:dyDescent="0.15">
      <c r="A35" s="1" t="s">
        <v>42</v>
      </c>
      <c r="B35" s="20"/>
      <c r="C35" s="20">
        <f t="shared" ref="C35:V35" si="79">C18/B18-1</f>
        <v>0.66666666666666674</v>
      </c>
      <c r="D35" s="20">
        <f t="shared" si="79"/>
        <v>1.7999999999999998</v>
      </c>
      <c r="E35" s="20">
        <f t="shared" si="79"/>
        <v>0.60714285714285721</v>
      </c>
      <c r="F35" s="20">
        <f t="shared" si="79"/>
        <v>0.64444444444444438</v>
      </c>
      <c r="G35" s="20">
        <f t="shared" si="79"/>
        <v>0.40540540540540548</v>
      </c>
      <c r="H35" s="20">
        <f t="shared" si="79"/>
        <v>0.30000000000000027</v>
      </c>
      <c r="I35" s="20">
        <f t="shared" si="79"/>
        <v>0.30000000000000004</v>
      </c>
      <c r="J35" s="20">
        <f t="shared" si="79"/>
        <v>0.30000000000000004</v>
      </c>
      <c r="K35" s="20">
        <f t="shared" si="79"/>
        <v>0.30000000000000004</v>
      </c>
      <c r="L35" s="20">
        <f t="shared" si="79"/>
        <v>0.30000000000000004</v>
      </c>
      <c r="M35" s="20">
        <f t="shared" si="79"/>
        <v>0.14999999999999991</v>
      </c>
      <c r="N35" s="20">
        <f t="shared" si="79"/>
        <v>0.14999999999999991</v>
      </c>
      <c r="O35" s="20">
        <f t="shared" si="79"/>
        <v>0.14999999999999991</v>
      </c>
      <c r="P35" s="20">
        <f t="shared" si="79"/>
        <v>0.14999999999999991</v>
      </c>
      <c r="Q35" s="20">
        <f t="shared" si="79"/>
        <v>0.14999999999999991</v>
      </c>
      <c r="R35" s="20">
        <f t="shared" si="79"/>
        <v>5.0000000000000044E-2</v>
      </c>
      <c r="S35" s="20">
        <f t="shared" si="79"/>
        <v>5.0000000000000044E-2</v>
      </c>
      <c r="T35" s="20">
        <f t="shared" si="79"/>
        <v>5.0000000000000044E-2</v>
      </c>
      <c r="U35" s="20">
        <f t="shared" si="79"/>
        <v>5.0000000000000044E-2</v>
      </c>
      <c r="V35" s="20">
        <f t="shared" si="79"/>
        <v>5.0000000000000044E-2</v>
      </c>
    </row>
    <row r="36" spans="1:22" x14ac:dyDescent="0.15">
      <c r="A36" s="1" t="s">
        <v>43</v>
      </c>
      <c r="B36" s="20"/>
      <c r="C36" s="20">
        <f t="shared" ref="C36:V36" si="80">C19/B19-1</f>
        <v>-0.23571428571428577</v>
      </c>
      <c r="D36" s="20">
        <f t="shared" si="80"/>
        <v>1.3107476635514019</v>
      </c>
      <c r="E36" s="20">
        <f t="shared" si="80"/>
        <v>0.59352881698685533</v>
      </c>
      <c r="F36" s="20">
        <f t="shared" si="80"/>
        <v>-7.1700507614213205E-2</v>
      </c>
      <c r="G36" s="20">
        <f t="shared" si="80"/>
        <v>0.15174299384825707</v>
      </c>
      <c r="H36" s="20">
        <f t="shared" si="80"/>
        <v>0.14999999999999991</v>
      </c>
      <c r="I36" s="20">
        <f t="shared" si="80"/>
        <v>0.14999999999999991</v>
      </c>
      <c r="J36" s="20">
        <f t="shared" si="80"/>
        <v>0.14999999999999991</v>
      </c>
      <c r="K36" s="20">
        <f t="shared" si="80"/>
        <v>0.14999999999999991</v>
      </c>
      <c r="L36" s="20">
        <f t="shared" si="80"/>
        <v>0.14999999999999991</v>
      </c>
      <c r="M36" s="20">
        <f t="shared" si="80"/>
        <v>0.10000000000000009</v>
      </c>
      <c r="N36" s="20">
        <f t="shared" si="80"/>
        <v>0.10000000000000009</v>
      </c>
      <c r="O36" s="20">
        <f t="shared" si="80"/>
        <v>0.10000000000000009</v>
      </c>
      <c r="P36" s="20">
        <f t="shared" si="80"/>
        <v>0.10000000000000009</v>
      </c>
      <c r="Q36" s="20">
        <f t="shared" si="80"/>
        <v>0.10000000000000009</v>
      </c>
      <c r="R36" s="20">
        <f t="shared" si="80"/>
        <v>5.0000000000000044E-2</v>
      </c>
      <c r="S36" s="20">
        <f t="shared" si="80"/>
        <v>5.0000000000000044E-2</v>
      </c>
      <c r="T36" s="20">
        <f t="shared" si="80"/>
        <v>5.0000000000000044E-2</v>
      </c>
      <c r="U36" s="20">
        <f t="shared" si="80"/>
        <v>5.0000000000000044E-2</v>
      </c>
      <c r="V36" s="20">
        <f t="shared" si="80"/>
        <v>5.0000000000000044E-2</v>
      </c>
    </row>
    <row r="37" spans="1:22" x14ac:dyDescent="0.15">
      <c r="A37" s="1" t="s">
        <v>44</v>
      </c>
      <c r="B37" s="20"/>
      <c r="C37" s="20">
        <f t="shared" ref="C37:V37" si="81">C20/B20-1</f>
        <v>-0.22727272727272729</v>
      </c>
      <c r="D37" s="20">
        <f t="shared" si="81"/>
        <v>0.52941176470588225</v>
      </c>
      <c r="E37" s="20">
        <f t="shared" si="81"/>
        <v>1</v>
      </c>
      <c r="F37" s="20">
        <f t="shared" si="81"/>
        <v>0.25</v>
      </c>
      <c r="G37" s="20">
        <f t="shared" si="81"/>
        <v>0.38461538461538458</v>
      </c>
      <c r="H37" s="20">
        <f t="shared" si="81"/>
        <v>0.25</v>
      </c>
      <c r="I37" s="20">
        <f t="shared" si="81"/>
        <v>0.25</v>
      </c>
      <c r="J37" s="20">
        <f t="shared" si="81"/>
        <v>0.25</v>
      </c>
      <c r="K37" s="20">
        <f t="shared" si="81"/>
        <v>0.25</v>
      </c>
      <c r="L37" s="20">
        <f t="shared" si="81"/>
        <v>0.25</v>
      </c>
      <c r="M37" s="20">
        <f t="shared" si="81"/>
        <v>0.14999999999999991</v>
      </c>
      <c r="N37" s="20">
        <f t="shared" si="81"/>
        <v>0.14999999999999991</v>
      </c>
      <c r="O37" s="20">
        <f t="shared" si="81"/>
        <v>0.14999999999999991</v>
      </c>
      <c r="P37" s="20">
        <f t="shared" si="81"/>
        <v>0.14999999999999991</v>
      </c>
      <c r="Q37" s="20">
        <f t="shared" si="81"/>
        <v>0.14999999999999969</v>
      </c>
      <c r="R37" s="20">
        <f t="shared" si="81"/>
        <v>-2.0000000000000018E-2</v>
      </c>
      <c r="S37" s="20">
        <f t="shared" si="81"/>
        <v>-2.0000000000000129E-2</v>
      </c>
      <c r="T37" s="20">
        <f t="shared" si="81"/>
        <v>-2.0000000000000018E-2</v>
      </c>
      <c r="U37" s="20">
        <f t="shared" si="81"/>
        <v>-2.0000000000000018E-2</v>
      </c>
      <c r="V37" s="20">
        <f t="shared" si="81"/>
        <v>-2.0000000000000018E-2</v>
      </c>
    </row>
    <row r="38" spans="1:22" s="65" customFormat="1" x14ac:dyDescent="0.15">
      <c r="A38" s="65" t="s">
        <v>68</v>
      </c>
      <c r="B38" s="20"/>
      <c r="C38" s="20">
        <f>C21/B21-1</f>
        <v>-0.22619047619047616</v>
      </c>
      <c r="D38" s="20">
        <f>D21/C21-1</f>
        <v>1.2923076923076922</v>
      </c>
      <c r="E38" s="20">
        <f>E21/D21-1</f>
        <v>0.60402684563758391</v>
      </c>
      <c r="F38" s="20">
        <f t="shared" ref="F38:V38" si="82">F21/E21-1</f>
        <v>-4.2438732815301861E-2</v>
      </c>
      <c r="G38" s="20">
        <f t="shared" si="82"/>
        <v>0.17290886392009996</v>
      </c>
      <c r="H38" s="20">
        <f t="shared" si="82"/>
        <v>0.16309207025013306</v>
      </c>
      <c r="I38" s="20">
        <f t="shared" si="82"/>
        <v>0.16442723466562947</v>
      </c>
      <c r="J38" s="20">
        <f t="shared" si="82"/>
        <v>0.16588593984393629</v>
      </c>
      <c r="K38" s="20">
        <f t="shared" si="82"/>
        <v>0.16747634318464666</v>
      </c>
      <c r="L38" s="20">
        <f t="shared" si="82"/>
        <v>0.1692063962516821</v>
      </c>
      <c r="M38" s="20">
        <f t="shared" si="82"/>
        <v>0.10815818207625494</v>
      </c>
      <c r="N38" s="20">
        <f t="shared" si="82"/>
        <v>0.10846621857731087</v>
      </c>
      <c r="O38" s="20">
        <f t="shared" si="82"/>
        <v>0.10878344436730214</v>
      </c>
      <c r="P38" s="20">
        <f t="shared" si="82"/>
        <v>0.10910994935369112</v>
      </c>
      <c r="Q38" s="20">
        <f t="shared" si="82"/>
        <v>0.10944580991528374</v>
      </c>
      <c r="R38" s="20">
        <f t="shared" si="82"/>
        <v>4.430256207041583E-2</v>
      </c>
      <c r="S38" s="20">
        <f t="shared" si="82"/>
        <v>4.4653379802187976E-2</v>
      </c>
      <c r="T38" s="20">
        <f t="shared" si="82"/>
        <v>4.4984281011135163E-2</v>
      </c>
      <c r="U38" s="20">
        <f t="shared" si="82"/>
        <v>4.5296192776860256E-2</v>
      </c>
      <c r="V38" s="20">
        <f t="shared" si="82"/>
        <v>4.559002404243806E-2</v>
      </c>
    </row>
    <row r="39" spans="1:22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15" t="s">
        <v>25</v>
      </c>
      <c r="B40" s="3"/>
      <c r="C40" s="3"/>
      <c r="D40" s="3"/>
      <c r="E40" s="22">
        <f>E41-E42</f>
        <v>890</v>
      </c>
      <c r="F40" s="22">
        <f>F41-F42</f>
        <v>951</v>
      </c>
      <c r="G40" s="22">
        <f>G41-G42</f>
        <v>2133</v>
      </c>
      <c r="H40" s="17">
        <f t="shared" ref="H40:V40" si="83">G40+H26</f>
        <v>1985.2900000000002</v>
      </c>
      <c r="I40" s="17">
        <f t="shared" si="83"/>
        <v>2007.2319425000007</v>
      </c>
      <c r="J40" s="17">
        <f t="shared" si="83"/>
        <v>2245.0945711737518</v>
      </c>
      <c r="K40" s="17">
        <f t="shared" si="83"/>
        <v>2789.4364519330429</v>
      </c>
      <c r="L40" s="17">
        <f t="shared" si="83"/>
        <v>3759.6401350099936</v>
      </c>
      <c r="M40" s="17">
        <f t="shared" si="83"/>
        <v>5024.1028869682696</v>
      </c>
      <c r="N40" s="17">
        <f t="shared" si="83"/>
        <v>6642.6315921886217</v>
      </c>
      <c r="O40" s="17">
        <f t="shared" si="83"/>
        <v>8685.5777290792248</v>
      </c>
      <c r="P40" s="17">
        <f t="shared" si="83"/>
        <v>11235.576472768031</v>
      </c>
      <c r="Q40" s="17">
        <f t="shared" si="83"/>
        <v>14389.562405046127</v>
      </c>
      <c r="R40" s="17">
        <f t="shared" si="83"/>
        <v>17756.151321543759</v>
      </c>
      <c r="S40" s="17">
        <f t="shared" si="83"/>
        <v>21345.782654272916</v>
      </c>
      <c r="T40" s="17">
        <f t="shared" si="83"/>
        <v>25169.429333720851</v>
      </c>
      <c r="U40" s="17">
        <f t="shared" si="83"/>
        <v>29238.624298792893</v>
      </c>
      <c r="V40" s="17">
        <f t="shared" si="83"/>
        <v>33565.4883361092</v>
      </c>
    </row>
    <row r="41" spans="1:22" x14ac:dyDescent="0.15">
      <c r="A41" s="1" t="s">
        <v>26</v>
      </c>
      <c r="B41" s="3"/>
      <c r="C41" s="3"/>
      <c r="D41" s="3"/>
      <c r="E41" s="16">
        <f>Reports!I34</f>
        <v>1014</v>
      </c>
      <c r="F41" s="16">
        <f>Reports!M34</f>
        <v>1078</v>
      </c>
      <c r="G41" s="16">
        <f>Reports!Q34</f>
        <v>2133</v>
      </c>
    </row>
    <row r="42" spans="1:22" x14ac:dyDescent="0.15">
      <c r="A42" s="1" t="s">
        <v>27</v>
      </c>
      <c r="B42" s="3"/>
      <c r="C42" s="3"/>
      <c r="D42" s="3"/>
      <c r="E42" s="16">
        <f>Reports!I35</f>
        <v>124</v>
      </c>
      <c r="F42" s="16">
        <f>Reports!M35</f>
        <v>127</v>
      </c>
      <c r="G42" s="16">
        <f>Reports!Q35</f>
        <v>0</v>
      </c>
    </row>
    <row r="43" spans="1:22" x14ac:dyDescent="0.15">
      <c r="B43" s="3"/>
      <c r="C43" s="3"/>
      <c r="D43" s="3"/>
    </row>
    <row r="44" spans="1:22" x14ac:dyDescent="0.15">
      <c r="A44" s="1" t="s">
        <v>53</v>
      </c>
      <c r="B44" s="3"/>
      <c r="C44" s="3"/>
      <c r="D44" s="3"/>
      <c r="E44" s="16">
        <f>Reports!I37</f>
        <v>0</v>
      </c>
      <c r="F44" s="16">
        <f>Reports!M37</f>
        <v>0</v>
      </c>
      <c r="G44" s="16">
        <f>Reports!Q37</f>
        <v>0</v>
      </c>
    </row>
    <row r="45" spans="1:22" x14ac:dyDescent="0.15">
      <c r="A45" s="1" t="s">
        <v>54</v>
      </c>
      <c r="B45" s="3"/>
      <c r="C45" s="3"/>
      <c r="D45" s="3"/>
      <c r="E45" s="16">
        <f>Reports!I38</f>
        <v>1193</v>
      </c>
      <c r="F45" s="16">
        <f>Reports!M38</f>
        <v>1366</v>
      </c>
      <c r="G45" s="16">
        <f>Reports!Q38</f>
        <v>2397</v>
      </c>
    </row>
    <row r="46" spans="1:22" x14ac:dyDescent="0.15">
      <c r="A46" s="1" t="s">
        <v>55</v>
      </c>
      <c r="B46" s="3"/>
      <c r="C46" s="3"/>
      <c r="D46" s="3"/>
      <c r="E46" s="16">
        <f>Reports!I39</f>
        <v>2480</v>
      </c>
      <c r="F46" s="16">
        <f>Reports!M39</f>
        <v>2805</v>
      </c>
      <c r="G46" s="16">
        <f>Reports!Q39</f>
        <v>1370</v>
      </c>
    </row>
    <row r="47" spans="1:22" x14ac:dyDescent="0.15">
      <c r="B47" s="3"/>
      <c r="C47" s="3"/>
      <c r="D47" s="3"/>
    </row>
    <row r="48" spans="1:22" x14ac:dyDescent="0.15">
      <c r="A48" s="1" t="s">
        <v>56</v>
      </c>
      <c r="B48" s="3"/>
      <c r="C48" s="3"/>
      <c r="D48" s="3"/>
      <c r="E48" s="24">
        <f>E45-E44-E41</f>
        <v>179</v>
      </c>
      <c r="F48" s="24">
        <f>F45-F44-F41</f>
        <v>288</v>
      </c>
      <c r="G48" s="24">
        <f>G45-G44-G41</f>
        <v>264</v>
      </c>
    </row>
    <row r="49" spans="1:12" x14ac:dyDescent="0.15">
      <c r="A49" s="1" t="s">
        <v>57</v>
      </c>
      <c r="B49" s="3"/>
      <c r="C49" s="3"/>
      <c r="D49" s="3"/>
      <c r="E49" s="24">
        <f>E45-E46</f>
        <v>-1287</v>
      </c>
      <c r="F49" s="24">
        <f>F45-F46</f>
        <v>-1439</v>
      </c>
      <c r="G49" s="24">
        <f>G45-G46</f>
        <v>1027</v>
      </c>
    </row>
    <row r="50" spans="1:12" x14ac:dyDescent="0.15">
      <c r="B50" s="3"/>
      <c r="C50" s="3"/>
      <c r="D50" s="3"/>
    </row>
    <row r="51" spans="1:12" x14ac:dyDescent="0.15">
      <c r="A51" s="1" t="s">
        <v>58</v>
      </c>
      <c r="B51" s="3"/>
      <c r="C51" s="3"/>
      <c r="D51" s="3"/>
      <c r="E51" s="14">
        <f>E26/E49</f>
        <v>0.16161616161616163</v>
      </c>
      <c r="F51" s="14">
        <f>F26/F49</f>
        <v>8.9645587213342592E-2</v>
      </c>
      <c r="G51" s="14">
        <f>G26/G49</f>
        <v>-0.38656280428432327</v>
      </c>
    </row>
    <row r="52" spans="1:12" x14ac:dyDescent="0.15">
      <c r="A52" s="1" t="s">
        <v>59</v>
      </c>
      <c r="B52" s="3"/>
      <c r="C52" s="3"/>
      <c r="D52" s="3"/>
      <c r="E52" s="14">
        <f>E26/E45</f>
        <v>-0.17435037720033528</v>
      </c>
      <c r="F52" s="14">
        <f>F26/F45</f>
        <v>-9.443631039531479E-2</v>
      </c>
      <c r="G52" s="14">
        <f>G26/G45</f>
        <v>-0.16562369628702545</v>
      </c>
    </row>
    <row r="53" spans="1:12" x14ac:dyDescent="0.15">
      <c r="A53" s="1" t="s">
        <v>60</v>
      </c>
      <c r="B53" s="3"/>
      <c r="C53" s="3"/>
      <c r="D53" s="3"/>
      <c r="E53" s="14">
        <f>E26/(E49-E44)</f>
        <v>0.16161616161616163</v>
      </c>
      <c r="F53" s="14">
        <f>F26/(F49-F44)</f>
        <v>8.9645587213342592E-2</v>
      </c>
      <c r="G53" s="14">
        <f>G26/(G49-G44)</f>
        <v>-0.38656280428432327</v>
      </c>
    </row>
    <row r="54" spans="1:12" x14ac:dyDescent="0.15">
      <c r="A54" s="1" t="s">
        <v>61</v>
      </c>
      <c r="B54" s="3"/>
      <c r="C54" s="3"/>
      <c r="D54" s="3"/>
      <c r="E54" s="14">
        <f>E26/E48</f>
        <v>-1.1620111731843576</v>
      </c>
      <c r="F54" s="14">
        <f>F26/F48</f>
        <v>-0.44791666666666669</v>
      </c>
      <c r="G54" s="14">
        <f>G26/G48</f>
        <v>-1.5037878787878789</v>
      </c>
    </row>
    <row r="56" spans="1:12" x14ac:dyDescent="0.15">
      <c r="A56" s="34" t="s">
        <v>67</v>
      </c>
      <c r="C56" s="14">
        <f t="shared" ref="C56:G56" si="84">C10/B10-1</f>
        <v>2.0902777777777777</v>
      </c>
      <c r="D56" s="14">
        <f t="shared" si="84"/>
        <v>1.4741573033707867</v>
      </c>
      <c r="E56" s="14">
        <f t="shared" si="84"/>
        <v>0.56948228882833796</v>
      </c>
      <c r="F56" s="14">
        <f t="shared" si="84"/>
        <v>0.1001157407407407</v>
      </c>
      <c r="G56" s="14">
        <f t="shared" si="84"/>
        <v>0.33666491320357705</v>
      </c>
      <c r="H56" s="14"/>
      <c r="I56" s="14"/>
      <c r="J56" s="14"/>
      <c r="K56" s="14"/>
    </row>
    <row r="58" spans="1:12" s="14" customFormat="1" x14ac:dyDescent="0.15">
      <c r="A58" s="82" t="s">
        <v>81</v>
      </c>
      <c r="C58" s="14">
        <f t="shared" ref="C58:L58" si="85">C12/B12-1</f>
        <v>0.4285714285714286</v>
      </c>
      <c r="D58" s="14">
        <f t="shared" si="85"/>
        <v>0.6333333333333333</v>
      </c>
      <c r="E58" s="14">
        <f t="shared" si="85"/>
        <v>0.48979591836734704</v>
      </c>
      <c r="F58" s="14">
        <f t="shared" si="85"/>
        <v>0.22945205479452047</v>
      </c>
      <c r="G58" s="14">
        <f t="shared" si="85"/>
        <v>0.19498607242339827</v>
      </c>
      <c r="H58" s="14">
        <f t="shared" si="85"/>
        <v>0.14999999999999991</v>
      </c>
      <c r="I58" s="14">
        <f t="shared" si="85"/>
        <v>0.14999999999999991</v>
      </c>
      <c r="J58" s="14">
        <f t="shared" si="85"/>
        <v>0.14999999999999991</v>
      </c>
      <c r="K58" s="14">
        <f t="shared" si="85"/>
        <v>0.14999999999999991</v>
      </c>
      <c r="L58" s="14">
        <f t="shared" si="85"/>
        <v>0.14999999999999991</v>
      </c>
    </row>
    <row r="59" spans="1:12" s="14" customFormat="1" x14ac:dyDescent="0.15">
      <c r="A59" s="65" t="s">
        <v>82</v>
      </c>
      <c r="C59" s="14">
        <f t="shared" ref="C59:L59" si="86">C13/B13-1</f>
        <v>1.1631944444444446</v>
      </c>
      <c r="D59" s="14">
        <f t="shared" si="86"/>
        <v>0.51479018573721613</v>
      </c>
      <c r="E59" s="14">
        <f t="shared" si="86"/>
        <v>5.3488111679295125E-2</v>
      </c>
      <c r="F59" s="14">
        <f t="shared" si="86"/>
        <v>-0.10519833900753117</v>
      </c>
      <c r="G59" s="14">
        <f t="shared" si="86"/>
        <v>0.11856108121231745</v>
      </c>
      <c r="H59" s="14">
        <f t="shared" si="86"/>
        <v>0.10000000000000009</v>
      </c>
      <c r="I59" s="14">
        <f t="shared" si="86"/>
        <v>0.10000000000000009</v>
      </c>
      <c r="J59" s="14">
        <f t="shared" si="86"/>
        <v>0.10000000000000009</v>
      </c>
      <c r="K59" s="14">
        <f t="shared" si="86"/>
        <v>0.10000000000000009</v>
      </c>
      <c r="L59" s="14">
        <f t="shared" si="86"/>
        <v>0.10000000000000009</v>
      </c>
    </row>
  </sheetData>
  <hyperlinks>
    <hyperlink ref="A1" r:id="rId1" xr:uid="{00000000-0004-0000-0000-000005000000}"/>
    <hyperlink ref="A4" r:id="rId2" xr:uid="{A91CE134-943A-3A4F-8B48-EA8247AA311F}"/>
    <hyperlink ref="A7" r:id="rId3" xr:uid="{48105BFA-6CFD-1942-9DE7-A3DB59D04636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6"/>
  <sheetViews>
    <sheetView zoomScale="130" zoomScaleNormal="13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N37" sqref="N37"/>
    </sheetView>
  </sheetViews>
  <sheetFormatPr baseColWidth="10" defaultRowHeight="13" x14ac:dyDescent="0.15"/>
  <cols>
    <col min="1" max="1" width="24.5" style="31" customWidth="1"/>
    <col min="2" max="2" width="10.83203125" style="26"/>
    <col min="3" max="5" width="10.83203125" style="25"/>
    <col min="6" max="6" width="10.83203125" style="26"/>
    <col min="7" max="8" width="10.83203125" style="25"/>
    <col min="9" max="9" width="10.83203125" style="33"/>
    <col min="10" max="10" width="10.83203125" style="30"/>
    <col min="11" max="13" width="10.83203125" style="31"/>
    <col min="14" max="14" width="10.83203125" style="30"/>
    <col min="15" max="16384" width="10.83203125" style="31"/>
  </cols>
  <sheetData>
    <row r="1" spans="1:18" x14ac:dyDescent="0.15">
      <c r="A1" s="83" t="s">
        <v>45</v>
      </c>
      <c r="B1" s="27" t="s">
        <v>0</v>
      </c>
      <c r="C1" s="28" t="s">
        <v>1</v>
      </c>
      <c r="D1" s="28" t="s">
        <v>2</v>
      </c>
      <c r="E1" s="28" t="s">
        <v>3</v>
      </c>
      <c r="F1" s="27" t="s">
        <v>34</v>
      </c>
      <c r="G1" s="28" t="s">
        <v>35</v>
      </c>
      <c r="H1" s="28" t="s">
        <v>36</v>
      </c>
      <c r="I1" s="29" t="s">
        <v>37</v>
      </c>
      <c r="J1" s="27" t="s">
        <v>62</v>
      </c>
      <c r="K1" s="28" t="s">
        <v>63</v>
      </c>
      <c r="L1" s="28" t="s">
        <v>64</v>
      </c>
      <c r="M1" s="29" t="s">
        <v>65</v>
      </c>
      <c r="N1" s="66" t="s">
        <v>69</v>
      </c>
      <c r="O1" s="72" t="s">
        <v>70</v>
      </c>
      <c r="P1" s="72" t="s">
        <v>71</v>
      </c>
      <c r="Q1" s="72" t="s">
        <v>72</v>
      </c>
    </row>
    <row r="2" spans="1:18" x14ac:dyDescent="0.15">
      <c r="A2" s="32"/>
      <c r="B2" s="26" t="s">
        <v>24</v>
      </c>
      <c r="C2" s="25" t="s">
        <v>23</v>
      </c>
      <c r="D2" s="25" t="s">
        <v>22</v>
      </c>
      <c r="E2" s="25" t="s">
        <v>28</v>
      </c>
      <c r="F2" s="26" t="s">
        <v>38</v>
      </c>
      <c r="G2" s="25" t="s">
        <v>39</v>
      </c>
      <c r="H2" s="25" t="s">
        <v>40</v>
      </c>
      <c r="I2" s="33" t="s">
        <v>41</v>
      </c>
      <c r="J2" s="84">
        <v>43555</v>
      </c>
      <c r="K2" s="85">
        <v>43646</v>
      </c>
      <c r="L2" s="85">
        <v>43738</v>
      </c>
      <c r="M2" s="86">
        <v>43830</v>
      </c>
      <c r="N2" s="67">
        <v>43921</v>
      </c>
      <c r="O2" s="77">
        <v>44012</v>
      </c>
      <c r="P2" s="77">
        <v>44104</v>
      </c>
      <c r="Q2" s="77">
        <v>44196</v>
      </c>
    </row>
    <row r="3" spans="1:18" s="34" customFormat="1" x14ac:dyDescent="0.15">
      <c r="A3" s="73" t="s">
        <v>66</v>
      </c>
      <c r="B3" s="27"/>
      <c r="C3" s="35"/>
      <c r="D3" s="35"/>
      <c r="E3" s="35"/>
      <c r="F3" s="27"/>
      <c r="G3" s="35"/>
      <c r="H3" s="35"/>
      <c r="I3" s="36"/>
      <c r="J3" s="27">
        <v>450</v>
      </c>
      <c r="K3" s="35">
        <v>420</v>
      </c>
      <c r="L3" s="35">
        <v>455</v>
      </c>
      <c r="M3" s="35">
        <v>576</v>
      </c>
      <c r="N3" s="68">
        <v>440</v>
      </c>
      <c r="O3" s="34">
        <v>701</v>
      </c>
      <c r="P3" s="34">
        <v>606</v>
      </c>
      <c r="Q3" s="34">
        <v>794</v>
      </c>
    </row>
    <row r="4" spans="1:18" s="34" customFormat="1" x14ac:dyDescent="0.15">
      <c r="B4" s="27"/>
      <c r="C4" s="35"/>
      <c r="D4" s="35"/>
      <c r="E4" s="35"/>
      <c r="F4" s="27"/>
      <c r="G4" s="35"/>
      <c r="H4" s="35"/>
      <c r="I4" s="36"/>
      <c r="J4" s="27"/>
      <c r="K4" s="35"/>
      <c r="L4" s="35"/>
      <c r="M4" s="35"/>
      <c r="N4" s="68"/>
    </row>
    <row r="5" spans="1:18" s="34" customFormat="1" x14ac:dyDescent="0.15">
      <c r="A5" s="73" t="s">
        <v>79</v>
      </c>
      <c r="B5" s="27"/>
      <c r="C5" s="35"/>
      <c r="D5" s="35"/>
      <c r="E5" s="35"/>
      <c r="F5" s="27"/>
      <c r="G5" s="35"/>
      <c r="H5" s="35"/>
      <c r="I5" s="36"/>
      <c r="J5" s="27">
        <v>75</v>
      </c>
      <c r="K5" s="35">
        <v>76</v>
      </c>
      <c r="L5" s="35">
        <v>93</v>
      </c>
      <c r="M5" s="35">
        <v>115</v>
      </c>
      <c r="N5" s="68">
        <v>109</v>
      </c>
      <c r="O5" s="34">
        <v>116</v>
      </c>
      <c r="P5" s="34">
        <v>100</v>
      </c>
      <c r="Q5" s="34">
        <v>104</v>
      </c>
    </row>
    <row r="6" spans="1:18" s="91" customFormat="1" x14ac:dyDescent="0.15">
      <c r="A6" s="87" t="s">
        <v>80</v>
      </c>
      <c r="B6" s="88"/>
      <c r="C6" s="89"/>
      <c r="D6" s="89"/>
      <c r="E6" s="89"/>
      <c r="F6" s="88"/>
      <c r="G6" s="89"/>
      <c r="H6" s="89"/>
      <c r="I6" s="90"/>
      <c r="J6" s="92">
        <f t="shared" ref="J6:Q6" si="0">SUM(J3)/J5</f>
        <v>6</v>
      </c>
      <c r="K6" s="93">
        <f t="shared" si="0"/>
        <v>5.5263157894736841</v>
      </c>
      <c r="L6" s="93">
        <f t="shared" si="0"/>
        <v>4.89247311827957</v>
      </c>
      <c r="M6" s="93">
        <f t="shared" si="0"/>
        <v>5.0086956521739134</v>
      </c>
      <c r="N6" s="92">
        <f t="shared" si="0"/>
        <v>4.0366972477064218</v>
      </c>
      <c r="O6" s="93">
        <f t="shared" si="0"/>
        <v>6.0431034482758621</v>
      </c>
      <c r="P6" s="93">
        <f t="shared" si="0"/>
        <v>6.06</v>
      </c>
      <c r="Q6" s="93">
        <f t="shared" si="0"/>
        <v>7.634615384615385</v>
      </c>
    </row>
    <row r="7" spans="1:18" s="73" customFormat="1" x14ac:dyDescent="0.15">
      <c r="B7" s="74"/>
      <c r="C7" s="75"/>
      <c r="D7" s="75"/>
      <c r="E7" s="75"/>
      <c r="F7" s="74"/>
      <c r="G7" s="75"/>
      <c r="H7" s="75"/>
      <c r="I7" s="72"/>
      <c r="J7" s="74"/>
      <c r="K7" s="75"/>
      <c r="L7" s="75"/>
      <c r="M7" s="75"/>
      <c r="N7" s="76"/>
      <c r="R7" s="73">
        <v>735</v>
      </c>
    </row>
    <row r="8" spans="1:18" s="79" customFormat="1" x14ac:dyDescent="0.15">
      <c r="A8" s="79" t="s">
        <v>4</v>
      </c>
      <c r="B8" s="80">
        <f t="shared" ref="B8:I8" si="1">SUM(B3:B6)</f>
        <v>0</v>
      </c>
      <c r="C8" s="81">
        <f t="shared" si="1"/>
        <v>0</v>
      </c>
      <c r="D8" s="81">
        <f t="shared" si="1"/>
        <v>0</v>
      </c>
      <c r="E8" s="81">
        <f t="shared" si="1"/>
        <v>0</v>
      </c>
      <c r="F8" s="80">
        <f t="shared" si="1"/>
        <v>0</v>
      </c>
      <c r="G8" s="81">
        <f t="shared" si="1"/>
        <v>0</v>
      </c>
      <c r="H8" s="81">
        <f t="shared" si="1"/>
        <v>0</v>
      </c>
      <c r="I8" s="81">
        <f t="shared" si="1"/>
        <v>0</v>
      </c>
      <c r="J8" s="80">
        <f t="shared" ref="J8:Q8" si="2">J6*J5</f>
        <v>450</v>
      </c>
      <c r="K8" s="81">
        <f t="shared" si="2"/>
        <v>420</v>
      </c>
      <c r="L8" s="81">
        <f t="shared" si="2"/>
        <v>455</v>
      </c>
      <c r="M8" s="81">
        <f t="shared" si="2"/>
        <v>576</v>
      </c>
      <c r="N8" s="80">
        <f t="shared" si="2"/>
        <v>440</v>
      </c>
      <c r="O8" s="81">
        <f t="shared" si="2"/>
        <v>701</v>
      </c>
      <c r="P8" s="81">
        <f t="shared" si="2"/>
        <v>606</v>
      </c>
      <c r="Q8" s="81">
        <f t="shared" si="2"/>
        <v>794</v>
      </c>
      <c r="R8" s="79">
        <v>735</v>
      </c>
    </row>
    <row r="9" spans="1:18" s="34" customFormat="1" x14ac:dyDescent="0.15">
      <c r="A9" s="34" t="s">
        <v>5</v>
      </c>
      <c r="B9" s="27">
        <v>288</v>
      </c>
      <c r="C9" s="35">
        <v>344</v>
      </c>
      <c r="D9" s="35">
        <v>367</v>
      </c>
      <c r="E9" s="35">
        <v>376</v>
      </c>
      <c r="F9" s="27">
        <v>413</v>
      </c>
      <c r="G9" s="35">
        <v>499</v>
      </c>
      <c r="H9" s="35">
        <v>529</v>
      </c>
      <c r="I9" s="36">
        <v>552</v>
      </c>
      <c r="J9" s="27">
        <v>72</v>
      </c>
      <c r="K9" s="35">
        <v>74</v>
      </c>
      <c r="L9" s="35">
        <v>109</v>
      </c>
      <c r="M9" s="35">
        <v>188</v>
      </c>
      <c r="N9" s="68">
        <v>156</v>
      </c>
      <c r="O9" s="34">
        <v>208</v>
      </c>
      <c r="P9" s="34">
        <v>241</v>
      </c>
      <c r="Q9" s="73">
        <v>342</v>
      </c>
    </row>
    <row r="10" spans="1:18" s="34" customFormat="1" x14ac:dyDescent="0.15">
      <c r="A10" s="34" t="s">
        <v>6</v>
      </c>
      <c r="B10" s="41">
        <f t="shared" ref="B10:D10" si="3">B8-B9</f>
        <v>-288</v>
      </c>
      <c r="C10" s="40">
        <f t="shared" si="3"/>
        <v>-344</v>
      </c>
      <c r="D10" s="40">
        <f t="shared" si="3"/>
        <v>-367</v>
      </c>
      <c r="E10" s="40">
        <f t="shared" ref="E10:G10" si="4">E8-E9</f>
        <v>-376</v>
      </c>
      <c r="F10" s="41">
        <f t="shared" ref="F10" si="5">F8-F9</f>
        <v>-413</v>
      </c>
      <c r="G10" s="40">
        <f t="shared" si="4"/>
        <v>-499</v>
      </c>
      <c r="H10" s="40">
        <f t="shared" ref="H10:Q10" si="6">H8-H9</f>
        <v>-529</v>
      </c>
      <c r="I10" s="40">
        <f t="shared" si="6"/>
        <v>-552</v>
      </c>
      <c r="J10" s="41">
        <f t="shared" si="6"/>
        <v>378</v>
      </c>
      <c r="K10" s="40">
        <f t="shared" si="6"/>
        <v>346</v>
      </c>
      <c r="L10" s="40">
        <f t="shared" si="6"/>
        <v>346</v>
      </c>
      <c r="M10" s="40">
        <f t="shared" si="6"/>
        <v>388</v>
      </c>
      <c r="N10" s="41">
        <f t="shared" si="6"/>
        <v>284</v>
      </c>
      <c r="O10" s="40">
        <f t="shared" si="6"/>
        <v>493</v>
      </c>
      <c r="P10" s="40">
        <f t="shared" si="6"/>
        <v>365</v>
      </c>
      <c r="Q10" s="40">
        <f t="shared" si="6"/>
        <v>452</v>
      </c>
    </row>
    <row r="11" spans="1:18" s="34" customFormat="1" x14ac:dyDescent="0.15">
      <c r="A11" s="34" t="s">
        <v>7</v>
      </c>
      <c r="B11" s="27">
        <v>69</v>
      </c>
      <c r="C11" s="35">
        <v>78</v>
      </c>
      <c r="D11" s="35">
        <v>83</v>
      </c>
      <c r="E11" s="35">
        <v>93</v>
      </c>
      <c r="F11" s="27">
        <v>105</v>
      </c>
      <c r="G11" s="35">
        <v>115</v>
      </c>
      <c r="H11" s="35">
        <v>136</v>
      </c>
      <c r="I11" s="36">
        <v>142</v>
      </c>
      <c r="J11" s="27">
        <v>16</v>
      </c>
      <c r="K11" s="35">
        <v>17</v>
      </c>
      <c r="L11" s="35">
        <v>19</v>
      </c>
      <c r="M11" s="35">
        <v>22</v>
      </c>
      <c r="N11" s="68">
        <v>25</v>
      </c>
      <c r="O11" s="34">
        <v>23</v>
      </c>
      <c r="P11" s="34">
        <v>24</v>
      </c>
      <c r="Q11" s="73">
        <f>150-118</f>
        <v>32</v>
      </c>
    </row>
    <row r="12" spans="1:18" s="34" customFormat="1" x14ac:dyDescent="0.15">
      <c r="A12" s="34" t="s">
        <v>8</v>
      </c>
      <c r="B12" s="27">
        <v>50</v>
      </c>
      <c r="C12" s="35">
        <v>60</v>
      </c>
      <c r="D12" s="35">
        <v>67</v>
      </c>
      <c r="E12" s="35">
        <v>77</v>
      </c>
      <c r="F12" s="27">
        <v>77</v>
      </c>
      <c r="G12" s="35">
        <v>98</v>
      </c>
      <c r="H12" s="35">
        <v>116</v>
      </c>
      <c r="I12" s="36">
        <v>119</v>
      </c>
      <c r="J12" s="27">
        <v>257</v>
      </c>
      <c r="K12" s="35">
        <v>292</v>
      </c>
      <c r="L12" s="35">
        <v>446</v>
      </c>
      <c r="M12" s="35">
        <v>468</v>
      </c>
      <c r="N12" s="68">
        <v>295</v>
      </c>
      <c r="O12" s="34">
        <v>444</v>
      </c>
      <c r="P12" s="34">
        <v>386</v>
      </c>
      <c r="Q12" s="73">
        <f>583-23</f>
        <v>560</v>
      </c>
    </row>
    <row r="13" spans="1:18" s="34" customFormat="1" x14ac:dyDescent="0.15">
      <c r="A13" s="34" t="s">
        <v>9</v>
      </c>
      <c r="B13" s="27">
        <f>57+12</f>
        <v>69</v>
      </c>
      <c r="C13" s="35">
        <f>63+18</f>
        <v>81</v>
      </c>
      <c r="D13" s="35">
        <f>64+20</f>
        <v>84</v>
      </c>
      <c r="E13" s="35">
        <f>66+17+0</f>
        <v>83</v>
      </c>
      <c r="F13" s="27">
        <f>76+18+0</f>
        <v>94</v>
      </c>
      <c r="G13" s="35">
        <f>83+22+0</f>
        <v>105</v>
      </c>
      <c r="H13" s="35">
        <f>86+24+1</f>
        <v>111</v>
      </c>
      <c r="I13" s="36">
        <f>95+24+2</f>
        <v>121</v>
      </c>
      <c r="J13" s="27">
        <v>13</v>
      </c>
      <c r="K13" s="35">
        <v>20</v>
      </c>
      <c r="L13" s="35">
        <v>14</v>
      </c>
      <c r="M13" s="35">
        <v>18</v>
      </c>
      <c r="N13" s="68">
        <v>18</v>
      </c>
      <c r="O13" s="34">
        <v>14</v>
      </c>
      <c r="P13" s="34">
        <v>33</v>
      </c>
      <c r="Q13" s="73">
        <f>230-205</f>
        <v>25</v>
      </c>
    </row>
    <row r="14" spans="1:18" s="34" customFormat="1" x14ac:dyDescent="0.15">
      <c r="A14" s="34" t="s">
        <v>10</v>
      </c>
      <c r="B14" s="41">
        <f t="shared" ref="B14:D14" si="7">SUM(B11:B13)</f>
        <v>188</v>
      </c>
      <c r="C14" s="40">
        <f t="shared" si="7"/>
        <v>219</v>
      </c>
      <c r="D14" s="40">
        <f t="shared" si="7"/>
        <v>234</v>
      </c>
      <c r="E14" s="40">
        <f t="shared" ref="E14:G14" si="8">SUM(E11:E13)</f>
        <v>253</v>
      </c>
      <c r="F14" s="41">
        <f t="shared" ref="F14" si="9">SUM(F11:F13)</f>
        <v>276</v>
      </c>
      <c r="G14" s="40">
        <f t="shared" si="8"/>
        <v>318</v>
      </c>
      <c r="H14" s="40">
        <f t="shared" ref="H14:L14" si="10">SUM(H11:H13)</f>
        <v>363</v>
      </c>
      <c r="I14" s="40">
        <f t="shared" si="10"/>
        <v>382</v>
      </c>
      <c r="J14" s="41">
        <f t="shared" si="10"/>
        <v>286</v>
      </c>
      <c r="K14" s="40">
        <f t="shared" si="10"/>
        <v>329</v>
      </c>
      <c r="L14" s="40">
        <f t="shared" si="10"/>
        <v>479</v>
      </c>
      <c r="M14" s="40">
        <f t="shared" ref="M14:N14" si="11">SUM(M11:M13)</f>
        <v>508</v>
      </c>
      <c r="N14" s="41">
        <f t="shared" si="11"/>
        <v>338</v>
      </c>
      <c r="O14" s="40">
        <f t="shared" ref="O14:P14" si="12">SUM(O11:O13)</f>
        <v>481</v>
      </c>
      <c r="P14" s="40">
        <f t="shared" si="12"/>
        <v>443</v>
      </c>
      <c r="Q14" s="40">
        <f t="shared" ref="Q14" si="13">SUM(Q11:Q13)</f>
        <v>617</v>
      </c>
    </row>
    <row r="15" spans="1:18" s="34" customFormat="1" x14ac:dyDescent="0.15">
      <c r="A15" s="34" t="s">
        <v>11</v>
      </c>
      <c r="B15" s="41">
        <f t="shared" ref="B15:H15" si="14">B10-B14</f>
        <v>-476</v>
      </c>
      <c r="C15" s="40">
        <f t="shared" si="14"/>
        <v>-563</v>
      </c>
      <c r="D15" s="40">
        <f t="shared" si="14"/>
        <v>-601</v>
      </c>
      <c r="E15" s="40">
        <f t="shared" ref="E15" si="15">E10-E14</f>
        <v>-629</v>
      </c>
      <c r="F15" s="41">
        <f t="shared" si="14"/>
        <v>-689</v>
      </c>
      <c r="G15" s="40">
        <f t="shared" si="14"/>
        <v>-817</v>
      </c>
      <c r="H15" s="40">
        <f t="shared" si="14"/>
        <v>-892</v>
      </c>
      <c r="I15" s="40">
        <f>I10-I14</f>
        <v>-934</v>
      </c>
      <c r="J15" s="41">
        <f t="shared" ref="J15" si="16">J10-J14</f>
        <v>92</v>
      </c>
      <c r="K15" s="40">
        <f t="shared" ref="K15:L15" si="17">K10-K14</f>
        <v>17</v>
      </c>
      <c r="L15" s="40">
        <f t="shared" si="17"/>
        <v>-133</v>
      </c>
      <c r="M15" s="40">
        <f t="shared" ref="M15:N15" si="18">M10-M14</f>
        <v>-120</v>
      </c>
      <c r="N15" s="41">
        <f t="shared" si="18"/>
        <v>-54</v>
      </c>
      <c r="O15" s="40">
        <f t="shared" ref="O15:P15" si="19">O10-O14</f>
        <v>12</v>
      </c>
      <c r="P15" s="40">
        <f t="shared" si="19"/>
        <v>-78</v>
      </c>
      <c r="Q15" s="40">
        <f t="shared" ref="Q15" si="20">Q10-Q14</f>
        <v>-165</v>
      </c>
    </row>
    <row r="16" spans="1:18" s="34" customFormat="1" x14ac:dyDescent="0.15">
      <c r="A16" s="34" t="s">
        <v>12</v>
      </c>
      <c r="B16" s="27">
        <v>-1</v>
      </c>
      <c r="C16" s="35">
        <v>-3</v>
      </c>
      <c r="D16" s="35">
        <f>-3+1</f>
        <v>-2</v>
      </c>
      <c r="E16" s="35">
        <v>-2</v>
      </c>
      <c r="F16" s="27">
        <f>-2-1</f>
        <v>-3</v>
      </c>
      <c r="G16" s="35">
        <f>-3+1</f>
        <v>-2</v>
      </c>
      <c r="H16" s="35">
        <f>-7+38</f>
        <v>31</v>
      </c>
      <c r="I16" s="36">
        <f>-5-19</f>
        <v>-24</v>
      </c>
      <c r="J16" s="27">
        <f>5-10</f>
        <v>-5</v>
      </c>
      <c r="K16" s="35">
        <f>8+17</f>
        <v>25</v>
      </c>
      <c r="L16" s="35">
        <f>3-4</f>
        <v>-1</v>
      </c>
      <c r="M16" s="35">
        <f>3-6</f>
        <v>-3</v>
      </c>
      <c r="N16" s="68">
        <f>3-15</f>
        <v>-12</v>
      </c>
      <c r="O16" s="34">
        <f>5-28</f>
        <v>-23</v>
      </c>
      <c r="P16" s="34">
        <f>-8-12</f>
        <v>-20</v>
      </c>
      <c r="Q16" s="73">
        <f>-2-55</f>
        <v>-57</v>
      </c>
    </row>
    <row r="17" spans="1:18" s="34" customFormat="1" x14ac:dyDescent="0.15">
      <c r="A17" s="34" t="s">
        <v>13</v>
      </c>
      <c r="B17" s="41">
        <f>B15+B16</f>
        <v>-477</v>
      </c>
      <c r="C17" s="40">
        <f t="shared" ref="C17" si="21">C15+C16</f>
        <v>-566</v>
      </c>
      <c r="D17" s="40">
        <f t="shared" ref="D17:E17" si="22">D15+D16</f>
        <v>-603</v>
      </c>
      <c r="E17" s="40">
        <f t="shared" si="22"/>
        <v>-631</v>
      </c>
      <c r="F17" s="41">
        <f t="shared" ref="F17" si="23">F15+F16</f>
        <v>-692</v>
      </c>
      <c r="G17" s="40">
        <f t="shared" ref="G17:H17" si="24">G15+G16</f>
        <v>-819</v>
      </c>
      <c r="H17" s="40">
        <f t="shared" si="24"/>
        <v>-861</v>
      </c>
      <c r="I17" s="40">
        <f>I15+I16</f>
        <v>-958</v>
      </c>
      <c r="J17" s="41">
        <f t="shared" ref="J17" si="25">J15+J16</f>
        <v>87</v>
      </c>
      <c r="K17" s="40">
        <f t="shared" ref="K17:Q17" si="26">K15+K16</f>
        <v>42</v>
      </c>
      <c r="L17" s="40">
        <f t="shared" si="26"/>
        <v>-134</v>
      </c>
      <c r="M17" s="40">
        <f t="shared" si="26"/>
        <v>-123</v>
      </c>
      <c r="N17" s="41">
        <f t="shared" si="26"/>
        <v>-66</v>
      </c>
      <c r="O17" s="40">
        <f t="shared" si="26"/>
        <v>-11</v>
      </c>
      <c r="P17" s="40">
        <f t="shared" si="26"/>
        <v>-98</v>
      </c>
      <c r="Q17" s="40">
        <f t="shared" si="26"/>
        <v>-222</v>
      </c>
    </row>
    <row r="18" spans="1:18" s="34" customFormat="1" x14ac:dyDescent="0.15">
      <c r="A18" s="34" t="s">
        <v>14</v>
      </c>
      <c r="B18" s="27">
        <v>0</v>
      </c>
      <c r="C18" s="35">
        <v>0</v>
      </c>
      <c r="D18" s="35">
        <v>-1</v>
      </c>
      <c r="E18" s="35">
        <v>0</v>
      </c>
      <c r="F18" s="27">
        <v>0</v>
      </c>
      <c r="G18" s="35">
        <v>1</v>
      </c>
      <c r="H18" s="35">
        <v>1</v>
      </c>
      <c r="I18" s="36">
        <v>0</v>
      </c>
      <c r="J18" s="27">
        <v>0</v>
      </c>
      <c r="K18" s="35">
        <v>0</v>
      </c>
      <c r="L18" s="35">
        <v>0</v>
      </c>
      <c r="M18" s="35">
        <v>1</v>
      </c>
      <c r="N18" s="68">
        <v>0</v>
      </c>
      <c r="O18" s="34">
        <v>0</v>
      </c>
      <c r="P18" s="34">
        <v>-1</v>
      </c>
      <c r="Q18" s="73">
        <v>1</v>
      </c>
    </row>
    <row r="19" spans="1:18" s="37" customFormat="1" x14ac:dyDescent="0.15">
      <c r="A19" s="37" t="s">
        <v>15</v>
      </c>
      <c r="B19" s="39">
        <f t="shared" ref="B19:F19" si="27">B17-B18</f>
        <v>-477</v>
      </c>
      <c r="C19" s="38">
        <f t="shared" si="27"/>
        <v>-566</v>
      </c>
      <c r="D19" s="38">
        <f t="shared" si="27"/>
        <v>-602</v>
      </c>
      <c r="E19" s="38">
        <f t="shared" si="27"/>
        <v>-631</v>
      </c>
      <c r="F19" s="39">
        <f t="shared" si="27"/>
        <v>-692</v>
      </c>
      <c r="G19" s="38">
        <f t="shared" ref="G19:H19" si="28">G17-G18</f>
        <v>-820</v>
      </c>
      <c r="H19" s="38">
        <f t="shared" si="28"/>
        <v>-862</v>
      </c>
      <c r="I19" s="38">
        <f t="shared" ref="I19:J19" si="29">I17-I18</f>
        <v>-958</v>
      </c>
      <c r="J19" s="39">
        <f t="shared" si="29"/>
        <v>87</v>
      </c>
      <c r="K19" s="38">
        <f t="shared" ref="K19:L19" si="30">K17-K18</f>
        <v>42</v>
      </c>
      <c r="L19" s="38">
        <f t="shared" si="30"/>
        <v>-134</v>
      </c>
      <c r="M19" s="38">
        <f t="shared" ref="M19:N19" si="31">M17-M18</f>
        <v>-124</v>
      </c>
      <c r="N19" s="39">
        <f t="shared" si="31"/>
        <v>-66</v>
      </c>
      <c r="O19" s="38">
        <f t="shared" ref="O19:P19" si="32">O17-O18</f>
        <v>-11</v>
      </c>
      <c r="P19" s="38">
        <f t="shared" si="32"/>
        <v>-97</v>
      </c>
      <c r="Q19" s="38">
        <f t="shared" ref="Q19" si="33">Q17-Q18</f>
        <v>-223</v>
      </c>
    </row>
    <row r="20" spans="1:18" x14ac:dyDescent="0.15">
      <c r="A20" s="31" t="s">
        <v>16</v>
      </c>
      <c r="B20" s="43">
        <f t="shared" ref="B20:C20" si="34">IFERROR(B19/B21,0)</f>
        <v>0</v>
      </c>
      <c r="C20" s="42">
        <f t="shared" si="34"/>
        <v>0</v>
      </c>
      <c r="D20" s="42">
        <f t="shared" ref="D20:E20" si="35">IFERROR(D19/D21,0)</f>
        <v>0</v>
      </c>
      <c r="E20" s="42">
        <f t="shared" si="35"/>
        <v>0</v>
      </c>
      <c r="F20" s="43">
        <f t="shared" ref="F20" si="36">IFERROR(F19/F21,0)</f>
        <v>0</v>
      </c>
      <c r="G20" s="42">
        <f t="shared" ref="G20:H20" si="37">IFERROR(G19/G21,0)</f>
        <v>0</v>
      </c>
      <c r="H20" s="42">
        <f t="shared" si="37"/>
        <v>0</v>
      </c>
      <c r="I20" s="42">
        <f t="shared" ref="I20:J20" si="38">IFERROR(I19/I21,0)</f>
        <v>0</v>
      </c>
      <c r="J20" s="43">
        <f t="shared" si="38"/>
        <v>0</v>
      </c>
      <c r="K20" s="42">
        <f t="shared" ref="K20:L20" si="39">IFERROR(K19/K21,0)</f>
        <v>0</v>
      </c>
      <c r="L20" s="42">
        <f t="shared" si="39"/>
        <v>0</v>
      </c>
      <c r="M20" s="42">
        <f t="shared" ref="M20:N20" si="40">IFERROR(M19/M21,0)</f>
        <v>-0.222787517599877</v>
      </c>
      <c r="N20" s="43">
        <f t="shared" si="40"/>
        <v>0</v>
      </c>
      <c r="O20" s="42">
        <f t="shared" ref="O20:P20" si="41">IFERROR(O19/O21,0)</f>
        <v>0</v>
      </c>
      <c r="P20" s="42">
        <f t="shared" si="41"/>
        <v>0</v>
      </c>
      <c r="Q20" s="42">
        <f t="shared" ref="Q20" si="42">IFERROR(Q19/Q21,0)</f>
        <v>0</v>
      </c>
    </row>
    <row r="21" spans="1:18" x14ac:dyDescent="0.15">
      <c r="A21" s="31" t="s">
        <v>17</v>
      </c>
      <c r="B21" s="27"/>
      <c r="C21" s="35"/>
      <c r="D21" s="35"/>
      <c r="E21" s="35"/>
      <c r="F21" s="27"/>
      <c r="G21" s="35"/>
      <c r="H21" s="35"/>
      <c r="I21" s="36"/>
      <c r="J21" s="27"/>
      <c r="K21" s="35"/>
      <c r="L21" s="35"/>
      <c r="M21" s="35">
        <v>556.58414500000003</v>
      </c>
      <c r="N21" s="66"/>
      <c r="O21" s="72"/>
      <c r="P21" s="35"/>
      <c r="Q21" s="73"/>
    </row>
    <row r="22" spans="1:18" x14ac:dyDescent="0.15">
      <c r="B22" s="27"/>
      <c r="C22" s="35"/>
      <c r="D22" s="35"/>
      <c r="E22" s="35"/>
      <c r="F22" s="27"/>
      <c r="G22" s="35"/>
      <c r="H22" s="35"/>
      <c r="I22" s="36"/>
      <c r="J22" s="27"/>
      <c r="K22" s="35"/>
      <c r="L22" s="35"/>
      <c r="M22" s="35"/>
      <c r="Q22" s="73"/>
    </row>
    <row r="23" spans="1:18" x14ac:dyDescent="0.15">
      <c r="A23" s="31" t="s">
        <v>19</v>
      </c>
      <c r="B23" s="45">
        <f t="shared" ref="B23:J23" si="43">IFERROR(B10/B8,0)</f>
        <v>0</v>
      </c>
      <c r="C23" s="44">
        <f t="shared" si="43"/>
        <v>0</v>
      </c>
      <c r="D23" s="44">
        <f t="shared" si="43"/>
        <v>0</v>
      </c>
      <c r="E23" s="44">
        <f t="shared" ref="E23" si="44">IFERROR(E10/E8,0)</f>
        <v>0</v>
      </c>
      <c r="F23" s="45">
        <f t="shared" si="43"/>
        <v>0</v>
      </c>
      <c r="G23" s="44">
        <f t="shared" si="43"/>
        <v>0</v>
      </c>
      <c r="H23" s="44">
        <f t="shared" si="43"/>
        <v>0</v>
      </c>
      <c r="I23" s="46">
        <f t="shared" si="43"/>
        <v>0</v>
      </c>
      <c r="J23" s="45">
        <f t="shared" si="43"/>
        <v>0.84</v>
      </c>
      <c r="K23" s="44">
        <f t="shared" ref="K23:L23" si="45">IFERROR(K10/K8,0)</f>
        <v>0.82380952380952377</v>
      </c>
      <c r="L23" s="44">
        <f t="shared" si="45"/>
        <v>0.7604395604395604</v>
      </c>
      <c r="M23" s="44">
        <f t="shared" ref="M23:N23" si="46">IFERROR(M10/M8,0)</f>
        <v>0.67361111111111116</v>
      </c>
      <c r="N23" s="45">
        <f t="shared" si="46"/>
        <v>0.6454545454545455</v>
      </c>
      <c r="O23" s="44">
        <f t="shared" ref="O23:P23" si="47">IFERROR(O10/O8,0)</f>
        <v>0.70328102710413698</v>
      </c>
      <c r="P23" s="44">
        <f t="shared" si="47"/>
        <v>0.60231023102310233</v>
      </c>
      <c r="Q23" s="44">
        <f t="shared" ref="Q23" si="48">IFERROR(Q10/Q8,0)</f>
        <v>0.56926952141057929</v>
      </c>
    </row>
    <row r="24" spans="1:18" x14ac:dyDescent="0.15">
      <c r="A24" s="31" t="s">
        <v>20</v>
      </c>
      <c r="B24" s="48">
        <f t="shared" ref="B24:J24" si="49">IFERROR(B15/B8,0)</f>
        <v>0</v>
      </c>
      <c r="C24" s="47">
        <f t="shared" si="49"/>
        <v>0</v>
      </c>
      <c r="D24" s="47">
        <f t="shared" si="49"/>
        <v>0</v>
      </c>
      <c r="E24" s="47">
        <f t="shared" ref="E24" si="50">IFERROR(E15/E8,0)</f>
        <v>0</v>
      </c>
      <c r="F24" s="48">
        <f t="shared" si="49"/>
        <v>0</v>
      </c>
      <c r="G24" s="47">
        <f t="shared" si="49"/>
        <v>0</v>
      </c>
      <c r="H24" s="47">
        <f t="shared" si="49"/>
        <v>0</v>
      </c>
      <c r="I24" s="49">
        <f t="shared" si="49"/>
        <v>0</v>
      </c>
      <c r="J24" s="48">
        <f t="shared" si="49"/>
        <v>0.20444444444444446</v>
      </c>
      <c r="K24" s="47">
        <f t="shared" ref="K24:L24" si="51">IFERROR(K15/K8,0)</f>
        <v>4.0476190476190478E-2</v>
      </c>
      <c r="L24" s="47">
        <f t="shared" si="51"/>
        <v>-0.29230769230769232</v>
      </c>
      <c r="M24" s="47">
        <f t="shared" ref="M24:N24" si="52">IFERROR(M15/M8,0)</f>
        <v>-0.20833333333333334</v>
      </c>
      <c r="N24" s="48">
        <f t="shared" si="52"/>
        <v>-0.12272727272727273</v>
      </c>
      <c r="O24" s="47">
        <f t="shared" ref="O24:P24" si="53">IFERROR(O15/O8,0)</f>
        <v>1.7118402282453638E-2</v>
      </c>
      <c r="P24" s="47">
        <f t="shared" si="53"/>
        <v>-0.12871287128712872</v>
      </c>
      <c r="Q24" s="47">
        <f t="shared" ref="Q24" si="54">IFERROR(Q15/Q8,0)</f>
        <v>-0.20780856423173805</v>
      </c>
    </row>
    <row r="25" spans="1:18" x14ac:dyDescent="0.15">
      <c r="A25" s="31" t="s">
        <v>21</v>
      </c>
      <c r="B25" s="48">
        <f t="shared" ref="B25:J25" si="55">IFERROR(B18/B17,0)</f>
        <v>0</v>
      </c>
      <c r="C25" s="47">
        <f t="shared" si="55"/>
        <v>0</v>
      </c>
      <c r="D25" s="47">
        <f t="shared" si="55"/>
        <v>1.658374792703151E-3</v>
      </c>
      <c r="E25" s="47">
        <f t="shared" ref="E25" si="56">IFERROR(E18/E17,0)</f>
        <v>0</v>
      </c>
      <c r="F25" s="48">
        <f t="shared" si="55"/>
        <v>0</v>
      </c>
      <c r="G25" s="47">
        <f t="shared" si="55"/>
        <v>-1.221001221001221E-3</v>
      </c>
      <c r="H25" s="47">
        <f t="shared" si="55"/>
        <v>-1.1614401858304297E-3</v>
      </c>
      <c r="I25" s="49">
        <f t="shared" si="55"/>
        <v>0</v>
      </c>
      <c r="J25" s="48">
        <f t="shared" si="55"/>
        <v>0</v>
      </c>
      <c r="K25" s="47">
        <f t="shared" ref="K25:L25" si="57">IFERROR(K18/K17,0)</f>
        <v>0</v>
      </c>
      <c r="L25" s="47">
        <f t="shared" si="57"/>
        <v>0</v>
      </c>
      <c r="M25" s="47">
        <f t="shared" ref="M25:N25" si="58">IFERROR(M18/M17,0)</f>
        <v>-8.130081300813009E-3</v>
      </c>
      <c r="N25" s="48">
        <f t="shared" si="58"/>
        <v>0</v>
      </c>
      <c r="O25" s="47">
        <f t="shared" ref="O25:P25" si="59">IFERROR(O18/O17,0)</f>
        <v>0</v>
      </c>
      <c r="P25" s="47">
        <f t="shared" si="59"/>
        <v>1.020408163265306E-2</v>
      </c>
      <c r="Q25" s="47">
        <f t="shared" ref="Q25" si="60">IFERROR(Q18/Q17,0)</f>
        <v>-4.5045045045045045E-3</v>
      </c>
    </row>
    <row r="26" spans="1:18" x14ac:dyDescent="0.15">
      <c r="B26" s="27"/>
      <c r="C26" s="35"/>
      <c r="D26" s="35"/>
      <c r="E26" s="35"/>
      <c r="F26" s="27"/>
      <c r="G26" s="35"/>
      <c r="H26" s="35"/>
      <c r="I26" s="36"/>
      <c r="J26" s="27"/>
      <c r="K26" s="35"/>
      <c r="L26" s="35"/>
      <c r="M26" s="35"/>
      <c r="N26" s="27"/>
      <c r="O26" s="35"/>
      <c r="P26" s="35"/>
      <c r="Q26" s="73"/>
    </row>
    <row r="27" spans="1:18" s="50" customFormat="1" x14ac:dyDescent="0.15">
      <c r="A27" s="50" t="s">
        <v>18</v>
      </c>
      <c r="B27" s="52"/>
      <c r="C27" s="51"/>
      <c r="D27" s="51"/>
      <c r="E27" s="51"/>
      <c r="F27" s="52">
        <f t="shared" ref="F27:I27" si="61">IFERROR((F8/B8)-1,0)</f>
        <v>0</v>
      </c>
      <c r="G27" s="51">
        <f t="shared" si="61"/>
        <v>0</v>
      </c>
      <c r="H27" s="51">
        <f t="shared" si="61"/>
        <v>0</v>
      </c>
      <c r="I27" s="53">
        <f t="shared" si="61"/>
        <v>0</v>
      </c>
      <c r="J27" s="52">
        <f t="shared" ref="J27:P27" si="62">IFERROR((J8/F8)-1,0)</f>
        <v>0</v>
      </c>
      <c r="K27" s="51">
        <f t="shared" si="62"/>
        <v>0</v>
      </c>
      <c r="L27" s="51">
        <f t="shared" si="62"/>
        <v>0</v>
      </c>
      <c r="M27" s="51">
        <f t="shared" si="62"/>
        <v>0</v>
      </c>
      <c r="N27" s="52">
        <f>IFERROR((N8/J8)-1,0)</f>
        <v>-2.2222222222222254E-2</v>
      </c>
      <c r="O27" s="51">
        <f t="shared" si="62"/>
        <v>0.66904761904761911</v>
      </c>
      <c r="P27" s="51">
        <f t="shared" si="62"/>
        <v>0.3318681318681318</v>
      </c>
      <c r="Q27" s="51">
        <f>IFERROR((Q8/M8)-1,0)</f>
        <v>0.37847222222222232</v>
      </c>
      <c r="R27" s="51">
        <f>IFERROR((R8/N8)-1,0)</f>
        <v>0.67045454545454541</v>
      </c>
    </row>
    <row r="28" spans="1:18" x14ac:dyDescent="0.15">
      <c r="A28" s="31" t="s">
        <v>42</v>
      </c>
      <c r="B28" s="55"/>
      <c r="C28" s="54"/>
      <c r="D28" s="54"/>
      <c r="E28" s="54"/>
      <c r="F28" s="55">
        <f t="shared" ref="F28:I30" si="63">F11/B11-1</f>
        <v>0.52173913043478271</v>
      </c>
      <c r="G28" s="54">
        <f t="shared" si="63"/>
        <v>0.47435897435897445</v>
      </c>
      <c r="H28" s="54">
        <f t="shared" si="63"/>
        <v>0.63855421686746983</v>
      </c>
      <c r="I28" s="56">
        <f t="shared" si="63"/>
        <v>0.5268817204301075</v>
      </c>
      <c r="J28" s="55">
        <f t="shared" ref="J28:Q30" si="64">J11/F11-1</f>
        <v>-0.84761904761904761</v>
      </c>
      <c r="K28" s="54">
        <f t="shared" si="64"/>
        <v>-0.85217391304347823</v>
      </c>
      <c r="L28" s="54">
        <f t="shared" si="64"/>
        <v>-0.86029411764705888</v>
      </c>
      <c r="M28" s="54">
        <f t="shared" si="64"/>
        <v>-0.84507042253521125</v>
      </c>
      <c r="N28" s="55">
        <f t="shared" si="64"/>
        <v>0.5625</v>
      </c>
      <c r="O28" s="54">
        <f t="shared" si="64"/>
        <v>0.35294117647058831</v>
      </c>
      <c r="P28" s="54">
        <f t="shared" si="64"/>
        <v>0.26315789473684204</v>
      </c>
      <c r="Q28" s="54">
        <f t="shared" si="64"/>
        <v>0.45454545454545459</v>
      </c>
    </row>
    <row r="29" spans="1:18" x14ac:dyDescent="0.15">
      <c r="A29" s="31" t="s">
        <v>43</v>
      </c>
      <c r="B29" s="55"/>
      <c r="C29" s="54"/>
      <c r="D29" s="54"/>
      <c r="E29" s="54"/>
      <c r="F29" s="55">
        <f t="shared" si="63"/>
        <v>0.54</v>
      </c>
      <c r="G29" s="54">
        <f t="shared" si="63"/>
        <v>0.6333333333333333</v>
      </c>
      <c r="H29" s="54">
        <f t="shared" si="63"/>
        <v>0.73134328358208944</v>
      </c>
      <c r="I29" s="56">
        <f t="shared" si="63"/>
        <v>0.54545454545454541</v>
      </c>
      <c r="J29" s="55">
        <f t="shared" si="64"/>
        <v>2.3376623376623376</v>
      </c>
      <c r="K29" s="54">
        <f t="shared" si="64"/>
        <v>1.9795918367346941</v>
      </c>
      <c r="L29" s="54">
        <f t="shared" si="64"/>
        <v>2.8448275862068964</v>
      </c>
      <c r="M29" s="54">
        <f t="shared" si="64"/>
        <v>2.9327731092436973</v>
      </c>
      <c r="N29" s="55">
        <f t="shared" si="64"/>
        <v>0.14785992217898825</v>
      </c>
      <c r="O29" s="54">
        <f t="shared" si="64"/>
        <v>0.52054794520547953</v>
      </c>
      <c r="P29" s="54">
        <f t="shared" si="64"/>
        <v>-0.13452914798206284</v>
      </c>
      <c r="Q29" s="54">
        <f t="shared" si="64"/>
        <v>0.19658119658119655</v>
      </c>
    </row>
    <row r="30" spans="1:18" x14ac:dyDescent="0.15">
      <c r="A30" s="31" t="s">
        <v>44</v>
      </c>
      <c r="B30" s="55"/>
      <c r="C30" s="54"/>
      <c r="D30" s="54"/>
      <c r="E30" s="54"/>
      <c r="F30" s="55">
        <f t="shared" si="63"/>
        <v>0.3623188405797102</v>
      </c>
      <c r="G30" s="54">
        <f t="shared" si="63"/>
        <v>0.29629629629629628</v>
      </c>
      <c r="H30" s="54">
        <f t="shared" si="63"/>
        <v>0.3214285714285714</v>
      </c>
      <c r="I30" s="56">
        <f t="shared" si="63"/>
        <v>0.45783132530120474</v>
      </c>
      <c r="J30" s="55">
        <f t="shared" si="64"/>
        <v>-0.86170212765957444</v>
      </c>
      <c r="K30" s="54">
        <f t="shared" si="64"/>
        <v>-0.80952380952380953</v>
      </c>
      <c r="L30" s="54">
        <f t="shared" si="64"/>
        <v>-0.87387387387387383</v>
      </c>
      <c r="M30" s="54">
        <f t="shared" si="64"/>
        <v>-0.85123966942148765</v>
      </c>
      <c r="N30" s="55">
        <f t="shared" si="64"/>
        <v>0.38461538461538458</v>
      </c>
      <c r="O30" s="54">
        <f t="shared" si="64"/>
        <v>-0.30000000000000004</v>
      </c>
      <c r="P30" s="54">
        <f t="shared" si="64"/>
        <v>1.3571428571428572</v>
      </c>
      <c r="Q30" s="54">
        <f t="shared" si="64"/>
        <v>0.38888888888888884</v>
      </c>
    </row>
    <row r="31" spans="1:18" x14ac:dyDescent="0.15">
      <c r="A31" s="65" t="s">
        <v>68</v>
      </c>
      <c r="B31" s="55"/>
      <c r="C31" s="54"/>
      <c r="D31" s="54"/>
      <c r="E31" s="54"/>
      <c r="F31" s="55">
        <f t="shared" ref="F31:Q31" si="65">F14/B14-1</f>
        <v>0.46808510638297873</v>
      </c>
      <c r="G31" s="54">
        <f t="shared" si="65"/>
        <v>0.45205479452054798</v>
      </c>
      <c r="H31" s="54">
        <f t="shared" si="65"/>
        <v>0.55128205128205132</v>
      </c>
      <c r="I31" s="54">
        <f t="shared" si="65"/>
        <v>0.50988142292490113</v>
      </c>
      <c r="J31" s="55">
        <f t="shared" si="65"/>
        <v>3.6231884057970953E-2</v>
      </c>
      <c r="K31" s="54">
        <f t="shared" si="65"/>
        <v>3.4591194968553562E-2</v>
      </c>
      <c r="L31" s="54">
        <f t="shared" si="65"/>
        <v>0.31955922865013764</v>
      </c>
      <c r="M31" s="54">
        <f t="shared" si="65"/>
        <v>0.32984293193717273</v>
      </c>
      <c r="N31" s="55">
        <f t="shared" si="65"/>
        <v>0.18181818181818188</v>
      </c>
      <c r="O31" s="54">
        <f t="shared" si="65"/>
        <v>0.46200607902735569</v>
      </c>
      <c r="P31" s="54">
        <f t="shared" si="65"/>
        <v>-7.5156576200417491E-2</v>
      </c>
      <c r="Q31" s="54">
        <f t="shared" si="65"/>
        <v>0.21456692913385833</v>
      </c>
    </row>
    <row r="32" spans="1:18" x14ac:dyDescent="0.15">
      <c r="C32" s="57"/>
      <c r="D32" s="57"/>
      <c r="G32" s="57"/>
      <c r="H32" s="57"/>
      <c r="I32" s="58"/>
      <c r="J32" s="26"/>
      <c r="K32" s="57"/>
      <c r="L32" s="57"/>
      <c r="M32" s="57"/>
      <c r="N32" s="26"/>
      <c r="P32" s="57"/>
      <c r="Q32" s="73"/>
    </row>
    <row r="33" spans="1:17" s="37" customFormat="1" x14ac:dyDescent="0.15">
      <c r="A33" s="37" t="s">
        <v>25</v>
      </c>
      <c r="B33" s="27"/>
      <c r="C33" s="35"/>
      <c r="D33" s="35"/>
      <c r="E33" s="28"/>
      <c r="F33" s="27"/>
      <c r="G33" s="35"/>
      <c r="H33" s="35"/>
      <c r="I33" s="38">
        <f t="shared" ref="I33:M33" si="66">I34-I35</f>
        <v>890</v>
      </c>
      <c r="J33" s="27"/>
      <c r="K33" s="35"/>
      <c r="L33" s="35"/>
      <c r="M33" s="38">
        <f t="shared" si="66"/>
        <v>951</v>
      </c>
      <c r="N33" s="27"/>
      <c r="O33" s="34"/>
      <c r="P33" s="38">
        <f t="shared" ref="P33:Q33" si="67">P34-P35</f>
        <v>919</v>
      </c>
      <c r="Q33" s="38">
        <f t="shared" si="67"/>
        <v>2133</v>
      </c>
    </row>
    <row r="34" spans="1:17" s="34" customFormat="1" x14ac:dyDescent="0.15">
      <c r="A34" s="34" t="s">
        <v>26</v>
      </c>
      <c r="B34" s="27"/>
      <c r="C34" s="35"/>
      <c r="D34" s="35"/>
      <c r="E34" s="28"/>
      <c r="F34" s="27"/>
      <c r="G34" s="35"/>
      <c r="H34" s="35"/>
      <c r="I34" s="35">
        <f>712+262+40</f>
        <v>1014</v>
      </c>
      <c r="J34" s="27"/>
      <c r="K34" s="35"/>
      <c r="L34" s="35"/>
      <c r="M34" s="35">
        <f>744+300+34</f>
        <v>1078</v>
      </c>
      <c r="N34" s="27"/>
      <c r="O34" s="35"/>
      <c r="P34" s="35">
        <f>844+250+7</f>
        <v>1101</v>
      </c>
      <c r="Q34" s="34">
        <f>1965+164+4</f>
        <v>2133</v>
      </c>
    </row>
    <row r="35" spans="1:17" s="34" customFormat="1" x14ac:dyDescent="0.15">
      <c r="A35" s="34" t="s">
        <v>27</v>
      </c>
      <c r="B35" s="27"/>
      <c r="C35" s="35"/>
      <c r="D35" s="35"/>
      <c r="E35" s="28"/>
      <c r="F35" s="27"/>
      <c r="G35" s="35"/>
      <c r="H35" s="35"/>
      <c r="I35" s="35">
        <v>124</v>
      </c>
      <c r="J35" s="27"/>
      <c r="K35" s="35"/>
      <c r="L35" s="35"/>
      <c r="M35" s="35">
        <v>127</v>
      </c>
      <c r="N35" s="27"/>
      <c r="O35" s="35"/>
      <c r="P35" s="35">
        <v>182</v>
      </c>
      <c r="Q35" s="34">
        <v>0</v>
      </c>
    </row>
    <row r="36" spans="1:17" s="34" customFormat="1" x14ac:dyDescent="0.15">
      <c r="B36" s="27"/>
      <c r="C36" s="35"/>
      <c r="D36" s="35"/>
      <c r="E36" s="28"/>
      <c r="F36" s="27"/>
      <c r="G36" s="35"/>
      <c r="H36" s="35"/>
      <c r="I36" s="35"/>
      <c r="J36" s="27"/>
      <c r="K36" s="35"/>
      <c r="L36" s="35"/>
      <c r="M36" s="35"/>
      <c r="N36" s="27"/>
      <c r="P36" s="35"/>
    </row>
    <row r="37" spans="1:17" s="34" customFormat="1" x14ac:dyDescent="0.15">
      <c r="A37" s="34" t="s">
        <v>53</v>
      </c>
      <c r="B37" s="27"/>
      <c r="C37" s="35"/>
      <c r="D37" s="35"/>
      <c r="E37" s="28"/>
      <c r="F37" s="27"/>
      <c r="G37" s="35"/>
      <c r="H37" s="35"/>
      <c r="I37" s="35">
        <v>0</v>
      </c>
      <c r="J37" s="27"/>
      <c r="K37" s="35"/>
      <c r="L37" s="35"/>
      <c r="M37" s="35">
        <v>0</v>
      </c>
      <c r="N37" s="27"/>
      <c r="P37" s="35">
        <v>0</v>
      </c>
      <c r="Q37" s="34">
        <v>0</v>
      </c>
    </row>
    <row r="38" spans="1:17" s="34" customFormat="1" x14ac:dyDescent="0.15">
      <c r="A38" s="34" t="s">
        <v>54</v>
      </c>
      <c r="B38" s="27"/>
      <c r="C38" s="35"/>
      <c r="D38" s="35"/>
      <c r="E38" s="28"/>
      <c r="F38" s="27"/>
      <c r="G38" s="35"/>
      <c r="H38" s="35"/>
      <c r="I38" s="35">
        <v>1193</v>
      </c>
      <c r="J38" s="27"/>
      <c r="K38" s="35"/>
      <c r="L38" s="35"/>
      <c r="M38" s="35">
        <v>1366</v>
      </c>
      <c r="N38" s="27"/>
      <c r="O38" s="72"/>
      <c r="P38" s="35">
        <v>1342</v>
      </c>
      <c r="Q38" s="34">
        <v>2397</v>
      </c>
    </row>
    <row r="39" spans="1:17" s="34" customFormat="1" x14ac:dyDescent="0.15">
      <c r="A39" s="34" t="s">
        <v>55</v>
      </c>
      <c r="B39" s="27"/>
      <c r="C39" s="35"/>
      <c r="D39" s="35"/>
      <c r="E39" s="28"/>
      <c r="F39" s="27"/>
      <c r="G39" s="35"/>
      <c r="H39" s="35"/>
      <c r="I39" s="35">
        <f>1104+1376</f>
        <v>2480</v>
      </c>
      <c r="J39" s="27"/>
      <c r="K39" s="35"/>
      <c r="L39" s="35"/>
      <c r="M39" s="35">
        <f>1269+1536</f>
        <v>2805</v>
      </c>
      <c r="N39" s="27"/>
      <c r="O39" s="72"/>
      <c r="P39" s="35">
        <f>1411+1536</f>
        <v>2947</v>
      </c>
      <c r="Q39" s="34">
        <v>1370</v>
      </c>
    </row>
    <row r="40" spans="1:17" s="34" customFormat="1" x14ac:dyDescent="0.15">
      <c r="B40" s="27"/>
      <c r="C40" s="35"/>
      <c r="D40" s="35"/>
      <c r="E40" s="28"/>
      <c r="F40" s="27"/>
      <c r="G40" s="35"/>
      <c r="H40" s="35"/>
      <c r="I40" s="35"/>
      <c r="J40" s="27"/>
      <c r="K40" s="35"/>
      <c r="L40" s="35"/>
      <c r="M40" s="35"/>
      <c r="N40" s="27"/>
      <c r="P40" s="35"/>
    </row>
    <row r="41" spans="1:17" s="34" customFormat="1" x14ac:dyDescent="0.15">
      <c r="A41" s="34" t="s">
        <v>56</v>
      </c>
      <c r="B41" s="27"/>
      <c r="C41" s="35"/>
      <c r="D41" s="35"/>
      <c r="E41" s="28"/>
      <c r="F41" s="27"/>
      <c r="G41" s="35"/>
      <c r="H41" s="35"/>
      <c r="I41" s="40">
        <f t="shared" ref="I41:M41" si="68">I38-I37-I34</f>
        <v>179</v>
      </c>
      <c r="J41" s="27"/>
      <c r="K41" s="35"/>
      <c r="L41" s="35"/>
      <c r="M41" s="40">
        <f t="shared" si="68"/>
        <v>288</v>
      </c>
      <c r="N41" s="27"/>
      <c r="P41" s="40">
        <f t="shared" ref="P41:Q41" si="69">P38-P37-P34</f>
        <v>241</v>
      </c>
      <c r="Q41" s="40">
        <f t="shared" si="69"/>
        <v>264</v>
      </c>
    </row>
    <row r="42" spans="1:17" s="34" customFormat="1" x14ac:dyDescent="0.15">
      <c r="A42" s="34" t="s">
        <v>57</v>
      </c>
      <c r="B42" s="27"/>
      <c r="C42" s="35"/>
      <c r="D42" s="35"/>
      <c r="E42" s="28"/>
      <c r="F42" s="27"/>
      <c r="G42" s="35"/>
      <c r="H42" s="35"/>
      <c r="I42" s="40">
        <f t="shared" ref="I42:M42" si="70">I38-I39</f>
        <v>-1287</v>
      </c>
      <c r="J42" s="27"/>
      <c r="K42" s="35"/>
      <c r="L42" s="35"/>
      <c r="M42" s="40">
        <f t="shared" si="70"/>
        <v>-1439</v>
      </c>
      <c r="N42" s="27"/>
      <c r="P42" s="40">
        <f t="shared" ref="P42:Q42" si="71">P38-P39</f>
        <v>-1605</v>
      </c>
      <c r="Q42" s="40">
        <f t="shared" si="71"/>
        <v>1027</v>
      </c>
    </row>
    <row r="43" spans="1:17" s="34" customFormat="1" x14ac:dyDescent="0.15">
      <c r="B43" s="27"/>
      <c r="C43" s="35"/>
      <c r="D43" s="35"/>
      <c r="E43" s="28"/>
      <c r="F43" s="27"/>
      <c r="G43" s="35"/>
      <c r="H43" s="35"/>
      <c r="I43" s="35"/>
      <c r="J43" s="27"/>
      <c r="K43" s="35"/>
      <c r="L43" s="35"/>
      <c r="M43" s="35"/>
      <c r="N43" s="27"/>
      <c r="P43" s="35"/>
      <c r="Q43" s="35"/>
    </row>
    <row r="44" spans="1:17" s="37" customFormat="1" x14ac:dyDescent="0.15">
      <c r="A44" s="79" t="s">
        <v>85</v>
      </c>
      <c r="B44" s="60"/>
      <c r="C44" s="59"/>
      <c r="D44" s="59"/>
      <c r="E44" s="28"/>
      <c r="F44" s="27"/>
      <c r="G44" s="35"/>
      <c r="H44" s="35"/>
      <c r="I44" s="38">
        <f t="shared" ref="I44:M44" si="72">SUM(F19:I19)</f>
        <v>-3332</v>
      </c>
      <c r="J44" s="27"/>
      <c r="K44" s="35"/>
      <c r="L44" s="35"/>
      <c r="M44" s="38">
        <f t="shared" si="72"/>
        <v>-129</v>
      </c>
      <c r="N44" s="27"/>
      <c r="O44" s="34"/>
      <c r="P44" s="38">
        <f>SUM(M19:P19)</f>
        <v>-298</v>
      </c>
      <c r="Q44" s="38">
        <f>SUM(N19:Q19)</f>
        <v>-397</v>
      </c>
    </row>
    <row r="45" spans="1:17" s="63" customFormat="1" x14ac:dyDescent="0.15">
      <c r="A45" s="61" t="s">
        <v>58</v>
      </c>
      <c r="B45" s="45"/>
      <c r="C45" s="44"/>
      <c r="D45" s="44"/>
      <c r="E45" s="25"/>
      <c r="F45" s="26"/>
      <c r="G45" s="57"/>
      <c r="H45" s="57"/>
      <c r="I45" s="44">
        <f t="shared" ref="I45:M45" si="73">I44/I42</f>
        <v>2.5889665889665889</v>
      </c>
      <c r="J45" s="26"/>
      <c r="K45" s="57"/>
      <c r="L45" s="57"/>
      <c r="M45" s="44">
        <f t="shared" si="73"/>
        <v>8.9645587213342592E-2</v>
      </c>
      <c r="N45" s="26"/>
      <c r="O45" s="31"/>
      <c r="P45" s="44">
        <f t="shared" ref="P45:Q45" si="74">P44/P42</f>
        <v>0.18566978193146416</v>
      </c>
      <c r="Q45" s="44">
        <f t="shared" si="74"/>
        <v>-0.38656280428432327</v>
      </c>
    </row>
    <row r="46" spans="1:17" s="63" customFormat="1" x14ac:dyDescent="0.15">
      <c r="A46" s="61" t="s">
        <v>59</v>
      </c>
      <c r="B46" s="45"/>
      <c r="C46" s="44"/>
      <c r="D46" s="44"/>
      <c r="E46" s="25"/>
      <c r="F46" s="26"/>
      <c r="G46" s="57"/>
      <c r="H46" s="57"/>
      <c r="I46" s="44">
        <f t="shared" ref="I46:M46" si="75">I44/I38</f>
        <v>-2.792958927074602</v>
      </c>
      <c r="J46" s="26"/>
      <c r="K46" s="57"/>
      <c r="L46" s="57"/>
      <c r="M46" s="44">
        <f t="shared" si="75"/>
        <v>-9.443631039531479E-2</v>
      </c>
      <c r="N46" s="26"/>
      <c r="O46" s="31"/>
      <c r="P46" s="44">
        <f t="shared" ref="P46:Q46" si="76">P44/P38</f>
        <v>-0.22205663189269748</v>
      </c>
      <c r="Q46" s="44">
        <f t="shared" si="76"/>
        <v>-0.16562369628702545</v>
      </c>
    </row>
    <row r="47" spans="1:17" s="63" customFormat="1" x14ac:dyDescent="0.15">
      <c r="A47" s="61" t="s">
        <v>60</v>
      </c>
      <c r="B47" s="45"/>
      <c r="C47" s="44"/>
      <c r="D47" s="44"/>
      <c r="E47" s="25"/>
      <c r="F47" s="26"/>
      <c r="G47" s="57"/>
      <c r="H47" s="57"/>
      <c r="I47" s="44">
        <f t="shared" ref="I47:M47" si="77">I44/(I42-I37)</f>
        <v>2.5889665889665889</v>
      </c>
      <c r="J47" s="26"/>
      <c r="K47" s="57"/>
      <c r="L47" s="57"/>
      <c r="M47" s="44">
        <f t="shared" si="77"/>
        <v>8.9645587213342592E-2</v>
      </c>
      <c r="N47" s="26"/>
      <c r="O47" s="31"/>
      <c r="P47" s="44">
        <f t="shared" ref="P47:Q47" si="78">P44/(P42-P37)</f>
        <v>0.18566978193146416</v>
      </c>
      <c r="Q47" s="44">
        <f t="shared" si="78"/>
        <v>-0.38656280428432327</v>
      </c>
    </row>
    <row r="48" spans="1:17" s="63" customFormat="1" x14ac:dyDescent="0.15">
      <c r="A48" s="61" t="s">
        <v>61</v>
      </c>
      <c r="B48" s="45"/>
      <c r="C48" s="44"/>
      <c r="D48" s="44"/>
      <c r="E48" s="25"/>
      <c r="F48" s="26"/>
      <c r="G48" s="57"/>
      <c r="H48" s="57"/>
      <c r="I48" s="44">
        <f t="shared" ref="I48:M48" si="79">I44/I41</f>
        <v>-18.614525139664803</v>
      </c>
      <c r="J48" s="26"/>
      <c r="K48" s="57"/>
      <c r="L48" s="57"/>
      <c r="M48" s="44">
        <f t="shared" si="79"/>
        <v>-0.44791666666666669</v>
      </c>
      <c r="N48" s="26"/>
      <c r="O48" s="31"/>
      <c r="P48" s="44">
        <f t="shared" ref="P48:Q48" si="80">P44/P41</f>
        <v>-1.2365145228215768</v>
      </c>
      <c r="Q48" s="44">
        <f t="shared" si="80"/>
        <v>-1.5037878787878789</v>
      </c>
    </row>
    <row r="49" spans="1:17" s="63" customFormat="1" x14ac:dyDescent="0.15">
      <c r="A49" s="61"/>
      <c r="B49" s="45"/>
      <c r="C49" s="44"/>
      <c r="D49" s="44"/>
      <c r="E49" s="25"/>
      <c r="F49" s="26"/>
      <c r="G49" s="57"/>
      <c r="H49" s="57"/>
      <c r="I49" s="44"/>
      <c r="J49" s="26"/>
      <c r="K49" s="57"/>
      <c r="L49" s="57"/>
      <c r="M49" s="44"/>
      <c r="N49" s="26"/>
      <c r="O49" s="31"/>
      <c r="P49" s="44"/>
      <c r="Q49" s="44"/>
    </row>
    <row r="50" spans="1:17" s="79" customFormat="1" x14ac:dyDescent="0.15">
      <c r="A50" s="103" t="s">
        <v>86</v>
      </c>
      <c r="B50" s="104"/>
      <c r="C50" s="105"/>
      <c r="D50" s="105"/>
      <c r="E50" s="106"/>
      <c r="F50" s="104"/>
      <c r="G50" s="105"/>
      <c r="H50" s="105"/>
      <c r="I50" s="105"/>
      <c r="J50" s="80">
        <f>SUM(G8:J8)</f>
        <v>450</v>
      </c>
      <c r="K50" s="81">
        <f>SUM(H8:K8)</f>
        <v>870</v>
      </c>
      <c r="L50" s="81">
        <f>SUM(I8:L8)</f>
        <v>1325</v>
      </c>
      <c r="M50" s="81">
        <f>SUM(J8:M8)</f>
        <v>1901</v>
      </c>
      <c r="N50" s="80">
        <f>SUM(K8:N8)</f>
        <v>1891</v>
      </c>
      <c r="O50" s="81">
        <f>SUM(L8:O8)</f>
        <v>2172</v>
      </c>
      <c r="P50" s="81">
        <f>SUM(M8:P8)</f>
        <v>2323</v>
      </c>
      <c r="Q50" s="81">
        <f>SUM(N8:Q8)</f>
        <v>2541</v>
      </c>
    </row>
    <row r="51" spans="1:17" s="102" customFormat="1" x14ac:dyDescent="0.15">
      <c r="A51" s="99" t="s">
        <v>87</v>
      </c>
      <c r="B51" s="100"/>
      <c r="C51" s="101"/>
      <c r="D51" s="101"/>
      <c r="E51" s="107"/>
      <c r="F51" s="100"/>
      <c r="G51" s="101"/>
      <c r="H51" s="101"/>
      <c r="I51" s="101"/>
      <c r="J51" s="100"/>
      <c r="K51" s="101"/>
      <c r="L51" s="101"/>
      <c r="M51" s="101"/>
      <c r="N51" s="100">
        <f>N50/J50-1</f>
        <v>3.2022222222222219</v>
      </c>
      <c r="O51" s="101">
        <f>O50/K50-1</f>
        <v>1.4965517241379311</v>
      </c>
      <c r="P51" s="101">
        <f>P50/L50-1</f>
        <v>0.75320754716981142</v>
      </c>
      <c r="Q51" s="101">
        <f>Q50/M50-1</f>
        <v>0.33666491320357705</v>
      </c>
    </row>
    <row r="52" spans="1:17" x14ac:dyDescent="0.15">
      <c r="B52" s="27"/>
      <c r="C52" s="35"/>
      <c r="D52" s="35"/>
      <c r="F52" s="27"/>
      <c r="G52" s="35"/>
      <c r="H52" s="35"/>
      <c r="I52" s="35"/>
      <c r="J52" s="27"/>
      <c r="K52" s="35"/>
      <c r="L52" s="35"/>
      <c r="M52" s="35"/>
      <c r="N52" s="27"/>
      <c r="O52" s="35"/>
      <c r="P52" s="35"/>
    </row>
    <row r="53" spans="1:17" x14ac:dyDescent="0.15">
      <c r="A53" s="34" t="s">
        <v>67</v>
      </c>
      <c r="B53" s="27"/>
      <c r="C53" s="35"/>
      <c r="D53" s="35"/>
      <c r="F53" s="45"/>
      <c r="G53" s="44"/>
      <c r="H53" s="44"/>
      <c r="I53" s="44"/>
      <c r="J53" s="45"/>
      <c r="K53" s="44"/>
      <c r="L53" s="44"/>
      <c r="M53" s="44"/>
      <c r="N53" s="45">
        <f>N3/J3-1</f>
        <v>-2.2222222222222254E-2</v>
      </c>
      <c r="O53" s="44">
        <f>O3/K3-1</f>
        <v>0.66904761904761911</v>
      </c>
      <c r="P53" s="44">
        <f>P3/L3-1</f>
        <v>0.3318681318681318</v>
      </c>
      <c r="Q53" s="44">
        <f>Q3/M3-1</f>
        <v>0.37847222222222232</v>
      </c>
    </row>
    <row r="54" spans="1:17" x14ac:dyDescent="0.15">
      <c r="B54" s="27"/>
      <c r="C54" s="35"/>
      <c r="D54" s="35"/>
      <c r="E54" s="28"/>
      <c r="F54" s="27"/>
      <c r="G54" s="35"/>
      <c r="H54" s="35"/>
      <c r="I54" s="36"/>
      <c r="J54" s="27"/>
      <c r="K54" s="35"/>
      <c r="L54" s="35"/>
      <c r="M54" s="35"/>
      <c r="P54" s="35"/>
    </row>
    <row r="55" spans="1:17" s="63" customFormat="1" x14ac:dyDescent="0.15">
      <c r="A55" s="82" t="s">
        <v>81</v>
      </c>
      <c r="B55" s="45"/>
      <c r="C55" s="94"/>
      <c r="D55" s="94"/>
      <c r="E55" s="94"/>
      <c r="F55" s="45"/>
      <c r="G55" s="94"/>
      <c r="H55" s="94"/>
      <c r="I55" s="95"/>
      <c r="J55" s="62"/>
      <c r="N55" s="62">
        <f>N5/J5-1</f>
        <v>0.45333333333333337</v>
      </c>
      <c r="O55" s="96">
        <f>O5/K5-1</f>
        <v>0.52631578947368429</v>
      </c>
      <c r="P55" s="96">
        <f>P5/L5-1</f>
        <v>7.5268817204301008E-2</v>
      </c>
      <c r="Q55" s="96">
        <f>Q5/M5-1</f>
        <v>-9.5652173913043481E-2</v>
      </c>
    </row>
    <row r="56" spans="1:17" x14ac:dyDescent="0.15">
      <c r="A56" s="65" t="s">
        <v>82</v>
      </c>
      <c r="B56" s="64"/>
      <c r="F56" s="62"/>
      <c r="G56" s="63"/>
      <c r="H56" s="63"/>
      <c r="I56" s="63"/>
      <c r="J56" s="62"/>
      <c r="K56" s="63"/>
      <c r="L56" s="63"/>
      <c r="M56" s="63"/>
      <c r="N56" s="62">
        <f>N6/J6-1</f>
        <v>-0.327217125382263</v>
      </c>
      <c r="O56" s="96">
        <f>O6/K6-1</f>
        <v>9.3513957307060691E-2</v>
      </c>
      <c r="P56" s="96">
        <f>P6/L6-1</f>
        <v>0.23863736263736257</v>
      </c>
      <c r="Q56" s="96">
        <f>Q6/M6-1</f>
        <v>0.52427216880341887</v>
      </c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6"/>
  <sheetViews>
    <sheetView zoomScale="130" zoomScaleNormal="130" workbookViewId="0">
      <selection activeCell="C11" sqref="C11"/>
    </sheetView>
  </sheetViews>
  <sheetFormatPr baseColWidth="10" defaultRowHeight="13" x14ac:dyDescent="0.15"/>
  <cols>
    <col min="1" max="1" width="10.83203125" style="1"/>
    <col min="2" max="2" width="10.5" style="1" bestFit="1" customWidth="1"/>
    <col min="3" max="3" width="49.6640625" style="1" bestFit="1" customWidth="1"/>
    <col min="4" max="16384" width="10.83203125" style="1"/>
  </cols>
  <sheetData>
    <row r="4" spans="2:3" x14ac:dyDescent="0.15">
      <c r="B4" s="78" t="s">
        <v>73</v>
      </c>
    </row>
    <row r="6" spans="2:3" x14ac:dyDescent="0.15">
      <c r="B6" s="65" t="s">
        <v>77</v>
      </c>
      <c r="C6" s="6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2021-03-08T22:26:46Z</dcterms:modified>
</cp:coreProperties>
</file>