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6D92F4B2-F03F-4D4F-9C31-8E2E62146D68}" xr6:coauthVersionLast="46" xr6:coauthVersionMax="46" xr10:uidLastSave="{00000000-0000-0000-0000-000000000000}"/>
  <bookViews>
    <workbookView xWindow="-65140" yWindow="-5940" windowWidth="28260" windowHeight="26780" tabRatio="500" xr2:uid="{00000000-000D-0000-FFFF-FFFF00000000}"/>
  </bookViews>
  <sheets>
    <sheet name="Main" sheetId="1" r:id="rId1"/>
    <sheet name="Report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1" l="1"/>
  <c r="F4" i="1"/>
  <c r="J20" i="1"/>
  <c r="K20" i="1" s="1"/>
  <c r="L20" i="1" s="1"/>
  <c r="M20" i="1" s="1"/>
  <c r="I20" i="1"/>
  <c r="K10" i="1"/>
  <c r="L10" i="1" s="1"/>
  <c r="M10" i="1" s="1"/>
  <c r="J10" i="1"/>
  <c r="W36" i="1"/>
  <c r="W35" i="1"/>
  <c r="W28" i="1"/>
  <c r="W19" i="1"/>
  <c r="W18" i="1"/>
  <c r="W9" i="1"/>
  <c r="V36" i="1"/>
  <c r="V28" i="1"/>
  <c r="V19" i="1"/>
  <c r="V18" i="1"/>
  <c r="V9" i="1"/>
  <c r="U36" i="1"/>
  <c r="U28" i="1"/>
  <c r="U19" i="1"/>
  <c r="U18" i="1"/>
  <c r="U35" i="1" s="1"/>
  <c r="U9" i="1"/>
  <c r="T35" i="1"/>
  <c r="T28" i="1"/>
  <c r="T19" i="1"/>
  <c r="T36" i="1" s="1"/>
  <c r="T18" i="1"/>
  <c r="T9" i="1"/>
  <c r="S36" i="1"/>
  <c r="S35" i="1"/>
  <c r="S28" i="1"/>
  <c r="S19" i="1"/>
  <c r="S18" i="1"/>
  <c r="S9" i="1"/>
  <c r="H38" i="1"/>
  <c r="G38" i="1"/>
  <c r="C5" i="1"/>
  <c r="C3" i="1"/>
  <c r="I10" i="1"/>
  <c r="I15" i="1" s="1"/>
  <c r="V35" i="1" l="1"/>
  <c r="H46" i="1"/>
  <c r="H45" i="1"/>
  <c r="H49" i="1" s="1"/>
  <c r="H44" i="1"/>
  <c r="H42" i="1"/>
  <c r="H41" i="1"/>
  <c r="H40" i="1" s="1"/>
  <c r="I23" i="1" s="1"/>
  <c r="H28" i="1"/>
  <c r="H25" i="1"/>
  <c r="H23" i="1"/>
  <c r="H20" i="1"/>
  <c r="H19" i="1"/>
  <c r="I19" i="1" s="1"/>
  <c r="J19" i="1" s="1"/>
  <c r="K19" i="1" s="1"/>
  <c r="L19" i="1" s="1"/>
  <c r="M19" i="1" s="1"/>
  <c r="H18" i="1"/>
  <c r="H21" i="1" s="1"/>
  <c r="H16" i="1"/>
  <c r="H10" i="1"/>
  <c r="I56" i="1" s="1"/>
  <c r="Q8" i="2"/>
  <c r="Q49" i="2"/>
  <c r="Q27" i="2"/>
  <c r="M30" i="2"/>
  <c r="M29" i="2"/>
  <c r="M28" i="2"/>
  <c r="M27" i="2"/>
  <c r="M25" i="2"/>
  <c r="M24" i="2"/>
  <c r="M23" i="2"/>
  <c r="M19" i="2"/>
  <c r="M20" i="2" s="1"/>
  <c r="M17" i="2"/>
  <c r="M16" i="2"/>
  <c r="M14" i="2"/>
  <c r="M15" i="2" s="1"/>
  <c r="M10" i="2"/>
  <c r="M8" i="2"/>
  <c r="N49" i="2"/>
  <c r="N43" i="2"/>
  <c r="N41" i="2"/>
  <c r="N40" i="2"/>
  <c r="N32" i="2"/>
  <c r="J30" i="2"/>
  <c r="J29" i="2"/>
  <c r="J28" i="2"/>
  <c r="J27" i="2"/>
  <c r="J25" i="2"/>
  <c r="J24" i="2"/>
  <c r="J23" i="2"/>
  <c r="J19" i="2"/>
  <c r="J20" i="2" s="1"/>
  <c r="J17" i="2"/>
  <c r="J16" i="2"/>
  <c r="J15" i="2"/>
  <c r="J14" i="2"/>
  <c r="J10" i="2"/>
  <c r="N30" i="2"/>
  <c r="N29" i="2"/>
  <c r="N28" i="2"/>
  <c r="N27" i="2"/>
  <c r="N25" i="2"/>
  <c r="N24" i="2"/>
  <c r="N23" i="2"/>
  <c r="N19" i="2"/>
  <c r="N20" i="2" s="1"/>
  <c r="N17" i="2"/>
  <c r="N16" i="2"/>
  <c r="N14" i="2"/>
  <c r="N15" i="2" s="1"/>
  <c r="N10" i="2"/>
  <c r="N8" i="2"/>
  <c r="J8" i="2"/>
  <c r="O49" i="2"/>
  <c r="O43" i="2"/>
  <c r="O41" i="2"/>
  <c r="O40" i="2"/>
  <c r="O32" i="2"/>
  <c r="K30" i="2"/>
  <c r="K29" i="2"/>
  <c r="K28" i="2"/>
  <c r="K27" i="2"/>
  <c r="K25" i="2"/>
  <c r="K24" i="2"/>
  <c r="K23" i="2"/>
  <c r="K19" i="2"/>
  <c r="K20" i="2" s="1"/>
  <c r="K17" i="2"/>
  <c r="K16" i="2"/>
  <c r="K14" i="2"/>
  <c r="K15" i="2" s="1"/>
  <c r="K10" i="2"/>
  <c r="O30" i="2"/>
  <c r="O29" i="2"/>
  <c r="O28" i="2"/>
  <c r="O27" i="2"/>
  <c r="O25" i="2"/>
  <c r="O24" i="2"/>
  <c r="O23" i="2"/>
  <c r="O19" i="2"/>
  <c r="O20" i="2" s="1"/>
  <c r="O17" i="2"/>
  <c r="O16" i="2"/>
  <c r="O14" i="2"/>
  <c r="O15" i="2" s="1"/>
  <c r="O10" i="2"/>
  <c r="O8" i="2"/>
  <c r="K8" i="2"/>
  <c r="P49" i="2"/>
  <c r="P41" i="2"/>
  <c r="P40" i="2"/>
  <c r="P32" i="2"/>
  <c r="M49" i="2"/>
  <c r="M43" i="2"/>
  <c r="M41" i="2"/>
  <c r="M40" i="2"/>
  <c r="M32" i="2"/>
  <c r="L30" i="2"/>
  <c r="L29" i="2"/>
  <c r="L28" i="2"/>
  <c r="L27" i="2"/>
  <c r="L25" i="2"/>
  <c r="L24" i="2"/>
  <c r="L23" i="2"/>
  <c r="P30" i="2"/>
  <c r="P29" i="2"/>
  <c r="P28" i="2"/>
  <c r="P27" i="2"/>
  <c r="P25" i="2"/>
  <c r="P24" i="2"/>
  <c r="P23" i="2"/>
  <c r="L19" i="2"/>
  <c r="L20" i="2" s="1"/>
  <c r="L17" i="2"/>
  <c r="L16" i="2"/>
  <c r="L14" i="2"/>
  <c r="L15" i="2" s="1"/>
  <c r="L10" i="2"/>
  <c r="P19" i="2"/>
  <c r="P20" i="2" s="1"/>
  <c r="P17" i="2"/>
  <c r="P16" i="2"/>
  <c r="P14" i="2"/>
  <c r="P15" i="2" s="1"/>
  <c r="P10" i="2"/>
  <c r="P8" i="2"/>
  <c r="L8" i="2"/>
  <c r="H15" i="1" l="1"/>
  <c r="H17" i="1" s="1"/>
  <c r="H22" i="1" s="1"/>
  <c r="H24" i="1" s="1"/>
  <c r="J15" i="1"/>
  <c r="J56" i="1"/>
  <c r="H48" i="1"/>
  <c r="N47" i="2"/>
  <c r="N46" i="2"/>
  <c r="N44" i="2"/>
  <c r="N45" i="2"/>
  <c r="O44" i="2"/>
  <c r="O45" i="2"/>
  <c r="O46" i="2"/>
  <c r="O47" i="2"/>
  <c r="P43" i="2"/>
  <c r="P45" i="2" s="1"/>
  <c r="M47" i="2"/>
  <c r="P47" i="2"/>
  <c r="P46" i="2"/>
  <c r="P44" i="2"/>
  <c r="M44" i="2"/>
  <c r="M46" i="2"/>
  <c r="M45" i="2"/>
  <c r="I28" i="1"/>
  <c r="J28" i="1" s="1"/>
  <c r="K28" i="1" s="1"/>
  <c r="L28" i="1" s="1"/>
  <c r="M28" i="1" s="1"/>
  <c r="N28" i="1" s="1"/>
  <c r="O28" i="1" s="1"/>
  <c r="P28" i="1" s="1"/>
  <c r="Q28" i="1" s="1"/>
  <c r="R28" i="1" s="1"/>
  <c r="G10" i="1"/>
  <c r="G15" i="1" s="1"/>
  <c r="G16" i="1"/>
  <c r="G18" i="1"/>
  <c r="G35" i="1" s="1"/>
  <c r="G19" i="1"/>
  <c r="G20" i="1"/>
  <c r="G37" i="1" s="1"/>
  <c r="G23" i="1"/>
  <c r="G25" i="1"/>
  <c r="G45" i="1"/>
  <c r="G44" i="1"/>
  <c r="G41" i="1"/>
  <c r="G46" i="1"/>
  <c r="G42" i="1"/>
  <c r="G40" i="1" s="1"/>
  <c r="F20" i="1"/>
  <c r="F19" i="1"/>
  <c r="F18" i="1"/>
  <c r="F10" i="1"/>
  <c r="F15" i="1" s="1"/>
  <c r="E15" i="1"/>
  <c r="F16" i="1"/>
  <c r="F28" i="1"/>
  <c r="F25" i="1"/>
  <c r="G28" i="1"/>
  <c r="B15" i="1"/>
  <c r="B16" i="2"/>
  <c r="B8" i="2"/>
  <c r="F27" i="2" s="1"/>
  <c r="B10" i="2"/>
  <c r="B23" i="2" s="1"/>
  <c r="B14" i="2"/>
  <c r="B15" i="2"/>
  <c r="B24" i="2" s="1"/>
  <c r="B17" i="2"/>
  <c r="B19" i="2" s="1"/>
  <c r="B25" i="2"/>
  <c r="F16" i="2"/>
  <c r="F49" i="2"/>
  <c r="F8" i="2"/>
  <c r="F10" i="2"/>
  <c r="F14" i="2"/>
  <c r="F15" i="2"/>
  <c r="F17" i="2"/>
  <c r="F25" i="2" s="1"/>
  <c r="F19" i="2"/>
  <c r="F20" i="2" s="1"/>
  <c r="F40" i="2"/>
  <c r="F41" i="2"/>
  <c r="F32" i="2"/>
  <c r="F30" i="2"/>
  <c r="F29" i="2"/>
  <c r="F28" i="2"/>
  <c r="F24" i="2"/>
  <c r="F23" i="2"/>
  <c r="C16" i="2"/>
  <c r="C8" i="2"/>
  <c r="G27" i="2" s="1"/>
  <c r="C10" i="2"/>
  <c r="C15" i="2" s="1"/>
  <c r="C14" i="2"/>
  <c r="G16" i="2"/>
  <c r="G49" i="2"/>
  <c r="G8" i="2"/>
  <c r="G10" i="2"/>
  <c r="G14" i="2"/>
  <c r="G15" i="2"/>
  <c r="G24" i="2" s="1"/>
  <c r="G17" i="2"/>
  <c r="G25" i="2" s="1"/>
  <c r="G19" i="2"/>
  <c r="G40" i="2"/>
  <c r="G41" i="2"/>
  <c r="G32" i="2"/>
  <c r="G30" i="2"/>
  <c r="G29" i="2"/>
  <c r="G28" i="2"/>
  <c r="G23" i="2"/>
  <c r="G20" i="2"/>
  <c r="D16" i="2"/>
  <c r="F23" i="1" s="1"/>
  <c r="D8" i="2"/>
  <c r="D10" i="2" s="1"/>
  <c r="D14" i="2"/>
  <c r="H16" i="2"/>
  <c r="H8" i="2"/>
  <c r="H27" i="2" s="1"/>
  <c r="H49" i="2"/>
  <c r="H10" i="2"/>
  <c r="H23" i="2" s="1"/>
  <c r="H14" i="2"/>
  <c r="H15" i="2"/>
  <c r="H17" i="2" s="1"/>
  <c r="E8" i="2"/>
  <c r="I27" i="2" s="1"/>
  <c r="E10" i="2"/>
  <c r="H40" i="2"/>
  <c r="H41" i="2"/>
  <c r="H32" i="2"/>
  <c r="H30" i="2"/>
  <c r="H29" i="2"/>
  <c r="H28" i="2"/>
  <c r="E36" i="2"/>
  <c r="E40" i="2"/>
  <c r="E41" i="2"/>
  <c r="E32" i="2"/>
  <c r="I49" i="2"/>
  <c r="I8" i="2"/>
  <c r="I10" i="2"/>
  <c r="I14" i="2"/>
  <c r="I15" i="2"/>
  <c r="I16" i="2"/>
  <c r="I17" i="2"/>
  <c r="I25" i="2" s="1"/>
  <c r="I19" i="2"/>
  <c r="I20" i="2" s="1"/>
  <c r="I40" i="2"/>
  <c r="I41" i="2"/>
  <c r="I32" i="2"/>
  <c r="I28" i="2"/>
  <c r="I30" i="2"/>
  <c r="I29" i="2"/>
  <c r="I24" i="2"/>
  <c r="I23" i="2"/>
  <c r="E14" i="2"/>
  <c r="E15" i="2" s="1"/>
  <c r="E16" i="2"/>
  <c r="E23" i="2"/>
  <c r="D15" i="1"/>
  <c r="C15" i="1"/>
  <c r="D34" i="1"/>
  <c r="C4" i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K15" i="1" l="1"/>
  <c r="K56" i="1"/>
  <c r="C6" i="1"/>
  <c r="C7" i="1" s="1"/>
  <c r="G49" i="1"/>
  <c r="C34" i="1"/>
  <c r="E34" i="1"/>
  <c r="G21" i="1"/>
  <c r="F21" i="1"/>
  <c r="G48" i="1"/>
  <c r="H56" i="1"/>
  <c r="D15" i="2"/>
  <c r="D23" i="2"/>
  <c r="H37" i="1"/>
  <c r="G34" i="1"/>
  <c r="G17" i="1"/>
  <c r="H36" i="1"/>
  <c r="E24" i="2"/>
  <c r="E17" i="2"/>
  <c r="F34" i="1"/>
  <c r="F17" i="1"/>
  <c r="C17" i="2"/>
  <c r="C24" i="2"/>
  <c r="B20" i="2"/>
  <c r="H19" i="2"/>
  <c r="H20" i="2" s="1"/>
  <c r="H25" i="2"/>
  <c r="I43" i="2"/>
  <c r="G56" i="1"/>
  <c r="H24" i="2"/>
  <c r="C23" i="2"/>
  <c r="G36" i="1"/>
  <c r="M15" i="1" l="1"/>
  <c r="L15" i="1"/>
  <c r="L56" i="1"/>
  <c r="H34" i="1"/>
  <c r="E19" i="2"/>
  <c r="E25" i="2"/>
  <c r="C25" i="2"/>
  <c r="C19" i="2"/>
  <c r="I36" i="1"/>
  <c r="H35" i="1"/>
  <c r="I18" i="1"/>
  <c r="G30" i="1"/>
  <c r="G22" i="1"/>
  <c r="F22" i="1"/>
  <c r="F30" i="1"/>
  <c r="I46" i="2"/>
  <c r="I45" i="2"/>
  <c r="I47" i="2"/>
  <c r="I44" i="2"/>
  <c r="I37" i="1"/>
  <c r="D17" i="2"/>
  <c r="D24" i="2"/>
  <c r="M56" i="1" l="1"/>
  <c r="J36" i="1"/>
  <c r="G31" i="1"/>
  <c r="G24" i="1"/>
  <c r="D25" i="2"/>
  <c r="D19" i="2"/>
  <c r="J37" i="1"/>
  <c r="F31" i="1"/>
  <c r="F24" i="1"/>
  <c r="I35" i="1"/>
  <c r="I21" i="1"/>
  <c r="I38" i="1" s="1"/>
  <c r="J18" i="1"/>
  <c r="C20" i="2"/>
  <c r="F43" i="2"/>
  <c r="E43" i="2"/>
  <c r="H43" i="2"/>
  <c r="E20" i="2"/>
  <c r="I34" i="1"/>
  <c r="F46" i="2" l="1"/>
  <c r="F45" i="2"/>
  <c r="F44" i="2"/>
  <c r="F47" i="2"/>
  <c r="F26" i="1"/>
  <c r="F27" i="1" s="1"/>
  <c r="F32" i="1"/>
  <c r="K37" i="1"/>
  <c r="J34" i="1"/>
  <c r="E47" i="2"/>
  <c r="E46" i="2"/>
  <c r="E44" i="2"/>
  <c r="E45" i="2"/>
  <c r="J35" i="1"/>
  <c r="K18" i="1"/>
  <c r="J21" i="1"/>
  <c r="J38" i="1" s="1"/>
  <c r="H30" i="1"/>
  <c r="I17" i="1" s="1"/>
  <c r="D20" i="2"/>
  <c r="G43" i="2"/>
  <c r="G32" i="1"/>
  <c r="G26" i="1"/>
  <c r="K36" i="1"/>
  <c r="H46" i="2"/>
  <c r="H45" i="2"/>
  <c r="H47" i="2"/>
  <c r="H44" i="2"/>
  <c r="K34" i="1" l="1"/>
  <c r="G54" i="1"/>
  <c r="G27" i="1"/>
  <c r="G52" i="1"/>
  <c r="G51" i="1"/>
  <c r="G53" i="1"/>
  <c r="G46" i="2"/>
  <c r="G45" i="2"/>
  <c r="G47" i="2"/>
  <c r="G44" i="2"/>
  <c r="I30" i="1"/>
  <c r="J17" i="1" s="1"/>
  <c r="I22" i="1"/>
  <c r="I16" i="1"/>
  <c r="L18" i="1"/>
  <c r="K21" i="1"/>
  <c r="K38" i="1" s="1"/>
  <c r="K35" i="1"/>
  <c r="L36" i="1"/>
  <c r="L37" i="1"/>
  <c r="H31" i="1"/>
  <c r="I31" i="1" l="1"/>
  <c r="J22" i="1"/>
  <c r="J30" i="1"/>
  <c r="K17" i="1" s="1"/>
  <c r="J16" i="1"/>
  <c r="H32" i="1"/>
  <c r="M36" i="1"/>
  <c r="N19" i="1"/>
  <c r="N20" i="1"/>
  <c r="M37" i="1"/>
  <c r="L34" i="1"/>
  <c r="M18" i="1"/>
  <c r="L35" i="1"/>
  <c r="L21" i="1"/>
  <c r="L38" i="1" s="1"/>
  <c r="H26" i="1" l="1"/>
  <c r="N18" i="1"/>
  <c r="M21" i="1"/>
  <c r="M38" i="1" s="1"/>
  <c r="M35" i="1"/>
  <c r="M34" i="1"/>
  <c r="N15" i="1"/>
  <c r="N37" i="1"/>
  <c r="O20" i="1"/>
  <c r="N36" i="1"/>
  <c r="O19" i="1"/>
  <c r="K30" i="1"/>
  <c r="L17" i="1" s="1"/>
  <c r="K22" i="1"/>
  <c r="K16" i="1"/>
  <c r="J31" i="1"/>
  <c r="H52" i="1" l="1"/>
  <c r="H27" i="1"/>
  <c r="H53" i="1"/>
  <c r="H51" i="1"/>
  <c r="H54" i="1"/>
  <c r="I24" i="1"/>
  <c r="L22" i="1"/>
  <c r="L30" i="1"/>
  <c r="M17" i="1" s="1"/>
  <c r="L16" i="1"/>
  <c r="K31" i="1"/>
  <c r="O36" i="1"/>
  <c r="P19" i="1"/>
  <c r="P20" i="1"/>
  <c r="O37" i="1"/>
  <c r="N34" i="1"/>
  <c r="O15" i="1"/>
  <c r="O18" i="1"/>
  <c r="N21" i="1"/>
  <c r="N38" i="1" s="1"/>
  <c r="N35" i="1"/>
  <c r="O21" i="1" l="1"/>
  <c r="O38" i="1" s="1"/>
  <c r="P18" i="1"/>
  <c r="O35" i="1"/>
  <c r="Q19" i="1"/>
  <c r="P36" i="1"/>
  <c r="M30" i="1"/>
  <c r="N17" i="1" s="1"/>
  <c r="M22" i="1"/>
  <c r="M16" i="1"/>
  <c r="O34" i="1"/>
  <c r="P15" i="1"/>
  <c r="Q20" i="1"/>
  <c r="P37" i="1"/>
  <c r="I32" i="1"/>
  <c r="L31" i="1"/>
  <c r="I26" i="1" l="1"/>
  <c r="I27" i="1" s="1"/>
  <c r="Q15" i="1"/>
  <c r="P34" i="1"/>
  <c r="M31" i="1"/>
  <c r="P35" i="1"/>
  <c r="Q18" i="1"/>
  <c r="P21" i="1"/>
  <c r="P38" i="1" s="1"/>
  <c r="Q37" i="1"/>
  <c r="R20" i="1"/>
  <c r="N30" i="1"/>
  <c r="O17" i="1" s="1"/>
  <c r="N22" i="1"/>
  <c r="N16" i="1"/>
  <c r="Q36" i="1"/>
  <c r="R19" i="1"/>
  <c r="R36" i="1" s="1"/>
  <c r="R37" i="1" l="1"/>
  <c r="S20" i="1"/>
  <c r="I40" i="1"/>
  <c r="J23" i="1" s="1"/>
  <c r="J24" i="1" s="1"/>
  <c r="Q35" i="1"/>
  <c r="R18" i="1"/>
  <c r="Q21" i="1"/>
  <c r="Q38" i="1" s="1"/>
  <c r="O22" i="1"/>
  <c r="O30" i="1"/>
  <c r="P17" i="1" s="1"/>
  <c r="O16" i="1"/>
  <c r="N31" i="1"/>
  <c r="R15" i="1"/>
  <c r="S15" i="1" s="1"/>
  <c r="Q34" i="1"/>
  <c r="S37" i="1" l="1"/>
  <c r="T20" i="1"/>
  <c r="S21" i="1"/>
  <c r="T15" i="1"/>
  <c r="S34" i="1"/>
  <c r="R21" i="1"/>
  <c r="R38" i="1" s="1"/>
  <c r="R35" i="1"/>
  <c r="J25" i="1"/>
  <c r="J32" i="1" s="1"/>
  <c r="R34" i="1"/>
  <c r="P22" i="1"/>
  <c r="P30" i="1"/>
  <c r="Q17" i="1" s="1"/>
  <c r="P16" i="1"/>
  <c r="O31" i="1"/>
  <c r="S38" i="1" l="1"/>
  <c r="T37" i="1"/>
  <c r="U20" i="1"/>
  <c r="T21" i="1"/>
  <c r="T38" i="1" s="1"/>
  <c r="U15" i="1"/>
  <c r="T34" i="1"/>
  <c r="J26" i="1"/>
  <c r="J27" i="1" s="1"/>
  <c r="P31" i="1"/>
  <c r="Q22" i="1"/>
  <c r="Q30" i="1"/>
  <c r="R17" i="1" s="1"/>
  <c r="Q16" i="1"/>
  <c r="U37" i="1" l="1"/>
  <c r="U21" i="1"/>
  <c r="U38" i="1" s="1"/>
  <c r="V20" i="1"/>
  <c r="V15" i="1"/>
  <c r="U34" i="1"/>
  <c r="J40" i="1"/>
  <c r="K23" i="1" s="1"/>
  <c r="K24" i="1" s="1"/>
  <c r="R22" i="1"/>
  <c r="R30" i="1"/>
  <c r="S17" i="1" s="1"/>
  <c r="R16" i="1"/>
  <c r="Q31" i="1"/>
  <c r="V37" i="1" l="1"/>
  <c r="W20" i="1"/>
  <c r="V21" i="1"/>
  <c r="V38" i="1" s="1"/>
  <c r="S30" i="1"/>
  <c r="T17" i="1" s="1"/>
  <c r="S22" i="1"/>
  <c r="S31" i="1" s="1"/>
  <c r="S16" i="1"/>
  <c r="W15" i="1"/>
  <c r="V34" i="1"/>
  <c r="R31" i="1"/>
  <c r="K32" i="1"/>
  <c r="W37" i="1" l="1"/>
  <c r="W21" i="1"/>
  <c r="W38" i="1" s="1"/>
  <c r="W34" i="1"/>
  <c r="T22" i="1"/>
  <c r="T31" i="1" s="1"/>
  <c r="T30" i="1"/>
  <c r="U17" i="1" s="1"/>
  <c r="T16" i="1"/>
  <c r="K26" i="1"/>
  <c r="U22" i="1" l="1"/>
  <c r="U31" i="1" s="1"/>
  <c r="U30" i="1"/>
  <c r="V17" i="1" s="1"/>
  <c r="U16" i="1"/>
  <c r="K27" i="1"/>
  <c r="K40" i="1"/>
  <c r="V22" i="1" l="1"/>
  <c r="V31" i="1" s="1"/>
  <c r="V30" i="1"/>
  <c r="W17" i="1" s="1"/>
  <c r="V16" i="1"/>
  <c r="L23" i="1"/>
  <c r="L24" i="1" s="1"/>
  <c r="L25" i="1" s="1"/>
  <c r="W30" i="1" l="1"/>
  <c r="W22" i="1"/>
  <c r="W31" i="1" s="1"/>
  <c r="W16" i="1"/>
  <c r="L32" i="1"/>
  <c r="L26" i="1" l="1"/>
  <c r="L27" i="1"/>
  <c r="L40" i="1"/>
  <c r="M23" i="1" l="1"/>
  <c r="M24" i="1" s="1"/>
  <c r="M25" i="1" l="1"/>
  <c r="M32" i="1" s="1"/>
  <c r="M26" i="1" l="1"/>
  <c r="M27" i="1" l="1"/>
  <c r="M40" i="1"/>
  <c r="N23" i="1" s="1"/>
  <c r="N24" i="1" s="1"/>
  <c r="N25" i="1" l="1"/>
  <c r="N32" i="1" s="1"/>
  <c r="N26" i="1"/>
  <c r="N27" i="1" l="1"/>
  <c r="N40" i="1"/>
  <c r="O23" i="1" l="1"/>
  <c r="O24" i="1" s="1"/>
  <c r="O25" i="1" l="1"/>
  <c r="O32" i="1" s="1"/>
  <c r="O26" i="1"/>
  <c r="O27" i="1" l="1"/>
  <c r="O40" i="1"/>
  <c r="P23" i="1" l="1"/>
  <c r="P24" i="1" s="1"/>
  <c r="P25" i="1" l="1"/>
  <c r="P32" i="1" s="1"/>
  <c r="P26" i="1" l="1"/>
  <c r="P27" i="1" s="1"/>
  <c r="P40" i="1" l="1"/>
  <c r="Q23" i="1"/>
  <c r="Q24" i="1" s="1"/>
  <c r="Q25" i="1" l="1"/>
  <c r="Q32" i="1" s="1"/>
  <c r="Q26" i="1" l="1"/>
  <c r="Q27" i="1"/>
  <c r="Q40" i="1"/>
  <c r="R23" i="1" l="1"/>
  <c r="R24" i="1" s="1"/>
  <c r="R25" i="1" l="1"/>
  <c r="R32" i="1" s="1"/>
  <c r="R26" i="1" l="1"/>
  <c r="R27" i="1" l="1"/>
  <c r="R40" i="1"/>
  <c r="S23" i="1" l="1"/>
  <c r="S24" i="1" s="1"/>
  <c r="S25" i="1" l="1"/>
  <c r="S32" i="1" s="1"/>
  <c r="S26" i="1"/>
  <c r="S27" i="1" l="1"/>
  <c r="S40" i="1"/>
  <c r="T23" i="1" l="1"/>
  <c r="T24" i="1" s="1"/>
  <c r="T25" i="1" l="1"/>
  <c r="T32" i="1" s="1"/>
  <c r="T26" i="1"/>
  <c r="T27" i="1" l="1"/>
  <c r="T40" i="1"/>
  <c r="U23" i="1" l="1"/>
  <c r="U24" i="1" s="1"/>
  <c r="U25" i="1" l="1"/>
  <c r="U32" i="1" s="1"/>
  <c r="U26" i="1"/>
  <c r="U27" i="1" l="1"/>
  <c r="U40" i="1"/>
  <c r="V23" i="1" l="1"/>
  <c r="V24" i="1" s="1"/>
  <c r="V25" i="1" l="1"/>
  <c r="V32" i="1" s="1"/>
  <c r="V26" i="1" l="1"/>
  <c r="V27" i="1"/>
  <c r="V40" i="1"/>
  <c r="W23" i="1" l="1"/>
  <c r="W24" i="1" s="1"/>
  <c r="W25" i="1" l="1"/>
  <c r="W32" i="1" s="1"/>
  <c r="W26" i="1"/>
  <c r="W27" i="1" l="1"/>
  <c r="X26" i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W40" i="1"/>
  <c r="AW26" i="1" l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Z26" i="1" s="1"/>
  <c r="EA26" i="1" s="1"/>
  <c r="F5" i="1"/>
  <c r="F6" i="1" s="1"/>
  <c r="F7" i="1" s="1"/>
  <c r="G7" i="1" s="1"/>
</calcChain>
</file>

<file path=xl/sharedStrings.xml><?xml version="1.0" encoding="utf-8"?>
<sst xmlns="http://schemas.openxmlformats.org/spreadsheetml/2006/main" count="129" uniqueCount="84">
  <si>
    <t>EDGAR</t>
  </si>
  <si>
    <t>Box Inc (BOX)</t>
  </si>
  <si>
    <t>Price</t>
  </si>
  <si>
    <t>Shares</t>
  </si>
  <si>
    <t>Market Cap</t>
  </si>
  <si>
    <t>Net Cash</t>
  </si>
  <si>
    <t>EV</t>
  </si>
  <si>
    <t>per share</t>
  </si>
  <si>
    <t>CEO</t>
  </si>
  <si>
    <t>Founder</t>
  </si>
  <si>
    <t>Revenue</t>
  </si>
  <si>
    <t>Revenue y/y</t>
  </si>
  <si>
    <t>Q319</t>
  </si>
  <si>
    <t>Aaron Levie</t>
  </si>
  <si>
    <t>Dylan Smith</t>
  </si>
  <si>
    <t>Net Income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</si>
  <si>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</si>
  <si>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</si>
  <si>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</si>
  <si>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</si>
  <si>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</si>
  <si>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</si>
  <si>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</si>
  <si>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</si>
  <si>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</si>
  <si>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</si>
  <si>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</si>
  <si>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Gross Margin</t>
  </si>
  <si>
    <t>Operating Margin</t>
  </si>
  <si>
    <t>Tax Rate</t>
  </si>
  <si>
    <t>R&amp;D y/y</t>
  </si>
  <si>
    <t>S&amp;M y/y</t>
  </si>
  <si>
    <t>G&amp;A y/y</t>
  </si>
  <si>
    <t>Cash</t>
  </si>
  <si>
    <t>Debt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</si>
  <si>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</si>
  <si>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</si>
  <si>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</si>
  <si>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</si>
  <si>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</si>
  <si>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</si>
  <si>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</si>
  <si>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</si>
  <si>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</si>
  <si>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DAU y/y</t>
  </si>
  <si>
    <t>ARPU y/y</t>
  </si>
  <si>
    <t>DAU</t>
  </si>
  <si>
    <t>ARPU</t>
  </si>
  <si>
    <t>NI 12M</t>
  </si>
  <si>
    <t>Q118</t>
  </si>
  <si>
    <t>Q218</t>
  </si>
  <si>
    <t>Q318</t>
  </si>
  <si>
    <t>Q418</t>
  </si>
  <si>
    <t>Q119</t>
  </si>
  <si>
    <t>Q219</t>
  </si>
  <si>
    <t>Q419</t>
  </si>
  <si>
    <t>31/1/2018</t>
  </si>
  <si>
    <t>31/1/2019</t>
  </si>
  <si>
    <t>Q120</t>
  </si>
  <si>
    <t>Q220</t>
  </si>
  <si>
    <t>Q320</t>
  </si>
  <si>
    <t>Q420</t>
  </si>
  <si>
    <t>31/10/2018</t>
  </si>
  <si>
    <t>31/10/2017</t>
  </si>
  <si>
    <t>31/7/2018</t>
  </si>
  <si>
    <t>31/7/2017</t>
  </si>
  <si>
    <t>30/4/2018</t>
  </si>
  <si>
    <t>30/4/2017</t>
  </si>
  <si>
    <t>Maturity</t>
  </si>
  <si>
    <t>ROIC</t>
  </si>
  <si>
    <t>Expected return on invested capital (innovation grade)</t>
  </si>
  <si>
    <t>Discount</t>
  </si>
  <si>
    <t>NPV</t>
  </si>
  <si>
    <t>Value</t>
  </si>
  <si>
    <t>Investor Relations</t>
  </si>
  <si>
    <t>Q121</t>
  </si>
  <si>
    <t>Q221</t>
  </si>
  <si>
    <t>Q321</t>
  </si>
  <si>
    <t>Q421</t>
  </si>
  <si>
    <t>Platform</t>
  </si>
  <si>
    <t>Platform y/y</t>
  </si>
  <si>
    <t>Risk-free interest rate + market premium (opportunity cost)</t>
  </si>
  <si>
    <t>Net present value on future net income (terminal value)</t>
  </si>
  <si>
    <t>OE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</si>
</sst>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4" fontId="1" fillId="0" borderId="0" xfId="0" applyNumberFormat="1" applyFont="1"/>
    <xf numFmtId="3" fontId="1" fillId="0" borderId="0" xfId="0" applyNumberFormat="1" applyFont="1"/>
    <xf numFmtId="3" fontId="1" fillId="2" borderId="0" xfId="0" applyNumberFormat="1" applyFont="1" applyFill="1"/>
    <xf numFmtId="3" fontId="3" fillId="2" borderId="0" xfId="0" applyNumberFormat="1" applyFont="1" applyFill="1"/>
    <xf numFmtId="9" fontId="3" fillId="0" borderId="0" xfId="0" applyNumberFormat="1" applyFont="1"/>
    <xf numFmtId="4" fontId="1" fillId="2" borderId="0" xfId="0" applyNumberFormat="1" applyFont="1" applyFill="1"/>
    <xf numFmtId="0" fontId="5" fillId="0" borderId="0" xfId="1" applyFont="1"/>
    <xf numFmtId="3" fontId="3" fillId="0" borderId="0" xfId="0" applyNumberFormat="1" applyFont="1"/>
    <xf numFmtId="0" fontId="1" fillId="0" borderId="0" xfId="0" applyFont="1" applyFill="1" applyBorder="1"/>
    <xf numFmtId="9" fontId="1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9" fontId="1" fillId="0" borderId="1" xfId="0" applyNumberFormat="1" applyFont="1" applyBorder="1" applyAlignment="1">
      <alignment horizontal="right"/>
    </xf>
    <xf numFmtId="9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1" fillId="0" borderId="1" xfId="0" applyFont="1" applyBorder="1"/>
    <xf numFmtId="3" fontId="1" fillId="0" borderId="0" xfId="0" applyNumberFormat="1" applyFont="1" applyFill="1" applyAlignment="1">
      <alignment horizontal="right"/>
    </xf>
    <xf numFmtId="0" fontId="1" fillId="0" borderId="0" xfId="0" applyFont="1" applyBorder="1"/>
    <xf numFmtId="10" fontId="1" fillId="0" borderId="0" xfId="0" applyNumberFormat="1" applyFont="1"/>
    <xf numFmtId="164" fontId="1" fillId="2" borderId="0" xfId="0" applyNumberFormat="1" applyFont="1" applyFill="1"/>
    <xf numFmtId="0" fontId="3" fillId="0" borderId="0" xfId="0" applyFont="1" applyBorder="1"/>
    <xf numFmtId="164" fontId="3" fillId="2" borderId="0" xfId="0" applyNumberFormat="1" applyFont="1" applyFill="1"/>
    <xf numFmtId="0" fontId="4" fillId="0" borderId="0" xfId="0" applyFont="1" applyBorder="1"/>
    <xf numFmtId="4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9" fontId="3" fillId="0" borderId="0" xfId="0" applyNumberFormat="1" applyFont="1" applyFill="1" applyAlignment="1">
      <alignment horizontal="right"/>
    </xf>
    <xf numFmtId="0" fontId="5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1" fillId="0" borderId="0" xfId="0" applyFont="1" applyFill="1" applyBorder="1" applyAlignment="1">
      <alignment horizontal="left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left"/>
    </xf>
    <xf numFmtId="1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/>
    <xf numFmtId="14" fontId="1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322384</xdr:colOff>
      <xdr:row>8</xdr:row>
      <xdr:rowOff>0</xdr:rowOff>
    </xdr:from>
    <xdr:to>
      <xdr:col>8</xdr:col>
      <xdr:colOff>322384</xdr:colOff>
      <xdr:row>59</xdr:row>
      <xdr:rowOff>166076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7473461" y="1328615"/>
          <a:ext cx="0" cy="846992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260839</xdr:colOff>
      <xdr:row>1</xdr:row>
      <xdr:rowOff>0</xdr:rowOff>
    </xdr:from>
    <xdr:to>
      <xdr:col>16</xdr:col>
      <xdr:colOff>260839</xdr:colOff>
      <xdr:row>53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4054993" y="166077"/>
          <a:ext cx="0" cy="8648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aron_Levie" TargetMode="External"/><Relationship Id="rId2" Type="http://schemas.openxmlformats.org/officeDocument/2006/relationships/hyperlink" Target="https://en.wikipedia.org/wiki/Aaron_Levie" TargetMode="External"/><Relationship Id="rId1" Type="http://schemas.openxmlformats.org/officeDocument/2006/relationships/hyperlink" Target="https://www.boxinvestorrelations.com/home/default.aspx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Dylan_Smith_(businessman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box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59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I26" sqref="I26"/>
    </sheetView>
  </sheetViews>
  <sheetFormatPr baseColWidth="10" defaultRowHeight="13" x14ac:dyDescent="0.15"/>
  <cols>
    <col min="1" max="1" width="17.1640625" style="1" bestFit="1" customWidth="1"/>
    <col min="2" max="16384" width="10.83203125" style="1"/>
  </cols>
  <sheetData>
    <row r="1" spans="1:23" x14ac:dyDescent="0.15">
      <c r="A1" s="10" t="s">
        <v>74</v>
      </c>
      <c r="B1" s="2" t="s">
        <v>1</v>
      </c>
    </row>
    <row r="2" spans="1:23" x14ac:dyDescent="0.15">
      <c r="B2" s="1" t="s">
        <v>2</v>
      </c>
      <c r="C2" s="4">
        <v>18.149999999999999</v>
      </c>
      <c r="D2" s="54">
        <v>44236</v>
      </c>
      <c r="E2" s="34" t="s">
        <v>68</v>
      </c>
      <c r="F2" s="35">
        <v>5.0000000000000001E-3</v>
      </c>
      <c r="I2" s="5"/>
    </row>
    <row r="3" spans="1:23" x14ac:dyDescent="0.15">
      <c r="A3" s="2" t="s">
        <v>8</v>
      </c>
      <c r="B3" s="1" t="s">
        <v>3</v>
      </c>
      <c r="C3" s="5">
        <f>Reports!P21</f>
        <v>157.465</v>
      </c>
      <c r="D3" s="1" t="s">
        <v>77</v>
      </c>
      <c r="E3" s="34" t="s">
        <v>69</v>
      </c>
      <c r="F3" s="35">
        <v>0.02</v>
      </c>
      <c r="G3" s="3" t="s">
        <v>70</v>
      </c>
      <c r="I3" s="5"/>
    </row>
    <row r="4" spans="1:23" x14ac:dyDescent="0.15">
      <c r="A4" s="10" t="s">
        <v>13</v>
      </c>
      <c r="B4" s="1" t="s">
        <v>4</v>
      </c>
      <c r="C4" s="6">
        <f>C3*C2</f>
        <v>2857.9897499999997</v>
      </c>
      <c r="E4" s="34" t="s">
        <v>71</v>
      </c>
      <c r="F4" s="35">
        <f>7%</f>
        <v>7.0000000000000007E-2</v>
      </c>
      <c r="G4" s="3" t="s">
        <v>81</v>
      </c>
      <c r="I4" s="13"/>
    </row>
    <row r="5" spans="1:23" x14ac:dyDescent="0.15">
      <c r="B5" s="1" t="s">
        <v>5</v>
      </c>
      <c r="C5" s="5">
        <f>Reports!P32</f>
        <v>225</v>
      </c>
      <c r="D5" s="1" t="s">
        <v>77</v>
      </c>
      <c r="E5" s="34" t="s">
        <v>72</v>
      </c>
      <c r="F5" s="36">
        <f>NPV(F4,I26:AV26)</f>
        <v>4008.3613401848593</v>
      </c>
      <c r="G5" s="3" t="s">
        <v>82</v>
      </c>
      <c r="I5" s="13"/>
    </row>
    <row r="6" spans="1:23" x14ac:dyDescent="0.15">
      <c r="A6" s="2" t="s">
        <v>9</v>
      </c>
      <c r="B6" s="1" t="s">
        <v>6</v>
      </c>
      <c r="C6" s="6">
        <f>C4-C5</f>
        <v>2632.9897499999997</v>
      </c>
      <c r="E6" s="37" t="s">
        <v>73</v>
      </c>
      <c r="F6" s="38">
        <f>F5+C5</f>
        <v>4233.3613401848597</v>
      </c>
      <c r="I6" s="13"/>
    </row>
    <row r="7" spans="1:23" x14ac:dyDescent="0.15">
      <c r="A7" s="10" t="s">
        <v>13</v>
      </c>
      <c r="B7" s="3" t="s">
        <v>7</v>
      </c>
      <c r="C7" s="9">
        <f>C6/C3</f>
        <v>16.721111040548692</v>
      </c>
      <c r="E7" s="39" t="s">
        <v>7</v>
      </c>
      <c r="F7" s="9">
        <f>F6/C3</f>
        <v>26.884459023813925</v>
      </c>
      <c r="G7" s="13">
        <f>F7/C2-1</f>
        <v>0.48123741178038171</v>
      </c>
    </row>
    <row r="8" spans="1:23" x14ac:dyDescent="0.15">
      <c r="A8" s="10" t="s">
        <v>14</v>
      </c>
    </row>
    <row r="9" spans="1:23" x14ac:dyDescent="0.15">
      <c r="B9" s="1">
        <v>2014</v>
      </c>
      <c r="C9" s="1">
        <v>2015</v>
      </c>
      <c r="D9" s="1">
        <f t="shared" ref="D9:J9" si="0">C9+1</f>
        <v>2016</v>
      </c>
      <c r="E9" s="1">
        <f t="shared" si="0"/>
        <v>2017</v>
      </c>
      <c r="F9" s="1">
        <f t="shared" si="0"/>
        <v>2018</v>
      </c>
      <c r="G9" s="1">
        <f t="shared" si="0"/>
        <v>2019</v>
      </c>
      <c r="H9" s="1">
        <f t="shared" si="0"/>
        <v>2020</v>
      </c>
      <c r="I9" s="1">
        <f t="shared" si="0"/>
        <v>2021</v>
      </c>
      <c r="J9" s="1">
        <f t="shared" si="0"/>
        <v>2022</v>
      </c>
      <c r="K9" s="1">
        <f>J9+1</f>
        <v>2023</v>
      </c>
      <c r="L9" s="1">
        <f>K9+1</f>
        <v>2024</v>
      </c>
      <c r="M9" s="1">
        <f t="shared" ref="M9:W9" si="1">L9+1</f>
        <v>2025</v>
      </c>
      <c r="N9" s="1">
        <f t="shared" si="1"/>
        <v>2026</v>
      </c>
      <c r="O9" s="1">
        <f t="shared" si="1"/>
        <v>2027</v>
      </c>
      <c r="P9" s="1">
        <f t="shared" si="1"/>
        <v>2028</v>
      </c>
      <c r="Q9" s="1">
        <f t="shared" si="1"/>
        <v>2029</v>
      </c>
      <c r="R9" s="1">
        <f t="shared" si="1"/>
        <v>2030</v>
      </c>
      <c r="S9" s="1">
        <f t="shared" si="1"/>
        <v>2031</v>
      </c>
      <c r="T9" s="1">
        <f t="shared" si="1"/>
        <v>2032</v>
      </c>
      <c r="U9" s="1">
        <f t="shared" si="1"/>
        <v>2033</v>
      </c>
      <c r="V9" s="1">
        <f t="shared" si="1"/>
        <v>2034</v>
      </c>
      <c r="W9" s="1">
        <f t="shared" si="1"/>
        <v>2035</v>
      </c>
    </row>
    <row r="10" spans="1:23" x14ac:dyDescent="0.15">
      <c r="A10" s="1" t="s">
        <v>79</v>
      </c>
      <c r="B10" s="5">
        <v>124.19199999999999</v>
      </c>
      <c r="C10" s="5">
        <v>216.44</v>
      </c>
      <c r="D10" s="5">
        <v>302.70400000000001</v>
      </c>
      <c r="E10" s="5">
        <v>398.60500000000002</v>
      </c>
      <c r="F10" s="5">
        <f>SUM(Reports!B3:E3)</f>
        <v>506.142</v>
      </c>
      <c r="G10" s="16">
        <f>SUM(Reports!F3:I3)</f>
        <v>608.38599999999997</v>
      </c>
      <c r="H10" s="16">
        <f>SUM(Reports!J3:M3)</f>
        <v>696.26400000000012</v>
      </c>
      <c r="I10" s="16">
        <f>SUM(Reports!N3:Q3)</f>
        <v>767.85699999999997</v>
      </c>
      <c r="J10" s="16">
        <f>I10*1.1</f>
        <v>844.64269999999999</v>
      </c>
      <c r="K10" s="16">
        <f t="shared" ref="K10:M10" si="2">J10*1.1</f>
        <v>929.10697000000005</v>
      </c>
      <c r="L10" s="16">
        <f t="shared" si="2"/>
        <v>1022.0176670000002</v>
      </c>
      <c r="M10" s="16">
        <f t="shared" si="2"/>
        <v>1124.2194337000003</v>
      </c>
    </row>
    <row r="11" spans="1:23" x14ac:dyDescent="0.15">
      <c r="G11" s="14"/>
      <c r="H11" s="14"/>
      <c r="I11" s="14"/>
      <c r="J11" s="14"/>
    </row>
    <row r="12" spans="1:23" x14ac:dyDescent="0.15">
      <c r="A12" s="1" t="s">
        <v>46</v>
      </c>
      <c r="G12" s="14"/>
      <c r="H12" s="14"/>
      <c r="I12" s="14"/>
      <c r="J12" s="14"/>
    </row>
    <row r="13" spans="1:23" x14ac:dyDescent="0.15">
      <c r="A13" s="1" t="s">
        <v>47</v>
      </c>
      <c r="G13" s="14"/>
      <c r="H13" s="14"/>
      <c r="I13" s="14"/>
      <c r="J13" s="14"/>
    </row>
    <row r="14" spans="1:23" s="5" customFormat="1" x14ac:dyDescent="0.15">
      <c r="G14" s="16"/>
      <c r="H14" s="16">
        <v>700</v>
      </c>
      <c r="I14" s="16">
        <v>768</v>
      </c>
      <c r="J14" s="16"/>
    </row>
    <row r="15" spans="1:23" s="2" customFormat="1" x14ac:dyDescent="0.15">
      <c r="A15" s="2" t="s">
        <v>10</v>
      </c>
      <c r="B15" s="7">
        <f>B10</f>
        <v>124.19199999999999</v>
      </c>
      <c r="C15" s="7">
        <f t="shared" ref="C15:E15" si="3">C10</f>
        <v>216.44</v>
      </c>
      <c r="D15" s="7">
        <f t="shared" si="3"/>
        <v>302.70400000000001</v>
      </c>
      <c r="E15" s="7">
        <f t="shared" si="3"/>
        <v>398.60500000000002</v>
      </c>
      <c r="F15" s="7">
        <f>F10</f>
        <v>506.142</v>
      </c>
      <c r="G15" s="7">
        <f>G10</f>
        <v>608.38599999999997</v>
      </c>
      <c r="H15" s="7">
        <f>H10</f>
        <v>696.26400000000012</v>
      </c>
      <c r="I15" s="7">
        <f>I10</f>
        <v>767.85699999999997</v>
      </c>
      <c r="J15" s="23">
        <f>J10</f>
        <v>844.64269999999999</v>
      </c>
      <c r="K15" s="23">
        <f>K10</f>
        <v>929.10697000000005</v>
      </c>
      <c r="L15" s="23">
        <f>L10</f>
        <v>1022.0176670000002</v>
      </c>
      <c r="M15" s="23">
        <f>M10</f>
        <v>1124.2194337000003</v>
      </c>
      <c r="N15" s="11">
        <f t="shared" ref="N15:W15" si="4">M15*1.05</f>
        <v>1180.4304053850003</v>
      </c>
      <c r="O15" s="11">
        <f t="shared" si="4"/>
        <v>1239.4519256542503</v>
      </c>
      <c r="P15" s="11">
        <f t="shared" si="4"/>
        <v>1301.4245219369629</v>
      </c>
      <c r="Q15" s="11">
        <f t="shared" si="4"/>
        <v>1366.4957480338112</v>
      </c>
      <c r="R15" s="11">
        <f t="shared" si="4"/>
        <v>1434.8205354355018</v>
      </c>
      <c r="S15" s="11">
        <f t="shared" si="4"/>
        <v>1506.5615622072769</v>
      </c>
      <c r="T15" s="11">
        <f t="shared" si="4"/>
        <v>1581.8896403176409</v>
      </c>
      <c r="U15" s="11">
        <f t="shared" si="4"/>
        <v>1660.9841223335229</v>
      </c>
      <c r="V15" s="11">
        <f t="shared" si="4"/>
        <v>1744.0333284501992</v>
      </c>
      <c r="W15" s="11">
        <f t="shared" si="4"/>
        <v>1831.2349948727092</v>
      </c>
    </row>
    <row r="16" spans="1:23" x14ac:dyDescent="0.15">
      <c r="A16" s="1" t="s">
        <v>16</v>
      </c>
      <c r="F16" s="5">
        <f>SUM(Reports!B9:E9)</f>
        <v>135.24800000000002</v>
      </c>
      <c r="G16" s="16">
        <f>SUM(Reports!F9:I9)</f>
        <v>173.59399999999999</v>
      </c>
      <c r="H16" s="16">
        <f>SUM(Reports!J9:M9)</f>
        <v>215.577</v>
      </c>
      <c r="I16" s="33">
        <f t="shared" ref="I16:L16" si="5">I15-I17</f>
        <v>237.74359795853297</v>
      </c>
      <c r="J16" s="33">
        <f t="shared" si="5"/>
        <v>261.5179577543862</v>
      </c>
      <c r="K16" s="33">
        <f t="shared" si="5"/>
        <v>287.6697535298249</v>
      </c>
      <c r="L16" s="33">
        <f t="shared" si="5"/>
        <v>316.43672888280742</v>
      </c>
      <c r="M16" s="33">
        <f t="shared" ref="M16" si="6">M15-M17</f>
        <v>348.08040177108819</v>
      </c>
      <c r="N16" s="33">
        <f t="shared" ref="N16" si="7">N15-N17</f>
        <v>365.48442185964257</v>
      </c>
      <c r="O16" s="33">
        <f t="shared" ref="O16" si="8">O15-O17</f>
        <v>383.75864295262477</v>
      </c>
      <c r="P16" s="33">
        <f t="shared" ref="P16" si="9">P15-P17</f>
        <v>402.94657510025604</v>
      </c>
      <c r="Q16" s="33">
        <f t="shared" ref="Q16" si="10">Q15-Q17</f>
        <v>423.09390385526888</v>
      </c>
      <c r="R16" s="33">
        <f t="shared" ref="R16:S16" si="11">R15-R17</f>
        <v>444.24859904803225</v>
      </c>
      <c r="S16" s="33">
        <f t="shared" si="11"/>
        <v>466.46102900043388</v>
      </c>
      <c r="T16" s="33">
        <f t="shared" ref="T16:W16" si="12">T15-T17</f>
        <v>489.78408045045558</v>
      </c>
      <c r="U16" s="33">
        <f t="shared" si="12"/>
        <v>514.2732844729785</v>
      </c>
      <c r="V16" s="33">
        <f t="shared" si="12"/>
        <v>539.98694869662745</v>
      </c>
      <c r="W16" s="33">
        <f t="shared" si="12"/>
        <v>566.98629613145886</v>
      </c>
    </row>
    <row r="17" spans="1:131" x14ac:dyDescent="0.15">
      <c r="A17" s="1" t="s">
        <v>17</v>
      </c>
      <c r="F17" s="19">
        <f>F15-F16</f>
        <v>370.89400000000001</v>
      </c>
      <c r="G17" s="19">
        <f>G15-G16</f>
        <v>434.79199999999997</v>
      </c>
      <c r="H17" s="19">
        <f>H15-H16</f>
        <v>480.68700000000013</v>
      </c>
      <c r="I17" s="33">
        <f>I15*H30</f>
        <v>530.113402041467</v>
      </c>
      <c r="J17" s="33">
        <f t="shared" ref="J17:L17" si="13">J15*I30</f>
        <v>583.12474224561379</v>
      </c>
      <c r="K17" s="33">
        <f t="shared" si="13"/>
        <v>641.43721647017514</v>
      </c>
      <c r="L17" s="33">
        <f t="shared" si="13"/>
        <v>705.58093811719277</v>
      </c>
      <c r="M17" s="33">
        <f t="shared" ref="M17:W17" si="14">M15*L30</f>
        <v>776.13903192891212</v>
      </c>
      <c r="N17" s="33">
        <f t="shared" si="14"/>
        <v>814.94598352535775</v>
      </c>
      <c r="O17" s="33">
        <f t="shared" si="14"/>
        <v>855.69328270162555</v>
      </c>
      <c r="P17" s="33">
        <f t="shared" si="14"/>
        <v>898.47794683670691</v>
      </c>
      <c r="Q17" s="33">
        <f t="shared" si="14"/>
        <v>943.40184417854232</v>
      </c>
      <c r="R17" s="33">
        <f t="shared" si="14"/>
        <v>990.57193638746958</v>
      </c>
      <c r="S17" s="33">
        <f t="shared" si="14"/>
        <v>1040.100533206843</v>
      </c>
      <c r="T17" s="33">
        <f t="shared" si="14"/>
        <v>1092.1055598671853</v>
      </c>
      <c r="U17" s="33">
        <f t="shared" si="14"/>
        <v>1146.7108378605444</v>
      </c>
      <c r="V17" s="33">
        <f t="shared" si="14"/>
        <v>1204.0463797535717</v>
      </c>
      <c r="W17" s="33">
        <f t="shared" si="14"/>
        <v>1264.2486987412503</v>
      </c>
    </row>
    <row r="18" spans="1:131" x14ac:dyDescent="0.15">
      <c r="A18" s="1" t="s">
        <v>18</v>
      </c>
      <c r="F18" s="5">
        <f>SUM(Reports!B11:E11)</f>
        <v>136.791</v>
      </c>
      <c r="G18" s="16">
        <f>SUM(Reports!F11:I11)</f>
        <v>163.75</v>
      </c>
      <c r="H18" s="16">
        <f>SUM(Reports!J11:M11)</f>
        <v>200</v>
      </c>
      <c r="I18" s="33">
        <f t="shared" ref="I18:L18" si="15">H18*1.1</f>
        <v>220.00000000000003</v>
      </c>
      <c r="J18" s="33">
        <f t="shared" si="15"/>
        <v>242.00000000000006</v>
      </c>
      <c r="K18" s="33">
        <f t="shared" si="15"/>
        <v>266.2000000000001</v>
      </c>
      <c r="L18" s="33">
        <f t="shared" si="15"/>
        <v>292.82000000000016</v>
      </c>
      <c r="M18" s="33">
        <f>L18*1.05</f>
        <v>307.46100000000018</v>
      </c>
      <c r="N18" s="33">
        <f t="shared" ref="N18:W18" si="16">M18*1.05</f>
        <v>322.83405000000022</v>
      </c>
      <c r="O18" s="33">
        <f t="shared" si="16"/>
        <v>338.97575250000023</v>
      </c>
      <c r="P18" s="33">
        <f t="shared" si="16"/>
        <v>355.92454012500025</v>
      </c>
      <c r="Q18" s="33">
        <f t="shared" si="16"/>
        <v>373.72076713125028</v>
      </c>
      <c r="R18" s="33">
        <f t="shared" si="16"/>
        <v>392.40680548781279</v>
      </c>
      <c r="S18" s="33">
        <f t="shared" si="16"/>
        <v>412.02714576220347</v>
      </c>
      <c r="T18" s="33">
        <f t="shared" si="16"/>
        <v>432.62850305031367</v>
      </c>
      <c r="U18" s="33">
        <f t="shared" si="16"/>
        <v>454.25992820282937</v>
      </c>
      <c r="V18" s="33">
        <f t="shared" si="16"/>
        <v>476.97292461297087</v>
      </c>
      <c r="W18" s="33">
        <f t="shared" si="16"/>
        <v>500.82157084361944</v>
      </c>
    </row>
    <row r="19" spans="1:131" x14ac:dyDescent="0.15">
      <c r="A19" s="1" t="s">
        <v>19</v>
      </c>
      <c r="F19" s="5">
        <f>SUM(Reports!B12:E12)</f>
        <v>303.31899999999996</v>
      </c>
      <c r="G19" s="16">
        <f>SUM(Reports!F12:I12)</f>
        <v>312.20999999999998</v>
      </c>
      <c r="H19" s="16">
        <f>SUM(Reports!J12:M12)</f>
        <v>317</v>
      </c>
      <c r="I19" s="33">
        <f>H19*0.9</f>
        <v>285.3</v>
      </c>
      <c r="J19" s="33">
        <f t="shared" ref="J19:M19" si="17">I19*0.9</f>
        <v>256.77000000000004</v>
      </c>
      <c r="K19" s="33">
        <f t="shared" si="17"/>
        <v>231.09300000000005</v>
      </c>
      <c r="L19" s="33">
        <f t="shared" si="17"/>
        <v>207.98370000000006</v>
      </c>
      <c r="M19" s="33">
        <f t="shared" si="17"/>
        <v>187.18533000000005</v>
      </c>
      <c r="N19" s="33">
        <f t="shared" ref="N19:W19" si="18">M19*0.98</f>
        <v>183.44162340000005</v>
      </c>
      <c r="O19" s="33">
        <f t="shared" si="18"/>
        <v>179.77279093200005</v>
      </c>
      <c r="P19" s="33">
        <f t="shared" si="18"/>
        <v>176.17733511336004</v>
      </c>
      <c r="Q19" s="33">
        <f t="shared" si="18"/>
        <v>172.65378841109285</v>
      </c>
      <c r="R19" s="33">
        <f t="shared" si="18"/>
        <v>169.200712642871</v>
      </c>
      <c r="S19" s="33">
        <f t="shared" si="18"/>
        <v>165.81669839001358</v>
      </c>
      <c r="T19" s="33">
        <f t="shared" si="18"/>
        <v>162.50036442221332</v>
      </c>
      <c r="U19" s="33">
        <f t="shared" si="18"/>
        <v>159.25035713376906</v>
      </c>
      <c r="V19" s="33">
        <f t="shared" si="18"/>
        <v>156.06534999109368</v>
      </c>
      <c r="W19" s="33">
        <f t="shared" si="18"/>
        <v>152.9440429912718</v>
      </c>
    </row>
    <row r="20" spans="1:131" x14ac:dyDescent="0.15">
      <c r="A20" s="1" t="s">
        <v>20</v>
      </c>
      <c r="F20" s="5">
        <f>SUM(Reports!B13:E13)</f>
        <v>84.804999999999993</v>
      </c>
      <c r="G20" s="16">
        <f>SUM(Reports!F13:I13)</f>
        <v>93.069000000000003</v>
      </c>
      <c r="H20" s="16">
        <f>SUM(Reports!J13:M13)</f>
        <v>103</v>
      </c>
      <c r="I20" s="33">
        <f>H20*0.98</f>
        <v>100.94</v>
      </c>
      <c r="J20" s="33">
        <f t="shared" ref="J20:M20" si="19">I20*0.98</f>
        <v>98.921199999999999</v>
      </c>
      <c r="K20" s="33">
        <f t="shared" si="19"/>
        <v>96.942775999999995</v>
      </c>
      <c r="L20" s="33">
        <f t="shared" si="19"/>
        <v>95.003920479999991</v>
      </c>
      <c r="M20" s="33">
        <f t="shared" si="19"/>
        <v>93.103842070399992</v>
      </c>
      <c r="N20" s="33">
        <f t="shared" ref="N20:W20" si="20">M20*0.98</f>
        <v>91.241765228991994</v>
      </c>
      <c r="O20" s="33">
        <f t="shared" si="20"/>
        <v>89.416929924412159</v>
      </c>
      <c r="P20" s="33">
        <f t="shared" si="20"/>
        <v>87.628591325923921</v>
      </c>
      <c r="Q20" s="33">
        <f t="shared" si="20"/>
        <v>85.876019499405444</v>
      </c>
      <c r="R20" s="33">
        <f t="shared" si="20"/>
        <v>84.158499109417335</v>
      </c>
      <c r="S20" s="33">
        <f t="shared" si="20"/>
        <v>82.475329127228989</v>
      </c>
      <c r="T20" s="33">
        <f t="shared" si="20"/>
        <v>80.825822544684414</v>
      </c>
      <c r="U20" s="33">
        <f t="shared" si="20"/>
        <v>79.20930609379073</v>
      </c>
      <c r="V20" s="33">
        <f t="shared" si="20"/>
        <v>77.625119971914913</v>
      </c>
      <c r="W20" s="33">
        <f t="shared" si="20"/>
        <v>76.072617572476616</v>
      </c>
    </row>
    <row r="21" spans="1:131" x14ac:dyDescent="0.15">
      <c r="A21" s="1" t="s">
        <v>21</v>
      </c>
      <c r="F21" s="19">
        <f>SUM(F18:F20)</f>
        <v>524.91499999999996</v>
      </c>
      <c r="G21" s="19">
        <f>SUM(G18:G20)</f>
        <v>569.029</v>
      </c>
      <c r="H21" s="19">
        <f>SUM(H18:H20)</f>
        <v>620</v>
      </c>
      <c r="I21" s="33">
        <f t="shared" ref="I21:L21" si="21">SUM(I18:I20)</f>
        <v>606.24</v>
      </c>
      <c r="J21" s="33">
        <f t="shared" si="21"/>
        <v>597.69120000000009</v>
      </c>
      <c r="K21" s="33">
        <f t="shared" si="21"/>
        <v>594.2357760000001</v>
      </c>
      <c r="L21" s="33">
        <f t="shared" si="21"/>
        <v>595.8076204800002</v>
      </c>
      <c r="M21" s="33">
        <f t="shared" ref="M21" si="22">SUM(M18:M20)</f>
        <v>587.75017207040025</v>
      </c>
      <c r="N21" s="33">
        <f t="shared" ref="N21" si="23">SUM(N18:N20)</f>
        <v>597.51743862899229</v>
      </c>
      <c r="O21" s="33">
        <f t="shared" ref="O21" si="24">SUM(O18:O20)</f>
        <v>608.16547335641235</v>
      </c>
      <c r="P21" s="33">
        <f t="shared" ref="P21" si="25">SUM(P18:P20)</f>
        <v>619.73046656428426</v>
      </c>
      <c r="Q21" s="33">
        <f t="shared" ref="Q21" si="26">SUM(Q18:Q20)</f>
        <v>632.25057504174856</v>
      </c>
      <c r="R21" s="33">
        <f t="shared" ref="R21:S21" si="27">SUM(R18:R20)</f>
        <v>645.76601724010106</v>
      </c>
      <c r="S21" s="33">
        <f t="shared" si="27"/>
        <v>660.31917327944609</v>
      </c>
      <c r="T21" s="33">
        <f t="shared" ref="T21:W21" si="28">SUM(T18:T20)</f>
        <v>675.95469001721142</v>
      </c>
      <c r="U21" s="33">
        <f t="shared" si="28"/>
        <v>692.71959143038907</v>
      </c>
      <c r="V21" s="33">
        <f t="shared" si="28"/>
        <v>710.66339457597951</v>
      </c>
      <c r="W21" s="33">
        <f t="shared" si="28"/>
        <v>729.83823140736786</v>
      </c>
    </row>
    <row r="22" spans="1:131" x14ac:dyDescent="0.15">
      <c r="A22" s="1" t="s">
        <v>22</v>
      </c>
      <c r="F22" s="19">
        <f>F17-F21</f>
        <v>-154.02099999999996</v>
      </c>
      <c r="G22" s="19">
        <f>G17-G21</f>
        <v>-134.23700000000002</v>
      </c>
      <c r="H22" s="19">
        <f>H17-H21</f>
        <v>-139.31299999999987</v>
      </c>
      <c r="I22" s="33">
        <f t="shared" ref="I22:L22" si="29">I17-I21</f>
        <v>-76.126597958533011</v>
      </c>
      <c r="J22" s="33">
        <f t="shared" si="29"/>
        <v>-14.566457754386306</v>
      </c>
      <c r="K22" s="33">
        <f t="shared" si="29"/>
        <v>47.201440470175044</v>
      </c>
      <c r="L22" s="33">
        <f t="shared" si="29"/>
        <v>109.77331763719258</v>
      </c>
      <c r="M22" s="33">
        <f t="shared" ref="M22" si="30">M17-M21</f>
        <v>188.38885985851186</v>
      </c>
      <c r="N22" s="33">
        <f t="shared" ref="N22" si="31">N17-N21</f>
        <v>217.42854489636545</v>
      </c>
      <c r="O22" s="33">
        <f t="shared" ref="O22" si="32">O17-O21</f>
        <v>247.5278093452132</v>
      </c>
      <c r="P22" s="33">
        <f t="shared" ref="P22" si="33">P17-P21</f>
        <v>278.74748027242265</v>
      </c>
      <c r="Q22" s="33">
        <f t="shared" ref="Q22" si="34">Q17-Q21</f>
        <v>311.15126913679376</v>
      </c>
      <c r="R22" s="33">
        <f t="shared" ref="R22:S22" si="35">R17-R21</f>
        <v>344.80591914736851</v>
      </c>
      <c r="S22" s="33">
        <f t="shared" si="35"/>
        <v>379.78135992739692</v>
      </c>
      <c r="T22" s="33">
        <f t="shared" ref="T22:W22" si="36">T17-T21</f>
        <v>416.1508698499739</v>
      </c>
      <c r="U22" s="33">
        <f t="shared" si="36"/>
        <v>453.99124643015534</v>
      </c>
      <c r="V22" s="33">
        <f t="shared" si="36"/>
        <v>493.38298517759222</v>
      </c>
      <c r="W22" s="33">
        <f t="shared" si="36"/>
        <v>534.41046733388248</v>
      </c>
    </row>
    <row r="23" spans="1:131" x14ac:dyDescent="0.15">
      <c r="A23" s="1" t="s">
        <v>23</v>
      </c>
      <c r="F23" s="5">
        <f>SUM(Reports!B16:E16)</f>
        <v>-0.22399999999999992</v>
      </c>
      <c r="G23" s="16">
        <f>SUM(Reports!F16:I16)</f>
        <v>1.0229999999999997</v>
      </c>
      <c r="H23" s="16">
        <f>SUM(Reports!J16:M16)</f>
        <v>-3</v>
      </c>
      <c r="I23" s="33">
        <f>H40*$F$3</f>
        <v>3.12</v>
      </c>
      <c r="J23" s="33">
        <f>I40*$F$3</f>
        <v>1.6598680408293398</v>
      </c>
      <c r="K23" s="33">
        <f>J40*$F$3</f>
        <v>1.4017362465582006</v>
      </c>
      <c r="L23" s="33">
        <f>K40*$F$3</f>
        <v>2.2279902507426659</v>
      </c>
      <c r="M23" s="33">
        <f t="shared" ref="M23:W23" si="37">L40*$F$3</f>
        <v>4.1320124848375652</v>
      </c>
      <c r="N23" s="33">
        <f t="shared" si="37"/>
        <v>7.4048673146745045</v>
      </c>
      <c r="O23" s="33">
        <f t="shared" si="37"/>
        <v>11.227035322262184</v>
      </c>
      <c r="P23" s="33">
        <f t="shared" si="37"/>
        <v>15.625867681609266</v>
      </c>
      <c r="Q23" s="33">
        <f t="shared" si="37"/>
        <v>20.630214596827809</v>
      </c>
      <c r="R23" s="33">
        <f t="shared" si="37"/>
        <v>26.270499820299374</v>
      </c>
      <c r="S23" s="33">
        <f t="shared" si="37"/>
        <v>32.578798942749728</v>
      </c>
      <c r="T23" s="33">
        <f t="shared" si="37"/>
        <v>39.588921643542214</v>
      </c>
      <c r="U23" s="33">
        <f t="shared" si="37"/>
        <v>47.33649809893199</v>
      </c>
      <c r="V23" s="33">
        <f t="shared" si="37"/>
        <v>55.859069755926477</v>
      </c>
      <c r="W23" s="33">
        <f t="shared" si="37"/>
        <v>65.196184689796297</v>
      </c>
    </row>
    <row r="24" spans="1:131" x14ac:dyDescent="0.15">
      <c r="A24" s="1" t="s">
        <v>24</v>
      </c>
      <c r="F24" s="19">
        <f>F22+F23</f>
        <v>-154.24499999999995</v>
      </c>
      <c r="G24" s="19">
        <f>G22+G23</f>
        <v>-133.21400000000003</v>
      </c>
      <c r="H24" s="19">
        <f>H22+H23</f>
        <v>-142.31299999999987</v>
      </c>
      <c r="I24" s="33">
        <f t="shared" ref="I24:L24" si="38">I22+I23</f>
        <v>-73.006597958533007</v>
      </c>
      <c r="J24" s="33">
        <f t="shared" si="38"/>
        <v>-12.906589713556967</v>
      </c>
      <c r="K24" s="33">
        <f t="shared" si="38"/>
        <v>48.603176716733245</v>
      </c>
      <c r="L24" s="33">
        <f t="shared" si="38"/>
        <v>112.00130788793524</v>
      </c>
      <c r="M24" s="33">
        <f t="shared" ref="M24" si="39">M22+M23</f>
        <v>192.52087234334942</v>
      </c>
      <c r="N24" s="33">
        <f t="shared" ref="N24" si="40">N22+N23</f>
        <v>224.83341221103996</v>
      </c>
      <c r="O24" s="33">
        <f t="shared" ref="O24" si="41">O22+O23</f>
        <v>258.75484466747537</v>
      </c>
      <c r="P24" s="33">
        <f t="shared" ref="P24" si="42">P22+P23</f>
        <v>294.37334795403194</v>
      </c>
      <c r="Q24" s="33">
        <f t="shared" ref="Q24" si="43">Q22+Q23</f>
        <v>331.78148373362154</v>
      </c>
      <c r="R24" s="33">
        <f t="shared" ref="R24:S24" si="44">R22+R23</f>
        <v>371.07641896766791</v>
      </c>
      <c r="S24" s="33">
        <f t="shared" si="44"/>
        <v>412.36015887014662</v>
      </c>
      <c r="T24" s="33">
        <f t="shared" ref="T24:W24" si="45">T22+T23</f>
        <v>455.73979149351612</v>
      </c>
      <c r="U24" s="33">
        <f t="shared" si="45"/>
        <v>501.32774452908734</v>
      </c>
      <c r="V24" s="33">
        <f t="shared" si="45"/>
        <v>549.24205493351872</v>
      </c>
      <c r="W24" s="33">
        <f t="shared" si="45"/>
        <v>599.60665202367875</v>
      </c>
    </row>
    <row r="25" spans="1:131" x14ac:dyDescent="0.15">
      <c r="A25" s="1" t="s">
        <v>25</v>
      </c>
      <c r="F25" s="5">
        <f>SUM(Reports!B18:E18)</f>
        <v>0.71500000000000008</v>
      </c>
      <c r="G25" s="16">
        <f>SUM(Reports!F18:I18)</f>
        <v>1.3980000000000001</v>
      </c>
      <c r="H25" s="16">
        <f>SUM(Reports!J18:M18)</f>
        <v>0</v>
      </c>
      <c r="I25" s="33">
        <v>0</v>
      </c>
      <c r="J25" s="33">
        <f t="shared" ref="I25:K25" si="46">J24*I32</f>
        <v>0</v>
      </c>
      <c r="K25" s="33">
        <f t="shared" ref="K25:R25" si="47">K24*0.15</f>
        <v>7.290476507509986</v>
      </c>
      <c r="L25" s="33">
        <f t="shared" si="47"/>
        <v>16.800196183190284</v>
      </c>
      <c r="M25" s="33">
        <f t="shared" si="47"/>
        <v>28.878130851502412</v>
      </c>
      <c r="N25" s="33">
        <f t="shared" si="47"/>
        <v>33.725011831655991</v>
      </c>
      <c r="O25" s="33">
        <f t="shared" si="47"/>
        <v>38.813226700121305</v>
      </c>
      <c r="P25" s="33">
        <f t="shared" si="47"/>
        <v>44.15600219310479</v>
      </c>
      <c r="Q25" s="33">
        <f t="shared" si="47"/>
        <v>49.76722256004323</v>
      </c>
      <c r="R25" s="33">
        <f t="shared" si="47"/>
        <v>55.661462845150183</v>
      </c>
      <c r="S25" s="33">
        <f t="shared" ref="S25:W25" si="48">S24*0.15</f>
        <v>61.854023830521989</v>
      </c>
      <c r="T25" s="33">
        <f t="shared" si="48"/>
        <v>68.360968724027416</v>
      </c>
      <c r="U25" s="33">
        <f t="shared" si="48"/>
        <v>75.199161679363101</v>
      </c>
      <c r="V25" s="33">
        <f t="shared" si="48"/>
        <v>82.386308240027802</v>
      </c>
      <c r="W25" s="33">
        <f t="shared" si="48"/>
        <v>89.940997803551809</v>
      </c>
    </row>
    <row r="26" spans="1:131" s="2" customFormat="1" x14ac:dyDescent="0.15">
      <c r="A26" s="2" t="s">
        <v>15</v>
      </c>
      <c r="B26" s="11"/>
      <c r="C26" s="11"/>
      <c r="D26" s="11"/>
      <c r="E26" s="11"/>
      <c r="F26" s="18">
        <f>F24-F25</f>
        <v>-154.95999999999995</v>
      </c>
      <c r="G26" s="18">
        <f>G24-G25</f>
        <v>-134.61200000000002</v>
      </c>
      <c r="H26" s="18">
        <f>H24-H25</f>
        <v>-142.31299999999987</v>
      </c>
      <c r="I26" s="18">
        <f t="shared" ref="I26:K26" si="49">I24-I25</f>
        <v>-73.006597958533007</v>
      </c>
      <c r="J26" s="18">
        <f t="shared" si="49"/>
        <v>-12.906589713556967</v>
      </c>
      <c r="K26" s="18">
        <f t="shared" si="49"/>
        <v>41.312700209223259</v>
      </c>
      <c r="L26" s="18">
        <f>L24-L25</f>
        <v>95.20111170474496</v>
      </c>
      <c r="M26" s="18">
        <f t="shared" ref="M26" si="50">M24-M25</f>
        <v>163.642741491847</v>
      </c>
      <c r="N26" s="18">
        <f t="shared" ref="N26" si="51">N24-N25</f>
        <v>191.10840037938397</v>
      </c>
      <c r="O26" s="18">
        <f>O24-O25</f>
        <v>219.94161796735406</v>
      </c>
      <c r="P26" s="18">
        <f t="shared" ref="P26" si="52">P24-P25</f>
        <v>250.21734576092715</v>
      </c>
      <c r="Q26" s="18">
        <f t="shared" ref="Q26" si="53">Q24-Q25</f>
        <v>282.01426117357829</v>
      </c>
      <c r="R26" s="18">
        <f t="shared" ref="R26:S26" si="54">R24-R25</f>
        <v>315.41495612251771</v>
      </c>
      <c r="S26" s="18">
        <f t="shared" si="54"/>
        <v>350.50613503962461</v>
      </c>
      <c r="T26" s="18">
        <f t="shared" ref="T26:W26" si="55">T24-T25</f>
        <v>387.37882276948869</v>
      </c>
      <c r="U26" s="18">
        <f t="shared" si="55"/>
        <v>426.12858284972424</v>
      </c>
      <c r="V26" s="18">
        <f t="shared" si="55"/>
        <v>466.85574669349091</v>
      </c>
      <c r="W26" s="18">
        <f t="shared" si="55"/>
        <v>509.66565422012695</v>
      </c>
      <c r="X26" s="7">
        <f t="shared" ref="T26:AV26" si="56">W26*($F$2+1)</f>
        <v>512.21398249122751</v>
      </c>
      <c r="Y26" s="7">
        <f t="shared" si="56"/>
        <v>514.77505240368362</v>
      </c>
      <c r="Z26" s="7">
        <f t="shared" si="56"/>
        <v>517.34892766570204</v>
      </c>
      <c r="AA26" s="7">
        <f t="shared" si="56"/>
        <v>519.9356723040305</v>
      </c>
      <c r="AB26" s="7">
        <f t="shared" si="56"/>
        <v>522.5353506655506</v>
      </c>
      <c r="AC26" s="7">
        <f t="shared" si="56"/>
        <v>525.14802741887831</v>
      </c>
      <c r="AD26" s="7">
        <f t="shared" si="56"/>
        <v>527.77376755597265</v>
      </c>
      <c r="AE26" s="7">
        <f t="shared" si="56"/>
        <v>530.41263639375245</v>
      </c>
      <c r="AF26" s="7">
        <f t="shared" si="56"/>
        <v>533.06469957572119</v>
      </c>
      <c r="AG26" s="7">
        <f t="shared" si="56"/>
        <v>535.7300230735998</v>
      </c>
      <c r="AH26" s="7">
        <f t="shared" si="56"/>
        <v>538.40867318896778</v>
      </c>
      <c r="AI26" s="7">
        <f t="shared" si="56"/>
        <v>541.10071655491254</v>
      </c>
      <c r="AJ26" s="7">
        <f t="shared" si="56"/>
        <v>543.80622013768709</v>
      </c>
      <c r="AK26" s="7">
        <f t="shared" si="56"/>
        <v>546.52525123837552</v>
      </c>
      <c r="AL26" s="7">
        <f t="shared" si="56"/>
        <v>549.25787749456731</v>
      </c>
      <c r="AM26" s="7">
        <f t="shared" si="56"/>
        <v>552.00416688204007</v>
      </c>
      <c r="AN26" s="7">
        <f t="shared" si="56"/>
        <v>554.76418771645024</v>
      </c>
      <c r="AO26" s="7">
        <f t="shared" si="56"/>
        <v>557.5380086550324</v>
      </c>
      <c r="AP26" s="7">
        <f t="shared" si="56"/>
        <v>560.32569869830752</v>
      </c>
      <c r="AQ26" s="7">
        <f t="shared" si="56"/>
        <v>563.12732719179894</v>
      </c>
      <c r="AR26" s="7">
        <f t="shared" si="56"/>
        <v>565.94296382775792</v>
      </c>
      <c r="AS26" s="7">
        <f t="shared" si="56"/>
        <v>568.77267864689668</v>
      </c>
      <c r="AT26" s="7">
        <f t="shared" si="56"/>
        <v>571.61654204013109</v>
      </c>
      <c r="AU26" s="7">
        <f t="shared" si="56"/>
        <v>574.47462475033171</v>
      </c>
      <c r="AV26" s="7">
        <f t="shared" si="56"/>
        <v>577.34699787408329</v>
      </c>
      <c r="AW26" s="7">
        <f t="shared" ref="AW26" si="57">AV26*($F$2+1)</f>
        <v>580.23373286345361</v>
      </c>
      <c r="AX26" s="7">
        <f t="shared" ref="AX26" si="58">AW26*($F$2+1)</f>
        <v>583.13490152777081</v>
      </c>
      <c r="AY26" s="7">
        <f t="shared" ref="AY26" si="59">AX26*($F$2+1)</f>
        <v>586.05057603540956</v>
      </c>
      <c r="AZ26" s="7">
        <f t="shared" ref="AZ26" si="60">AY26*($F$2+1)</f>
        <v>588.98082891558659</v>
      </c>
      <c r="BA26" s="7">
        <f t="shared" ref="BA26" si="61">AZ26*($F$2+1)</f>
        <v>591.92573306016448</v>
      </c>
      <c r="BB26" s="7">
        <f t="shared" ref="BB26" si="62">BA26*($F$2+1)</f>
        <v>594.88536172546526</v>
      </c>
      <c r="BC26" s="7">
        <f t="shared" ref="BC26" si="63">BB26*($F$2+1)</f>
        <v>597.85978853409256</v>
      </c>
      <c r="BD26" s="7">
        <f t="shared" ref="BD26" si="64">BC26*($F$2+1)</f>
        <v>600.84908747676297</v>
      </c>
      <c r="BE26" s="7">
        <f t="shared" ref="BE26" si="65">BD26*($F$2+1)</f>
        <v>603.85333291414668</v>
      </c>
      <c r="BF26" s="7">
        <f t="shared" ref="BF26" si="66">BE26*($F$2+1)</f>
        <v>606.87259957871731</v>
      </c>
      <c r="BG26" s="7">
        <f t="shared" ref="BG26" si="67">BF26*($F$2+1)</f>
        <v>609.90696257661079</v>
      </c>
      <c r="BH26" s="7">
        <f t="shared" ref="BH26" si="68">BG26*($F$2+1)</f>
        <v>612.95649738949373</v>
      </c>
      <c r="BI26" s="7">
        <f t="shared" ref="BI26" si="69">BH26*($F$2+1)</f>
        <v>616.0212798764411</v>
      </c>
      <c r="BJ26" s="7">
        <f t="shared" ref="BJ26" si="70">BI26*($F$2+1)</f>
        <v>619.10138627582319</v>
      </c>
      <c r="BK26" s="7">
        <f t="shared" ref="BK26" si="71">BJ26*($F$2+1)</f>
        <v>622.19689320720227</v>
      </c>
      <c r="BL26" s="7">
        <f t="shared" ref="BL26" si="72">BK26*($F$2+1)</f>
        <v>625.30787767323818</v>
      </c>
      <c r="BM26" s="7">
        <f t="shared" ref="BM26" si="73">BL26*($F$2+1)</f>
        <v>628.43441706160434</v>
      </c>
      <c r="BN26" s="7">
        <f t="shared" ref="BN26" si="74">BM26*($F$2+1)</f>
        <v>631.57658914691228</v>
      </c>
      <c r="BO26" s="7">
        <f t="shared" ref="BO26" si="75">BN26*($F$2+1)</f>
        <v>634.7344720926468</v>
      </c>
      <c r="BP26" s="7">
        <f t="shared" ref="BP26" si="76">BO26*($F$2+1)</f>
        <v>637.90814445310991</v>
      </c>
      <c r="BQ26" s="7">
        <f t="shared" ref="BQ26" si="77">BP26*($F$2+1)</f>
        <v>641.09768517537543</v>
      </c>
      <c r="BR26" s="7">
        <f t="shared" ref="BR26" si="78">BQ26*($F$2+1)</f>
        <v>644.3031736012523</v>
      </c>
      <c r="BS26" s="7">
        <f t="shared" ref="BS26" si="79">BR26*($F$2+1)</f>
        <v>647.52468946925853</v>
      </c>
      <c r="BT26" s="7">
        <f t="shared" ref="BT26" si="80">BS26*($F$2+1)</f>
        <v>650.76231291660474</v>
      </c>
      <c r="BU26" s="7">
        <f t="shared" ref="BU26" si="81">BT26*($F$2+1)</f>
        <v>654.01612448118772</v>
      </c>
      <c r="BV26" s="7">
        <f t="shared" ref="BV26" si="82">BU26*($F$2+1)</f>
        <v>657.2862051035936</v>
      </c>
      <c r="BW26" s="7">
        <f t="shared" ref="BW26" si="83">BV26*($F$2+1)</f>
        <v>660.57263612911152</v>
      </c>
      <c r="BX26" s="7">
        <f t="shared" ref="BX26" si="84">BW26*($F$2+1)</f>
        <v>663.87549930975695</v>
      </c>
      <c r="BY26" s="7">
        <f t="shared" ref="BY26" si="85">BX26*($F$2+1)</f>
        <v>667.19487680630561</v>
      </c>
      <c r="BZ26" s="7">
        <f t="shared" ref="BZ26" si="86">BY26*($F$2+1)</f>
        <v>670.5308511903371</v>
      </c>
      <c r="CA26" s="7">
        <f t="shared" ref="CA26" si="87">BZ26*($F$2+1)</f>
        <v>673.88350544628872</v>
      </c>
      <c r="CB26" s="7">
        <f t="shared" ref="CB26" si="88">CA26*($F$2+1)</f>
        <v>677.25292297352007</v>
      </c>
      <c r="CC26" s="7">
        <f t="shared" ref="CC26" si="89">CB26*($F$2+1)</f>
        <v>680.63918758838759</v>
      </c>
      <c r="CD26" s="7">
        <f t="shared" ref="CD26" si="90">CC26*($F$2+1)</f>
        <v>684.04238352632944</v>
      </c>
      <c r="CE26" s="7">
        <f t="shared" ref="CE26" si="91">CD26*($F$2+1)</f>
        <v>687.46259544396105</v>
      </c>
      <c r="CF26" s="7">
        <f t="shared" ref="CF26" si="92">CE26*($F$2+1)</f>
        <v>690.89990842118073</v>
      </c>
      <c r="CG26" s="7">
        <f t="shared" ref="CG26" si="93">CF26*($F$2+1)</f>
        <v>694.35440796328658</v>
      </c>
      <c r="CH26" s="7">
        <f t="shared" ref="CH26" si="94">CG26*($F$2+1)</f>
        <v>697.82618000310299</v>
      </c>
      <c r="CI26" s="7">
        <f t="shared" ref="CI26" si="95">CH26*($F$2+1)</f>
        <v>701.31531090311842</v>
      </c>
      <c r="CJ26" s="7">
        <f t="shared" ref="CJ26" si="96">CI26*($F$2+1)</f>
        <v>704.82188745763392</v>
      </c>
      <c r="CK26" s="7">
        <f t="shared" ref="CK26" si="97">CJ26*($F$2+1)</f>
        <v>708.345996894922</v>
      </c>
      <c r="CL26" s="7">
        <f t="shared" ref="CL26" si="98">CK26*($F$2+1)</f>
        <v>711.8877268793965</v>
      </c>
      <c r="CM26" s="7">
        <f t="shared" ref="CM26" si="99">CL26*($F$2+1)</f>
        <v>715.44716551379338</v>
      </c>
      <c r="CN26" s="7">
        <f t="shared" ref="CN26" si="100">CM26*($F$2+1)</f>
        <v>719.02440134136225</v>
      </c>
      <c r="CO26" s="7">
        <f t="shared" ref="CO26" si="101">CN26*($F$2+1)</f>
        <v>722.61952334806904</v>
      </c>
      <c r="CP26" s="7">
        <f t="shared" ref="CP26" si="102">CO26*($F$2+1)</f>
        <v>726.23262096480926</v>
      </c>
      <c r="CQ26" s="7">
        <f t="shared" ref="CQ26" si="103">CP26*($F$2+1)</f>
        <v>729.8637840696332</v>
      </c>
      <c r="CR26" s="7">
        <f t="shared" ref="CR26" si="104">CQ26*($F$2+1)</f>
        <v>733.51310298998123</v>
      </c>
      <c r="CS26" s="7">
        <f t="shared" ref="CS26" si="105">CR26*($F$2+1)</f>
        <v>737.18066850493108</v>
      </c>
      <c r="CT26" s="7">
        <f t="shared" ref="CT26" si="106">CS26*($F$2+1)</f>
        <v>740.8665718474557</v>
      </c>
      <c r="CU26" s="7">
        <f t="shared" ref="CU26" si="107">CT26*($F$2+1)</f>
        <v>744.57090470669289</v>
      </c>
      <c r="CV26" s="7">
        <f t="shared" ref="CV26" si="108">CU26*($F$2+1)</f>
        <v>748.29375923022621</v>
      </c>
      <c r="CW26" s="7">
        <f t="shared" ref="CW26" si="109">CV26*($F$2+1)</f>
        <v>752.03522802637724</v>
      </c>
      <c r="CX26" s="7">
        <f t="shared" ref="CX26" si="110">CW26*($F$2+1)</f>
        <v>755.795404166509</v>
      </c>
      <c r="CY26" s="7">
        <f t="shared" ref="CY26" si="111">CX26*($F$2+1)</f>
        <v>759.57438118734149</v>
      </c>
      <c r="CZ26" s="7">
        <f t="shared" ref="CZ26" si="112">CY26*($F$2+1)</f>
        <v>763.37225309327812</v>
      </c>
      <c r="DA26" s="7">
        <f t="shared" ref="DA26" si="113">CZ26*($F$2+1)</f>
        <v>767.1891143587444</v>
      </c>
      <c r="DB26" s="7">
        <f t="shared" ref="DB26" si="114">DA26*($F$2+1)</f>
        <v>771.02505993053808</v>
      </c>
      <c r="DC26" s="7">
        <f t="shared" ref="DC26" si="115">DB26*($F$2+1)</f>
        <v>774.8801852301907</v>
      </c>
      <c r="DD26" s="7">
        <f t="shared" ref="DD26" si="116">DC26*($F$2+1)</f>
        <v>778.75458615634159</v>
      </c>
      <c r="DE26" s="7">
        <f t="shared" ref="DE26" si="117">DD26*($F$2+1)</f>
        <v>782.64835908712325</v>
      </c>
      <c r="DF26" s="7">
        <f t="shared" ref="DF26" si="118">DE26*($F$2+1)</f>
        <v>786.56160088255876</v>
      </c>
      <c r="DG26" s="7">
        <f t="shared" ref="DG26" si="119">DF26*($F$2+1)</f>
        <v>790.49440888697143</v>
      </c>
      <c r="DH26" s="7">
        <f t="shared" ref="DH26" si="120">DG26*($F$2+1)</f>
        <v>794.44688093140621</v>
      </c>
      <c r="DI26" s="7">
        <f t="shared" ref="DI26" si="121">DH26*($F$2+1)</f>
        <v>798.41911533606321</v>
      </c>
      <c r="DJ26" s="7">
        <f t="shared" ref="DJ26" si="122">DI26*($F$2+1)</f>
        <v>802.4112109127434</v>
      </c>
      <c r="DK26" s="7">
        <f t="shared" ref="DK26" si="123">DJ26*($F$2+1)</f>
        <v>806.42326696730709</v>
      </c>
      <c r="DL26" s="7">
        <f t="shared" ref="DL26" si="124">DK26*($F$2+1)</f>
        <v>810.45538330214356</v>
      </c>
      <c r="DM26" s="7">
        <f t="shared" ref="DM26" si="125">DL26*($F$2+1)</f>
        <v>814.50766021865422</v>
      </c>
      <c r="DN26" s="7">
        <f t="shared" ref="DN26" si="126">DM26*($F$2+1)</f>
        <v>818.58019851974746</v>
      </c>
      <c r="DO26" s="7">
        <f t="shared" ref="DO26" si="127">DN26*($F$2+1)</f>
        <v>822.67309951234608</v>
      </c>
      <c r="DP26" s="7">
        <f t="shared" ref="DP26" si="128">DO26*($F$2+1)</f>
        <v>826.78646500990772</v>
      </c>
      <c r="DQ26" s="7">
        <f t="shared" ref="DQ26" si="129">DP26*($F$2+1)</f>
        <v>830.92039733495722</v>
      </c>
      <c r="DR26" s="7">
        <f t="shared" ref="DR26" si="130">DQ26*($F$2+1)</f>
        <v>835.07499932163194</v>
      </c>
      <c r="DS26" s="7">
        <f t="shared" ref="DS26" si="131">DR26*($F$2+1)</f>
        <v>839.25037431824001</v>
      </c>
      <c r="DT26" s="7">
        <f t="shared" ref="DT26" si="132">DS26*($F$2+1)</f>
        <v>843.44662618983114</v>
      </c>
      <c r="DU26" s="7">
        <f t="shared" ref="DU26" si="133">DT26*($F$2+1)</f>
        <v>847.66385932078015</v>
      </c>
      <c r="DV26" s="7">
        <f t="shared" ref="DV26" si="134">DU26*($F$2+1)</f>
        <v>851.90217861738392</v>
      </c>
      <c r="DW26" s="7">
        <f t="shared" ref="DW26" si="135">DV26*($F$2+1)</f>
        <v>856.16168951047075</v>
      </c>
      <c r="DX26" s="7">
        <f t="shared" ref="DX26" si="136">DW26*($F$2+1)</f>
        <v>860.44249795802307</v>
      </c>
      <c r="DY26" s="7">
        <f t="shared" ref="DY26" si="137">DX26*($F$2+1)</f>
        <v>864.74471044781308</v>
      </c>
      <c r="DZ26" s="7">
        <f t="shared" ref="DZ26" si="138">DY26*($F$2+1)</f>
        <v>869.06843400005209</v>
      </c>
      <c r="EA26" s="7">
        <f t="shared" ref="EA26" si="139">DZ26*($F$2+1)</f>
        <v>873.4137761700523</v>
      </c>
    </row>
    <row r="27" spans="1:131" x14ac:dyDescent="0.15">
      <c r="A27" s="1" t="s">
        <v>26</v>
      </c>
      <c r="F27" s="20">
        <f>F26/F28</f>
        <v>-1.134689454183325</v>
      </c>
      <c r="G27" s="20">
        <f>G26/G28</f>
        <v>-0.93673757680772163</v>
      </c>
      <c r="H27" s="20">
        <f>H26/H28</f>
        <v>-0.94855729815837975</v>
      </c>
      <c r="I27" s="40">
        <f t="shared" ref="I27:L27" si="140">I26/I28</f>
        <v>-0.48661008697224578</v>
      </c>
      <c r="J27" s="40">
        <f t="shared" si="140"/>
        <v>-8.6026152685491436E-2</v>
      </c>
      <c r="K27" s="40">
        <f t="shared" si="140"/>
        <v>0.27536109343551168</v>
      </c>
      <c r="L27" s="40">
        <f t="shared" si="140"/>
        <v>0.63454293915754045</v>
      </c>
      <c r="M27" s="40">
        <f t="shared" ref="M27" si="141">M26/M28</f>
        <v>1.0907261931990522</v>
      </c>
      <c r="N27" s="40">
        <f t="shared" ref="N27" si="142">N26/N28</f>
        <v>1.2737927520271408</v>
      </c>
      <c r="O27" s="40">
        <f t="shared" ref="O27" si="143">O26/O28</f>
        <v>1.4659744850554488</v>
      </c>
      <c r="P27" s="40">
        <f t="shared" ref="P27" si="144">P26/P28</f>
        <v>1.667770965739928</v>
      </c>
      <c r="Q27" s="40">
        <f t="shared" ref="Q27" si="145">Q26/Q28</f>
        <v>1.8797066017928181</v>
      </c>
      <c r="R27" s="40">
        <f t="shared" ref="R27:S27" si="146">R26/R28</f>
        <v>2.1023318922257248</v>
      </c>
      <c r="S27" s="40">
        <f t="shared" si="146"/>
        <v>2.3362247471497528</v>
      </c>
      <c r="T27" s="40">
        <f t="shared" ref="T27:W27" si="147">T26/T28</f>
        <v>2.5819918734760727</v>
      </c>
      <c r="U27" s="40">
        <f t="shared" si="147"/>
        <v>2.8402702298173326</v>
      </c>
      <c r="V27" s="40">
        <f t="shared" si="147"/>
        <v>3.1117285540554347</v>
      </c>
      <c r="W27" s="40">
        <f t="shared" si="147"/>
        <v>3.3970689672142886</v>
      </c>
    </row>
    <row r="28" spans="1:131" x14ac:dyDescent="0.15">
      <c r="A28" s="5" t="s">
        <v>3</v>
      </c>
      <c r="F28" s="16">
        <f>Reports!E21</f>
        <v>136.566</v>
      </c>
      <c r="G28" s="16">
        <f>Reports!I21</f>
        <v>143.703</v>
      </c>
      <c r="H28" s="33">
        <f>Reports!M21</f>
        <v>150.03100000000001</v>
      </c>
      <c r="I28" s="33">
        <f t="shared" ref="I28:L28" si="148">H28</f>
        <v>150.03100000000001</v>
      </c>
      <c r="J28" s="33">
        <f t="shared" si="148"/>
        <v>150.03100000000001</v>
      </c>
      <c r="K28" s="33">
        <f t="shared" si="148"/>
        <v>150.03100000000001</v>
      </c>
      <c r="L28" s="33">
        <f t="shared" si="148"/>
        <v>150.03100000000001</v>
      </c>
      <c r="M28" s="33">
        <f t="shared" ref="M28:W28" si="149">L28</f>
        <v>150.03100000000001</v>
      </c>
      <c r="N28" s="33">
        <f t="shared" si="149"/>
        <v>150.03100000000001</v>
      </c>
      <c r="O28" s="33">
        <f t="shared" si="149"/>
        <v>150.03100000000001</v>
      </c>
      <c r="P28" s="33">
        <f t="shared" si="149"/>
        <v>150.03100000000001</v>
      </c>
      <c r="Q28" s="33">
        <f t="shared" si="149"/>
        <v>150.03100000000001</v>
      </c>
      <c r="R28" s="33">
        <f t="shared" si="149"/>
        <v>150.03100000000001</v>
      </c>
      <c r="S28" s="33">
        <f t="shared" si="149"/>
        <v>150.03100000000001</v>
      </c>
      <c r="T28" s="33">
        <f t="shared" si="149"/>
        <v>150.03100000000001</v>
      </c>
      <c r="U28" s="33">
        <f t="shared" si="149"/>
        <v>150.03100000000001</v>
      </c>
      <c r="V28" s="33">
        <f t="shared" si="149"/>
        <v>150.03100000000001</v>
      </c>
      <c r="W28" s="33">
        <f t="shared" si="149"/>
        <v>150.03100000000001</v>
      </c>
    </row>
    <row r="29" spans="1:131" x14ac:dyDescent="0.15">
      <c r="F29" s="14"/>
      <c r="G29" s="14"/>
      <c r="H29" s="41"/>
      <c r="I29" s="14"/>
      <c r="J29" s="14"/>
    </row>
    <row r="30" spans="1:131" x14ac:dyDescent="0.15">
      <c r="A30" s="1" t="s">
        <v>27</v>
      </c>
      <c r="F30" s="21">
        <f>F17/F15</f>
        <v>0.73278645123305319</v>
      </c>
      <c r="G30" s="21">
        <f>G17/G15</f>
        <v>0.71466470300105522</v>
      </c>
      <c r="H30" s="21">
        <f t="shared" ref="H30:R30" si="150">H17/H15</f>
        <v>0.69038037296197996</v>
      </c>
      <c r="I30" s="21">
        <f t="shared" si="150"/>
        <v>0.69038037296197996</v>
      </c>
      <c r="J30" s="21">
        <f t="shared" si="150"/>
        <v>0.69038037296197996</v>
      </c>
      <c r="K30" s="21">
        <f t="shared" si="150"/>
        <v>0.69038037296197996</v>
      </c>
      <c r="L30" s="21">
        <f t="shared" si="150"/>
        <v>0.69038037296197996</v>
      </c>
      <c r="M30" s="21">
        <f t="shared" si="150"/>
        <v>0.69038037296197996</v>
      </c>
      <c r="N30" s="21">
        <f t="shared" si="150"/>
        <v>0.69038037296197996</v>
      </c>
      <c r="O30" s="21">
        <f t="shared" si="150"/>
        <v>0.69038037296197996</v>
      </c>
      <c r="P30" s="21">
        <f t="shared" si="150"/>
        <v>0.69038037296197996</v>
      </c>
      <c r="Q30" s="21">
        <f t="shared" si="150"/>
        <v>0.69038037296197996</v>
      </c>
      <c r="R30" s="21">
        <f t="shared" si="150"/>
        <v>0.69038037296197996</v>
      </c>
      <c r="S30" s="21">
        <f t="shared" ref="S30:W30" si="151">S17/S15</f>
        <v>0.69038037296197996</v>
      </c>
      <c r="T30" s="21">
        <f t="shared" si="151"/>
        <v>0.69038037296197996</v>
      </c>
      <c r="U30" s="21">
        <f t="shared" si="151"/>
        <v>0.69038037296197996</v>
      </c>
      <c r="V30" s="21">
        <f t="shared" si="151"/>
        <v>0.69038037296197996</v>
      </c>
      <c r="W30" s="21">
        <f t="shared" si="151"/>
        <v>0.69038037296197996</v>
      </c>
    </row>
    <row r="31" spans="1:131" x14ac:dyDescent="0.15">
      <c r="A31" s="1" t="s">
        <v>28</v>
      </c>
      <c r="F31" s="21">
        <f>F22/F15</f>
        <v>-0.30430393051752269</v>
      </c>
      <c r="G31" s="21">
        <f>G22/G15</f>
        <v>-0.22064445927421084</v>
      </c>
      <c r="H31" s="21">
        <f t="shared" ref="H31:R31" si="152">H22/H15</f>
        <v>-0.20008646145714823</v>
      </c>
      <c r="I31" s="21">
        <f t="shared" si="152"/>
        <v>-9.9141634390951722E-2</v>
      </c>
      <c r="J31" s="21">
        <f t="shared" si="152"/>
        <v>-1.7245703721095684E-2</v>
      </c>
      <c r="K31" s="21">
        <f t="shared" si="152"/>
        <v>5.0803020528599675E-2</v>
      </c>
      <c r="L31" s="21">
        <f t="shared" si="152"/>
        <v>0.10740843449352286</v>
      </c>
      <c r="M31" s="21">
        <f t="shared" si="152"/>
        <v>0.16757303264051537</v>
      </c>
      <c r="N31" s="21">
        <f t="shared" si="152"/>
        <v>0.18419429379697363</v>
      </c>
      <c r="O31" s="21">
        <f t="shared" si="152"/>
        <v>0.19970747087633473</v>
      </c>
      <c r="P31" s="21">
        <f t="shared" si="152"/>
        <v>0.21418643615040497</v>
      </c>
      <c r="Q31" s="21">
        <f t="shared" si="152"/>
        <v>0.22770013707287068</v>
      </c>
      <c r="R31" s="21">
        <f t="shared" si="152"/>
        <v>0.24031292460050538</v>
      </c>
      <c r="S31" s="21">
        <f t="shared" ref="S31:W31" si="153">S22/S15</f>
        <v>0.25208485962629756</v>
      </c>
      <c r="T31" s="21">
        <f t="shared" si="153"/>
        <v>0.26307199898370376</v>
      </c>
      <c r="U31" s="21">
        <f t="shared" si="153"/>
        <v>0.27332666238394943</v>
      </c>
      <c r="V31" s="21">
        <f t="shared" si="153"/>
        <v>0.28289768155751205</v>
      </c>
      <c r="W31" s="21">
        <f t="shared" si="153"/>
        <v>0.29183063278617055</v>
      </c>
    </row>
    <row r="32" spans="1:131" x14ac:dyDescent="0.15">
      <c r="A32" s="1" t="s">
        <v>29</v>
      </c>
      <c r="F32" s="21">
        <f>F25/F24</f>
        <v>-4.6354825115887087E-3</v>
      </c>
      <c r="G32" s="21">
        <f>G25/G24</f>
        <v>-1.0494392481270737E-2</v>
      </c>
      <c r="H32" s="21">
        <f t="shared" ref="H32:R32" si="154">H25/H24</f>
        <v>0</v>
      </c>
      <c r="I32" s="21">
        <f t="shared" si="154"/>
        <v>0</v>
      </c>
      <c r="J32" s="21">
        <f t="shared" si="154"/>
        <v>0</v>
      </c>
      <c r="K32" s="21">
        <f t="shared" si="154"/>
        <v>0.15</v>
      </c>
      <c r="L32" s="21">
        <f t="shared" si="154"/>
        <v>0.15</v>
      </c>
      <c r="M32" s="21">
        <f t="shared" si="154"/>
        <v>0.15</v>
      </c>
      <c r="N32" s="21">
        <f t="shared" si="154"/>
        <v>0.15</v>
      </c>
      <c r="O32" s="21">
        <f t="shared" si="154"/>
        <v>0.15</v>
      </c>
      <c r="P32" s="21">
        <f t="shared" si="154"/>
        <v>0.15</v>
      </c>
      <c r="Q32" s="21">
        <f t="shared" si="154"/>
        <v>0.15</v>
      </c>
      <c r="R32" s="21">
        <f t="shared" si="154"/>
        <v>0.15</v>
      </c>
      <c r="S32" s="21">
        <f t="shared" ref="S32:W32" si="155">S25/S24</f>
        <v>0.15</v>
      </c>
      <c r="T32" s="21">
        <f t="shared" si="155"/>
        <v>0.15</v>
      </c>
      <c r="U32" s="21">
        <f t="shared" si="155"/>
        <v>0.15</v>
      </c>
      <c r="V32" s="21">
        <f t="shared" si="155"/>
        <v>0.15</v>
      </c>
      <c r="W32" s="21">
        <f t="shared" si="155"/>
        <v>0.15</v>
      </c>
    </row>
    <row r="33" spans="1:23" x14ac:dyDescent="0.15">
      <c r="G33" s="14"/>
      <c r="H33" s="41"/>
      <c r="I33" s="14"/>
      <c r="J33" s="14"/>
    </row>
    <row r="34" spans="1:23" s="2" customFormat="1" x14ac:dyDescent="0.15">
      <c r="A34" s="2" t="s">
        <v>11</v>
      </c>
      <c r="C34" s="8">
        <f>C15/B15-1</f>
        <v>0.74278536459675348</v>
      </c>
      <c r="D34" s="8">
        <f t="shared" ref="D34:W34" si="156">D15/C15-1</f>
        <v>0.39855849196082049</v>
      </c>
      <c r="E34" s="8">
        <f t="shared" si="156"/>
        <v>0.31681444579523244</v>
      </c>
      <c r="F34" s="8">
        <f>F15/E15-1</f>
        <v>0.26978336950113513</v>
      </c>
      <c r="G34" s="22">
        <f t="shared" si="156"/>
        <v>0.20200655152111446</v>
      </c>
      <c r="H34" s="42">
        <f>H15/G15-1</f>
        <v>0.14444448097096285</v>
      </c>
      <c r="I34" s="22">
        <f t="shared" si="156"/>
        <v>0.10282450334930404</v>
      </c>
      <c r="J34" s="22">
        <f t="shared" si="156"/>
        <v>0.10000000000000009</v>
      </c>
      <c r="K34" s="22">
        <f t="shared" si="156"/>
        <v>0.10000000000000009</v>
      </c>
      <c r="L34" s="22">
        <f t="shared" si="156"/>
        <v>0.10000000000000009</v>
      </c>
      <c r="M34" s="22">
        <f t="shared" si="156"/>
        <v>0.10000000000000009</v>
      </c>
      <c r="N34" s="22">
        <f t="shared" si="156"/>
        <v>5.0000000000000044E-2</v>
      </c>
      <c r="O34" s="22">
        <f t="shared" si="156"/>
        <v>5.0000000000000044E-2</v>
      </c>
      <c r="P34" s="22">
        <f t="shared" si="156"/>
        <v>5.0000000000000044E-2</v>
      </c>
      <c r="Q34" s="22">
        <f t="shared" si="156"/>
        <v>5.0000000000000044E-2</v>
      </c>
      <c r="R34" s="22">
        <f t="shared" si="156"/>
        <v>5.0000000000000044E-2</v>
      </c>
      <c r="S34" s="22">
        <f t="shared" si="156"/>
        <v>5.0000000000000044E-2</v>
      </c>
      <c r="T34" s="22">
        <f t="shared" si="156"/>
        <v>5.0000000000000044E-2</v>
      </c>
      <c r="U34" s="22">
        <f t="shared" si="156"/>
        <v>5.0000000000000044E-2</v>
      </c>
      <c r="V34" s="22">
        <f t="shared" si="156"/>
        <v>5.0000000000000044E-2</v>
      </c>
      <c r="W34" s="22">
        <f t="shared" si="156"/>
        <v>5.0000000000000044E-2</v>
      </c>
    </row>
    <row r="35" spans="1:23" x14ac:dyDescent="0.15">
      <c r="A35" s="1" t="s">
        <v>30</v>
      </c>
      <c r="G35" s="21">
        <f>G18/F18-1</f>
        <v>0.19708167935024967</v>
      </c>
      <c r="H35" s="21">
        <f t="shared" ref="H35:W35" si="157">H18/G18-1</f>
        <v>0.22137404580152675</v>
      </c>
      <c r="I35" s="21">
        <f t="shared" si="157"/>
        <v>0.10000000000000009</v>
      </c>
      <c r="J35" s="21">
        <f t="shared" si="157"/>
        <v>0.10000000000000009</v>
      </c>
      <c r="K35" s="21">
        <f t="shared" si="157"/>
        <v>0.10000000000000009</v>
      </c>
      <c r="L35" s="21">
        <f t="shared" si="157"/>
        <v>0.10000000000000009</v>
      </c>
      <c r="M35" s="21">
        <f t="shared" si="157"/>
        <v>5.0000000000000044E-2</v>
      </c>
      <c r="N35" s="21">
        <f t="shared" si="157"/>
        <v>5.0000000000000044E-2</v>
      </c>
      <c r="O35" s="21">
        <f t="shared" si="157"/>
        <v>5.0000000000000044E-2</v>
      </c>
      <c r="P35" s="21">
        <f t="shared" si="157"/>
        <v>5.0000000000000044E-2</v>
      </c>
      <c r="Q35" s="21">
        <f t="shared" si="157"/>
        <v>5.0000000000000044E-2</v>
      </c>
      <c r="R35" s="21">
        <f t="shared" si="157"/>
        <v>5.0000000000000044E-2</v>
      </c>
      <c r="S35" s="21">
        <f t="shared" si="157"/>
        <v>5.0000000000000044E-2</v>
      </c>
      <c r="T35" s="21">
        <f t="shared" si="157"/>
        <v>5.0000000000000044E-2</v>
      </c>
      <c r="U35" s="21">
        <f t="shared" si="157"/>
        <v>5.0000000000000044E-2</v>
      </c>
      <c r="V35" s="21">
        <f t="shared" si="157"/>
        <v>5.0000000000000044E-2</v>
      </c>
      <c r="W35" s="21">
        <f t="shared" si="157"/>
        <v>5.0000000000000044E-2</v>
      </c>
    </row>
    <row r="36" spans="1:23" x14ac:dyDescent="0.15">
      <c r="A36" s="1" t="s">
        <v>31</v>
      </c>
      <c r="G36" s="21">
        <f t="shared" ref="G36:W37" si="158">G19/F19-1</f>
        <v>2.9312374101193805E-2</v>
      </c>
      <c r="H36" s="21">
        <f t="shared" si="158"/>
        <v>1.5342237596489561E-2</v>
      </c>
      <c r="I36" s="21">
        <f t="shared" si="158"/>
        <v>-9.9999999999999978E-2</v>
      </c>
      <c r="J36" s="21">
        <f t="shared" si="158"/>
        <v>-9.9999999999999867E-2</v>
      </c>
      <c r="K36" s="21">
        <f t="shared" si="158"/>
        <v>-9.9999999999999978E-2</v>
      </c>
      <c r="L36" s="21">
        <f t="shared" si="158"/>
        <v>-9.9999999999999978E-2</v>
      </c>
      <c r="M36" s="21">
        <f t="shared" si="158"/>
        <v>-9.9999999999999978E-2</v>
      </c>
      <c r="N36" s="21">
        <f t="shared" si="158"/>
        <v>-2.0000000000000018E-2</v>
      </c>
      <c r="O36" s="21">
        <f t="shared" si="158"/>
        <v>-2.0000000000000018E-2</v>
      </c>
      <c r="P36" s="21">
        <f t="shared" si="158"/>
        <v>-2.0000000000000018E-2</v>
      </c>
      <c r="Q36" s="21">
        <f t="shared" si="158"/>
        <v>-2.0000000000000018E-2</v>
      </c>
      <c r="R36" s="21">
        <f t="shared" si="158"/>
        <v>-2.0000000000000018E-2</v>
      </c>
      <c r="S36" s="21">
        <f t="shared" si="158"/>
        <v>-1.9999999999999907E-2</v>
      </c>
      <c r="T36" s="21">
        <f t="shared" si="158"/>
        <v>-1.9999999999999907E-2</v>
      </c>
      <c r="U36" s="21">
        <f t="shared" si="158"/>
        <v>-2.0000000000000018E-2</v>
      </c>
      <c r="V36" s="21">
        <f t="shared" si="158"/>
        <v>-1.9999999999999907E-2</v>
      </c>
      <c r="W36" s="21">
        <f t="shared" si="158"/>
        <v>-2.0000000000000018E-2</v>
      </c>
    </row>
    <row r="37" spans="1:23" x14ac:dyDescent="0.15">
      <c r="A37" s="1" t="s">
        <v>32</v>
      </c>
      <c r="G37" s="21">
        <f t="shared" si="158"/>
        <v>9.7447084487943147E-2</v>
      </c>
      <c r="H37" s="21">
        <f t="shared" si="158"/>
        <v>0.10670577743394682</v>
      </c>
      <c r="I37" s="21">
        <f t="shared" si="158"/>
        <v>-2.0000000000000018E-2</v>
      </c>
      <c r="J37" s="21">
        <f t="shared" si="158"/>
        <v>-2.0000000000000018E-2</v>
      </c>
      <c r="K37" s="21">
        <f t="shared" si="158"/>
        <v>-2.0000000000000018E-2</v>
      </c>
      <c r="L37" s="21">
        <f t="shared" si="158"/>
        <v>-2.0000000000000018E-2</v>
      </c>
      <c r="M37" s="21">
        <f t="shared" si="158"/>
        <v>-2.0000000000000018E-2</v>
      </c>
      <c r="N37" s="21">
        <f t="shared" si="158"/>
        <v>-2.0000000000000018E-2</v>
      </c>
      <c r="O37" s="21">
        <f t="shared" si="158"/>
        <v>-1.9999999999999907E-2</v>
      </c>
      <c r="P37" s="21">
        <f t="shared" si="158"/>
        <v>-1.9999999999999907E-2</v>
      </c>
      <c r="Q37" s="21">
        <f t="shared" si="158"/>
        <v>-2.0000000000000018E-2</v>
      </c>
      <c r="R37" s="21">
        <f t="shared" si="158"/>
        <v>-2.0000000000000018E-2</v>
      </c>
      <c r="S37" s="21">
        <f t="shared" si="158"/>
        <v>-2.0000000000000018E-2</v>
      </c>
      <c r="T37" s="21">
        <f t="shared" si="158"/>
        <v>-1.9999999999999907E-2</v>
      </c>
      <c r="U37" s="21">
        <f t="shared" si="158"/>
        <v>-1.9999999999999907E-2</v>
      </c>
      <c r="V37" s="21">
        <f t="shared" si="158"/>
        <v>-2.0000000000000018E-2</v>
      </c>
      <c r="W37" s="21">
        <f t="shared" si="158"/>
        <v>-2.0000000000000018E-2</v>
      </c>
    </row>
    <row r="38" spans="1:23" x14ac:dyDescent="0.15">
      <c r="A38" s="1" t="s">
        <v>83</v>
      </c>
      <c r="G38" s="21">
        <f>G21/F21-1</f>
        <v>8.4040273187087511E-2</v>
      </c>
      <c r="H38" s="21">
        <f t="shared" ref="H38:R38" si="159">H21/G21-1</f>
        <v>8.9575399496335084E-2</v>
      </c>
      <c r="I38" s="21">
        <f t="shared" si="159"/>
        <v>-2.2193548387096751E-2</v>
      </c>
      <c r="J38" s="21">
        <f t="shared" si="159"/>
        <v>-1.4101346001583415E-2</v>
      </c>
      <c r="K38" s="21">
        <f t="shared" si="159"/>
        <v>-5.7812863900288392E-3</v>
      </c>
      <c r="L38" s="21">
        <f t="shared" si="159"/>
        <v>2.6451528896167531E-3</v>
      </c>
      <c r="M38" s="21">
        <f t="shared" si="159"/>
        <v>-1.3523573940038891E-2</v>
      </c>
      <c r="N38" s="21">
        <f t="shared" si="159"/>
        <v>1.6618058186501194E-2</v>
      </c>
      <c r="O38" s="21">
        <f t="shared" si="159"/>
        <v>1.7820458515574122E-2</v>
      </c>
      <c r="P38" s="21">
        <f t="shared" si="159"/>
        <v>1.9016194957674371E-2</v>
      </c>
      <c r="Q38" s="21">
        <f t="shared" si="159"/>
        <v>2.0202506013419663E-2</v>
      </c>
      <c r="R38" s="21">
        <f t="shared" si="159"/>
        <v>2.1376717921466559E-2</v>
      </c>
      <c r="S38" s="21">
        <f t="shared" ref="S38:W38" si="160">S21/R21-1</f>
        <v>2.2536268014756944E-2</v>
      </c>
      <c r="T38" s="21">
        <f t="shared" si="160"/>
        <v>2.3678725941141732E-2</v>
      </c>
      <c r="U38" s="21">
        <f t="shared" si="160"/>
        <v>2.4801812400696344E-2</v>
      </c>
      <c r="V38" s="21">
        <f t="shared" si="160"/>
        <v>2.5903415130122731E-2</v>
      </c>
      <c r="W38" s="21">
        <f t="shared" si="160"/>
        <v>2.6981601947894118E-2</v>
      </c>
    </row>
    <row r="39" spans="1:23" x14ac:dyDescent="0.15">
      <c r="G39" s="14"/>
      <c r="H39" s="14"/>
      <c r="I39" s="14"/>
      <c r="J39" s="14"/>
    </row>
    <row r="40" spans="1:23" s="2" customFormat="1" x14ac:dyDescent="0.15">
      <c r="A40" s="2" t="s">
        <v>5</v>
      </c>
      <c r="G40" s="18">
        <f>G41-G42</f>
        <v>177.518</v>
      </c>
      <c r="H40" s="18">
        <f>H41-H42</f>
        <v>156</v>
      </c>
      <c r="I40" s="17">
        <f t="shared" ref="I40:W40" si="161">H40+I26</f>
        <v>82.993402041466993</v>
      </c>
      <c r="J40" s="17">
        <f t="shared" si="161"/>
        <v>70.086812327910025</v>
      </c>
      <c r="K40" s="17">
        <f t="shared" si="161"/>
        <v>111.39951253713329</v>
      </c>
      <c r="L40" s="17">
        <f t="shared" si="161"/>
        <v>206.60062424187825</v>
      </c>
      <c r="M40" s="17">
        <f t="shared" si="161"/>
        <v>370.24336573372523</v>
      </c>
      <c r="N40" s="17">
        <f t="shared" si="161"/>
        <v>561.35176611310919</v>
      </c>
      <c r="O40" s="17">
        <f t="shared" si="161"/>
        <v>781.29338408046328</v>
      </c>
      <c r="P40" s="17">
        <f t="shared" si="161"/>
        <v>1031.5107298413905</v>
      </c>
      <c r="Q40" s="17">
        <f t="shared" si="161"/>
        <v>1313.5249910149687</v>
      </c>
      <c r="R40" s="17">
        <f t="shared" si="161"/>
        <v>1628.9399471374863</v>
      </c>
      <c r="S40" s="17">
        <f t="shared" si="161"/>
        <v>1979.4460821771108</v>
      </c>
      <c r="T40" s="17">
        <f t="shared" si="161"/>
        <v>2366.8249049465994</v>
      </c>
      <c r="U40" s="17">
        <f t="shared" si="161"/>
        <v>2792.9534877963238</v>
      </c>
      <c r="V40" s="17">
        <f t="shared" si="161"/>
        <v>3259.8092344898146</v>
      </c>
      <c r="W40" s="17">
        <f t="shared" si="161"/>
        <v>3769.4748887099413</v>
      </c>
    </row>
    <row r="41" spans="1:23" x14ac:dyDescent="0.15">
      <c r="A41" s="1" t="s">
        <v>33</v>
      </c>
      <c r="G41" s="16">
        <f>Reports!I33</f>
        <v>217.518</v>
      </c>
      <c r="H41" s="5">
        <f>Reports!M33</f>
        <v>196</v>
      </c>
      <c r="I41" s="14"/>
      <c r="J41" s="14"/>
    </row>
    <row r="42" spans="1:23" x14ac:dyDescent="0.15">
      <c r="A42" s="1" t="s">
        <v>34</v>
      </c>
      <c r="G42" s="16">
        <f>Reports!I34</f>
        <v>40</v>
      </c>
      <c r="H42" s="5">
        <f>Reports!M34</f>
        <v>40</v>
      </c>
      <c r="I42" s="14"/>
      <c r="J42" s="14"/>
    </row>
    <row r="43" spans="1:23" x14ac:dyDescent="0.15">
      <c r="G43" s="14"/>
      <c r="H43" s="14"/>
      <c r="I43" s="14"/>
      <c r="J43" s="14"/>
    </row>
    <row r="44" spans="1:23" x14ac:dyDescent="0.15">
      <c r="A44" s="1" t="s">
        <v>35</v>
      </c>
      <c r="G44" s="16">
        <f>Reports!I36</f>
        <v>18.739999999999998</v>
      </c>
      <c r="H44" s="5">
        <f>Reports!M36</f>
        <v>19</v>
      </c>
      <c r="I44" s="14"/>
      <c r="J44" s="14"/>
    </row>
    <row r="45" spans="1:23" x14ac:dyDescent="0.15">
      <c r="A45" s="1" t="s">
        <v>36</v>
      </c>
      <c r="G45" s="16">
        <f>Reports!I37</f>
        <v>650.16099999999994</v>
      </c>
      <c r="H45" s="5">
        <f>Reports!M37</f>
        <v>960</v>
      </c>
      <c r="I45" s="14"/>
      <c r="J45" s="14"/>
    </row>
    <row r="46" spans="1:23" x14ac:dyDescent="0.15">
      <c r="A46" s="1" t="s">
        <v>37</v>
      </c>
      <c r="G46" s="16">
        <f>Reports!I38</f>
        <v>618.75599999999997</v>
      </c>
      <c r="H46" s="5">
        <f>Reports!M38</f>
        <v>938</v>
      </c>
      <c r="I46" s="14"/>
      <c r="J46" s="14"/>
    </row>
    <row r="47" spans="1:23" x14ac:dyDescent="0.15">
      <c r="G47" s="14"/>
      <c r="H47" s="14"/>
      <c r="I47" s="14"/>
      <c r="J47" s="14"/>
    </row>
    <row r="48" spans="1:23" x14ac:dyDescent="0.15">
      <c r="A48" s="1" t="s">
        <v>38</v>
      </c>
      <c r="G48" s="19">
        <f>G45-G44-G41</f>
        <v>413.90299999999991</v>
      </c>
      <c r="H48" s="19">
        <f>H45-H44-H41</f>
        <v>745</v>
      </c>
      <c r="I48" s="14"/>
      <c r="J48" s="14"/>
    </row>
    <row r="49" spans="1:13" x14ac:dyDescent="0.15">
      <c r="A49" s="1" t="s">
        <v>39</v>
      </c>
      <c r="G49" s="19">
        <f>G45-G46</f>
        <v>31.404999999999973</v>
      </c>
      <c r="H49" s="19">
        <f>H45-H46</f>
        <v>22</v>
      </c>
      <c r="I49" s="14"/>
      <c r="J49" s="14"/>
    </row>
    <row r="50" spans="1:13" x14ac:dyDescent="0.15">
      <c r="G50" s="14"/>
      <c r="H50" s="14"/>
      <c r="I50" s="14"/>
      <c r="J50" s="14"/>
    </row>
    <row r="51" spans="1:13" x14ac:dyDescent="0.15">
      <c r="A51" s="12" t="s">
        <v>40</v>
      </c>
      <c r="G51" s="21">
        <f>G26/G49</f>
        <v>-4.2863238337844338</v>
      </c>
      <c r="H51" s="21">
        <f>H26/H49</f>
        <v>-6.4687727272727216</v>
      </c>
      <c r="I51" s="14"/>
      <c r="J51" s="14"/>
    </row>
    <row r="52" spans="1:13" x14ac:dyDescent="0.15">
      <c r="A52" s="12" t="s">
        <v>41</v>
      </c>
      <c r="G52" s="21">
        <f>G26/G45</f>
        <v>-0.20704410138411874</v>
      </c>
      <c r="H52" s="21">
        <f>H26/H45</f>
        <v>-0.1482427083333332</v>
      </c>
      <c r="I52" s="14"/>
      <c r="J52" s="14"/>
    </row>
    <row r="53" spans="1:13" x14ac:dyDescent="0.15">
      <c r="A53" s="12" t="s">
        <v>42</v>
      </c>
      <c r="G53" s="21">
        <f>G26/(G49-G44)</f>
        <v>-10.628661666008709</v>
      </c>
      <c r="H53" s="21">
        <f>H26/(H49-H44)</f>
        <v>-47.437666666666622</v>
      </c>
      <c r="I53" s="14"/>
      <c r="J53" s="14"/>
    </row>
    <row r="54" spans="1:13" x14ac:dyDescent="0.15">
      <c r="A54" s="12" t="s">
        <v>43</v>
      </c>
      <c r="G54" s="21">
        <f>G26/G48</f>
        <v>-0.32522595873912502</v>
      </c>
      <c r="H54" s="21">
        <f>H26/H48</f>
        <v>-0.19102416107382533</v>
      </c>
      <c r="I54" s="14"/>
      <c r="J54" s="14"/>
    </row>
    <row r="55" spans="1:13" x14ac:dyDescent="0.15">
      <c r="G55" s="14"/>
      <c r="H55" s="14"/>
      <c r="I55" s="14"/>
      <c r="J55" s="14"/>
    </row>
    <row r="56" spans="1:13" s="13" customFormat="1" x14ac:dyDescent="0.15">
      <c r="A56" s="13" t="s">
        <v>80</v>
      </c>
      <c r="G56" s="21">
        <f>G10/F10-1</f>
        <v>0.20200655152111446</v>
      </c>
      <c r="H56" s="21">
        <f>H10/G10-1</f>
        <v>0.14444448097096285</v>
      </c>
      <c r="I56" s="21">
        <f>I10/H10-1</f>
        <v>0.10282450334930404</v>
      </c>
      <c r="J56" s="21">
        <f>J10/I10-1</f>
        <v>0.10000000000000009</v>
      </c>
      <c r="K56" s="21">
        <f>K10/J10-1</f>
        <v>0.10000000000000009</v>
      </c>
      <c r="L56" s="21">
        <f>L10/K10-1</f>
        <v>0.10000000000000009</v>
      </c>
      <c r="M56" s="21">
        <f>M10/L10-1</f>
        <v>0.10000000000000009</v>
      </c>
    </row>
    <row r="57" spans="1:13" x14ac:dyDescent="0.15">
      <c r="G57" s="14"/>
      <c r="H57" s="14"/>
      <c r="I57" s="14"/>
      <c r="J57" s="14"/>
    </row>
    <row r="58" spans="1:13" x14ac:dyDescent="0.15">
      <c r="A58" s="13" t="s">
        <v>44</v>
      </c>
      <c r="G58" s="14"/>
      <c r="H58" s="14"/>
      <c r="I58" s="14"/>
      <c r="J58" s="14"/>
    </row>
    <row r="59" spans="1:13" x14ac:dyDescent="0.15">
      <c r="A59" s="13" t="s">
        <v>45</v>
      </c>
      <c r="G59" s="14"/>
      <c r="H59" s="14"/>
      <c r="I59" s="14"/>
      <c r="J59" s="14"/>
    </row>
  </sheetData>
  <hyperlinks>
    <hyperlink ref="A1" r:id="rId1" xr:uid="{00000000-0004-0000-0000-000000000000}"/>
    <hyperlink ref="A4" r:id="rId2" xr:uid="{00000000-0004-0000-0000-000001000000}"/>
    <hyperlink ref="A7" r:id="rId3" xr:uid="{00000000-0004-0000-0000-000002000000}"/>
    <hyperlink ref="A8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"/>
  <sheetViews>
    <sheetView zoomScale="130" zoomScaleNormal="13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S27" sqref="S27"/>
    </sheetView>
  </sheetViews>
  <sheetFormatPr baseColWidth="10" defaultRowHeight="13" x14ac:dyDescent="0.15"/>
  <cols>
    <col min="1" max="1" width="17.5" style="44" bestFit="1" customWidth="1"/>
    <col min="2" max="5" width="10.83203125" style="14"/>
    <col min="6" max="6" width="10.83203125" style="24"/>
    <col min="7" max="9" width="10.83203125" style="14"/>
    <col min="10" max="10" width="10.83203125" style="32"/>
    <col min="11" max="13" width="10.83203125" style="1"/>
    <col min="14" max="14" width="10.83203125" style="32"/>
    <col min="15" max="16384" width="10.83203125" style="1"/>
  </cols>
  <sheetData>
    <row r="1" spans="1:17" s="14" customFormat="1" x14ac:dyDescent="0.15">
      <c r="A1" s="43" t="s">
        <v>0</v>
      </c>
      <c r="B1" s="14" t="s">
        <v>49</v>
      </c>
      <c r="C1" s="14" t="s">
        <v>50</v>
      </c>
      <c r="D1" s="14" t="s">
        <v>51</v>
      </c>
      <c r="E1" s="14" t="s">
        <v>52</v>
      </c>
      <c r="F1" s="24" t="s">
        <v>53</v>
      </c>
      <c r="G1" s="14" t="s">
        <v>54</v>
      </c>
      <c r="H1" s="14" t="s">
        <v>12</v>
      </c>
      <c r="I1" s="14" t="s">
        <v>55</v>
      </c>
      <c r="J1" s="24" t="s">
        <v>58</v>
      </c>
      <c r="K1" s="14" t="s">
        <v>59</v>
      </c>
      <c r="L1" s="14" t="s">
        <v>60</v>
      </c>
      <c r="M1" s="14" t="s">
        <v>61</v>
      </c>
      <c r="N1" s="24" t="s">
        <v>75</v>
      </c>
      <c r="O1" s="14" t="s">
        <v>76</v>
      </c>
      <c r="P1" s="14" t="s">
        <v>77</v>
      </c>
      <c r="Q1" s="14" t="s">
        <v>78</v>
      </c>
    </row>
    <row r="2" spans="1:17" s="14" customFormat="1" x14ac:dyDescent="0.15">
      <c r="A2" s="44"/>
      <c r="B2" s="14" t="s">
        <v>67</v>
      </c>
      <c r="C2" s="14" t="s">
        <v>65</v>
      </c>
      <c r="D2" s="14" t="s">
        <v>63</v>
      </c>
      <c r="E2" s="14" t="s">
        <v>56</v>
      </c>
      <c r="F2" s="24" t="s">
        <v>66</v>
      </c>
      <c r="G2" s="14" t="s">
        <v>64</v>
      </c>
      <c r="H2" s="14" t="s">
        <v>62</v>
      </c>
      <c r="I2" s="14" t="s">
        <v>57</v>
      </c>
      <c r="J2" s="52">
        <v>43585</v>
      </c>
      <c r="K2" s="50">
        <v>43677</v>
      </c>
      <c r="L2" s="50">
        <v>43769</v>
      </c>
      <c r="M2" s="50">
        <v>43861</v>
      </c>
      <c r="N2" s="52">
        <v>43951</v>
      </c>
      <c r="O2" s="50">
        <v>44043</v>
      </c>
      <c r="P2" s="50">
        <v>44135</v>
      </c>
    </row>
    <row r="3" spans="1:17" s="5" customFormat="1" x14ac:dyDescent="0.15">
      <c r="A3" s="45" t="s">
        <v>79</v>
      </c>
      <c r="B3" s="16">
        <v>117.22199999999999</v>
      </c>
      <c r="C3" s="16">
        <v>122.941</v>
      </c>
      <c r="D3" s="16">
        <v>129.304</v>
      </c>
      <c r="E3" s="16">
        <v>136.67500000000001</v>
      </c>
      <c r="F3" s="25">
        <v>140.50700000000001</v>
      </c>
      <c r="G3" s="16">
        <v>148.22200000000001</v>
      </c>
      <c r="H3" s="16">
        <v>155.94399999999999</v>
      </c>
      <c r="I3" s="16">
        <v>163.71299999999999</v>
      </c>
      <c r="J3" s="25">
        <v>162.97399999999999</v>
      </c>
      <c r="K3" s="16">
        <v>172.54900000000001</v>
      </c>
      <c r="L3" s="16">
        <v>177.15600000000001</v>
      </c>
      <c r="M3" s="16">
        <v>183.58500000000001</v>
      </c>
      <c r="N3" s="53">
        <v>183.56100000000001</v>
      </c>
      <c r="O3" s="5">
        <v>192.29300000000001</v>
      </c>
      <c r="P3" s="5">
        <v>196.00299999999999</v>
      </c>
      <c r="Q3" s="5">
        <v>196</v>
      </c>
    </row>
    <row r="4" spans="1:17" s="5" customFormat="1" x14ac:dyDescent="0.15">
      <c r="A4" s="45"/>
      <c r="B4" s="16"/>
      <c r="C4" s="16"/>
      <c r="D4" s="16"/>
      <c r="E4" s="16"/>
      <c r="F4" s="25"/>
      <c r="G4" s="16"/>
      <c r="H4" s="16"/>
      <c r="I4" s="16"/>
      <c r="J4" s="25"/>
      <c r="K4" s="16"/>
      <c r="L4" s="16"/>
      <c r="M4" s="16"/>
      <c r="N4" s="53"/>
    </row>
    <row r="5" spans="1:17" s="5" customFormat="1" x14ac:dyDescent="0.15">
      <c r="A5" s="45" t="s">
        <v>46</v>
      </c>
      <c r="B5" s="16"/>
      <c r="C5" s="16"/>
      <c r="D5" s="16"/>
      <c r="E5" s="16"/>
      <c r="F5" s="25"/>
      <c r="G5" s="16"/>
      <c r="H5" s="16"/>
      <c r="I5" s="16"/>
      <c r="J5" s="25"/>
      <c r="K5" s="16"/>
      <c r="L5" s="16"/>
      <c r="M5" s="16"/>
      <c r="N5" s="53"/>
    </row>
    <row r="6" spans="1:17" s="5" customFormat="1" x14ac:dyDescent="0.15">
      <c r="A6" s="45" t="s">
        <v>47</v>
      </c>
      <c r="B6" s="16"/>
      <c r="C6" s="16"/>
      <c r="D6" s="16"/>
      <c r="E6" s="16"/>
      <c r="F6" s="25"/>
      <c r="G6" s="16"/>
      <c r="H6" s="16"/>
      <c r="I6" s="16"/>
      <c r="J6" s="25"/>
      <c r="K6" s="16"/>
      <c r="L6" s="16"/>
      <c r="M6" s="16"/>
      <c r="N6" s="53"/>
    </row>
    <row r="7" spans="1:17" s="5" customFormat="1" x14ac:dyDescent="0.15">
      <c r="A7" s="45"/>
      <c r="B7" s="16"/>
      <c r="C7" s="16"/>
      <c r="D7" s="16"/>
      <c r="E7" s="16"/>
      <c r="F7" s="25"/>
      <c r="G7" s="16"/>
      <c r="H7" s="16"/>
      <c r="I7" s="16"/>
      <c r="J7" s="25">
        <v>161</v>
      </c>
      <c r="K7" s="16"/>
      <c r="L7" s="16"/>
      <c r="M7" s="16"/>
      <c r="N7" s="53">
        <v>183</v>
      </c>
      <c r="O7" s="5">
        <v>189</v>
      </c>
      <c r="P7" s="5">
        <v>193</v>
      </c>
      <c r="Q7" s="5">
        <v>196</v>
      </c>
    </row>
    <row r="8" spans="1:17" s="11" customFormat="1" x14ac:dyDescent="0.15">
      <c r="A8" s="47" t="s">
        <v>10</v>
      </c>
      <c r="B8" s="18">
        <f t="shared" ref="B8:I8" si="0">B3</f>
        <v>117.22199999999999</v>
      </c>
      <c r="C8" s="18">
        <f t="shared" si="0"/>
        <v>122.941</v>
      </c>
      <c r="D8" s="18">
        <f t="shared" si="0"/>
        <v>129.304</v>
      </c>
      <c r="E8" s="18">
        <f t="shared" si="0"/>
        <v>136.67500000000001</v>
      </c>
      <c r="F8" s="26">
        <f t="shared" si="0"/>
        <v>140.50700000000001</v>
      </c>
      <c r="G8" s="18">
        <f t="shared" si="0"/>
        <v>148.22200000000001</v>
      </c>
      <c r="H8" s="18">
        <f t="shared" si="0"/>
        <v>155.94399999999999</v>
      </c>
      <c r="I8" s="18">
        <f t="shared" si="0"/>
        <v>163.71299999999999</v>
      </c>
      <c r="J8" s="26">
        <f t="shared" ref="J8:L8" si="1">J3</f>
        <v>162.97399999999999</v>
      </c>
      <c r="K8" s="18">
        <f t="shared" si="1"/>
        <v>172.54900000000001</v>
      </c>
      <c r="L8" s="18">
        <f t="shared" si="1"/>
        <v>177.15600000000001</v>
      </c>
      <c r="M8" s="18">
        <f t="shared" ref="M8:O8" si="2">M3</f>
        <v>183.58500000000001</v>
      </c>
      <c r="N8" s="26">
        <f t="shared" si="2"/>
        <v>183.56100000000001</v>
      </c>
      <c r="O8" s="18">
        <f t="shared" si="2"/>
        <v>192.29300000000001</v>
      </c>
      <c r="P8" s="18">
        <f t="shared" ref="P8:Q8" si="3">P3</f>
        <v>196.00299999999999</v>
      </c>
      <c r="Q8" s="18">
        <f t="shared" si="3"/>
        <v>196</v>
      </c>
    </row>
    <row r="9" spans="1:17" s="5" customFormat="1" x14ac:dyDescent="0.15">
      <c r="A9" s="45" t="s">
        <v>16</v>
      </c>
      <c r="B9" s="16">
        <v>32.722999999999999</v>
      </c>
      <c r="C9" s="16">
        <v>32.777999999999999</v>
      </c>
      <c r="D9" s="16">
        <v>34.470999999999997</v>
      </c>
      <c r="E9" s="16">
        <v>35.276000000000003</v>
      </c>
      <c r="F9" s="25">
        <v>39.067999999999998</v>
      </c>
      <c r="G9" s="16">
        <v>42.604999999999997</v>
      </c>
      <c r="H9" s="16">
        <v>44.723999999999997</v>
      </c>
      <c r="I9" s="16">
        <v>47.197000000000003</v>
      </c>
      <c r="J9" s="25">
        <v>48.683999999999997</v>
      </c>
      <c r="K9" s="16">
        <v>53.872</v>
      </c>
      <c r="L9" s="16">
        <v>56.302</v>
      </c>
      <c r="M9" s="16">
        <v>56.719000000000001</v>
      </c>
      <c r="N9" s="53">
        <v>53.994999999999997</v>
      </c>
      <c r="O9" s="5">
        <v>55.334000000000003</v>
      </c>
      <c r="P9" s="5">
        <v>56.811999999999998</v>
      </c>
    </row>
    <row r="10" spans="1:17" s="5" customFormat="1" x14ac:dyDescent="0.15">
      <c r="A10" s="45" t="s">
        <v>17</v>
      </c>
      <c r="B10" s="19">
        <f t="shared" ref="B10:I10" si="4">B8-B9</f>
        <v>84.498999999999995</v>
      </c>
      <c r="C10" s="19">
        <f t="shared" si="4"/>
        <v>90.163000000000011</v>
      </c>
      <c r="D10" s="19">
        <f t="shared" si="4"/>
        <v>94.832999999999998</v>
      </c>
      <c r="E10" s="19">
        <f t="shared" si="4"/>
        <v>101.399</v>
      </c>
      <c r="F10" s="27">
        <f t="shared" si="4"/>
        <v>101.43900000000001</v>
      </c>
      <c r="G10" s="19">
        <f t="shared" si="4"/>
        <v>105.61700000000002</v>
      </c>
      <c r="H10" s="19">
        <f t="shared" si="4"/>
        <v>111.22</v>
      </c>
      <c r="I10" s="19">
        <f t="shared" si="4"/>
        <v>116.51599999999999</v>
      </c>
      <c r="J10" s="27">
        <f t="shared" ref="J10:L10" si="5">J8-J9</f>
        <v>114.28999999999999</v>
      </c>
      <c r="K10" s="19">
        <f t="shared" si="5"/>
        <v>118.67700000000001</v>
      </c>
      <c r="L10" s="19">
        <f t="shared" si="5"/>
        <v>120.85400000000001</v>
      </c>
      <c r="M10" s="19">
        <f t="shared" ref="M10:P10" si="6">M8-M9</f>
        <v>126.86600000000001</v>
      </c>
      <c r="N10" s="27">
        <f t="shared" si="6"/>
        <v>129.566</v>
      </c>
      <c r="O10" s="19">
        <f t="shared" si="6"/>
        <v>136.959</v>
      </c>
      <c r="P10" s="19">
        <f t="shared" si="6"/>
        <v>139.19099999999997</v>
      </c>
    </row>
    <row r="11" spans="1:17" s="5" customFormat="1" x14ac:dyDescent="0.15">
      <c r="A11" s="45" t="s">
        <v>18</v>
      </c>
      <c r="B11" s="16">
        <v>33.533999999999999</v>
      </c>
      <c r="C11" s="16">
        <v>34.042000000000002</v>
      </c>
      <c r="D11" s="16">
        <v>34.811999999999998</v>
      </c>
      <c r="E11" s="16">
        <v>34.402999999999999</v>
      </c>
      <c r="F11" s="25">
        <v>38.247999999999998</v>
      </c>
      <c r="G11" s="16">
        <v>41.83</v>
      </c>
      <c r="H11" s="16">
        <v>42.31</v>
      </c>
      <c r="I11" s="16">
        <v>41.362000000000002</v>
      </c>
      <c r="J11" s="25">
        <v>46</v>
      </c>
      <c r="K11" s="16">
        <v>50</v>
      </c>
      <c r="L11" s="16">
        <v>51</v>
      </c>
      <c r="M11" s="16">
        <v>53</v>
      </c>
      <c r="N11" s="53">
        <v>53</v>
      </c>
      <c r="O11" s="5">
        <v>50</v>
      </c>
      <c r="P11" s="5">
        <v>49</v>
      </c>
    </row>
    <row r="12" spans="1:17" s="5" customFormat="1" x14ac:dyDescent="0.15">
      <c r="A12" s="45" t="s">
        <v>19</v>
      </c>
      <c r="B12" s="16">
        <v>70.662999999999997</v>
      </c>
      <c r="C12" s="16">
        <v>73.271000000000001</v>
      </c>
      <c r="D12" s="16">
        <v>81.67</v>
      </c>
      <c r="E12" s="16">
        <v>77.715000000000003</v>
      </c>
      <c r="F12" s="25">
        <v>76.998000000000005</v>
      </c>
      <c r="G12" s="16">
        <v>76.983999999999995</v>
      </c>
      <c r="H12" s="16">
        <v>84.49</v>
      </c>
      <c r="I12" s="16">
        <v>73.738</v>
      </c>
      <c r="J12" s="25">
        <v>79</v>
      </c>
      <c r="K12" s="16">
        <v>80</v>
      </c>
      <c r="L12" s="16">
        <v>83</v>
      </c>
      <c r="M12" s="16">
        <v>75</v>
      </c>
      <c r="N12" s="53">
        <v>73</v>
      </c>
      <c r="O12" s="5">
        <v>68</v>
      </c>
      <c r="P12" s="5">
        <v>67</v>
      </c>
    </row>
    <row r="13" spans="1:17" s="5" customFormat="1" x14ac:dyDescent="0.15">
      <c r="A13" s="45" t="s">
        <v>20</v>
      </c>
      <c r="B13" s="16">
        <v>20.280999999999999</v>
      </c>
      <c r="C13" s="16">
        <v>21.846</v>
      </c>
      <c r="D13" s="16">
        <v>20.91</v>
      </c>
      <c r="E13" s="16">
        <v>21.768000000000001</v>
      </c>
      <c r="F13" s="25">
        <v>22.053000000000001</v>
      </c>
      <c r="G13" s="16">
        <v>24.021999999999998</v>
      </c>
      <c r="H13" s="16">
        <v>23.884</v>
      </c>
      <c r="I13" s="16">
        <v>23.11</v>
      </c>
      <c r="J13" s="25">
        <v>25</v>
      </c>
      <c r="K13" s="16">
        <v>25</v>
      </c>
      <c r="L13" s="16">
        <v>26</v>
      </c>
      <c r="M13" s="16">
        <v>27</v>
      </c>
      <c r="N13" s="53">
        <v>28</v>
      </c>
      <c r="O13" s="5">
        <v>27</v>
      </c>
      <c r="P13" s="5">
        <v>25</v>
      </c>
    </row>
    <row r="14" spans="1:17" s="5" customFormat="1" x14ac:dyDescent="0.15">
      <c r="A14" s="45" t="s">
        <v>21</v>
      </c>
      <c r="B14" s="19">
        <f t="shared" ref="B14:I14" si="7">SUM(B11:B13)</f>
        <v>124.47800000000001</v>
      </c>
      <c r="C14" s="19">
        <f t="shared" si="7"/>
        <v>129.15899999999999</v>
      </c>
      <c r="D14" s="19">
        <f t="shared" si="7"/>
        <v>137.392</v>
      </c>
      <c r="E14" s="19">
        <f t="shared" si="7"/>
        <v>133.886</v>
      </c>
      <c r="F14" s="27">
        <f t="shared" si="7"/>
        <v>137.29900000000001</v>
      </c>
      <c r="G14" s="19">
        <f t="shared" si="7"/>
        <v>142.83599999999998</v>
      </c>
      <c r="H14" s="19">
        <f t="shared" si="7"/>
        <v>150.684</v>
      </c>
      <c r="I14" s="19">
        <f t="shared" si="7"/>
        <v>138.20999999999998</v>
      </c>
      <c r="J14" s="27">
        <f t="shared" ref="J14:L14" si="8">SUM(J11:J13)</f>
        <v>150</v>
      </c>
      <c r="K14" s="19">
        <f t="shared" si="8"/>
        <v>155</v>
      </c>
      <c r="L14" s="19">
        <f t="shared" si="8"/>
        <v>160</v>
      </c>
      <c r="M14" s="19">
        <f t="shared" ref="M14:P14" si="9">SUM(M11:M13)</f>
        <v>155</v>
      </c>
      <c r="N14" s="27">
        <f t="shared" si="9"/>
        <v>154</v>
      </c>
      <c r="O14" s="19">
        <f t="shared" si="9"/>
        <v>145</v>
      </c>
      <c r="P14" s="19">
        <f t="shared" si="9"/>
        <v>141</v>
      </c>
    </row>
    <row r="15" spans="1:17" s="5" customFormat="1" x14ac:dyDescent="0.15">
      <c r="A15" s="45" t="s">
        <v>22</v>
      </c>
      <c r="B15" s="19">
        <f t="shared" ref="B15:I15" si="10">B10-B14</f>
        <v>-39.979000000000013</v>
      </c>
      <c r="C15" s="19">
        <f t="shared" si="10"/>
        <v>-38.995999999999981</v>
      </c>
      <c r="D15" s="19">
        <f t="shared" si="10"/>
        <v>-42.558999999999997</v>
      </c>
      <c r="E15" s="19">
        <f t="shared" si="10"/>
        <v>-32.486999999999995</v>
      </c>
      <c r="F15" s="27">
        <f t="shared" si="10"/>
        <v>-35.86</v>
      </c>
      <c r="G15" s="19">
        <f t="shared" si="10"/>
        <v>-37.218999999999966</v>
      </c>
      <c r="H15" s="19">
        <f t="shared" si="10"/>
        <v>-39.463999999999999</v>
      </c>
      <c r="I15" s="19">
        <f t="shared" si="10"/>
        <v>-21.693999999999988</v>
      </c>
      <c r="J15" s="27">
        <f t="shared" ref="J15:L15" si="11">J10-J14</f>
        <v>-35.710000000000008</v>
      </c>
      <c r="K15" s="19">
        <f t="shared" si="11"/>
        <v>-36.322999999999993</v>
      </c>
      <c r="L15" s="19">
        <f t="shared" si="11"/>
        <v>-39.145999999999987</v>
      </c>
      <c r="M15" s="19">
        <f t="shared" ref="M15:P15" si="12">M10-M14</f>
        <v>-28.133999999999986</v>
      </c>
      <c r="N15" s="27">
        <f t="shared" si="12"/>
        <v>-24.433999999999997</v>
      </c>
      <c r="O15" s="19">
        <f t="shared" si="12"/>
        <v>-8.0409999999999968</v>
      </c>
      <c r="P15" s="19">
        <f t="shared" si="12"/>
        <v>-1.8090000000000259</v>
      </c>
    </row>
    <row r="16" spans="1:17" s="5" customFormat="1" x14ac:dyDescent="0.15">
      <c r="A16" s="45" t="s">
        <v>23</v>
      </c>
      <c r="B16" s="16">
        <f>-0.279+0.016</f>
        <v>-0.26300000000000001</v>
      </c>
      <c r="C16" s="16">
        <f>-0.236+0.267</f>
        <v>3.1000000000000028E-2</v>
      </c>
      <c r="D16" s="16">
        <f>-0.287+0.277</f>
        <v>-9.9999999999999534E-3</v>
      </c>
      <c r="E16" s="16">
        <f>-0.211+0.229</f>
        <v>1.8000000000000016E-2</v>
      </c>
      <c r="F16" s="25">
        <f>-0.07-0.343</f>
        <v>-0.41300000000000003</v>
      </c>
      <c r="G16" s="16">
        <f>-0.091-0.579</f>
        <v>-0.66999999999999993</v>
      </c>
      <c r="H16" s="16">
        <f>-0.047-0.321</f>
        <v>-0.36799999999999999</v>
      </c>
      <c r="I16" s="16">
        <f>-0.108+2.582</f>
        <v>2.4739999999999998</v>
      </c>
      <c r="J16" s="25">
        <f>0-1</f>
        <v>-1</v>
      </c>
      <c r="K16" s="16">
        <f>0+1</f>
        <v>1</v>
      </c>
      <c r="L16" s="16">
        <f>-1-1</f>
        <v>-2</v>
      </c>
      <c r="M16" s="16">
        <f>-1-0</f>
        <v>-1</v>
      </c>
      <c r="N16" s="53">
        <f>-1+0</f>
        <v>-1</v>
      </c>
      <c r="O16" s="5">
        <f>-2+2</f>
        <v>0</v>
      </c>
      <c r="P16" s="5">
        <f>-2-1</f>
        <v>-3</v>
      </c>
    </row>
    <row r="17" spans="1:17" s="5" customFormat="1" x14ac:dyDescent="0.15">
      <c r="A17" s="45" t="s">
        <v>24</v>
      </c>
      <c r="B17" s="19">
        <f t="shared" ref="B17:I17" si="13">B15+B16</f>
        <v>-40.242000000000012</v>
      </c>
      <c r="C17" s="19">
        <f t="shared" si="13"/>
        <v>-38.964999999999982</v>
      </c>
      <c r="D17" s="19">
        <f t="shared" si="13"/>
        <v>-42.568999999999996</v>
      </c>
      <c r="E17" s="19">
        <f t="shared" si="13"/>
        <v>-32.468999999999994</v>
      </c>
      <c r="F17" s="27">
        <f t="shared" si="13"/>
        <v>-36.272999999999996</v>
      </c>
      <c r="G17" s="19">
        <f t="shared" si="13"/>
        <v>-37.888999999999967</v>
      </c>
      <c r="H17" s="19">
        <f t="shared" si="13"/>
        <v>-39.832000000000001</v>
      </c>
      <c r="I17" s="19">
        <f t="shared" si="13"/>
        <v>-19.219999999999988</v>
      </c>
      <c r="J17" s="27">
        <f t="shared" ref="J17:L17" si="14">J15+J16</f>
        <v>-36.710000000000008</v>
      </c>
      <c r="K17" s="19">
        <f t="shared" si="14"/>
        <v>-35.322999999999993</v>
      </c>
      <c r="L17" s="19">
        <f t="shared" si="14"/>
        <v>-41.145999999999987</v>
      </c>
      <c r="M17" s="19">
        <f t="shared" ref="M17:P17" si="15">M15+M16</f>
        <v>-29.133999999999986</v>
      </c>
      <c r="N17" s="27">
        <f t="shared" si="15"/>
        <v>-25.433999999999997</v>
      </c>
      <c r="O17" s="19">
        <f t="shared" si="15"/>
        <v>-8.0409999999999968</v>
      </c>
      <c r="P17" s="19">
        <f t="shared" si="15"/>
        <v>-4.8090000000000259</v>
      </c>
    </row>
    <row r="18" spans="1:17" s="5" customFormat="1" x14ac:dyDescent="0.15">
      <c r="A18" s="45" t="s">
        <v>25</v>
      </c>
      <c r="B18" s="16">
        <v>-0.156</v>
      </c>
      <c r="C18" s="16">
        <v>0.32</v>
      </c>
      <c r="D18" s="16">
        <v>0.35499999999999998</v>
      </c>
      <c r="E18" s="16">
        <v>0.19600000000000001</v>
      </c>
      <c r="F18" s="25">
        <v>0.36399999999999999</v>
      </c>
      <c r="G18" s="16">
        <v>0.19600000000000001</v>
      </c>
      <c r="H18" s="16">
        <v>0.36399999999999999</v>
      </c>
      <c r="I18" s="16">
        <v>0.47399999999999998</v>
      </c>
      <c r="J18" s="25">
        <v>0</v>
      </c>
      <c r="K18" s="16">
        <v>0</v>
      </c>
      <c r="L18" s="16">
        <v>0</v>
      </c>
      <c r="M18" s="16">
        <v>0</v>
      </c>
      <c r="N18" s="53">
        <v>0</v>
      </c>
      <c r="O18" s="5">
        <v>0</v>
      </c>
      <c r="P18" s="5">
        <v>0</v>
      </c>
    </row>
    <row r="19" spans="1:17" s="11" customFormat="1" x14ac:dyDescent="0.15">
      <c r="A19" s="47" t="s">
        <v>15</v>
      </c>
      <c r="B19" s="18">
        <f t="shared" ref="B19:J19" si="16">B17-B18</f>
        <v>-40.086000000000013</v>
      </c>
      <c r="C19" s="18">
        <f t="shared" si="16"/>
        <v>-39.284999999999982</v>
      </c>
      <c r="D19" s="18">
        <f t="shared" si="16"/>
        <v>-42.923999999999992</v>
      </c>
      <c r="E19" s="18">
        <f t="shared" si="16"/>
        <v>-32.664999999999992</v>
      </c>
      <c r="F19" s="26">
        <f t="shared" si="16"/>
        <v>-36.636999999999993</v>
      </c>
      <c r="G19" s="18">
        <f t="shared" si="16"/>
        <v>-38.084999999999965</v>
      </c>
      <c r="H19" s="18">
        <f t="shared" si="16"/>
        <v>-40.195999999999998</v>
      </c>
      <c r="I19" s="18">
        <f t="shared" si="16"/>
        <v>-19.693999999999988</v>
      </c>
      <c r="J19" s="26">
        <f t="shared" si="16"/>
        <v>-36.710000000000008</v>
      </c>
      <c r="K19" s="18">
        <f t="shared" ref="K19:L19" si="17">K17-K18</f>
        <v>-35.322999999999993</v>
      </c>
      <c r="L19" s="18">
        <f t="shared" si="17"/>
        <v>-41.145999999999987</v>
      </c>
      <c r="M19" s="18">
        <f t="shared" ref="M19:P19" si="18">M17-M18</f>
        <v>-29.133999999999986</v>
      </c>
      <c r="N19" s="26">
        <f t="shared" si="18"/>
        <v>-25.433999999999997</v>
      </c>
      <c r="O19" s="18">
        <f t="shared" si="18"/>
        <v>-8.0409999999999968</v>
      </c>
      <c r="P19" s="18">
        <f t="shared" si="18"/>
        <v>-4.8090000000000259</v>
      </c>
    </row>
    <row r="20" spans="1:17" s="4" customFormat="1" x14ac:dyDescent="0.15">
      <c r="A20" s="51" t="s">
        <v>26</v>
      </c>
      <c r="B20" s="20">
        <f t="shared" ref="B20:J20" si="19">B19/B21</f>
        <v>-0.30490838144353433</v>
      </c>
      <c r="C20" s="20">
        <f t="shared" si="19"/>
        <v>-0.2954181424414013</v>
      </c>
      <c r="D20" s="20">
        <f t="shared" si="19"/>
        <v>-0.31881517573308771</v>
      </c>
      <c r="E20" s="20">
        <f t="shared" si="19"/>
        <v>-0.2391883777807067</v>
      </c>
      <c r="F20" s="28">
        <f t="shared" si="19"/>
        <v>-0.26448124512719812</v>
      </c>
      <c r="G20" s="20">
        <f t="shared" si="19"/>
        <v>-0.27064767833539399</v>
      </c>
      <c r="H20" s="20">
        <f t="shared" si="19"/>
        <v>-0.28234269418259972</v>
      </c>
      <c r="I20" s="20">
        <f t="shared" si="19"/>
        <v>-0.13704654739288663</v>
      </c>
      <c r="J20" s="28">
        <f t="shared" si="19"/>
        <v>-0.25269316812940978</v>
      </c>
      <c r="K20" s="20">
        <f t="shared" ref="K20:L20" si="20">K19/K21</f>
        <v>-0.24024021981609439</v>
      </c>
      <c r="L20" s="20">
        <f t="shared" si="20"/>
        <v>-0.2769748577967755</v>
      </c>
      <c r="M20" s="20">
        <f t="shared" ref="M20:P20" si="21">M19/M21</f>
        <v>-0.19418653478281145</v>
      </c>
      <c r="N20" s="28">
        <f t="shared" si="21"/>
        <v>-0.16739171926314469</v>
      </c>
      <c r="O20" s="20">
        <f t="shared" si="21"/>
        <v>-5.1967272445260171E-2</v>
      </c>
      <c r="P20" s="20">
        <f t="shared" si="21"/>
        <v>-3.0540120026672758E-2</v>
      </c>
    </row>
    <row r="21" spans="1:17" s="5" customFormat="1" x14ac:dyDescent="0.15">
      <c r="A21" s="45" t="s">
        <v>3</v>
      </c>
      <c r="B21" s="16">
        <v>131.46899999999999</v>
      </c>
      <c r="C21" s="16">
        <v>132.98099999999999</v>
      </c>
      <c r="D21" s="16">
        <v>134.636</v>
      </c>
      <c r="E21" s="16">
        <v>136.566</v>
      </c>
      <c r="F21" s="25">
        <v>138.524</v>
      </c>
      <c r="G21" s="16">
        <v>140.71799999999999</v>
      </c>
      <c r="H21" s="16">
        <v>142.36600000000001</v>
      </c>
      <c r="I21" s="16">
        <v>143.703</v>
      </c>
      <c r="J21" s="25">
        <v>145.27500000000001</v>
      </c>
      <c r="K21" s="16">
        <v>147.03200000000001</v>
      </c>
      <c r="L21" s="16">
        <v>148.55500000000001</v>
      </c>
      <c r="M21" s="16">
        <v>150.03100000000001</v>
      </c>
      <c r="N21" s="53">
        <v>151.94300000000001</v>
      </c>
      <c r="O21" s="5">
        <v>154.732</v>
      </c>
      <c r="P21" s="16">
        <v>157.465</v>
      </c>
    </row>
    <row r="22" spans="1:17" x14ac:dyDescent="0.15">
      <c r="J22" s="25"/>
      <c r="K22" s="14"/>
      <c r="L22" s="14"/>
      <c r="M22" s="14"/>
    </row>
    <row r="23" spans="1:17" x14ac:dyDescent="0.15">
      <c r="A23" s="44" t="s">
        <v>27</v>
      </c>
      <c r="B23" s="21">
        <f t="shared" ref="B23:I23" si="22">B10/B8</f>
        <v>0.72084591629557593</v>
      </c>
      <c r="C23" s="21">
        <f t="shared" si="22"/>
        <v>0.73338430629326268</v>
      </c>
      <c r="D23" s="21">
        <f t="shared" si="22"/>
        <v>0.73341118604219513</v>
      </c>
      <c r="E23" s="21">
        <f t="shared" si="22"/>
        <v>0.74189866471556609</v>
      </c>
      <c r="F23" s="29">
        <f t="shared" si="22"/>
        <v>0.7219497960955682</v>
      </c>
      <c r="G23" s="21">
        <f t="shared" si="22"/>
        <v>0.71255953906977376</v>
      </c>
      <c r="H23" s="21">
        <f t="shared" si="22"/>
        <v>0.71320474016313551</v>
      </c>
      <c r="I23" s="21">
        <f t="shared" si="22"/>
        <v>0.71170890521827834</v>
      </c>
      <c r="J23" s="29">
        <f t="shared" ref="J23" si="23">J10/J8</f>
        <v>0.70127750438720282</v>
      </c>
      <c r="K23" s="21">
        <f t="shared" ref="K23:L23" si="24">K10/K8</f>
        <v>0.68778723724854973</v>
      </c>
      <c r="L23" s="21">
        <f t="shared" si="24"/>
        <v>0.68218970850549798</v>
      </c>
      <c r="M23" s="21">
        <f t="shared" ref="M23:N23" si="25">M10/M8</f>
        <v>0.69104774355203313</v>
      </c>
      <c r="N23" s="29">
        <f t="shared" si="25"/>
        <v>0.70584710259804639</v>
      </c>
      <c r="O23" s="21">
        <f t="shared" ref="O23:P23" si="26">O10/O8</f>
        <v>0.71224121522884343</v>
      </c>
      <c r="P23" s="21">
        <f t="shared" si="26"/>
        <v>0.71014729366387241</v>
      </c>
    </row>
    <row r="24" spans="1:17" x14ac:dyDescent="0.15">
      <c r="A24" s="44" t="s">
        <v>28</v>
      </c>
      <c r="B24" s="21">
        <f t="shared" ref="B24:I24" si="27">B15/B8</f>
        <v>-0.34105372711607052</v>
      </c>
      <c r="C24" s="21">
        <f t="shared" si="27"/>
        <v>-0.31719279979827708</v>
      </c>
      <c r="D24" s="21">
        <f t="shared" si="27"/>
        <v>-0.32913908309101031</v>
      </c>
      <c r="E24" s="21">
        <f t="shared" si="27"/>
        <v>-0.23769526248399481</v>
      </c>
      <c r="F24" s="29">
        <f t="shared" si="27"/>
        <v>-0.25521860120848072</v>
      </c>
      <c r="G24" s="21">
        <f t="shared" si="27"/>
        <v>-0.25110307511705388</v>
      </c>
      <c r="H24" s="21">
        <f t="shared" si="27"/>
        <v>-0.25306520289334633</v>
      </c>
      <c r="I24" s="21">
        <f t="shared" si="27"/>
        <v>-0.13251238447771399</v>
      </c>
      <c r="J24" s="29">
        <f t="shared" ref="J24" si="28">J15/J8</f>
        <v>-0.21911470541313344</v>
      </c>
      <c r="K24" s="21">
        <f t="shared" ref="K24:L24" si="29">K15/K8</f>
        <v>-0.21050831937594533</v>
      </c>
      <c r="L24" s="21">
        <f t="shared" si="29"/>
        <v>-0.22096908939014193</v>
      </c>
      <c r="M24" s="21">
        <f t="shared" ref="M24:N24" si="30">M15/M8</f>
        <v>-0.15324781436391854</v>
      </c>
      <c r="N24" s="29">
        <f t="shared" si="30"/>
        <v>-0.13311106389701513</v>
      </c>
      <c r="O24" s="21">
        <f t="shared" ref="O24:P24" si="31">O15/O8</f>
        <v>-4.1816394772560606E-2</v>
      </c>
      <c r="P24" s="21">
        <f t="shared" si="31"/>
        <v>-9.2294505696342705E-3</v>
      </c>
    </row>
    <row r="25" spans="1:17" x14ac:dyDescent="0.15">
      <c r="A25" s="44" t="s">
        <v>29</v>
      </c>
      <c r="B25" s="21">
        <f t="shared" ref="B25:I25" si="32">B18/B17</f>
        <v>3.8765468913075879E-3</v>
      </c>
      <c r="C25" s="21">
        <f t="shared" si="32"/>
        <v>-8.2124983959964114E-3</v>
      </c>
      <c r="D25" s="21">
        <f t="shared" si="32"/>
        <v>-8.3394019121896222E-3</v>
      </c>
      <c r="E25" s="21">
        <f t="shared" si="32"/>
        <v>-6.0365271489728678E-3</v>
      </c>
      <c r="F25" s="29">
        <f t="shared" si="32"/>
        <v>-1.0035012268078186E-2</v>
      </c>
      <c r="G25" s="21">
        <f t="shared" si="32"/>
        <v>-5.173005357755554E-3</v>
      </c>
      <c r="H25" s="21">
        <f t="shared" si="32"/>
        <v>-9.1383812010443852E-3</v>
      </c>
      <c r="I25" s="21">
        <f t="shared" si="32"/>
        <v>-2.4661810613943822E-2</v>
      </c>
      <c r="J25" s="29">
        <f t="shared" ref="J25" si="33">J18/J17</f>
        <v>0</v>
      </c>
      <c r="K25" s="21">
        <f t="shared" ref="K25:L25" si="34">K18/K17</f>
        <v>0</v>
      </c>
      <c r="L25" s="21">
        <f t="shared" si="34"/>
        <v>0</v>
      </c>
      <c r="M25" s="21">
        <f t="shared" ref="M25:N25" si="35">M18/M17</f>
        <v>0</v>
      </c>
      <c r="N25" s="29">
        <f t="shared" si="35"/>
        <v>0</v>
      </c>
      <c r="O25" s="21">
        <f t="shared" ref="O25:P25" si="36">O18/O17</f>
        <v>0</v>
      </c>
      <c r="P25" s="21">
        <f t="shared" si="36"/>
        <v>0</v>
      </c>
    </row>
    <row r="26" spans="1:17" x14ac:dyDescent="0.15">
      <c r="J26" s="24"/>
      <c r="K26" s="14"/>
      <c r="L26" s="14"/>
      <c r="M26" s="14"/>
      <c r="N26" s="24"/>
      <c r="O26" s="14"/>
      <c r="P26" s="14"/>
    </row>
    <row r="27" spans="1:17" s="2" customFormat="1" x14ac:dyDescent="0.15">
      <c r="A27" s="46" t="s">
        <v>11</v>
      </c>
      <c r="B27" s="15"/>
      <c r="C27" s="15"/>
      <c r="D27" s="15"/>
      <c r="E27" s="15"/>
      <c r="F27" s="30">
        <f>F8/B8-1</f>
        <v>0.19864018699561536</v>
      </c>
      <c r="G27" s="22">
        <f>G8/C8-1</f>
        <v>0.20563522339984219</v>
      </c>
      <c r="H27" s="22">
        <f>H8/D8-1</f>
        <v>0.20602610901441554</v>
      </c>
      <c r="I27" s="22">
        <f>I8/E8-1</f>
        <v>0.19782696177062364</v>
      </c>
      <c r="J27" s="30">
        <f>J8/F8-1</f>
        <v>0.15989950678613862</v>
      </c>
      <c r="K27" s="22">
        <f>K8/G8-1</f>
        <v>0.16412543347141439</v>
      </c>
      <c r="L27" s="22">
        <f>L8/H8-1</f>
        <v>0.13602318781100919</v>
      </c>
      <c r="M27" s="22">
        <f>M8/I8-1</f>
        <v>0.12138315222370855</v>
      </c>
      <c r="N27" s="30">
        <f>N8/J8-1</f>
        <v>0.12632076282106364</v>
      </c>
      <c r="O27" s="22">
        <f>O8/K8-1</f>
        <v>0.11442546754834848</v>
      </c>
      <c r="P27" s="22">
        <f>P8/L8-1</f>
        <v>0.10638646164961951</v>
      </c>
      <c r="Q27" s="22">
        <f>Q8/M8-1</f>
        <v>6.7625350655009964E-2</v>
      </c>
    </row>
    <row r="28" spans="1:17" x14ac:dyDescent="0.15">
      <c r="A28" s="44" t="s">
        <v>30</v>
      </c>
      <c r="F28" s="29">
        <f>F11/B11-1</f>
        <v>0.14057374604878636</v>
      </c>
      <c r="G28" s="21">
        <f>G11/C11-1</f>
        <v>0.22877621761353617</v>
      </c>
      <c r="H28" s="21">
        <f>H11/D11-1</f>
        <v>0.21538549925313122</v>
      </c>
      <c r="I28" s="21">
        <f>I11/E11-1</f>
        <v>0.20227887102868936</v>
      </c>
      <c r="J28" s="29">
        <f>J11/F11-1</f>
        <v>0.20267726417067577</v>
      </c>
      <c r="K28" s="21">
        <f>K11/G11-1</f>
        <v>0.19531436767869947</v>
      </c>
      <c r="L28" s="21">
        <f>L11/H11-1</f>
        <v>0.20538879697471035</v>
      </c>
      <c r="M28" s="21">
        <f>M11/I11-1</f>
        <v>0.28136937285431074</v>
      </c>
      <c r="N28" s="29">
        <f>N11/J11-1</f>
        <v>0.15217391304347827</v>
      </c>
      <c r="O28" s="21">
        <f>O11/K11-1</f>
        <v>0</v>
      </c>
      <c r="P28" s="21">
        <f>P11/L11-1</f>
        <v>-3.9215686274509776E-2</v>
      </c>
    </row>
    <row r="29" spans="1:17" x14ac:dyDescent="0.15">
      <c r="A29" s="44" t="s">
        <v>31</v>
      </c>
      <c r="F29" s="29">
        <f t="shared" ref="F29:J30" si="37">F12/B12-1</f>
        <v>8.9650878111600329E-2</v>
      </c>
      <c r="G29" s="21">
        <f t="shared" si="37"/>
        <v>5.0674891839882052E-2</v>
      </c>
      <c r="H29" s="21">
        <f t="shared" si="37"/>
        <v>3.4529202889677979E-2</v>
      </c>
      <c r="I29" s="21">
        <f t="shared" si="37"/>
        <v>-5.1174162002187495E-2</v>
      </c>
      <c r="J29" s="29">
        <f t="shared" si="37"/>
        <v>2.6000675342216617E-2</v>
      </c>
      <c r="K29" s="21">
        <f t="shared" ref="K29:L30" si="38">K12/G12-1</f>
        <v>3.9176971838304153E-2</v>
      </c>
      <c r="L29" s="21">
        <f t="shared" si="38"/>
        <v>-1.763522310332577E-2</v>
      </c>
      <c r="M29" s="21">
        <f t="shared" ref="M29:P30" si="39">M12/I12-1</f>
        <v>1.711464916325367E-2</v>
      </c>
      <c r="N29" s="29">
        <f t="shared" si="39"/>
        <v>-7.5949367088607556E-2</v>
      </c>
      <c r="O29" s="21">
        <f t="shared" si="39"/>
        <v>-0.15000000000000002</v>
      </c>
      <c r="P29" s="21">
        <f t="shared" si="39"/>
        <v>-0.19277108433734935</v>
      </c>
    </row>
    <row r="30" spans="1:17" x14ac:dyDescent="0.15">
      <c r="A30" s="44" t="s">
        <v>32</v>
      </c>
      <c r="F30" s="29">
        <f t="shared" si="37"/>
        <v>8.7372417533652325E-2</v>
      </c>
      <c r="G30" s="21">
        <f t="shared" si="37"/>
        <v>9.9606335255882028E-2</v>
      </c>
      <c r="H30" s="21">
        <f t="shared" si="37"/>
        <v>0.1422285987565759</v>
      </c>
      <c r="I30" s="21">
        <f t="shared" si="37"/>
        <v>6.1650128629180401E-2</v>
      </c>
      <c r="J30" s="29">
        <f t="shared" si="37"/>
        <v>0.13363261234299184</v>
      </c>
      <c r="K30" s="21">
        <f t="shared" si="38"/>
        <v>4.0712680043293759E-2</v>
      </c>
      <c r="L30" s="21">
        <f t="shared" si="38"/>
        <v>8.8594875230279646E-2</v>
      </c>
      <c r="M30" s="21">
        <f t="shared" si="39"/>
        <v>0.16832540025962794</v>
      </c>
      <c r="N30" s="29">
        <f t="shared" si="39"/>
        <v>0.12000000000000011</v>
      </c>
      <c r="O30" s="21">
        <f t="shared" si="39"/>
        <v>8.0000000000000071E-2</v>
      </c>
      <c r="P30" s="21">
        <f t="shared" si="39"/>
        <v>-3.8461538461538436E-2</v>
      </c>
    </row>
    <row r="31" spans="1:17" x14ac:dyDescent="0.15">
      <c r="J31" s="24"/>
      <c r="K31" s="14"/>
      <c r="L31" s="14"/>
      <c r="M31" s="14"/>
    </row>
    <row r="32" spans="1:17" s="11" customFormat="1" x14ac:dyDescent="0.15">
      <c r="A32" s="47" t="s">
        <v>5</v>
      </c>
      <c r="B32" s="17"/>
      <c r="C32" s="16"/>
      <c r="D32" s="16"/>
      <c r="E32" s="18">
        <f>E33-E34</f>
        <v>168.07599999999999</v>
      </c>
      <c r="F32" s="26">
        <f>F33-F34</f>
        <v>163.726</v>
      </c>
      <c r="G32" s="18">
        <f>G33-G34</f>
        <v>163.726</v>
      </c>
      <c r="H32" s="18">
        <f>H33-H34</f>
        <v>160.10400000000001</v>
      </c>
      <c r="I32" s="18">
        <f>I33-I34</f>
        <v>177.518</v>
      </c>
      <c r="J32" s="31"/>
      <c r="K32" s="17"/>
      <c r="L32" s="17"/>
      <c r="M32" s="18">
        <f>M33-M34</f>
        <v>156</v>
      </c>
      <c r="N32" s="26">
        <f>N33-N34</f>
        <v>198</v>
      </c>
      <c r="O32" s="18">
        <f>O33-O34</f>
        <v>202</v>
      </c>
      <c r="P32" s="18">
        <f>P33-P34</f>
        <v>225</v>
      </c>
    </row>
    <row r="33" spans="1:16" s="5" customFormat="1" x14ac:dyDescent="0.15">
      <c r="A33" s="45" t="s">
        <v>33</v>
      </c>
      <c r="B33" s="16"/>
      <c r="C33" s="16"/>
      <c r="D33" s="16"/>
      <c r="E33" s="16">
        <v>208.07599999999999</v>
      </c>
      <c r="F33" s="25">
        <v>203.726</v>
      </c>
      <c r="G33" s="16">
        <v>203.726</v>
      </c>
      <c r="H33" s="16">
        <v>200.10400000000001</v>
      </c>
      <c r="I33" s="16">
        <v>217.518</v>
      </c>
      <c r="J33" s="25"/>
      <c r="K33" s="16"/>
      <c r="L33" s="16"/>
      <c r="M33" s="16">
        <v>196</v>
      </c>
      <c r="N33" s="25">
        <v>268</v>
      </c>
      <c r="O33" s="16">
        <v>272</v>
      </c>
      <c r="P33" s="16">
        <v>275</v>
      </c>
    </row>
    <row r="34" spans="1:16" s="5" customFormat="1" x14ac:dyDescent="0.15">
      <c r="A34" s="45" t="s">
        <v>34</v>
      </c>
      <c r="B34" s="16"/>
      <c r="C34" s="16"/>
      <c r="D34" s="16"/>
      <c r="E34" s="16">
        <v>40</v>
      </c>
      <c r="F34" s="25">
        <v>40</v>
      </c>
      <c r="G34" s="16">
        <v>40</v>
      </c>
      <c r="H34" s="16">
        <v>40</v>
      </c>
      <c r="I34" s="16">
        <v>40</v>
      </c>
      <c r="J34" s="25"/>
      <c r="K34" s="16"/>
      <c r="L34" s="16"/>
      <c r="M34" s="16">
        <v>40</v>
      </c>
      <c r="N34" s="25">
        <v>70</v>
      </c>
      <c r="O34" s="16">
        <v>70</v>
      </c>
      <c r="P34" s="16">
        <v>50</v>
      </c>
    </row>
    <row r="35" spans="1:16" s="5" customFormat="1" x14ac:dyDescent="0.15">
      <c r="A35" s="45"/>
      <c r="B35" s="16"/>
      <c r="C35" s="16"/>
      <c r="D35" s="16"/>
      <c r="E35" s="16"/>
      <c r="F35" s="25"/>
      <c r="G35" s="16"/>
      <c r="H35" s="16"/>
      <c r="I35" s="16"/>
      <c r="J35" s="25"/>
      <c r="K35" s="16"/>
      <c r="L35" s="16"/>
      <c r="M35" s="16"/>
      <c r="N35" s="25"/>
      <c r="O35" s="16"/>
      <c r="P35" s="16"/>
    </row>
    <row r="36" spans="1:16" s="5" customFormat="1" x14ac:dyDescent="0.15">
      <c r="A36" s="45" t="s">
        <v>35</v>
      </c>
      <c r="B36" s="16"/>
      <c r="C36" s="16"/>
      <c r="D36" s="16"/>
      <c r="E36" s="16">
        <f>0.024+16.293</f>
        <v>16.317</v>
      </c>
      <c r="F36" s="25">
        <v>18.739999999999998</v>
      </c>
      <c r="G36" s="16">
        <v>18.739999999999998</v>
      </c>
      <c r="H36" s="16">
        <v>18.739999999999998</v>
      </c>
      <c r="I36" s="16">
        <v>18.739999999999998</v>
      </c>
      <c r="J36" s="25"/>
      <c r="K36" s="16"/>
      <c r="L36" s="16"/>
      <c r="M36" s="16">
        <v>19</v>
      </c>
      <c r="N36" s="25">
        <v>19</v>
      </c>
      <c r="O36" s="16">
        <v>19</v>
      </c>
      <c r="P36" s="16">
        <v>19</v>
      </c>
    </row>
    <row r="37" spans="1:16" s="5" customFormat="1" x14ac:dyDescent="0.15">
      <c r="A37" s="45" t="s">
        <v>36</v>
      </c>
      <c r="B37" s="16"/>
      <c r="C37" s="16"/>
      <c r="D37" s="16"/>
      <c r="E37" s="16">
        <v>553.56600000000003</v>
      </c>
      <c r="F37" s="25">
        <v>545.42399999999998</v>
      </c>
      <c r="G37" s="16">
        <v>545.42399999999998</v>
      </c>
      <c r="H37" s="16">
        <v>546.88699999999994</v>
      </c>
      <c r="I37" s="16">
        <v>650.16099999999994</v>
      </c>
      <c r="J37" s="25"/>
      <c r="K37" s="16"/>
      <c r="L37" s="16"/>
      <c r="M37" s="16">
        <v>960</v>
      </c>
      <c r="N37" s="25">
        <v>949</v>
      </c>
      <c r="O37" s="16">
        <v>961</v>
      </c>
      <c r="P37" s="16">
        <v>942</v>
      </c>
    </row>
    <row r="38" spans="1:16" s="5" customFormat="1" x14ac:dyDescent="0.15">
      <c r="A38" s="45" t="s">
        <v>37</v>
      </c>
      <c r="B38" s="16"/>
      <c r="C38" s="16"/>
      <c r="D38" s="16"/>
      <c r="E38" s="16">
        <v>538.59799999999996</v>
      </c>
      <c r="F38" s="25">
        <v>510.29700000000003</v>
      </c>
      <c r="G38" s="16">
        <v>510.29700000000003</v>
      </c>
      <c r="H38" s="16">
        <v>521.24099999999999</v>
      </c>
      <c r="I38" s="16">
        <v>618.75599999999997</v>
      </c>
      <c r="J38" s="25"/>
      <c r="K38" s="16"/>
      <c r="L38" s="16"/>
      <c r="M38" s="16">
        <v>938</v>
      </c>
      <c r="N38" s="25">
        <v>908</v>
      </c>
      <c r="O38" s="16">
        <v>901</v>
      </c>
      <c r="P38" s="16">
        <v>854</v>
      </c>
    </row>
    <row r="39" spans="1:16" s="5" customFormat="1" x14ac:dyDescent="0.15">
      <c r="A39" s="45"/>
      <c r="B39" s="16"/>
      <c r="C39" s="16"/>
      <c r="D39" s="16"/>
      <c r="E39" s="16"/>
      <c r="F39" s="25"/>
      <c r="G39" s="16"/>
      <c r="H39" s="16"/>
      <c r="I39" s="16"/>
      <c r="J39" s="25"/>
      <c r="K39" s="16"/>
      <c r="L39" s="16"/>
      <c r="M39" s="16"/>
      <c r="N39" s="25"/>
      <c r="O39" s="16"/>
      <c r="P39" s="16"/>
    </row>
    <row r="40" spans="1:16" s="5" customFormat="1" x14ac:dyDescent="0.15">
      <c r="A40" s="45" t="s">
        <v>38</v>
      </c>
      <c r="B40" s="16"/>
      <c r="C40" s="16"/>
      <c r="D40" s="16"/>
      <c r="E40" s="19">
        <f>E37-E36-E33</f>
        <v>329.173</v>
      </c>
      <c r="F40" s="27">
        <f>F37-F36-F33</f>
        <v>322.95799999999997</v>
      </c>
      <c r="G40" s="19">
        <f>G37-G36-G33</f>
        <v>322.95799999999997</v>
      </c>
      <c r="H40" s="19">
        <f>H37-H36-H33</f>
        <v>328.04299999999989</v>
      </c>
      <c r="I40" s="19">
        <f>I37-I36-I33</f>
        <v>413.90299999999991</v>
      </c>
      <c r="J40" s="25"/>
      <c r="K40" s="16"/>
      <c r="L40" s="16"/>
      <c r="M40" s="19">
        <f>M37-M36-M33</f>
        <v>745</v>
      </c>
      <c r="N40" s="27">
        <f>N37-N36-N33</f>
        <v>662</v>
      </c>
      <c r="O40" s="19">
        <f>O37-O36-O33</f>
        <v>670</v>
      </c>
      <c r="P40" s="19">
        <f>P37-P36-P33</f>
        <v>648</v>
      </c>
    </row>
    <row r="41" spans="1:16" s="5" customFormat="1" x14ac:dyDescent="0.15">
      <c r="A41" s="45" t="s">
        <v>39</v>
      </c>
      <c r="B41" s="16"/>
      <c r="C41" s="16"/>
      <c r="D41" s="16"/>
      <c r="E41" s="19">
        <f>E37-E38</f>
        <v>14.968000000000075</v>
      </c>
      <c r="F41" s="27">
        <f>F37-F38</f>
        <v>35.126999999999953</v>
      </c>
      <c r="G41" s="19">
        <f>G37-G38</f>
        <v>35.126999999999953</v>
      </c>
      <c r="H41" s="19">
        <f>H37-H38</f>
        <v>25.645999999999958</v>
      </c>
      <c r="I41" s="19">
        <f>I37-I38</f>
        <v>31.404999999999973</v>
      </c>
      <c r="J41" s="25"/>
      <c r="K41" s="16"/>
      <c r="L41" s="16"/>
      <c r="M41" s="19">
        <f>M37-M38</f>
        <v>22</v>
      </c>
      <c r="N41" s="27">
        <f>N37-N38</f>
        <v>41</v>
      </c>
      <c r="O41" s="19">
        <f>O37-O38</f>
        <v>60</v>
      </c>
      <c r="P41" s="19">
        <f>P37-P38</f>
        <v>88</v>
      </c>
    </row>
    <row r="42" spans="1:16" s="5" customFormat="1" x14ac:dyDescent="0.15">
      <c r="A42" s="45"/>
      <c r="B42" s="16"/>
      <c r="C42" s="16"/>
      <c r="D42" s="16"/>
      <c r="E42" s="16"/>
      <c r="F42" s="25"/>
      <c r="G42" s="16"/>
      <c r="H42" s="16"/>
      <c r="I42" s="16"/>
      <c r="J42" s="25"/>
      <c r="K42" s="16"/>
      <c r="L42" s="16"/>
      <c r="M42" s="16"/>
      <c r="N42" s="25"/>
      <c r="O42" s="16"/>
      <c r="P42" s="16"/>
    </row>
    <row r="43" spans="1:16" s="11" customFormat="1" x14ac:dyDescent="0.15">
      <c r="A43" s="47" t="s">
        <v>48</v>
      </c>
      <c r="B43" s="17"/>
      <c r="C43" s="16"/>
      <c r="D43" s="16"/>
      <c r="E43" s="18">
        <f>SUM(B19:E19)</f>
        <v>-154.95999999999998</v>
      </c>
      <c r="F43" s="26">
        <f>SUM(C19:F19)</f>
        <v>-151.51099999999997</v>
      </c>
      <c r="G43" s="18">
        <f>SUM(D19:G19)</f>
        <v>-150.31099999999992</v>
      </c>
      <c r="H43" s="18">
        <f>SUM(E19:H19)</f>
        <v>-147.58299999999997</v>
      </c>
      <c r="I43" s="18">
        <f>SUM(F19:I19)</f>
        <v>-134.61199999999994</v>
      </c>
      <c r="J43" s="31"/>
      <c r="K43" s="17"/>
      <c r="L43" s="17"/>
      <c r="M43" s="18">
        <f>SUM(J19:M19)</f>
        <v>-142.31299999999999</v>
      </c>
      <c r="N43" s="26">
        <f>SUM(K19:N19)</f>
        <v>-131.03699999999998</v>
      </c>
      <c r="O43" s="18">
        <f>SUM(L19:O19)</f>
        <v>-103.75499999999997</v>
      </c>
      <c r="P43" s="18">
        <f>SUM(M19:P19)</f>
        <v>-67.418000000000006</v>
      </c>
    </row>
    <row r="44" spans="1:16" x14ac:dyDescent="0.15">
      <c r="A44" s="48" t="s">
        <v>40</v>
      </c>
      <c r="C44" s="21"/>
      <c r="D44" s="21"/>
      <c r="E44" s="21">
        <f>E43/E41</f>
        <v>-10.352752538749279</v>
      </c>
      <c r="F44" s="29">
        <f>F43/F41</f>
        <v>-4.3132348336037856</v>
      </c>
      <c r="G44" s="21">
        <f>G43/G41</f>
        <v>-4.2790730776895298</v>
      </c>
      <c r="H44" s="21">
        <f>H43/H41</f>
        <v>-5.7546206036029091</v>
      </c>
      <c r="I44" s="21">
        <f>I43/I41</f>
        <v>-4.2863238337844312</v>
      </c>
      <c r="J44" s="24"/>
      <c r="K44" s="14"/>
      <c r="L44" s="14"/>
      <c r="M44" s="21">
        <f>M43/M41</f>
        <v>-6.4687727272727269</v>
      </c>
      <c r="N44" s="29">
        <f>N43/N41</f>
        <v>-3.1960243902439021</v>
      </c>
      <c r="O44" s="21">
        <f>O43/O41</f>
        <v>-1.7292499999999995</v>
      </c>
      <c r="P44" s="21">
        <f>P43/P41</f>
        <v>-0.76611363636363639</v>
      </c>
    </row>
    <row r="45" spans="1:16" x14ac:dyDescent="0.15">
      <c r="A45" s="48" t="s">
        <v>41</v>
      </c>
      <c r="C45" s="21"/>
      <c r="D45" s="21"/>
      <c r="E45" s="21">
        <f>E43/E37</f>
        <v>-0.27993048706026014</v>
      </c>
      <c r="F45" s="29">
        <f>F43/F37</f>
        <v>-0.27778572266713597</v>
      </c>
      <c r="G45" s="21">
        <f>G43/G37</f>
        <v>-0.27558559946023631</v>
      </c>
      <c r="H45" s="21">
        <f>H43/H37</f>
        <v>-0.26986013564045219</v>
      </c>
      <c r="I45" s="21">
        <f>I43/I37</f>
        <v>-0.20704410138411863</v>
      </c>
      <c r="J45" s="24"/>
      <c r="K45" s="14"/>
      <c r="L45" s="14"/>
      <c r="M45" s="21">
        <f>M43/M37</f>
        <v>-0.14824270833333333</v>
      </c>
      <c r="N45" s="29">
        <f>N43/N37</f>
        <v>-0.13807903055848259</v>
      </c>
      <c r="O45" s="21">
        <f>O43/O37</f>
        <v>-0.10796566077003118</v>
      </c>
      <c r="P45" s="21">
        <f>P43/P37</f>
        <v>-7.1569002123142253E-2</v>
      </c>
    </row>
    <row r="46" spans="1:16" x14ac:dyDescent="0.15">
      <c r="A46" s="48" t="s">
        <v>42</v>
      </c>
      <c r="C46" s="21"/>
      <c r="D46" s="21"/>
      <c r="E46" s="21">
        <f>E43/(E41-E36)</f>
        <v>114.87027427724873</v>
      </c>
      <c r="F46" s="29">
        <f>F43/(F41-F36)</f>
        <v>-9.2458046012082988</v>
      </c>
      <c r="G46" s="21">
        <f>G43/(G41-G36)</f>
        <v>-9.1725758222981835</v>
      </c>
      <c r="H46" s="21">
        <f>H43/(H41-H36)</f>
        <v>-21.370257746886885</v>
      </c>
      <c r="I46" s="21">
        <f>I43/(I41-I36)</f>
        <v>-10.628661666008702</v>
      </c>
      <c r="J46" s="24"/>
      <c r="K46" s="14"/>
      <c r="L46" s="14"/>
      <c r="M46" s="21">
        <f>M43/(M41-M36)</f>
        <v>-47.437666666666665</v>
      </c>
      <c r="N46" s="29">
        <f>N43/(N41-N36)</f>
        <v>-5.956227272727272</v>
      </c>
      <c r="O46" s="21">
        <f>O43/(O41-O36)</f>
        <v>-2.5306097560975602</v>
      </c>
      <c r="P46" s="21">
        <f>P43/(P41-P36)</f>
        <v>-0.97707246376811607</v>
      </c>
    </row>
    <row r="47" spans="1:16" x14ac:dyDescent="0.15">
      <c r="A47" s="48" t="s">
        <v>43</v>
      </c>
      <c r="C47" s="21"/>
      <c r="D47" s="21"/>
      <c r="E47" s="21">
        <f>E43/E40</f>
        <v>-0.47075549938785982</v>
      </c>
      <c r="F47" s="29">
        <f>F43/F40</f>
        <v>-0.46913530551960309</v>
      </c>
      <c r="G47" s="21">
        <f>G43/G40</f>
        <v>-0.46541965209098379</v>
      </c>
      <c r="H47" s="21">
        <f>H43/H40</f>
        <v>-0.4498891913560113</v>
      </c>
      <c r="I47" s="21">
        <f>I43/I40</f>
        <v>-0.3252259587391248</v>
      </c>
      <c r="J47" s="24"/>
      <c r="K47" s="14"/>
      <c r="L47" s="14"/>
      <c r="M47" s="21">
        <f>M43/M40</f>
        <v>-0.1910241610738255</v>
      </c>
      <c r="N47" s="29">
        <f>N43/N40</f>
        <v>-0.19794108761329302</v>
      </c>
      <c r="O47" s="21">
        <f>O43/O40</f>
        <v>-0.15485820895522384</v>
      </c>
      <c r="P47" s="21">
        <f>P43/P40</f>
        <v>-0.10404012345679013</v>
      </c>
    </row>
    <row r="48" spans="1:16" x14ac:dyDescent="0.15">
      <c r="C48" s="21"/>
      <c r="D48" s="21"/>
      <c r="J48" s="24"/>
      <c r="K48" s="14"/>
      <c r="L48" s="14"/>
      <c r="M48" s="14"/>
      <c r="N48" s="24"/>
      <c r="O48" s="14"/>
      <c r="P48" s="14"/>
    </row>
    <row r="49" spans="1:17" x14ac:dyDescent="0.15">
      <c r="A49" s="44" t="s">
        <v>80</v>
      </c>
      <c r="C49" s="21"/>
      <c r="D49" s="21"/>
      <c r="E49" s="21"/>
      <c r="F49" s="29">
        <f>F3/B3-1</f>
        <v>0.19864018699561536</v>
      </c>
      <c r="G49" s="21">
        <f>G3/C3-1</f>
        <v>0.20563522339984219</v>
      </c>
      <c r="H49" s="21">
        <f>H3/D3-1</f>
        <v>0.20602610901441554</v>
      </c>
      <c r="I49" s="21">
        <f>I3/E3-1</f>
        <v>0.19782696177062364</v>
      </c>
      <c r="J49" s="24"/>
      <c r="K49" s="14"/>
      <c r="L49" s="14"/>
      <c r="M49" s="21">
        <f>M3/I3-1</f>
        <v>0.12138315222370855</v>
      </c>
      <c r="N49" s="29">
        <f>N3/J3-1</f>
        <v>0.12632076282106364</v>
      </c>
      <c r="O49" s="21">
        <f>O3/K3-1</f>
        <v>0.11442546754834848</v>
      </c>
      <c r="P49" s="21">
        <f>P3/L3-1</f>
        <v>0.10638646164961951</v>
      </c>
      <c r="Q49" s="21">
        <f>Q3/M3-1</f>
        <v>6.7625350655009964E-2</v>
      </c>
    </row>
    <row r="50" spans="1:17" x14ac:dyDescent="0.15">
      <c r="J50" s="24"/>
      <c r="K50" s="14"/>
      <c r="L50" s="14"/>
      <c r="M50" s="14"/>
    </row>
    <row r="51" spans="1:17" x14ac:dyDescent="0.15">
      <c r="A51" s="49" t="s">
        <v>44</v>
      </c>
      <c r="J51" s="24"/>
      <c r="K51" s="14"/>
      <c r="L51" s="14"/>
      <c r="M51" s="14"/>
    </row>
    <row r="52" spans="1:17" x14ac:dyDescent="0.15">
      <c r="A52" s="49" t="s">
        <v>45</v>
      </c>
      <c r="J52" s="24"/>
      <c r="K52" s="14"/>
      <c r="L52" s="14"/>
      <c r="M52" s="14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2019-01-08T22:51:35Z</dcterms:created>
  <dcterms:modified xsi:type="dcterms:W3CDTF">2021-02-09T21:59:09Z</dcterms:modified>
</cp:coreProperties>
</file>