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A23C99E-AF6C-9842-9B4D-3BC09EB132FF}" xr6:coauthVersionLast="46" xr6:coauthVersionMax="46" xr10:uidLastSave="{00000000-0000-0000-0000-000000000000}"/>
  <bookViews>
    <workbookView xWindow="-34980" yWindow="-5380" windowWidth="28160" windowHeight="2640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2" l="1"/>
  <c r="K17" i="2" s="1"/>
  <c r="L17" i="2" s="1"/>
  <c r="I17" i="2"/>
  <c r="H17" i="2"/>
  <c r="G16" i="2"/>
  <c r="V39" i="2"/>
  <c r="V32" i="2"/>
  <c r="V24" i="2"/>
  <c r="V25" i="2" s="1"/>
  <c r="V42" i="2" s="1"/>
  <c r="V23" i="2"/>
  <c r="V40" i="2" s="1"/>
  <c r="V22" i="2"/>
  <c r="V9" i="2"/>
  <c r="G50" i="2"/>
  <c r="G49" i="2"/>
  <c r="G53" i="2" s="1"/>
  <c r="G48" i="2"/>
  <c r="G46" i="2"/>
  <c r="G45" i="2"/>
  <c r="F50" i="2"/>
  <c r="F49" i="2"/>
  <c r="F53" i="2" s="1"/>
  <c r="F48" i="2"/>
  <c r="F46" i="2"/>
  <c r="F45" i="2"/>
  <c r="G32" i="2"/>
  <c r="G29" i="2"/>
  <c r="G27" i="2"/>
  <c r="G24" i="2"/>
  <c r="G23" i="2"/>
  <c r="G22" i="2"/>
  <c r="G20" i="2"/>
  <c r="G11" i="2"/>
  <c r="G10" i="2"/>
  <c r="C5" i="2"/>
  <c r="C3" i="2"/>
  <c r="Y54" i="1"/>
  <c r="Y53" i="1"/>
  <c r="Y47" i="1"/>
  <c r="Y48" i="1" s="1"/>
  <c r="Y45" i="1"/>
  <c r="Y44" i="1"/>
  <c r="Y38" i="1"/>
  <c r="Y36" i="1"/>
  <c r="Y34" i="1"/>
  <c r="Y33" i="1"/>
  <c r="Y32" i="1"/>
  <c r="Y31" i="1"/>
  <c r="Y29" i="1"/>
  <c r="Y28" i="1"/>
  <c r="Y27" i="1"/>
  <c r="Y23" i="1"/>
  <c r="Y24" i="1" s="1"/>
  <c r="Y21" i="1"/>
  <c r="Y20" i="1"/>
  <c r="Y18" i="1"/>
  <c r="Y19" i="1" s="1"/>
  <c r="Y14" i="1"/>
  <c r="Y12" i="1"/>
  <c r="Y10" i="1"/>
  <c r="Z31" i="1"/>
  <c r="X54" i="1"/>
  <c r="X53" i="1"/>
  <c r="X47" i="1"/>
  <c r="X51" i="1" s="1"/>
  <c r="X45" i="1"/>
  <c r="X44" i="1"/>
  <c r="X38" i="1"/>
  <c r="X36" i="1"/>
  <c r="X34" i="1"/>
  <c r="X33" i="1"/>
  <c r="X32" i="1"/>
  <c r="X31" i="1"/>
  <c r="X29" i="1"/>
  <c r="X28" i="1"/>
  <c r="X27" i="1"/>
  <c r="X23" i="1"/>
  <c r="X24" i="1" s="1"/>
  <c r="X21" i="1"/>
  <c r="X20" i="1"/>
  <c r="X19" i="1"/>
  <c r="X18" i="1"/>
  <c r="X14" i="1"/>
  <c r="X12" i="1"/>
  <c r="X10" i="1"/>
  <c r="W54" i="1"/>
  <c r="W53" i="1"/>
  <c r="W47" i="1"/>
  <c r="W51" i="1" s="1"/>
  <c r="W45" i="1"/>
  <c r="W44" i="1"/>
  <c r="W38" i="1"/>
  <c r="W36" i="1" s="1"/>
  <c r="W34" i="1"/>
  <c r="W33" i="1"/>
  <c r="W32" i="1"/>
  <c r="W31" i="1"/>
  <c r="W29" i="1"/>
  <c r="W28" i="1"/>
  <c r="W27" i="1"/>
  <c r="W24" i="1"/>
  <c r="W23" i="1"/>
  <c r="W21" i="1"/>
  <c r="W20" i="1"/>
  <c r="W18" i="1"/>
  <c r="W19" i="1" s="1"/>
  <c r="W14" i="1"/>
  <c r="W12" i="1"/>
  <c r="W10" i="1"/>
  <c r="V38" i="1"/>
  <c r="V45" i="1"/>
  <c r="V44" i="1"/>
  <c r="V36" i="1"/>
  <c r="V34" i="1"/>
  <c r="V33" i="1"/>
  <c r="V32" i="1"/>
  <c r="V20" i="1"/>
  <c r="V18" i="1"/>
  <c r="V10" i="1"/>
  <c r="V12" i="1" s="1"/>
  <c r="U10" i="1"/>
  <c r="U12" i="1" s="1"/>
  <c r="T10" i="1"/>
  <c r="S10" i="1"/>
  <c r="Q10" i="1"/>
  <c r="U20" i="1"/>
  <c r="U32" i="1"/>
  <c r="U34" i="1"/>
  <c r="U33" i="1"/>
  <c r="U36" i="1"/>
  <c r="U44" i="1"/>
  <c r="U45" i="1"/>
  <c r="U53" i="1"/>
  <c r="V41" i="2" l="1"/>
  <c r="G17" i="2"/>
  <c r="G19" i="2" s="1"/>
  <c r="G21" i="2" s="1"/>
  <c r="G25" i="2"/>
  <c r="F52" i="2"/>
  <c r="G52" i="2"/>
  <c r="G44" i="2"/>
  <c r="F44" i="2"/>
  <c r="Y50" i="1"/>
  <c r="Y51" i="1"/>
  <c r="Y49" i="1"/>
  <c r="X48" i="1"/>
  <c r="X49" i="1"/>
  <c r="X50" i="1"/>
  <c r="W48" i="1"/>
  <c r="W49" i="1"/>
  <c r="W50" i="1"/>
  <c r="V14" i="1"/>
  <c r="V27" i="1" s="1"/>
  <c r="V19" i="1"/>
  <c r="U14" i="1"/>
  <c r="U18" i="1"/>
  <c r="F4" i="2"/>
  <c r="F24" i="2"/>
  <c r="H24" i="2" s="1"/>
  <c r="I24" i="2" s="1"/>
  <c r="J24" i="2" s="1"/>
  <c r="K24" i="2" s="1"/>
  <c r="F23" i="2"/>
  <c r="H23" i="2" s="1"/>
  <c r="I23" i="2" s="1"/>
  <c r="J23" i="2" s="1"/>
  <c r="K23" i="2" s="1"/>
  <c r="F22" i="2"/>
  <c r="C22" i="2"/>
  <c r="C20" i="2"/>
  <c r="F16" i="2"/>
  <c r="H16" i="2" s="1"/>
  <c r="I16" i="2" s="1"/>
  <c r="J16" i="2" s="1"/>
  <c r="K16" i="2" s="1"/>
  <c r="L16" i="2" s="1"/>
  <c r="L60" i="2" s="1"/>
  <c r="F13" i="2"/>
  <c r="F11" i="2"/>
  <c r="F17" i="2" s="1"/>
  <c r="F14" i="2"/>
  <c r="T20" i="1"/>
  <c r="F32" i="2"/>
  <c r="F29" i="2"/>
  <c r="F20" i="2"/>
  <c r="T12" i="1"/>
  <c r="S20" i="1"/>
  <c r="R20" i="1"/>
  <c r="R9" i="1"/>
  <c r="P12" i="1"/>
  <c r="T36" i="1"/>
  <c r="S36" i="1"/>
  <c r="R36" i="1"/>
  <c r="T34" i="1"/>
  <c r="S34" i="1"/>
  <c r="R34" i="1"/>
  <c r="T33" i="1"/>
  <c r="S33" i="1"/>
  <c r="R33" i="1"/>
  <c r="T32" i="1"/>
  <c r="S32" i="1"/>
  <c r="R32" i="1"/>
  <c r="T18" i="1"/>
  <c r="S18" i="1"/>
  <c r="R18" i="1"/>
  <c r="S12" i="1"/>
  <c r="G26" i="2" l="1"/>
  <c r="G28" i="2" s="1"/>
  <c r="V21" i="1"/>
  <c r="V28" i="1"/>
  <c r="V53" i="1"/>
  <c r="R10" i="1"/>
  <c r="V54" i="1" s="1"/>
  <c r="R12" i="1"/>
  <c r="V31" i="1" s="1"/>
  <c r="F27" i="2"/>
  <c r="U27" i="1"/>
  <c r="U19" i="1"/>
  <c r="S14" i="1"/>
  <c r="S27" i="1" s="1"/>
  <c r="T14" i="1"/>
  <c r="F25" i="2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F19" i="2"/>
  <c r="F21" i="2" s="1"/>
  <c r="K60" i="2"/>
  <c r="C4" i="2"/>
  <c r="C46" i="2"/>
  <c r="B46" i="2"/>
  <c r="E50" i="2"/>
  <c r="E49" i="2"/>
  <c r="E48" i="2"/>
  <c r="E46" i="2"/>
  <c r="E45" i="2"/>
  <c r="E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E16" i="2"/>
  <c r="E11" i="2"/>
  <c r="E14" i="2"/>
  <c r="E13" i="2"/>
  <c r="D50" i="2"/>
  <c r="D49" i="2"/>
  <c r="D48" i="2"/>
  <c r="D46" i="2"/>
  <c r="D45" i="2"/>
  <c r="N12" i="1"/>
  <c r="N14" i="1" s="1"/>
  <c r="N18" i="1"/>
  <c r="N20" i="1"/>
  <c r="O12" i="1"/>
  <c r="O14" i="1" s="1"/>
  <c r="O18" i="1"/>
  <c r="O20" i="1"/>
  <c r="P14" i="1"/>
  <c r="P27" i="1" s="1"/>
  <c r="P18" i="1"/>
  <c r="P20" i="1"/>
  <c r="Q12" i="1"/>
  <c r="U31" i="1" s="1"/>
  <c r="Q18" i="1"/>
  <c r="Q20" i="1"/>
  <c r="M12" i="1"/>
  <c r="M14" i="1" s="1"/>
  <c r="M18" i="1"/>
  <c r="M20" i="1"/>
  <c r="L12" i="1"/>
  <c r="L14" i="1" s="1"/>
  <c r="L18" i="1"/>
  <c r="L20" i="1"/>
  <c r="K12" i="1"/>
  <c r="K14" i="1" s="1"/>
  <c r="K18" i="1"/>
  <c r="K20" i="1"/>
  <c r="J12" i="1"/>
  <c r="J14" i="1"/>
  <c r="J18" i="1"/>
  <c r="J20" i="1"/>
  <c r="I12" i="1"/>
  <c r="I14" i="1" s="1"/>
  <c r="I18" i="1"/>
  <c r="I20" i="1"/>
  <c r="H12" i="1"/>
  <c r="H18" i="1"/>
  <c r="H20" i="1"/>
  <c r="G12" i="1"/>
  <c r="G14" i="1" s="1"/>
  <c r="G18" i="1"/>
  <c r="G20" i="1"/>
  <c r="C12" i="1"/>
  <c r="C18" i="1"/>
  <c r="C20" i="1"/>
  <c r="D12" i="1"/>
  <c r="D14" i="1"/>
  <c r="D18" i="1"/>
  <c r="D20" i="1"/>
  <c r="E12" i="1"/>
  <c r="E14" i="1" s="1"/>
  <c r="E18" i="1"/>
  <c r="E20" i="1"/>
  <c r="F12" i="1"/>
  <c r="F14" i="1" s="1"/>
  <c r="F18" i="1"/>
  <c r="F20" i="1"/>
  <c r="B12" i="1"/>
  <c r="B14" i="1" s="1"/>
  <c r="B27" i="1" s="1"/>
  <c r="B18" i="1"/>
  <c r="B20" i="1"/>
  <c r="M45" i="1"/>
  <c r="M44" i="1"/>
  <c r="Q45" i="1"/>
  <c r="Q44" i="1"/>
  <c r="Q36" i="1"/>
  <c r="U54" i="1"/>
  <c r="M36" i="1"/>
  <c r="E20" i="2"/>
  <c r="E22" i="2"/>
  <c r="E23" i="2"/>
  <c r="E24" i="2"/>
  <c r="P36" i="1"/>
  <c r="P9" i="1"/>
  <c r="E29" i="2"/>
  <c r="I37" i="1"/>
  <c r="I36" i="1" s="1"/>
  <c r="E37" i="1"/>
  <c r="E36" i="1" s="1"/>
  <c r="K9" i="1"/>
  <c r="K10" i="1" s="1"/>
  <c r="J9" i="1"/>
  <c r="J10" i="1" s="1"/>
  <c r="D13" i="2"/>
  <c r="D14" i="2"/>
  <c r="D11" i="2"/>
  <c r="M9" i="1"/>
  <c r="M10" i="1" s="1"/>
  <c r="B13" i="2"/>
  <c r="B14" i="2"/>
  <c r="B11" i="2"/>
  <c r="E9" i="1"/>
  <c r="C13" i="2"/>
  <c r="C14" i="2"/>
  <c r="C11" i="2"/>
  <c r="I9" i="1"/>
  <c r="L9" i="1"/>
  <c r="L10" i="1" s="1"/>
  <c r="O9" i="1"/>
  <c r="O10" i="1" s="1"/>
  <c r="N9" i="1"/>
  <c r="N10" i="1" s="1"/>
  <c r="H9" i="1"/>
  <c r="H10" i="1" s="1"/>
  <c r="G9" i="1"/>
  <c r="G10" i="1" s="1"/>
  <c r="F9" i="1"/>
  <c r="F10" i="1" s="1"/>
  <c r="D9" i="1"/>
  <c r="D10" i="1" s="1"/>
  <c r="C9" i="1"/>
  <c r="C10" i="1" s="1"/>
  <c r="B9" i="1"/>
  <c r="B10" i="1" s="1"/>
  <c r="D20" i="2"/>
  <c r="Q34" i="1"/>
  <c r="Q33" i="1"/>
  <c r="Q32" i="1"/>
  <c r="N36" i="1"/>
  <c r="N34" i="1"/>
  <c r="N33" i="1"/>
  <c r="N32" i="1"/>
  <c r="O36" i="1"/>
  <c r="O34" i="1"/>
  <c r="O33" i="1"/>
  <c r="O32" i="1"/>
  <c r="P34" i="1"/>
  <c r="P33" i="1"/>
  <c r="P32" i="1"/>
  <c r="K37" i="1"/>
  <c r="K36" i="1" s="1"/>
  <c r="J37" i="1"/>
  <c r="J36" i="1" s="1"/>
  <c r="B37" i="1"/>
  <c r="B36" i="1" s="1"/>
  <c r="H32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G32" i="1"/>
  <c r="F34" i="1"/>
  <c r="F33" i="1"/>
  <c r="F32" i="1"/>
  <c r="D32" i="2"/>
  <c r="D22" i="2"/>
  <c r="D23" i="2"/>
  <c r="D24" i="2"/>
  <c r="D39" i="2"/>
  <c r="C23" i="2"/>
  <c r="C24" i="2"/>
  <c r="B23" i="2"/>
  <c r="B24" i="2"/>
  <c r="B22" i="2"/>
  <c r="C39" i="2" s="1"/>
  <c r="D29" i="2"/>
  <c r="C32" i="2"/>
  <c r="C37" i="1"/>
  <c r="D37" i="1"/>
  <c r="F37" i="1"/>
  <c r="F36" i="1" s="1"/>
  <c r="G37" i="1"/>
  <c r="G36" i="1" s="1"/>
  <c r="H37" i="1"/>
  <c r="H36" i="1" s="1"/>
  <c r="C29" i="2"/>
  <c r="B20" i="2"/>
  <c r="B29" i="2"/>
  <c r="B32" i="2"/>
  <c r="C36" i="1"/>
  <c r="D36" i="1"/>
  <c r="D27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6" i="1"/>
  <c r="E17" i="2" l="1"/>
  <c r="R9" i="2"/>
  <c r="S9" i="2" s="1"/>
  <c r="T9" i="2" s="1"/>
  <c r="U9" i="2" s="1"/>
  <c r="P10" i="1"/>
  <c r="T54" i="1" s="1"/>
  <c r="B45" i="2"/>
  <c r="B44" i="2" s="1"/>
  <c r="C16" i="2"/>
  <c r="C17" i="2" s="1"/>
  <c r="C19" i="2" s="1"/>
  <c r="I10" i="1"/>
  <c r="M54" i="1" s="1"/>
  <c r="B16" i="2"/>
  <c r="C60" i="2" s="1"/>
  <c r="E10" i="1"/>
  <c r="D53" i="2"/>
  <c r="R14" i="1"/>
  <c r="R19" i="1" s="1"/>
  <c r="R28" i="1" s="1"/>
  <c r="V23" i="1"/>
  <c r="V24" i="1" s="1"/>
  <c r="V29" i="1"/>
  <c r="C27" i="2"/>
  <c r="D27" i="2"/>
  <c r="P31" i="1"/>
  <c r="L53" i="1"/>
  <c r="F19" i="1"/>
  <c r="F21" i="1" s="1"/>
  <c r="N53" i="1"/>
  <c r="K31" i="1"/>
  <c r="G31" i="1"/>
  <c r="R53" i="1"/>
  <c r="Q14" i="1"/>
  <c r="Q19" i="1" s="1"/>
  <c r="Q28" i="1" s="1"/>
  <c r="P19" i="1"/>
  <c r="P28" i="1" s="1"/>
  <c r="J31" i="1"/>
  <c r="F27" i="1"/>
  <c r="D19" i="1"/>
  <c r="C14" i="1"/>
  <c r="C27" i="1" s="1"/>
  <c r="E44" i="2"/>
  <c r="B27" i="2"/>
  <c r="F31" i="1"/>
  <c r="O31" i="1"/>
  <c r="E25" i="2"/>
  <c r="P53" i="1"/>
  <c r="H54" i="1"/>
  <c r="J53" i="1"/>
  <c r="L19" i="1"/>
  <c r="L21" i="1" s="1"/>
  <c r="E39" i="2"/>
  <c r="C25" i="2"/>
  <c r="F39" i="2"/>
  <c r="F26" i="2"/>
  <c r="F28" i="2" s="1"/>
  <c r="F30" i="2" s="1"/>
  <c r="S19" i="1"/>
  <c r="S21" i="1" s="1"/>
  <c r="T31" i="1"/>
  <c r="U28" i="1"/>
  <c r="U21" i="1"/>
  <c r="D28" i="1"/>
  <c r="D21" i="1"/>
  <c r="N19" i="1"/>
  <c r="N28" i="1" s="1"/>
  <c r="N27" i="1"/>
  <c r="E27" i="1"/>
  <c r="E19" i="1"/>
  <c r="E21" i="1" s="1"/>
  <c r="E23" i="1" s="1"/>
  <c r="H31" i="1"/>
  <c r="F54" i="1"/>
  <c r="Q31" i="1"/>
  <c r="G54" i="1"/>
  <c r="T53" i="1"/>
  <c r="H53" i="1"/>
  <c r="I53" i="1"/>
  <c r="R31" i="1"/>
  <c r="J19" i="1"/>
  <c r="J21" i="1" s="1"/>
  <c r="J54" i="1"/>
  <c r="M31" i="1"/>
  <c r="F53" i="1"/>
  <c r="D25" i="2"/>
  <c r="O53" i="1"/>
  <c r="S53" i="1"/>
  <c r="C41" i="2"/>
  <c r="K53" i="1"/>
  <c r="K54" i="1"/>
  <c r="E27" i="2"/>
  <c r="C40" i="2"/>
  <c r="N31" i="1"/>
  <c r="S31" i="1"/>
  <c r="G53" i="1"/>
  <c r="L31" i="1"/>
  <c r="I31" i="1"/>
  <c r="H14" i="1"/>
  <c r="H19" i="1" s="1"/>
  <c r="H28" i="1" s="1"/>
  <c r="E53" i="2"/>
  <c r="E19" i="2"/>
  <c r="F38" i="2" s="1"/>
  <c r="E52" i="2"/>
  <c r="D44" i="2"/>
  <c r="D41" i="2"/>
  <c r="D40" i="2"/>
  <c r="B25" i="2"/>
  <c r="F60" i="2"/>
  <c r="R21" i="1"/>
  <c r="R29" i="1" s="1"/>
  <c r="T19" i="1"/>
  <c r="T21" i="1" s="1"/>
  <c r="T27" i="1"/>
  <c r="O19" i="1"/>
  <c r="O27" i="1"/>
  <c r="M27" i="1"/>
  <c r="M19" i="1"/>
  <c r="E29" i="1"/>
  <c r="G39" i="2"/>
  <c r="I27" i="1"/>
  <c r="I19" i="1"/>
  <c r="F41" i="2"/>
  <c r="C6" i="2"/>
  <c r="C7" i="2" s="1"/>
  <c r="F40" i="2"/>
  <c r="G60" i="2"/>
  <c r="Q54" i="1"/>
  <c r="K19" i="1"/>
  <c r="K27" i="1"/>
  <c r="G19" i="1"/>
  <c r="G27" i="1"/>
  <c r="L54" i="1"/>
  <c r="P54" i="1"/>
  <c r="D16" i="2"/>
  <c r="D17" i="2" s="1"/>
  <c r="D52" i="2"/>
  <c r="C45" i="2"/>
  <c r="C44" i="2" s="1"/>
  <c r="M53" i="1"/>
  <c r="J27" i="1"/>
  <c r="E40" i="2"/>
  <c r="L27" i="1"/>
  <c r="E41" i="2"/>
  <c r="Q53" i="1"/>
  <c r="B19" i="1"/>
  <c r="K61" i="2" l="1"/>
  <c r="B17" i="2"/>
  <c r="F56" i="2"/>
  <c r="F31" i="2"/>
  <c r="F57" i="2"/>
  <c r="F55" i="2"/>
  <c r="F58" i="2"/>
  <c r="B19" i="2"/>
  <c r="B21" i="2" s="1"/>
  <c r="R27" i="1"/>
  <c r="S28" i="1"/>
  <c r="D42" i="2"/>
  <c r="P21" i="1"/>
  <c r="P29" i="1" s="1"/>
  <c r="F28" i="1"/>
  <c r="L28" i="1"/>
  <c r="J28" i="1"/>
  <c r="Q21" i="1"/>
  <c r="C42" i="2"/>
  <c r="I54" i="1"/>
  <c r="E42" i="2"/>
  <c r="E28" i="1"/>
  <c r="Q27" i="1"/>
  <c r="C19" i="1"/>
  <c r="F42" i="2"/>
  <c r="R23" i="1"/>
  <c r="R24" i="1" s="1"/>
  <c r="F23" i="1"/>
  <c r="F24" i="1" s="1"/>
  <c r="F29" i="1"/>
  <c r="U23" i="1"/>
  <c r="U29" i="1"/>
  <c r="O54" i="1"/>
  <c r="S54" i="1"/>
  <c r="N21" i="1"/>
  <c r="N29" i="1" s="1"/>
  <c r="K19" i="2"/>
  <c r="P23" i="1"/>
  <c r="P24" i="1" s="1"/>
  <c r="H21" i="1"/>
  <c r="H23" i="1" s="1"/>
  <c r="E21" i="2"/>
  <c r="E26" i="2" s="1"/>
  <c r="H27" i="1"/>
  <c r="N54" i="1"/>
  <c r="R54" i="1"/>
  <c r="D23" i="1"/>
  <c r="D24" i="1" s="1"/>
  <c r="D29" i="1"/>
  <c r="C38" i="2"/>
  <c r="B26" i="2"/>
  <c r="B35" i="2" s="1"/>
  <c r="B34" i="2"/>
  <c r="C21" i="2"/>
  <c r="C26" i="2" s="1"/>
  <c r="T28" i="1"/>
  <c r="S23" i="1"/>
  <c r="S29" i="1"/>
  <c r="M28" i="1"/>
  <c r="M21" i="1"/>
  <c r="H60" i="2"/>
  <c r="G40" i="2"/>
  <c r="B28" i="1"/>
  <c r="B21" i="1"/>
  <c r="G41" i="2"/>
  <c r="E60" i="2"/>
  <c r="D60" i="2"/>
  <c r="D19" i="2"/>
  <c r="C61" i="2"/>
  <c r="G42" i="2"/>
  <c r="G21" i="1"/>
  <c r="G28" i="1"/>
  <c r="J23" i="1"/>
  <c r="J29" i="1"/>
  <c r="F61" i="2"/>
  <c r="H39" i="2"/>
  <c r="K28" i="1"/>
  <c r="K21" i="1"/>
  <c r="Q29" i="1"/>
  <c r="Q23" i="1"/>
  <c r="Q24" i="1" s="1"/>
  <c r="O28" i="1"/>
  <c r="O21" i="1"/>
  <c r="I28" i="1"/>
  <c r="I21" i="1"/>
  <c r="E24" i="1"/>
  <c r="L23" i="1"/>
  <c r="L29" i="1"/>
  <c r="L61" i="2" l="1"/>
  <c r="L19" i="2"/>
  <c r="S24" i="1"/>
  <c r="N23" i="1"/>
  <c r="S47" i="1"/>
  <c r="H29" i="1"/>
  <c r="C21" i="1"/>
  <c r="C28" i="1"/>
  <c r="E34" i="2"/>
  <c r="U24" i="1"/>
  <c r="E38" i="2"/>
  <c r="D21" i="2"/>
  <c r="D38" i="2"/>
  <c r="C34" i="2"/>
  <c r="T29" i="1"/>
  <c r="T23" i="1"/>
  <c r="U47" i="1" s="1"/>
  <c r="N24" i="1"/>
  <c r="G61" i="2"/>
  <c r="D61" i="2"/>
  <c r="E61" i="2"/>
  <c r="I29" i="1"/>
  <c r="I23" i="1"/>
  <c r="C28" i="2"/>
  <c r="C35" i="2"/>
  <c r="O29" i="1"/>
  <c r="O23" i="1"/>
  <c r="H41" i="2"/>
  <c r="J24" i="1"/>
  <c r="B23" i="1"/>
  <c r="B28" i="2"/>
  <c r="B29" i="1"/>
  <c r="E35" i="2"/>
  <c r="E28" i="2"/>
  <c r="H40" i="2"/>
  <c r="K29" i="1"/>
  <c r="K23" i="1"/>
  <c r="L24" i="1"/>
  <c r="I60" i="2"/>
  <c r="H25" i="2"/>
  <c r="H42" i="2" s="1"/>
  <c r="G29" i="1"/>
  <c r="G23" i="1"/>
  <c r="M29" i="1"/>
  <c r="M23" i="1"/>
  <c r="H24" i="1"/>
  <c r="I39" i="2"/>
  <c r="V47" i="1" l="1"/>
  <c r="K47" i="1"/>
  <c r="C29" i="1"/>
  <c r="C23" i="1"/>
  <c r="U51" i="1"/>
  <c r="U48" i="1"/>
  <c r="U50" i="1"/>
  <c r="U49" i="1"/>
  <c r="O24" i="1"/>
  <c r="R47" i="1"/>
  <c r="D34" i="2"/>
  <c r="D26" i="2"/>
  <c r="I25" i="2"/>
  <c r="I42" i="2" s="1"/>
  <c r="T24" i="1"/>
  <c r="T47" i="1"/>
  <c r="C30" i="2"/>
  <c r="C31" i="2" s="1"/>
  <c r="C36" i="2"/>
  <c r="I41" i="2"/>
  <c r="J25" i="2"/>
  <c r="I40" i="2"/>
  <c r="E30" i="2"/>
  <c r="E36" i="2"/>
  <c r="M24" i="1"/>
  <c r="P47" i="1"/>
  <c r="G24" i="1"/>
  <c r="I47" i="1"/>
  <c r="J47" i="1"/>
  <c r="G47" i="1"/>
  <c r="H47" i="1"/>
  <c r="I24" i="1"/>
  <c r="L47" i="1"/>
  <c r="E47" i="1"/>
  <c r="B24" i="1"/>
  <c r="J60" i="2"/>
  <c r="J39" i="2"/>
  <c r="B36" i="2"/>
  <c r="B30" i="2"/>
  <c r="B31" i="2" s="1"/>
  <c r="G38" i="2"/>
  <c r="H61" i="2"/>
  <c r="H19" i="2"/>
  <c r="M47" i="1"/>
  <c r="O47" i="1"/>
  <c r="F34" i="2"/>
  <c r="N47" i="1"/>
  <c r="K24" i="1"/>
  <c r="Q47" i="1"/>
  <c r="V50" i="1" l="1"/>
  <c r="V51" i="1"/>
  <c r="V48" i="1"/>
  <c r="V49" i="1"/>
  <c r="F47" i="1"/>
  <c r="C24" i="1"/>
  <c r="J42" i="2"/>
  <c r="D35" i="2"/>
  <c r="D28" i="2"/>
  <c r="H38" i="2"/>
  <c r="Q50" i="1"/>
  <c r="Q51" i="1"/>
  <c r="Q49" i="1"/>
  <c r="Q48" i="1"/>
  <c r="E58" i="2"/>
  <c r="E57" i="2"/>
  <c r="E56" i="2"/>
  <c r="E55" i="2"/>
  <c r="E31" i="2"/>
  <c r="F35" i="2"/>
  <c r="K39" i="2"/>
  <c r="J40" i="2"/>
  <c r="J41" i="2"/>
  <c r="M51" i="1"/>
  <c r="M50" i="1"/>
  <c r="M49" i="1"/>
  <c r="M48" i="1"/>
  <c r="I61" i="2"/>
  <c r="I19" i="2"/>
  <c r="D36" i="2" l="1"/>
  <c r="D30" i="2"/>
  <c r="L23" i="2"/>
  <c r="K40" i="2"/>
  <c r="L39" i="2"/>
  <c r="F36" i="2"/>
  <c r="L24" i="2"/>
  <c r="K41" i="2"/>
  <c r="K25" i="2"/>
  <c r="K42" i="2" s="1"/>
  <c r="I38" i="2"/>
  <c r="J61" i="2"/>
  <c r="J19" i="2"/>
  <c r="D58" i="2" l="1"/>
  <c r="D56" i="2"/>
  <c r="D55" i="2"/>
  <c r="D31" i="2"/>
  <c r="D57" i="2"/>
  <c r="M24" i="2"/>
  <c r="L41" i="2"/>
  <c r="M39" i="2"/>
  <c r="L25" i="2"/>
  <c r="L42" i="2" s="1"/>
  <c r="J38" i="2"/>
  <c r="M23" i="2"/>
  <c r="M25" i="2" s="1"/>
  <c r="L40" i="2"/>
  <c r="M42" i="2" l="1"/>
  <c r="N39" i="2"/>
  <c r="H27" i="2"/>
  <c r="N23" i="2"/>
  <c r="M40" i="2"/>
  <c r="N24" i="2"/>
  <c r="M41" i="2"/>
  <c r="K38" i="2"/>
  <c r="N40" i="2" l="1"/>
  <c r="O23" i="2"/>
  <c r="O39" i="2"/>
  <c r="O24" i="2"/>
  <c r="N41" i="2"/>
  <c r="N25" i="2"/>
  <c r="N42" i="2" s="1"/>
  <c r="L38" i="2"/>
  <c r="M19" i="2"/>
  <c r="O41" i="2" l="1"/>
  <c r="P24" i="2"/>
  <c r="P39" i="2"/>
  <c r="P23" i="2"/>
  <c r="P25" i="2" s="1"/>
  <c r="O40" i="2"/>
  <c r="O25" i="2"/>
  <c r="O42" i="2" s="1"/>
  <c r="N19" i="2"/>
  <c r="M38" i="2"/>
  <c r="R39" i="2" l="1"/>
  <c r="P42" i="2"/>
  <c r="Q39" i="2"/>
  <c r="P41" i="2"/>
  <c r="Q24" i="2"/>
  <c r="Q23" i="2"/>
  <c r="P40" i="2"/>
  <c r="N38" i="2"/>
  <c r="O19" i="2"/>
  <c r="Q40" i="2" l="1"/>
  <c r="R23" i="2"/>
  <c r="Q41" i="2"/>
  <c r="R24" i="2"/>
  <c r="S39" i="2"/>
  <c r="O38" i="2"/>
  <c r="P19" i="2"/>
  <c r="Q25" i="2"/>
  <c r="Q42" i="2" s="1"/>
  <c r="S23" i="2" l="1"/>
  <c r="R40" i="2"/>
  <c r="R25" i="2"/>
  <c r="R42" i="2" s="1"/>
  <c r="R41" i="2"/>
  <c r="S24" i="2"/>
  <c r="T39" i="2"/>
  <c r="P38" i="2"/>
  <c r="Q19" i="2"/>
  <c r="R19" i="2" s="1"/>
  <c r="R38" i="2" l="1"/>
  <c r="S19" i="2"/>
  <c r="S41" i="2"/>
  <c r="T24" i="2"/>
  <c r="S40" i="2"/>
  <c r="T23" i="2"/>
  <c r="S25" i="2"/>
  <c r="S42" i="2" s="1"/>
  <c r="U39" i="2"/>
  <c r="Q38" i="2"/>
  <c r="U23" i="2" l="1"/>
  <c r="T40" i="2"/>
  <c r="T25" i="2"/>
  <c r="T42" i="2" s="1"/>
  <c r="U24" i="2"/>
  <c r="U41" i="2" s="1"/>
  <c r="T41" i="2"/>
  <c r="T19" i="2"/>
  <c r="S38" i="2"/>
  <c r="U19" i="2" l="1"/>
  <c r="V19" i="2" s="1"/>
  <c r="T38" i="2"/>
  <c r="U40" i="2"/>
  <c r="U25" i="2"/>
  <c r="U42" i="2" s="1"/>
  <c r="V38" i="2" l="1"/>
  <c r="U38" i="2"/>
  <c r="G35" i="2" l="1"/>
  <c r="G34" i="2"/>
  <c r="H21" i="2" s="1"/>
  <c r="H20" i="2" l="1"/>
  <c r="H26" i="2"/>
  <c r="H34" i="2"/>
  <c r="I21" i="2" s="1"/>
  <c r="G36" i="2"/>
  <c r="G30" i="2" l="1"/>
  <c r="I34" i="2"/>
  <c r="J21" i="2" s="1"/>
  <c r="I20" i="2"/>
  <c r="I26" i="2"/>
  <c r="H35" i="2"/>
  <c r="H28" i="2"/>
  <c r="G56" i="2" l="1"/>
  <c r="G31" i="2"/>
  <c r="G57" i="2"/>
  <c r="G55" i="2"/>
  <c r="G58" i="2"/>
  <c r="I35" i="2"/>
  <c r="H29" i="2"/>
  <c r="H36" i="2" s="1"/>
  <c r="H30" i="2"/>
  <c r="H31" i="2" s="1"/>
  <c r="J26" i="2"/>
  <c r="J34" i="2"/>
  <c r="K21" i="2" s="1"/>
  <c r="J20" i="2"/>
  <c r="I27" i="2" l="1"/>
  <c r="I28" i="2" s="1"/>
  <c r="H44" i="2"/>
  <c r="K20" i="2"/>
  <c r="K34" i="2"/>
  <c r="L21" i="2" s="1"/>
  <c r="K26" i="2"/>
  <c r="J35" i="2"/>
  <c r="K35" i="2" l="1"/>
  <c r="L34" i="2"/>
  <c r="M21" i="2" s="1"/>
  <c r="L26" i="2"/>
  <c r="L20" i="2"/>
  <c r="J27" i="2"/>
  <c r="J28" i="2" s="1"/>
  <c r="I29" i="2"/>
  <c r="I36" i="2" s="1"/>
  <c r="I30" i="2" l="1"/>
  <c r="I44" i="2" s="1"/>
  <c r="K27" i="2"/>
  <c r="K28" i="2" s="1"/>
  <c r="I31" i="2"/>
  <c r="L35" i="2"/>
  <c r="J29" i="2"/>
  <c r="J36" i="2" s="1"/>
  <c r="M34" i="2"/>
  <c r="N21" i="2" s="1"/>
  <c r="M20" i="2"/>
  <c r="M26" i="2"/>
  <c r="M35" i="2" l="1"/>
  <c r="N26" i="2"/>
  <c r="N20" i="2"/>
  <c r="N34" i="2"/>
  <c r="O21" i="2" s="1"/>
  <c r="J30" i="2"/>
  <c r="K29" i="2"/>
  <c r="K36" i="2" s="1"/>
  <c r="J31" i="2" l="1"/>
  <c r="J44" i="2"/>
  <c r="K30" i="2"/>
  <c r="K31" i="2" s="1"/>
  <c r="O20" i="2"/>
  <c r="O34" i="2"/>
  <c r="P21" i="2" s="1"/>
  <c r="O26" i="2"/>
  <c r="N35" i="2"/>
  <c r="O35" i="2" l="1"/>
  <c r="P26" i="2"/>
  <c r="P20" i="2"/>
  <c r="P34" i="2"/>
  <c r="Q21" i="2" s="1"/>
  <c r="K44" i="2"/>
  <c r="L27" i="2"/>
  <c r="L28" i="2" s="1"/>
  <c r="Q34" i="2" l="1"/>
  <c r="R21" i="2" s="1"/>
  <c r="Q26" i="2"/>
  <c r="Q20" i="2"/>
  <c r="L29" i="2"/>
  <c r="L36" i="2" s="1"/>
  <c r="M27" i="2"/>
  <c r="M28" i="2" s="1"/>
  <c r="P35" i="2"/>
  <c r="M29" i="2" l="1"/>
  <c r="M36" i="2" s="1"/>
  <c r="L30" i="2"/>
  <c r="Q35" i="2"/>
  <c r="R20" i="2"/>
  <c r="R26" i="2"/>
  <c r="R34" i="2"/>
  <c r="S21" i="2" s="1"/>
  <c r="S20" i="2" l="1"/>
  <c r="S26" i="2"/>
  <c r="S34" i="2"/>
  <c r="T21" i="2" s="1"/>
  <c r="R35" i="2"/>
  <c r="L31" i="2"/>
  <c r="L44" i="2"/>
  <c r="M30" i="2"/>
  <c r="M31" i="2" s="1"/>
  <c r="N27" i="2" l="1"/>
  <c r="N28" i="2" s="1"/>
  <c r="M44" i="2"/>
  <c r="T20" i="2"/>
  <c r="T34" i="2"/>
  <c r="U21" i="2" s="1"/>
  <c r="T26" i="2"/>
  <c r="S35" i="2"/>
  <c r="O27" i="2" l="1"/>
  <c r="O28" i="2" s="1"/>
  <c r="T35" i="2"/>
  <c r="U26" i="2"/>
  <c r="U34" i="2"/>
  <c r="V21" i="2" s="1"/>
  <c r="U20" i="2"/>
  <c r="N29" i="2"/>
  <c r="N36" i="2" s="1"/>
  <c r="V26" i="2" l="1"/>
  <c r="V34" i="2"/>
  <c r="V20" i="2"/>
  <c r="U35" i="2"/>
  <c r="N30" i="2"/>
  <c r="O29" i="2"/>
  <c r="O36" i="2" s="1"/>
  <c r="V35" i="2" l="1"/>
  <c r="O30" i="2"/>
  <c r="O31" i="2" s="1"/>
  <c r="N31" i="2"/>
  <c r="N44" i="2"/>
  <c r="P27" i="2" l="1"/>
  <c r="P28" i="2" s="1"/>
  <c r="O44" i="2"/>
  <c r="Q27" i="2" l="1"/>
  <c r="Q28" i="2" s="1"/>
  <c r="P29" i="2"/>
  <c r="P36" i="2" s="1"/>
  <c r="P30" i="2" l="1"/>
  <c r="P31" i="2" s="1"/>
  <c r="P44" i="2"/>
  <c r="Q29" i="2"/>
  <c r="Q36" i="2" s="1"/>
  <c r="Q30" i="2" l="1"/>
  <c r="Q31" i="2" s="1"/>
  <c r="Q44" i="2"/>
  <c r="R27" i="2"/>
  <c r="R28" i="2" s="1"/>
  <c r="R29" i="2" l="1"/>
  <c r="R36" i="2" s="1"/>
  <c r="R30" i="2"/>
  <c r="R31" i="2" s="1"/>
  <c r="S27" i="2"/>
  <c r="S28" i="2" s="1"/>
  <c r="R44" i="2" l="1"/>
  <c r="T27" i="2"/>
  <c r="T28" i="2" s="1"/>
  <c r="S29" i="2"/>
  <c r="S36" i="2" s="1"/>
  <c r="S30" i="2" l="1"/>
  <c r="S31" i="2" s="1"/>
  <c r="S44" i="2"/>
  <c r="T29" i="2"/>
  <c r="T36" i="2" s="1"/>
  <c r="T30" i="2" l="1"/>
  <c r="T31" i="2" s="1"/>
  <c r="U27" i="2"/>
  <c r="U28" i="2" s="1"/>
  <c r="T44" i="2"/>
  <c r="V27" i="2" s="1"/>
  <c r="V28" i="2" s="1"/>
  <c r="V29" i="2" l="1"/>
  <c r="V36" i="2" s="1"/>
  <c r="V30" i="2"/>
  <c r="V31" i="2" s="1"/>
  <c r="U29" i="2"/>
  <c r="U36" i="2" s="1"/>
  <c r="U30" i="2"/>
  <c r="W30" i="2" l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U31" i="2"/>
  <c r="U44" i="2"/>
  <c r="V44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<sst xmlns="http://schemas.openxmlformats.org/spreadsheetml/2006/main" count="155" uniqueCount="109">
  <si>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</si>
  <si>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</si>
  <si>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</si>
  <si>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</si>
  <si>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</si>
  <si>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</si>
  <si>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</si>
  <si>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</si>
  <si>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</si>
  <si>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</si>
  <si>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</si>
  <si>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</si>
  <si>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</si>
  <si>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</si>
  <si>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</si>
  <si>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</si>
  <si>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</si>
  <si>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</si>
  <si>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</si>
  <si>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</si>
  <si>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</si>
  <si>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</si>
  <si>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</si>
  <si>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</si>
  <si>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</si>
  <si>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</si>
  <si>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</si>
  <si>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</si>
  <si>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</si>
  <si>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</si>
  <si>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</si>
  <si>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</si>
  <si>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</si>
  <si>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</si>
  <si>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</si>
  <si>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</si>
  <si>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</si>
  <si>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</si>
  <si>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</si>
  <si>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</si>
  <si>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</si>
  <si>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</si>
  <si>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</si>
  <si>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</si>
  <si>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</si>
  <si>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</si>
  <si>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</si>
  <si>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</si>
  <si>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</si>
  <si>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</si>
  <si>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</si>
  <si>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</si>
  <si>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</si>
  <si>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</si>
  <si>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</si>
  <si>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</si>
  <si>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</si>
  <si>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</si>
  <si>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Domestic streaming</t>
  </si>
  <si>
    <t>International streaming</t>
  </si>
  <si>
    <t>Domestic DVD</t>
  </si>
  <si>
    <t>R&amp;D y/y</t>
  </si>
  <si>
    <t>S&amp;M y/y</t>
  </si>
  <si>
    <t>G&amp;A y/y</t>
  </si>
  <si>
    <t>Price</t>
  </si>
  <si>
    <t>Market Cap</t>
  </si>
  <si>
    <t>EV</t>
  </si>
  <si>
    <t>per share</t>
  </si>
  <si>
    <t>Netflix Inc (NFLX)</t>
  </si>
  <si>
    <t>EDGAR</t>
  </si>
  <si>
    <t>CEO</t>
  </si>
  <si>
    <t>Founder</t>
  </si>
  <si>
    <t>Reed Hastings</t>
  </si>
  <si>
    <t>Marc Randolph</t>
  </si>
  <si>
    <t>G&amp;M y/y</t>
  </si>
  <si>
    <t>Subscriptions</t>
  </si>
  <si>
    <t>Subscriptions y/y</t>
  </si>
  <si>
    <t>ARPU</t>
  </si>
  <si>
    <t>ARPU y/y</t>
  </si>
  <si>
    <t>Investor Relations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</si>
  <si>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</si>
  <si>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</si>
  <si>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</si>
  <si>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</si>
  <si>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</si>
  <si>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</si>
  <si>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</si>
  <si>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</si>
  <si>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</si>
  <si>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</si>
  <si>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</si>
  <si>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</si>
  <si>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</si>
  <si>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</si>
  <si>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</si>
  <si>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</si>
  <si>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</si>
  <si>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</si>
  <si>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</si>
  <si>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</si>
  <si>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</si>
  <si>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</si>
  <si>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</si>
  <si>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</si>
  <si>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Streaming</t>
  </si>
  <si>
    <t>Q220</t>
  </si>
  <si>
    <t>Q320</t>
  </si>
  <si>
    <t>Q420</t>
  </si>
  <si>
    <t>Q121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</si>
</sst>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3" fontId="0" fillId="0" borderId="0" xfId="0"/>
    <xf numFmtId="0" fontId="5" fillId="0" borderId="0" xfId="4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Font="1" applyBorder="1"/>
    <xf numFmtId="3" fontId="6" fillId="0" borderId="0" xfId="0" applyFont="1" applyBorder="1"/>
    <xf numFmtId="3" fontId="6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Font="1" applyBorder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3" fontId="7" fillId="0" borderId="0" xfId="0" applyFont="1"/>
    <xf numFmtId="3" fontId="6" fillId="0" borderId="0" xfId="0" applyFont="1"/>
    <xf numFmtId="4" fontId="6" fillId="0" borderId="0" xfId="0" applyNumberFormat="1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164" fontId="7" fillId="2" borderId="0" xfId="0" applyNumberFormat="1" applyFont="1" applyFill="1"/>
    <xf numFmtId="4" fontId="6" fillId="2" borderId="0" xfId="0" applyNumberFormat="1" applyFont="1" applyFill="1" applyBorder="1"/>
    <xf numFmtId="3" fontId="8" fillId="0" borderId="0" xfId="0" applyFont="1" applyBorder="1"/>
    <xf numFmtId="2" fontId="6" fillId="0" borderId="0" xfId="0" applyNumberFormat="1" applyFont="1" applyFill="1"/>
    <xf numFmtId="3" fontId="6" fillId="0" borderId="0" xfId="0" applyFont="1" applyFill="1"/>
    <xf numFmtId="3" fontId="6" fillId="0" borderId="0" xfId="0" applyNumberFormat="1" applyFont="1"/>
    <xf numFmtId="1" fontId="6" fillId="2" borderId="0" xfId="0" applyNumberFormat="1" applyFont="1" applyFill="1"/>
    <xf numFmtId="3" fontId="7" fillId="2" borderId="0" xfId="0" applyNumberFormat="1" applyFont="1" applyFill="1" applyBorder="1"/>
    <xf numFmtId="3" fontId="7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7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9" fontId="6" fillId="0" borderId="0" xfId="1" applyFont="1"/>
    <xf numFmtId="9" fontId="6" fillId="0" borderId="0" xfId="0" applyNumberFormat="1" applyFont="1"/>
    <xf numFmtId="3" fontId="7" fillId="0" borderId="0" xfId="0" applyFont="1" applyBorder="1" applyAlignment="1">
      <alignment horizontal="right"/>
    </xf>
    <xf numFmtId="3" fontId="7" fillId="0" borderId="0" xfId="0" applyNumberFormat="1" applyFont="1" applyFill="1" applyBorder="1"/>
    <xf numFmtId="3" fontId="8" fillId="0" borderId="0" xfId="0" applyNumberFormat="1" applyFont="1" applyBorder="1" applyAlignment="1">
      <alignment horizontal="right"/>
    </xf>
    <xf numFmtId="9" fontId="8" fillId="0" borderId="0" xfId="1" applyFont="1" applyBorder="1"/>
    <xf numFmtId="3" fontId="6" fillId="0" borderId="0" xfId="0" applyFont="1" applyAlignment="1">
      <alignment horizontal="left"/>
    </xf>
    <xf numFmtId="3" fontId="8" fillId="0" borderId="0" xfId="0" applyFont="1" applyBorder="1" applyAlignment="1">
      <alignment horizontal="right"/>
    </xf>
    <xf numFmtId="3" fontId="8" fillId="0" borderId="1" xfId="0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8" fillId="0" borderId="1" xfId="0" applyFont="1" applyBorder="1"/>
    <xf numFmtId="0" fontId="0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5" fillId="0" borderId="0" xfId="4" applyNumberFormat="1" applyFont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/>
    <xf numFmtId="3" fontId="0" fillId="0" borderId="0" xfId="0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5" fillId="0" borderId="0" xfId="4" applyFont="1" applyAlignment="1">
      <alignment horizontal="left"/>
    </xf>
    <xf numFmtId="3" fontId="7" fillId="0" borderId="0" xfId="0" applyFont="1" applyAlignment="1">
      <alignment horizontal="left"/>
    </xf>
    <xf numFmtId="3" fontId="6" fillId="0" borderId="0" xfId="0" applyFont="1" applyBorder="1" applyAlignment="1">
      <alignment horizontal="left"/>
    </xf>
    <xf numFmtId="3" fontId="6" fillId="0" borderId="0" xfId="0" applyFont="1" applyFill="1" applyBorder="1" applyAlignment="1">
      <alignment horizontal="left"/>
    </xf>
    <xf numFmtId="3" fontId="8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182685</xdr:colOff>
      <xdr:row>7</xdr:row>
      <xdr:rowOff>139700</xdr:rowOff>
    </xdr:from>
    <xdr:to>
      <xdr:col>7</xdr:col>
      <xdr:colOff>182685</xdr:colOff>
      <xdr:row>62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32685" y="1302238"/>
          <a:ext cx="0" cy="8828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237393</xdr:colOff>
      <xdr:row>1</xdr:row>
      <xdr:rowOff>25400</xdr:rowOff>
    </xdr:from>
    <xdr:to>
      <xdr:col>25</xdr:col>
      <xdr:colOff>237393</xdr:colOff>
      <xdr:row>55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944624" y="191477"/>
          <a:ext cx="0" cy="8955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Randolph" TargetMode="External"/><Relationship Id="rId2" Type="http://schemas.openxmlformats.org/officeDocument/2006/relationships/hyperlink" Target="https://en.wikipedia.org/wiki/Reed_Hastings" TargetMode="External"/><Relationship Id="rId1" Type="http://schemas.openxmlformats.org/officeDocument/2006/relationships/hyperlink" Target="https://en.wikipedia.org/wiki/Reed_Hasting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ir.netfli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netfli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1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34" sqref="J34"/>
    </sheetView>
  </sheetViews>
  <sheetFormatPr baseColWidth="10" defaultRowHeight="13" x14ac:dyDescent="0.15"/>
  <cols>
    <col min="1" max="1" width="18" style="53" customWidth="1"/>
    <col min="2" max="16384" width="10.83203125" style="26"/>
  </cols>
  <sheetData>
    <row r="1" spans="1:22" x14ac:dyDescent="0.15">
      <c r="A1" s="70" t="s">
        <v>79</v>
      </c>
      <c r="B1" s="25" t="s">
        <v>68</v>
      </c>
    </row>
    <row r="2" spans="1:22" x14ac:dyDescent="0.15">
      <c r="B2" s="26" t="s">
        <v>64</v>
      </c>
      <c r="C2" s="27">
        <v>558.64</v>
      </c>
      <c r="D2" s="59">
        <v>43855</v>
      </c>
      <c r="E2" s="7" t="s">
        <v>37</v>
      </c>
      <c r="F2" s="28">
        <v>-5.0000000000000001E-3</v>
      </c>
      <c r="I2" s="38"/>
    </row>
    <row r="3" spans="1:22" x14ac:dyDescent="0.15">
      <c r="A3" s="71" t="s">
        <v>70</v>
      </c>
      <c r="B3" s="26" t="s">
        <v>17</v>
      </c>
      <c r="C3" s="29">
        <f>Reports!Y25</f>
        <v>455.28300000000002</v>
      </c>
      <c r="D3" s="26" t="s">
        <v>107</v>
      </c>
      <c r="E3" s="7" t="s">
        <v>38</v>
      </c>
      <c r="F3" s="28">
        <v>0.01</v>
      </c>
      <c r="G3" s="30" t="s">
        <v>99</v>
      </c>
      <c r="I3" s="38"/>
    </row>
    <row r="4" spans="1:22" x14ac:dyDescent="0.15">
      <c r="A4" s="70" t="s">
        <v>72</v>
      </c>
      <c r="B4" s="26" t="s">
        <v>65</v>
      </c>
      <c r="C4" s="31">
        <f>C2*C3</f>
        <v>254339.29512</v>
      </c>
      <c r="E4" s="7" t="s">
        <v>39</v>
      </c>
      <c r="F4" s="28">
        <f>6%</f>
        <v>0.06</v>
      </c>
      <c r="G4" s="30" t="s">
        <v>100</v>
      </c>
      <c r="I4" s="48"/>
      <c r="L4" s="1" t="s">
        <v>101</v>
      </c>
    </row>
    <row r="5" spans="1:22" x14ac:dyDescent="0.15">
      <c r="B5" s="26" t="s">
        <v>33</v>
      </c>
      <c r="C5" s="29">
        <f>Reports!Y36</f>
        <v>-8103.4500000000007</v>
      </c>
      <c r="D5" s="26" t="s">
        <v>107</v>
      </c>
      <c r="E5" s="7" t="s">
        <v>40</v>
      </c>
      <c r="F5" s="32">
        <f>NPV(F4,H30:DR30)</f>
        <v>532287.16076915048</v>
      </c>
      <c r="G5" s="30" t="s">
        <v>102</v>
      </c>
      <c r="I5" s="48"/>
    </row>
    <row r="6" spans="1:22" x14ac:dyDescent="0.15">
      <c r="A6" s="71" t="s">
        <v>71</v>
      </c>
      <c r="B6" s="26" t="s">
        <v>66</v>
      </c>
      <c r="C6" s="31">
        <f>C4-C5</f>
        <v>262442.74511999998</v>
      </c>
      <c r="E6" s="11" t="s">
        <v>41</v>
      </c>
      <c r="F6" s="33">
        <f>F5+C5</f>
        <v>524183.71076915046</v>
      </c>
      <c r="I6" s="48"/>
    </row>
    <row r="7" spans="1:22" x14ac:dyDescent="0.15">
      <c r="A7" s="70" t="s">
        <v>72</v>
      </c>
      <c r="B7" s="30" t="s">
        <v>67</v>
      </c>
      <c r="C7" s="34">
        <f>C6/C3</f>
        <v>576.43870981345663</v>
      </c>
      <c r="E7" s="35" t="s">
        <v>67</v>
      </c>
      <c r="F7" s="34">
        <f>F6/C3</f>
        <v>1151.3360058889755</v>
      </c>
      <c r="G7" s="48">
        <f>F7/C2-1</f>
        <v>1.0609623476460253</v>
      </c>
    </row>
    <row r="8" spans="1:22" x14ac:dyDescent="0.15">
      <c r="A8" s="70" t="s">
        <v>73</v>
      </c>
      <c r="B8" s="8"/>
      <c r="C8" s="36"/>
      <c r="D8" s="37"/>
    </row>
    <row r="9" spans="1:22" s="58" customFormat="1" x14ac:dyDescent="0.15">
      <c r="B9" s="58">
        <v>2015</v>
      </c>
      <c r="C9" s="58">
        <v>2016</v>
      </c>
      <c r="D9" s="58">
        <v>2017</v>
      </c>
      <c r="E9" s="58">
        <f>D9+1</f>
        <v>2018</v>
      </c>
      <c r="F9" s="58">
        <f t="shared" ref="F9:V9" si="0">E9+1</f>
        <v>2019</v>
      </c>
      <c r="G9" s="58">
        <f t="shared" si="0"/>
        <v>2020</v>
      </c>
      <c r="H9" s="58">
        <f t="shared" si="0"/>
        <v>2021</v>
      </c>
      <c r="I9" s="58">
        <f t="shared" si="0"/>
        <v>2022</v>
      </c>
      <c r="J9" s="58">
        <f t="shared" si="0"/>
        <v>2023</v>
      </c>
      <c r="K9" s="58">
        <f t="shared" si="0"/>
        <v>2024</v>
      </c>
      <c r="L9" s="58">
        <f t="shared" si="0"/>
        <v>2025</v>
      </c>
      <c r="M9" s="58">
        <f t="shared" si="0"/>
        <v>2026</v>
      </c>
      <c r="N9" s="58">
        <f t="shared" si="0"/>
        <v>2027</v>
      </c>
      <c r="O9" s="58">
        <f t="shared" si="0"/>
        <v>2028</v>
      </c>
      <c r="P9" s="58">
        <f t="shared" si="0"/>
        <v>2029</v>
      </c>
      <c r="Q9" s="58">
        <f t="shared" si="0"/>
        <v>2030</v>
      </c>
      <c r="R9" s="58">
        <f t="shared" si="0"/>
        <v>2031</v>
      </c>
      <c r="S9" s="58">
        <f t="shared" si="0"/>
        <v>2032</v>
      </c>
      <c r="T9" s="58">
        <f t="shared" si="0"/>
        <v>2033</v>
      </c>
      <c r="U9" s="58">
        <f>T9+1</f>
        <v>2034</v>
      </c>
      <c r="V9" s="58">
        <f>U9+1</f>
        <v>2035</v>
      </c>
    </row>
    <row r="10" spans="1:22" s="68" customFormat="1" x14ac:dyDescent="0.15">
      <c r="A10" s="58" t="s">
        <v>104</v>
      </c>
      <c r="G10" s="69">
        <f>SUM(Reports!V3:Y3)</f>
        <v>24810.881000000001</v>
      </c>
    </row>
    <row r="11" spans="1:22" x14ac:dyDescent="0.15">
      <c r="A11" s="72" t="s">
        <v>60</v>
      </c>
      <c r="B11" s="29">
        <f>SUM(Reports!B4:E4)</f>
        <v>645.6</v>
      </c>
      <c r="C11" s="29">
        <f>SUM(Reports!F4:I4)</f>
        <v>542.1</v>
      </c>
      <c r="D11" s="38">
        <f>SUM(Reports!J4:M4)</f>
        <v>450.35199999999998</v>
      </c>
      <c r="E11" s="38">
        <f>SUM(Reports!N4:Q4)</f>
        <v>365.589</v>
      </c>
      <c r="F11" s="38">
        <f>SUM(Reports!R4:U4)</f>
        <v>297.452</v>
      </c>
      <c r="G11" s="26">
        <f>SUM(Reports!V4:Y4)</f>
        <v>184.733</v>
      </c>
    </row>
    <row r="12" spans="1:22" s="58" customFormat="1" x14ac:dyDescent="0.15"/>
    <row r="13" spans="1:22" x14ac:dyDescent="0.15">
      <c r="A13" s="72" t="s">
        <v>58</v>
      </c>
      <c r="B13" s="29">
        <f>SUM(Reports!B6:E6)</f>
        <v>4180.2000000000007</v>
      </c>
      <c r="C13" s="29">
        <f>SUM(Reports!F6:I6)</f>
        <v>5077.1000000000004</v>
      </c>
      <c r="D13" s="38">
        <f>SUM(Reports!J6:M6)</f>
        <v>6152.6</v>
      </c>
      <c r="E13" s="38">
        <f>SUM(Reports!N6:Q6)</f>
        <v>7646.6470000000008</v>
      </c>
      <c r="F13" s="38">
        <f>SUM(Reports!R6:U6)</f>
        <v>9243.6630000000005</v>
      </c>
    </row>
    <row r="14" spans="1:22" x14ac:dyDescent="0.15">
      <c r="A14" s="72" t="s">
        <v>59</v>
      </c>
      <c r="B14" s="29">
        <f>SUM(Reports!B7:E7)</f>
        <v>1953.1999999999998</v>
      </c>
      <c r="C14" s="29">
        <f>SUM(Reports!F7:I7)</f>
        <v>3210.9</v>
      </c>
      <c r="D14" s="38">
        <f>SUM(Reports!J7:M7)</f>
        <v>5088.8</v>
      </c>
      <c r="E14" s="38">
        <f>SUM(Reports!N7:Q7)</f>
        <v>7782.1049999999996</v>
      </c>
      <c r="F14" s="38">
        <f>SUM(Reports!R7:U7)</f>
        <v>10616.319</v>
      </c>
    </row>
    <row r="15" spans="1:22" x14ac:dyDescent="0.15">
      <c r="A15" s="72"/>
      <c r="B15" s="29"/>
      <c r="C15" s="29"/>
      <c r="D15" s="38"/>
    </row>
    <row r="16" spans="1:22" x14ac:dyDescent="0.15">
      <c r="A16" s="73" t="s">
        <v>75</v>
      </c>
      <c r="B16" s="38">
        <f>Reports!E9</f>
        <v>80</v>
      </c>
      <c r="C16" s="38">
        <f>Reports!I9</f>
        <v>97</v>
      </c>
      <c r="D16" s="38">
        <f>Reports!M9</f>
        <v>121</v>
      </c>
      <c r="E16" s="38">
        <f>Reports!Q9</f>
        <v>139</v>
      </c>
      <c r="F16" s="38">
        <f>Reports!U9</f>
        <v>167</v>
      </c>
      <c r="G16" s="38">
        <f>Reports!Y9</f>
        <v>203.66</v>
      </c>
      <c r="H16" s="38">
        <f t="shared" ref="H16:L16" si="1">G16*1.2</f>
        <v>244.392</v>
      </c>
      <c r="I16" s="38">
        <f t="shared" si="1"/>
        <v>293.2704</v>
      </c>
      <c r="J16" s="38">
        <f t="shared" si="1"/>
        <v>351.92447999999996</v>
      </c>
      <c r="K16" s="38">
        <f t="shared" si="1"/>
        <v>422.30937599999993</v>
      </c>
      <c r="L16" s="38">
        <f t="shared" si="1"/>
        <v>506.77125119999988</v>
      </c>
    </row>
    <row r="17" spans="1:122" x14ac:dyDescent="0.15">
      <c r="A17" s="73" t="s">
        <v>77</v>
      </c>
      <c r="B17" s="39">
        <f>SUM(B10:B14)/B16</f>
        <v>84.737500000000011</v>
      </c>
      <c r="C17" s="39">
        <f>SUM(C10:C14)/C16</f>
        <v>91.031958762886603</v>
      </c>
      <c r="D17" s="39">
        <f>SUM(D10:D14)/D16</f>
        <v>96.626049586776858</v>
      </c>
      <c r="E17" s="39">
        <f>SUM(E10:E14)/E16</f>
        <v>113.62835251798562</v>
      </c>
      <c r="F17" s="39">
        <f>SUM(F10:F14)/F16</f>
        <v>120.70319760479043</v>
      </c>
      <c r="G17" s="39">
        <f>SUM(G10:G14)/G16</f>
        <v>122.73207306294806</v>
      </c>
      <c r="H17" s="38">
        <f>G17*1.02</f>
        <v>125.18671452420702</v>
      </c>
      <c r="I17" s="38">
        <f t="shared" ref="I17:L17" si="2">H17*1.02</f>
        <v>127.69044881469117</v>
      </c>
      <c r="J17" s="38">
        <f t="shared" si="2"/>
        <v>130.24425779098499</v>
      </c>
      <c r="K17" s="38">
        <f t="shared" si="2"/>
        <v>132.8491429468047</v>
      </c>
      <c r="L17" s="38">
        <f t="shared" si="2"/>
        <v>135.50612580574079</v>
      </c>
    </row>
    <row r="19" spans="1:122" x14ac:dyDescent="0.15">
      <c r="A19" s="71" t="s">
        <v>4</v>
      </c>
      <c r="B19" s="40">
        <f>B17*B16</f>
        <v>6779.0000000000009</v>
      </c>
      <c r="C19" s="40">
        <f>C17*C16</f>
        <v>8830.1</v>
      </c>
      <c r="D19" s="40">
        <f>D17*D16</f>
        <v>11691.752</v>
      </c>
      <c r="E19" s="40">
        <f>E17*E16</f>
        <v>15794.341</v>
      </c>
      <c r="F19" s="40">
        <f>F17*F16</f>
        <v>20157.434000000001</v>
      </c>
      <c r="G19" s="40">
        <f>G17*G16</f>
        <v>24995.614000000001</v>
      </c>
      <c r="H19" s="41">
        <f t="shared" ref="H19:J19" si="3">H16*H17</f>
        <v>30594.631536000001</v>
      </c>
      <c r="I19" s="41">
        <f t="shared" si="3"/>
        <v>37447.829000064005</v>
      </c>
      <c r="J19" s="41">
        <f t="shared" si="3"/>
        <v>45836.142696078336</v>
      </c>
      <c r="K19" s="41">
        <f>K16*K17</f>
        <v>56103.438659999883</v>
      </c>
      <c r="L19" s="41">
        <f>L16*L17</f>
        <v>68670.608919839855</v>
      </c>
      <c r="M19" s="41">
        <f t="shared" ref="L19:T19" si="4">L19*1.1</f>
        <v>75537.669811823842</v>
      </c>
      <c r="N19" s="41">
        <f t="shared" si="4"/>
        <v>83091.436793006229</v>
      </c>
      <c r="O19" s="41">
        <f t="shared" si="4"/>
        <v>91400.580472306858</v>
      </c>
      <c r="P19" s="41">
        <f t="shared" si="4"/>
        <v>100540.63851953755</v>
      </c>
      <c r="Q19" s="41">
        <f t="shared" si="4"/>
        <v>110594.70237149131</v>
      </c>
      <c r="R19" s="41">
        <f t="shared" si="4"/>
        <v>121654.17260864045</v>
      </c>
      <c r="S19" s="41">
        <f t="shared" si="4"/>
        <v>133819.5898695045</v>
      </c>
      <c r="T19" s="41">
        <f t="shared" si="4"/>
        <v>147201.54885645496</v>
      </c>
      <c r="U19" s="41">
        <f>T19*1.1</f>
        <v>161921.70374210048</v>
      </c>
      <c r="V19" s="41">
        <f>U19*1.1</f>
        <v>178113.87411631053</v>
      </c>
    </row>
    <row r="20" spans="1:122" x14ac:dyDescent="0.15">
      <c r="A20" s="53" t="s">
        <v>5</v>
      </c>
      <c r="B20" s="29">
        <f>SUM(Reports!B13:E13)</f>
        <v>4591.3</v>
      </c>
      <c r="C20" s="29">
        <f>SUM(Reports!F13:I13)</f>
        <v>6029.7000000000007</v>
      </c>
      <c r="D20" s="38">
        <f>SUM(Reports!J13:M13)</f>
        <v>7659.2000000000007</v>
      </c>
      <c r="E20" s="29">
        <f>SUM(Reports!N13:Q13)</f>
        <v>9631.6880000000001</v>
      </c>
      <c r="F20" s="29">
        <f>SUM(Reports!R13:U13)</f>
        <v>12441</v>
      </c>
      <c r="G20" s="29">
        <f>SUM(Reports!V13:Y13)</f>
        <v>15276.159</v>
      </c>
      <c r="H20" s="29">
        <f t="shared" ref="H20" si="5">H19-H21</f>
        <v>18698.018616000001</v>
      </c>
      <c r="I20" s="29">
        <f t="shared" ref="I20:Q20" si="6">I19-I21</f>
        <v>22886.374785984</v>
      </c>
      <c r="J20" s="29">
        <f t="shared" si="6"/>
        <v>28012.922738044414</v>
      </c>
      <c r="K20" s="29">
        <f t="shared" si="6"/>
        <v>34287.817431366362</v>
      </c>
      <c r="L20" s="29">
        <f t="shared" si="6"/>
        <v>41968.288535992426</v>
      </c>
      <c r="M20" s="29">
        <f t="shared" si="6"/>
        <v>46165.117389591673</v>
      </c>
      <c r="N20" s="29">
        <f t="shared" si="6"/>
        <v>50781.629128550834</v>
      </c>
      <c r="O20" s="29">
        <f t="shared" si="6"/>
        <v>55859.792041405926</v>
      </c>
      <c r="P20" s="29">
        <f t="shared" si="6"/>
        <v>61445.771245546523</v>
      </c>
      <c r="Q20" s="29">
        <f t="shared" si="6"/>
        <v>67590.348370101186</v>
      </c>
      <c r="R20" s="29">
        <f t="shared" ref="R20:T20" si="7">R19-R21</f>
        <v>74349.383207111299</v>
      </c>
      <c r="S20" s="29">
        <f t="shared" si="7"/>
        <v>81784.321527822438</v>
      </c>
      <c r="T20" s="29">
        <f t="shared" si="7"/>
        <v>89962.753680604685</v>
      </c>
      <c r="U20" s="29">
        <f>U19-U21</f>
        <v>98959.029048665165</v>
      </c>
      <c r="V20" s="29">
        <f>V19-V21</f>
        <v>108854.93195353169</v>
      </c>
    </row>
    <row r="21" spans="1:122" x14ac:dyDescent="0.15">
      <c r="A21" s="53" t="s">
        <v>6</v>
      </c>
      <c r="B21" s="31">
        <f>B19-B20</f>
        <v>2187.7000000000007</v>
      </c>
      <c r="C21" s="31">
        <f>C19-C20</f>
        <v>2800.3999999999996</v>
      </c>
      <c r="D21" s="31">
        <f>D19-D20</f>
        <v>4032.5519999999997</v>
      </c>
      <c r="E21" s="31">
        <f>E19-E20</f>
        <v>6162.6530000000002</v>
      </c>
      <c r="F21" s="31">
        <f>F19-F20</f>
        <v>7716.4340000000011</v>
      </c>
      <c r="G21" s="31">
        <f>G19-G20</f>
        <v>9719.4550000000017</v>
      </c>
      <c r="H21" s="29">
        <f t="shared" ref="H21:T21" si="8">H19*G34</f>
        <v>11896.612920000001</v>
      </c>
      <c r="I21" s="29">
        <f t="shared" si="8"/>
        <v>14561.454214080004</v>
      </c>
      <c r="J21" s="29">
        <f t="shared" si="8"/>
        <v>17823.219958033922</v>
      </c>
      <c r="K21" s="29">
        <f t="shared" si="8"/>
        <v>21815.621228633521</v>
      </c>
      <c r="L21" s="29">
        <f t="shared" si="8"/>
        <v>26702.320383847429</v>
      </c>
      <c r="M21" s="29">
        <f t="shared" si="8"/>
        <v>29372.552422232173</v>
      </c>
      <c r="N21" s="29">
        <f t="shared" si="8"/>
        <v>32309.807664455391</v>
      </c>
      <c r="O21" s="29">
        <f t="shared" si="8"/>
        <v>35540.788430900931</v>
      </c>
      <c r="P21" s="29">
        <f t="shared" si="8"/>
        <v>39094.867273991025</v>
      </c>
      <c r="Q21" s="29">
        <f t="shared" si="8"/>
        <v>43004.354001390129</v>
      </c>
      <c r="R21" s="29">
        <f t="shared" si="8"/>
        <v>47304.789401529146</v>
      </c>
      <c r="S21" s="29">
        <f t="shared" si="8"/>
        <v>52035.268341682058</v>
      </c>
      <c r="T21" s="29">
        <f t="shared" si="8"/>
        <v>57238.795175850268</v>
      </c>
      <c r="U21" s="29">
        <f>U19*T34</f>
        <v>62962.674693435307</v>
      </c>
      <c r="V21" s="29">
        <f>V19*U34</f>
        <v>69258.94216277884</v>
      </c>
    </row>
    <row r="22" spans="1:122" x14ac:dyDescent="0.15">
      <c r="A22" s="53" t="s">
        <v>7</v>
      </c>
      <c r="B22" s="29">
        <f>SUM(Reports!B15:E15)</f>
        <v>650.6</v>
      </c>
      <c r="C22" s="29">
        <f>SUM(Reports!F15:I15)</f>
        <v>851.9</v>
      </c>
      <c r="D22" s="38">
        <f>SUM(Reports!J15:M15)</f>
        <v>1052.6509999999998</v>
      </c>
      <c r="E22" s="29">
        <f>SUM(Reports!N15:Q15)</f>
        <v>1276.758</v>
      </c>
      <c r="F22" s="29">
        <f>SUM(Reports!R15:U15)</f>
        <v>1544</v>
      </c>
      <c r="G22" s="29">
        <f>SUM(Reports!V15:Y15)</f>
        <v>1830</v>
      </c>
      <c r="H22" s="29">
        <f t="shared" ref="H22:K22" si="9">G22*1.15</f>
        <v>2104.5</v>
      </c>
      <c r="I22" s="29">
        <f t="shared" si="9"/>
        <v>2420.1749999999997</v>
      </c>
      <c r="J22" s="29">
        <f t="shared" si="9"/>
        <v>2783.2012499999996</v>
      </c>
      <c r="K22" s="29">
        <f t="shared" si="9"/>
        <v>3200.6814374999994</v>
      </c>
      <c r="L22" s="29">
        <f>K22*1.1</f>
        <v>3520.7495812499997</v>
      </c>
      <c r="M22" s="29">
        <f t="shared" ref="M22:T22" si="10">L22*1.1</f>
        <v>3872.8245393749999</v>
      </c>
      <c r="N22" s="29">
        <f t="shared" si="10"/>
        <v>4260.1069933125</v>
      </c>
      <c r="O22" s="29">
        <f t="shared" si="10"/>
        <v>4686.1176926437502</v>
      </c>
      <c r="P22" s="29">
        <f t="shared" si="10"/>
        <v>5154.7294619081258</v>
      </c>
      <c r="Q22" s="29">
        <f t="shared" si="10"/>
        <v>5670.2024080989386</v>
      </c>
      <c r="R22" s="29">
        <f t="shared" si="10"/>
        <v>6237.2226489088325</v>
      </c>
      <c r="S22" s="29">
        <f t="shared" si="10"/>
        <v>6860.9449137997162</v>
      </c>
      <c r="T22" s="29">
        <f t="shared" si="10"/>
        <v>7547.0394051796884</v>
      </c>
      <c r="U22" s="29">
        <f>T22*1.1</f>
        <v>8301.7433456976578</v>
      </c>
      <c r="V22" s="29">
        <f>U22*1.1</f>
        <v>9131.9176802674247</v>
      </c>
    </row>
    <row r="23" spans="1:122" x14ac:dyDescent="0.15">
      <c r="A23" s="53" t="s">
        <v>8</v>
      </c>
      <c r="B23" s="29">
        <f>SUM(Reports!B16:E16)</f>
        <v>823.9</v>
      </c>
      <c r="C23" s="29">
        <f>SUM(Reports!F16:I16)</f>
        <v>990.9</v>
      </c>
      <c r="D23" s="38">
        <f>SUM(Reports!J16:M16)</f>
        <v>1277.8389999999999</v>
      </c>
      <c r="E23" s="29">
        <f>SUM(Reports!N16:Q16)</f>
        <v>2171.6260000000002</v>
      </c>
      <c r="F23" s="29">
        <f>SUM(Reports!R16:U16)</f>
        <v>2653</v>
      </c>
      <c r="G23" s="29">
        <f>SUM(Reports!V16:Y16)</f>
        <v>2229</v>
      </c>
      <c r="H23" s="29">
        <f t="shared" ref="H23:K23" si="11">G23*1.05</f>
        <v>2340.4500000000003</v>
      </c>
      <c r="I23" s="29">
        <f t="shared" si="11"/>
        <v>2457.4725000000003</v>
      </c>
      <c r="J23" s="29">
        <f t="shared" si="11"/>
        <v>2580.3461250000005</v>
      </c>
      <c r="K23" s="29">
        <f t="shared" si="11"/>
        <v>2709.3634312500008</v>
      </c>
      <c r="L23" s="29">
        <f t="shared" ref="L23:T23" si="12">K23*1.02</f>
        <v>2763.5506998750006</v>
      </c>
      <c r="M23" s="29">
        <f t="shared" si="12"/>
        <v>2818.8217138725008</v>
      </c>
      <c r="N23" s="29">
        <f t="shared" si="12"/>
        <v>2875.1981481499511</v>
      </c>
      <c r="O23" s="29">
        <f t="shared" si="12"/>
        <v>2932.7021111129502</v>
      </c>
      <c r="P23" s="29">
        <f t="shared" si="12"/>
        <v>2991.3561533352095</v>
      </c>
      <c r="Q23" s="29">
        <f t="shared" si="12"/>
        <v>3051.1832764019136</v>
      </c>
      <c r="R23" s="29">
        <f t="shared" si="12"/>
        <v>3112.2069419299519</v>
      </c>
      <c r="S23" s="29">
        <f t="shared" si="12"/>
        <v>3174.451080768551</v>
      </c>
      <c r="T23" s="29">
        <f t="shared" si="12"/>
        <v>3237.9401023839223</v>
      </c>
      <c r="U23" s="29">
        <f>T23*1.02</f>
        <v>3302.698904431601</v>
      </c>
      <c r="V23" s="29">
        <f>U23*1.02</f>
        <v>3368.752882520233</v>
      </c>
    </row>
    <row r="24" spans="1:122" x14ac:dyDescent="0.15">
      <c r="A24" s="53" t="s">
        <v>9</v>
      </c>
      <c r="B24" s="29">
        <f>SUM(Reports!B17:E17)</f>
        <v>407.1</v>
      </c>
      <c r="C24" s="29">
        <f>SUM(Reports!F17:I17)</f>
        <v>577.70000000000005</v>
      </c>
      <c r="D24" s="38">
        <f>SUM(Reports!J17:M17)</f>
        <v>863.40800000000002</v>
      </c>
      <c r="E24" s="29">
        <f>SUM(Reports!N17:Q17)</f>
        <v>1109.0429999999999</v>
      </c>
      <c r="F24" s="29">
        <f>SUM(Reports!R17:U17)</f>
        <v>915</v>
      </c>
      <c r="G24" s="29">
        <f>SUM(Reports!V17:Y17)</f>
        <v>1077</v>
      </c>
      <c r="H24" s="29">
        <f t="shared" ref="H24:K24" si="13">G24*0.9</f>
        <v>969.30000000000007</v>
      </c>
      <c r="I24" s="29">
        <f t="shared" si="13"/>
        <v>872.37000000000012</v>
      </c>
      <c r="J24" s="29">
        <f t="shared" si="13"/>
        <v>785.13300000000015</v>
      </c>
      <c r="K24" s="29">
        <f t="shared" si="13"/>
        <v>706.61970000000019</v>
      </c>
      <c r="L24" s="29">
        <f t="shared" ref="L24:T24" si="14">K24*0.98</f>
        <v>692.48730600000022</v>
      </c>
      <c r="M24" s="29">
        <f t="shared" si="14"/>
        <v>678.63755988000025</v>
      </c>
      <c r="N24" s="29">
        <f t="shared" si="14"/>
        <v>665.06480868240021</v>
      </c>
      <c r="O24" s="29">
        <f t="shared" si="14"/>
        <v>651.76351250875223</v>
      </c>
      <c r="P24" s="29">
        <f t="shared" si="14"/>
        <v>638.72824225857721</v>
      </c>
      <c r="Q24" s="29">
        <f t="shared" si="14"/>
        <v>625.95367741340567</v>
      </c>
      <c r="R24" s="29">
        <f t="shared" si="14"/>
        <v>613.43460386513755</v>
      </c>
      <c r="S24" s="29">
        <f t="shared" si="14"/>
        <v>601.16591178783483</v>
      </c>
      <c r="T24" s="29">
        <f t="shared" si="14"/>
        <v>589.1425935520781</v>
      </c>
      <c r="U24" s="29">
        <f>T24*0.98</f>
        <v>577.35974168103655</v>
      </c>
      <c r="V24" s="29">
        <f>U24*0.98</f>
        <v>565.81254684741577</v>
      </c>
    </row>
    <row r="25" spans="1:122" x14ac:dyDescent="0.15">
      <c r="A25" s="53" t="s">
        <v>10</v>
      </c>
      <c r="B25" s="31">
        <f>SUM(B22:B24)</f>
        <v>1881.6</v>
      </c>
      <c r="C25" s="31">
        <f>SUM(C22:C24)</f>
        <v>2420.5</v>
      </c>
      <c r="D25" s="31">
        <f>SUM(D22:D24)</f>
        <v>3193.8979999999997</v>
      </c>
      <c r="E25" s="31">
        <f>SUM(E22:E24)</f>
        <v>4557.4269999999997</v>
      </c>
      <c r="F25" s="31">
        <f>SUM(F22:F24)</f>
        <v>5112</v>
      </c>
      <c r="G25" s="31">
        <f>SUM(G22:G24)</f>
        <v>5136</v>
      </c>
      <c r="H25" s="29">
        <f t="shared" ref="H25" si="15">SUM(H22:H24)</f>
        <v>5414.2500000000009</v>
      </c>
      <c r="I25" s="29">
        <f t="shared" ref="I25:Q25" si="16">SUM(I22:I24)</f>
        <v>5750.0174999999999</v>
      </c>
      <c r="J25" s="29">
        <f t="shared" si="16"/>
        <v>6148.6803749999999</v>
      </c>
      <c r="K25" s="29">
        <f t="shared" si="16"/>
        <v>6616.6645687500004</v>
      </c>
      <c r="L25" s="29">
        <f t="shared" si="16"/>
        <v>6976.7875871250008</v>
      </c>
      <c r="M25" s="29">
        <f t="shared" si="16"/>
        <v>7370.2838131275012</v>
      </c>
      <c r="N25" s="29">
        <f t="shared" si="16"/>
        <v>7800.3699501448518</v>
      </c>
      <c r="O25" s="29">
        <f t="shared" si="16"/>
        <v>8270.5833162654526</v>
      </c>
      <c r="P25" s="29">
        <f t="shared" si="16"/>
        <v>8784.8138575019129</v>
      </c>
      <c r="Q25" s="29">
        <f t="shared" si="16"/>
        <v>9347.3393619142571</v>
      </c>
      <c r="R25" s="29">
        <f t="shared" ref="R25:T25" si="17">SUM(R22:R24)</f>
        <v>9962.8641947039232</v>
      </c>
      <c r="S25" s="29">
        <f t="shared" si="17"/>
        <v>10636.561906356103</v>
      </c>
      <c r="T25" s="29">
        <f t="shared" si="17"/>
        <v>11374.122101115689</v>
      </c>
      <c r="U25" s="29">
        <f>SUM(U22:U24)</f>
        <v>12181.801991810296</v>
      </c>
      <c r="V25" s="29">
        <f>SUM(V22:V24)</f>
        <v>13066.483109635074</v>
      </c>
    </row>
    <row r="26" spans="1:122" x14ac:dyDescent="0.15">
      <c r="A26" s="53" t="s">
        <v>11</v>
      </c>
      <c r="B26" s="31">
        <f>B21-B25</f>
        <v>306.10000000000082</v>
      </c>
      <c r="C26" s="31">
        <f>C21-C25</f>
        <v>379.89999999999964</v>
      </c>
      <c r="D26" s="31">
        <f>D21-D25</f>
        <v>838.654</v>
      </c>
      <c r="E26" s="31">
        <f>E21-E25</f>
        <v>1605.2260000000006</v>
      </c>
      <c r="F26" s="31">
        <f>F21-F25</f>
        <v>2604.4340000000011</v>
      </c>
      <c r="G26" s="31">
        <f>G21-G25</f>
        <v>4583.4550000000017</v>
      </c>
      <c r="H26" s="29">
        <f t="shared" ref="H26" si="18">H21-H25</f>
        <v>6482.3629200000005</v>
      </c>
      <c r="I26" s="29">
        <f t="shared" ref="I26:Q26" si="19">I21-I25</f>
        <v>8811.4367140800041</v>
      </c>
      <c r="J26" s="29">
        <f t="shared" si="19"/>
        <v>11674.539583033922</v>
      </c>
      <c r="K26" s="29">
        <f t="shared" si="19"/>
        <v>15198.956659883521</v>
      </c>
      <c r="L26" s="29">
        <f t="shared" si="19"/>
        <v>19725.532796722429</v>
      </c>
      <c r="M26" s="29">
        <f t="shared" si="19"/>
        <v>22002.268609104671</v>
      </c>
      <c r="N26" s="29">
        <f t="shared" si="19"/>
        <v>24509.437714310538</v>
      </c>
      <c r="O26" s="29">
        <f t="shared" si="19"/>
        <v>27270.205114635479</v>
      </c>
      <c r="P26" s="29">
        <f t="shared" si="19"/>
        <v>30310.053416489114</v>
      </c>
      <c r="Q26" s="29">
        <f t="shared" si="19"/>
        <v>33657.01463947587</v>
      </c>
      <c r="R26" s="29">
        <f t="shared" ref="R26:T26" si="20">R21-R25</f>
        <v>37341.925206825224</v>
      </c>
      <c r="S26" s="29">
        <f t="shared" si="20"/>
        <v>41398.706435325956</v>
      </c>
      <c r="T26" s="29">
        <f t="shared" si="20"/>
        <v>45864.673074734579</v>
      </c>
      <c r="U26" s="29">
        <f>U21-U25</f>
        <v>50780.872701625012</v>
      </c>
      <c r="V26" s="29">
        <f>V21-V25</f>
        <v>56192.459053143764</v>
      </c>
    </row>
    <row r="27" spans="1:122" x14ac:dyDescent="0.15">
      <c r="A27" s="53" t="s">
        <v>12</v>
      </c>
      <c r="B27" s="29">
        <f>SUM(Reports!B20:E20)</f>
        <v>-163.80000000000001</v>
      </c>
      <c r="C27" s="29">
        <f>SUM(Reports!F20:I20)</f>
        <v>-119.2</v>
      </c>
      <c r="D27" s="38">
        <f>SUM(Reports!J20:M20)</f>
        <v>-353.07299999999998</v>
      </c>
      <c r="E27" s="29">
        <f>SUM(Reports!N20:Q20)</f>
        <v>-378.76799999999997</v>
      </c>
      <c r="F27" s="29">
        <f>SUM(Reports!R20:U20)</f>
        <v>-541</v>
      </c>
      <c r="G27" s="29">
        <f>SUM(Reports!V20:Y20)</f>
        <v>-1385</v>
      </c>
      <c r="H27" s="29">
        <f t="shared" ref="H27:T27" si="21">F44*$F$3</f>
        <v>-97.41</v>
      </c>
      <c r="I27" s="29">
        <f t="shared" si="21"/>
        <v>-81.034500000000008</v>
      </c>
      <c r="J27" s="29">
        <f t="shared" si="21"/>
        <v>-26.762400180000004</v>
      </c>
      <c r="K27" s="29">
        <f t="shared" si="21"/>
        <v>47.446018639680034</v>
      </c>
      <c r="L27" s="29">
        <f t="shared" si="21"/>
        <v>146.4521246939384</v>
      </c>
      <c r="M27" s="29">
        <f t="shared" si="21"/>
        <v>276.04654746138561</v>
      </c>
      <c r="N27" s="29">
        <f t="shared" si="21"/>
        <v>444.9584192934247</v>
      </c>
      <c r="O27" s="29">
        <f t="shared" si="21"/>
        <v>634.32409812423623</v>
      </c>
      <c r="P27" s="29">
        <f t="shared" si="21"/>
        <v>846.43646525986992</v>
      </c>
      <c r="Q27" s="29">
        <f t="shared" si="21"/>
        <v>1083.6249635683275</v>
      </c>
      <c r="R27" s="29">
        <f t="shared" si="21"/>
        <v>1348.4551275631941</v>
      </c>
      <c r="S27" s="29">
        <f t="shared" si="21"/>
        <v>1643.7505641890696</v>
      </c>
      <c r="T27" s="29">
        <f t="shared" si="21"/>
        <v>1972.6187970313713</v>
      </c>
      <c r="U27" s="29">
        <f>S44*$F$3</f>
        <v>2338.4796815272489</v>
      </c>
      <c r="V27" s="29">
        <f>T44*$F$3</f>
        <v>2745.09666243726</v>
      </c>
    </row>
    <row r="28" spans="1:122" x14ac:dyDescent="0.15">
      <c r="A28" s="53" t="s">
        <v>13</v>
      </c>
      <c r="B28" s="31">
        <f>SUM(Reports!B21:E21)</f>
        <v>-503.29999999999984</v>
      </c>
      <c r="C28" s="31">
        <f>C26+C27</f>
        <v>260.69999999999965</v>
      </c>
      <c r="D28" s="31">
        <f>D26+D27</f>
        <v>485.58100000000002</v>
      </c>
      <c r="E28" s="31">
        <f>E26+E27</f>
        <v>1226.4580000000005</v>
      </c>
      <c r="F28" s="31">
        <f>F26+F27</f>
        <v>2063.4340000000011</v>
      </c>
      <c r="G28" s="31">
        <f>G26+G27</f>
        <v>3198.4550000000017</v>
      </c>
      <c r="H28" s="29">
        <f t="shared" ref="H28" si="22">H26+H27</f>
        <v>6384.9529200000006</v>
      </c>
      <c r="I28" s="29">
        <f t="shared" ref="I28:Q28" si="23">I26+I27</f>
        <v>8730.4022140800043</v>
      </c>
      <c r="J28" s="29">
        <f t="shared" si="23"/>
        <v>11647.777182853923</v>
      </c>
      <c r="K28" s="29">
        <f t="shared" si="23"/>
        <v>15246.402678523202</v>
      </c>
      <c r="L28" s="29">
        <f t="shared" si="23"/>
        <v>19871.984921416366</v>
      </c>
      <c r="M28" s="29">
        <f t="shared" si="23"/>
        <v>22278.315156566056</v>
      </c>
      <c r="N28" s="29">
        <f t="shared" si="23"/>
        <v>24954.396133603961</v>
      </c>
      <c r="O28" s="29">
        <f t="shared" si="23"/>
        <v>27904.529212759717</v>
      </c>
      <c r="P28" s="29">
        <f t="shared" si="23"/>
        <v>31156.489881748985</v>
      </c>
      <c r="Q28" s="29">
        <f t="shared" si="23"/>
        <v>34740.639603044197</v>
      </c>
      <c r="R28" s="29">
        <f t="shared" ref="R28:T28" si="24">R26+R27</f>
        <v>38690.380334388421</v>
      </c>
      <c r="S28" s="29">
        <f t="shared" si="24"/>
        <v>43042.456999515023</v>
      </c>
      <c r="T28" s="29">
        <f t="shared" si="24"/>
        <v>47837.291871765949</v>
      </c>
      <c r="U28" s="29">
        <f>U26+U27</f>
        <v>53119.352383152262</v>
      </c>
      <c r="V28" s="29">
        <f>V26+V27</f>
        <v>58937.555715581024</v>
      </c>
    </row>
    <row r="29" spans="1:122" x14ac:dyDescent="0.15">
      <c r="A29" s="53" t="s">
        <v>14</v>
      </c>
      <c r="B29" s="29">
        <f>SUM(Reports!B22:E22)</f>
        <v>19.199999999999996</v>
      </c>
      <c r="C29" s="29">
        <f>SUM(Reports!F22:I22)</f>
        <v>73.7</v>
      </c>
      <c r="D29" s="38">
        <f>SUM(Reports!J22:M22)</f>
        <v>-73.486999999999995</v>
      </c>
      <c r="E29" s="29">
        <f>SUM(Reports!N22:Q22)</f>
        <v>15.215999999999998</v>
      </c>
      <c r="F29" s="29">
        <f>SUM(Reports!R22:U22)</f>
        <v>195</v>
      </c>
      <c r="G29" s="29">
        <f>SUM(Reports!V22:Y22)</f>
        <v>437</v>
      </c>
      <c r="H29" s="29">
        <f t="shared" ref="H29:Q29" si="25">H28*0.15</f>
        <v>957.74293800000009</v>
      </c>
      <c r="I29" s="29">
        <f t="shared" si="25"/>
        <v>1309.5603321120007</v>
      </c>
      <c r="J29" s="29">
        <f t="shared" si="25"/>
        <v>1747.1665774280884</v>
      </c>
      <c r="K29" s="29">
        <f t="shared" si="25"/>
        <v>2286.96040177848</v>
      </c>
      <c r="L29" s="29">
        <f t="shared" si="25"/>
        <v>2980.797738212455</v>
      </c>
      <c r="M29" s="29">
        <f t="shared" si="25"/>
        <v>3341.7472734849084</v>
      </c>
      <c r="N29" s="29">
        <f t="shared" si="25"/>
        <v>3743.1594200405939</v>
      </c>
      <c r="O29" s="29">
        <f t="shared" si="25"/>
        <v>4185.6793819139575</v>
      </c>
      <c r="P29" s="29">
        <f t="shared" si="25"/>
        <v>4673.4734822623477</v>
      </c>
      <c r="Q29" s="29">
        <f t="shared" si="25"/>
        <v>5211.0959404566293</v>
      </c>
      <c r="R29" s="29">
        <f t="shared" ref="R29:T29" si="26">R28*0.15</f>
        <v>5803.5570501582633</v>
      </c>
      <c r="S29" s="29">
        <f t="shared" si="26"/>
        <v>6456.3685499272533</v>
      </c>
      <c r="T29" s="29">
        <f t="shared" si="26"/>
        <v>7175.5937807648925</v>
      </c>
      <c r="U29" s="29">
        <f>U28*0.15</f>
        <v>7967.9028574728391</v>
      </c>
      <c r="V29" s="29">
        <f>V28*0.15</f>
        <v>8840.6333573371539</v>
      </c>
    </row>
    <row r="30" spans="1:122" s="25" customFormat="1" x14ac:dyDescent="0.15">
      <c r="A30" s="71" t="s">
        <v>15</v>
      </c>
      <c r="B30" s="40">
        <f t="shared" ref="B30:G30" si="27">B28-B29</f>
        <v>-522.49999999999989</v>
      </c>
      <c r="C30" s="40">
        <f t="shared" si="27"/>
        <v>186.99999999999966</v>
      </c>
      <c r="D30" s="40">
        <f t="shared" si="27"/>
        <v>559.06799999999998</v>
      </c>
      <c r="E30" s="40">
        <f t="shared" si="27"/>
        <v>1211.2420000000006</v>
      </c>
      <c r="F30" s="40">
        <f>F28-F29</f>
        <v>1868.4340000000011</v>
      </c>
      <c r="G30" s="40">
        <f t="shared" si="27"/>
        <v>2761.4550000000017</v>
      </c>
      <c r="H30" s="40">
        <f t="shared" ref="H30" si="28">H28-H29</f>
        <v>5427.2099820000003</v>
      </c>
      <c r="I30" s="40">
        <f t="shared" ref="I30:Q30" si="29">I28-I29</f>
        <v>7420.8418819680037</v>
      </c>
      <c r="J30" s="40">
        <f t="shared" si="29"/>
        <v>9900.6106054258344</v>
      </c>
      <c r="K30" s="40">
        <f t="shared" si="29"/>
        <v>12959.442276744721</v>
      </c>
      <c r="L30" s="40">
        <f t="shared" si="29"/>
        <v>16891.187183203911</v>
      </c>
      <c r="M30" s="40">
        <f t="shared" si="29"/>
        <v>18936.567883081148</v>
      </c>
      <c r="N30" s="40">
        <f t="shared" si="29"/>
        <v>21211.236713563369</v>
      </c>
      <c r="O30" s="40">
        <f t="shared" si="29"/>
        <v>23718.84983084576</v>
      </c>
      <c r="P30" s="40">
        <f t="shared" si="29"/>
        <v>26483.016399486638</v>
      </c>
      <c r="Q30" s="40">
        <f t="shared" si="29"/>
        <v>29529.543662587566</v>
      </c>
      <c r="R30" s="40">
        <f t="shared" ref="R30:T30" si="30">R28-R29</f>
        <v>32886.823284230159</v>
      </c>
      <c r="S30" s="40">
        <f t="shared" si="30"/>
        <v>36586.088449587769</v>
      </c>
      <c r="T30" s="40">
        <f t="shared" si="30"/>
        <v>40661.698091001053</v>
      </c>
      <c r="U30" s="40">
        <f>U28-U29</f>
        <v>45151.449525679425</v>
      </c>
      <c r="V30" s="40">
        <f>V28-V29</f>
        <v>50096.922358243872</v>
      </c>
      <c r="W30" s="40">
        <f>V30*(1+$F$2)</f>
        <v>49846.437746452655</v>
      </c>
      <c r="X30" s="40">
        <f t="shared" ref="V30:CD30" si="31">W30*(1+$F$2)</f>
        <v>49597.205557720394</v>
      </c>
      <c r="Y30" s="40">
        <f t="shared" si="31"/>
        <v>49349.21952993179</v>
      </c>
      <c r="Z30" s="40">
        <f t="shared" si="31"/>
        <v>49102.473432282131</v>
      </c>
      <c r="AA30" s="40">
        <f t="shared" si="31"/>
        <v>48856.961065120719</v>
      </c>
      <c r="AB30" s="40">
        <f t="shared" si="31"/>
        <v>48612.676259795116</v>
      </c>
      <c r="AC30" s="40">
        <f t="shared" si="31"/>
        <v>48369.61287849614</v>
      </c>
      <c r="AD30" s="40">
        <f t="shared" si="31"/>
        <v>48127.764814103663</v>
      </c>
      <c r="AE30" s="40">
        <f t="shared" si="31"/>
        <v>47887.125990033142</v>
      </c>
      <c r="AF30" s="40">
        <f t="shared" si="31"/>
        <v>47647.690360082976</v>
      </c>
      <c r="AG30" s="40">
        <f t="shared" si="31"/>
        <v>47409.451908282557</v>
      </c>
      <c r="AH30" s="40">
        <f t="shared" si="31"/>
        <v>47172.404648741147</v>
      </c>
      <c r="AI30" s="40">
        <f t="shared" si="31"/>
        <v>46936.542625497445</v>
      </c>
      <c r="AJ30" s="40">
        <f t="shared" si="31"/>
        <v>46701.859912369961</v>
      </c>
      <c r="AK30" s="40">
        <f t="shared" si="31"/>
        <v>46468.350612808114</v>
      </c>
      <c r="AL30" s="40">
        <f t="shared" si="31"/>
        <v>46236.00885974407</v>
      </c>
      <c r="AM30" s="40">
        <f t="shared" si="31"/>
        <v>46004.828815445348</v>
      </c>
      <c r="AN30" s="40">
        <f t="shared" si="31"/>
        <v>45774.804671368118</v>
      </c>
      <c r="AO30" s="40">
        <f t="shared" si="31"/>
        <v>45545.930648011279</v>
      </c>
      <c r="AP30" s="40">
        <f t="shared" si="31"/>
        <v>45318.200994771221</v>
      </c>
      <c r="AQ30" s="40">
        <f t="shared" si="31"/>
        <v>45091.609989797362</v>
      </c>
      <c r="AR30" s="40">
        <f t="shared" si="31"/>
        <v>44866.151939848372</v>
      </c>
      <c r="AS30" s="40">
        <f t="shared" si="31"/>
        <v>44641.821180149127</v>
      </c>
      <c r="AT30" s="40">
        <f t="shared" si="31"/>
        <v>44418.612074248384</v>
      </c>
      <c r="AU30" s="40">
        <f t="shared" si="31"/>
        <v>44196.519013877143</v>
      </c>
      <c r="AV30" s="40">
        <f t="shared" si="31"/>
        <v>43975.536418807758</v>
      </c>
      <c r="AW30" s="40">
        <f t="shared" si="31"/>
        <v>43755.658736713718</v>
      </c>
      <c r="AX30" s="40">
        <f t="shared" si="31"/>
        <v>43536.880443030146</v>
      </c>
      <c r="AY30" s="40">
        <f t="shared" si="31"/>
        <v>43319.196040814997</v>
      </c>
      <c r="AZ30" s="40">
        <f t="shared" si="31"/>
        <v>43102.600060610923</v>
      </c>
      <c r="BA30" s="40">
        <f t="shared" si="31"/>
        <v>42887.087060307866</v>
      </c>
      <c r="BB30" s="40">
        <f t="shared" si="31"/>
        <v>42672.651625006329</v>
      </c>
      <c r="BC30" s="40">
        <f t="shared" si="31"/>
        <v>42459.288366881294</v>
      </c>
      <c r="BD30" s="40">
        <f t="shared" si="31"/>
        <v>42246.991925046888</v>
      </c>
      <c r="BE30" s="40">
        <f t="shared" si="31"/>
        <v>42035.756965421657</v>
      </c>
      <c r="BF30" s="40">
        <f t="shared" si="31"/>
        <v>41825.578180594552</v>
      </c>
      <c r="BG30" s="40">
        <f t="shared" si="31"/>
        <v>41616.45028969158</v>
      </c>
      <c r="BH30" s="40">
        <f t="shared" si="31"/>
        <v>41408.368038243119</v>
      </c>
      <c r="BI30" s="40">
        <f t="shared" si="31"/>
        <v>41201.326198051902</v>
      </c>
      <c r="BJ30" s="40">
        <f t="shared" si="31"/>
        <v>40995.319567061641</v>
      </c>
      <c r="BK30" s="40">
        <f t="shared" si="31"/>
        <v>40790.342969226331</v>
      </c>
      <c r="BL30" s="40">
        <f t="shared" si="31"/>
        <v>40586.3912543802</v>
      </c>
      <c r="BM30" s="40">
        <f t="shared" si="31"/>
        <v>40383.459298108297</v>
      </c>
      <c r="BN30" s="40">
        <f t="shared" si="31"/>
        <v>40181.542001617752</v>
      </c>
      <c r="BO30" s="40">
        <f t="shared" si="31"/>
        <v>39980.634291609662</v>
      </c>
      <c r="BP30" s="40">
        <f t="shared" si="31"/>
        <v>39780.731120151613</v>
      </c>
      <c r="BQ30" s="40">
        <f t="shared" si="31"/>
        <v>39581.827464550857</v>
      </c>
      <c r="BR30" s="40">
        <f t="shared" si="31"/>
        <v>39383.918327228101</v>
      </c>
      <c r="BS30" s="40">
        <f t="shared" si="31"/>
        <v>39186.998735591958</v>
      </c>
      <c r="BT30" s="40">
        <f t="shared" si="31"/>
        <v>38991.063741913997</v>
      </c>
      <c r="BU30" s="40">
        <f t="shared" si="31"/>
        <v>38796.108423204423</v>
      </c>
      <c r="BV30" s="40">
        <f t="shared" si="31"/>
        <v>38602.127881088403</v>
      </c>
      <c r="BW30" s="40">
        <f t="shared" si="31"/>
        <v>38409.117241682958</v>
      </c>
      <c r="BX30" s="40">
        <f t="shared" si="31"/>
        <v>38217.071655474545</v>
      </c>
      <c r="BY30" s="40">
        <f t="shared" si="31"/>
        <v>38025.986297197174</v>
      </c>
      <c r="BZ30" s="40">
        <f t="shared" si="31"/>
        <v>37835.856365711188</v>
      </c>
      <c r="CA30" s="40">
        <f t="shared" si="31"/>
        <v>37646.677083882634</v>
      </c>
      <c r="CB30" s="40">
        <f t="shared" si="31"/>
        <v>37458.443698463219</v>
      </c>
      <c r="CC30" s="40">
        <f t="shared" si="31"/>
        <v>37271.151479970904</v>
      </c>
      <c r="CD30" s="40">
        <f t="shared" si="31"/>
        <v>37084.795722571049</v>
      </c>
      <c r="CE30" s="40">
        <f t="shared" ref="CE30:DR30" si="32">CD30*(1+$F$2)</f>
        <v>36899.371743958196</v>
      </c>
      <c r="CF30" s="40">
        <f t="shared" si="32"/>
        <v>36714.874885238401</v>
      </c>
      <c r="CG30" s="40">
        <f t="shared" si="32"/>
        <v>36531.300510812209</v>
      </c>
      <c r="CH30" s="40">
        <f t="shared" si="32"/>
        <v>36348.644008258147</v>
      </c>
      <c r="CI30" s="40">
        <f t="shared" si="32"/>
        <v>36166.900788216859</v>
      </c>
      <c r="CJ30" s="40">
        <f t="shared" si="32"/>
        <v>35986.066284275774</v>
      </c>
      <c r="CK30" s="40">
        <f t="shared" si="32"/>
        <v>35806.135952854398</v>
      </c>
      <c r="CL30" s="40">
        <f t="shared" si="32"/>
        <v>35627.105273090128</v>
      </c>
      <c r="CM30" s="40">
        <f t="shared" si="32"/>
        <v>35448.969746724681</v>
      </c>
      <c r="CN30" s="40">
        <f t="shared" si="32"/>
        <v>35271.724897991058</v>
      </c>
      <c r="CO30" s="40">
        <f t="shared" si="32"/>
        <v>35095.366273501102</v>
      </c>
      <c r="CP30" s="40">
        <f t="shared" si="32"/>
        <v>34919.889442133594</v>
      </c>
      <c r="CQ30" s="40">
        <f t="shared" si="32"/>
        <v>34745.289994922925</v>
      </c>
      <c r="CR30" s="40">
        <f t="shared" si="32"/>
        <v>34571.563544948309</v>
      </c>
      <c r="CS30" s="40">
        <f t="shared" si="32"/>
        <v>34398.705727223569</v>
      </c>
      <c r="CT30" s="40">
        <f t="shared" si="32"/>
        <v>34226.712198587447</v>
      </c>
      <c r="CU30" s="40">
        <f t="shared" si="32"/>
        <v>34055.57863759451</v>
      </c>
      <c r="CV30" s="40">
        <f t="shared" si="32"/>
        <v>33885.300744406537</v>
      </c>
      <c r="CW30" s="40">
        <f t="shared" si="32"/>
        <v>33715.874240684505</v>
      </c>
      <c r="CX30" s="40">
        <f t="shared" si="32"/>
        <v>33547.294869481084</v>
      </c>
      <c r="CY30" s="40">
        <f t="shared" si="32"/>
        <v>33379.558395133681</v>
      </c>
      <c r="CZ30" s="40">
        <f t="shared" si="32"/>
        <v>33212.660603158016</v>
      </c>
      <c r="DA30" s="40">
        <f t="shared" si="32"/>
        <v>33046.597300142224</v>
      </c>
      <c r="DB30" s="40">
        <f t="shared" si="32"/>
        <v>32881.364313641512</v>
      </c>
      <c r="DC30" s="40">
        <f t="shared" si="32"/>
        <v>32716.957492073303</v>
      </c>
      <c r="DD30" s="40">
        <f t="shared" si="32"/>
        <v>32553.372704612935</v>
      </c>
      <c r="DE30" s="40">
        <f t="shared" si="32"/>
        <v>32390.60584108987</v>
      </c>
      <c r="DF30" s="40">
        <f t="shared" si="32"/>
        <v>32228.652811884422</v>
      </c>
      <c r="DG30" s="40">
        <f t="shared" si="32"/>
        <v>32067.509547825</v>
      </c>
      <c r="DH30" s="40">
        <f t="shared" si="32"/>
        <v>31907.172000085877</v>
      </c>
      <c r="DI30" s="40">
        <f t="shared" si="32"/>
        <v>31747.636140085448</v>
      </c>
      <c r="DJ30" s="40">
        <f t="shared" si="32"/>
        <v>31588.89795938502</v>
      </c>
      <c r="DK30" s="40">
        <f t="shared" si="32"/>
        <v>31430.953469588094</v>
      </c>
      <c r="DL30" s="40">
        <f t="shared" si="32"/>
        <v>31273.798702240154</v>
      </c>
      <c r="DM30" s="40">
        <f t="shared" si="32"/>
        <v>31117.429708728952</v>
      </c>
      <c r="DN30" s="40">
        <f t="shared" si="32"/>
        <v>30961.842560185309</v>
      </c>
      <c r="DO30" s="40">
        <f t="shared" si="32"/>
        <v>30807.033347384382</v>
      </c>
      <c r="DP30" s="40">
        <f t="shared" si="32"/>
        <v>30652.998180647461</v>
      </c>
      <c r="DQ30" s="40">
        <f t="shared" si="32"/>
        <v>30499.733189744224</v>
      </c>
      <c r="DR30" s="40">
        <f t="shared" si="32"/>
        <v>30347.234523795501</v>
      </c>
    </row>
    <row r="31" spans="1:122" x14ac:dyDescent="0.15">
      <c r="A31" s="53" t="s">
        <v>16</v>
      </c>
      <c r="B31" s="42">
        <f>B30/B32</f>
        <v>-1.1972960586617778</v>
      </c>
      <c r="C31" s="42">
        <f>C30/C32</f>
        <v>0.42638089266373974</v>
      </c>
      <c r="D31" s="42">
        <f>D30/D32</f>
        <v>1.2513818925352622</v>
      </c>
      <c r="E31" s="42">
        <f>E30/E32</f>
        <v>2.6849901134076393</v>
      </c>
      <c r="F31" s="42">
        <f>F30/F32</f>
        <v>4.1395006724018391</v>
      </c>
      <c r="G31" s="42">
        <f>G30/G32</f>
        <v>6.0653593479220653</v>
      </c>
      <c r="H31" s="43">
        <f t="shared" ref="H31" si="33">H30/H32</f>
        <v>11.920519725094062</v>
      </c>
      <c r="I31" s="43">
        <f t="shared" ref="I31:Q31" si="34">I30/I32</f>
        <v>16.299404726220843</v>
      </c>
      <c r="J31" s="43">
        <f t="shared" si="34"/>
        <v>21.746058177937314</v>
      </c>
      <c r="K31" s="43">
        <f t="shared" si="34"/>
        <v>28.464586370992812</v>
      </c>
      <c r="L31" s="43">
        <f t="shared" si="34"/>
        <v>37.100412673444673</v>
      </c>
      <c r="M31" s="43">
        <f t="shared" si="34"/>
        <v>41.592960604901016</v>
      </c>
      <c r="N31" s="43">
        <f t="shared" si="34"/>
        <v>46.589125255200322</v>
      </c>
      <c r="O31" s="43">
        <f t="shared" si="34"/>
        <v>52.096937137661101</v>
      </c>
      <c r="P31" s="43">
        <f t="shared" si="34"/>
        <v>58.168252272732865</v>
      </c>
      <c r="Q31" s="43">
        <f t="shared" si="34"/>
        <v>64.859754619846484</v>
      </c>
      <c r="R31" s="43">
        <f t="shared" ref="R31:T31" si="35">R30/R32</f>
        <v>72.233804653874969</v>
      </c>
      <c r="S31" s="43">
        <f t="shared" si="35"/>
        <v>80.359004069090588</v>
      </c>
      <c r="T31" s="43">
        <f t="shared" si="35"/>
        <v>89.310820063567164</v>
      </c>
      <c r="U31" s="43">
        <f>U30/U32</f>
        <v>99.172272027902252</v>
      </c>
      <c r="V31" s="43">
        <f>V30/V32</f>
        <v>110.03468690516419</v>
      </c>
    </row>
    <row r="32" spans="1:122" x14ac:dyDescent="0.15">
      <c r="A32" s="53" t="s">
        <v>17</v>
      </c>
      <c r="B32" s="29">
        <f>AVERAGE(Reports!B25:E25)</f>
        <v>436.40000000000003</v>
      </c>
      <c r="C32" s="29">
        <f>AVERAGE(Reports!F25:I25)</f>
        <v>438.57499999999999</v>
      </c>
      <c r="D32" s="29">
        <f>AVERAGE(Reports!J25:M25)</f>
        <v>446.76049999999998</v>
      </c>
      <c r="E32" s="29">
        <f>Reports!Q25</f>
        <v>451.11599999999999</v>
      </c>
      <c r="F32" s="29">
        <f>Reports!U25</f>
        <v>451.36700000000002</v>
      </c>
      <c r="G32" s="29">
        <f>Reports!Y25</f>
        <v>455.28300000000002</v>
      </c>
      <c r="H32" s="29">
        <f t="shared" ref="H32" si="36">G32</f>
        <v>455.28300000000002</v>
      </c>
      <c r="I32" s="29">
        <f t="shared" ref="I32" si="37">H32</f>
        <v>455.28300000000002</v>
      </c>
      <c r="J32" s="29">
        <f t="shared" ref="J32" si="38">I32</f>
        <v>455.28300000000002</v>
      </c>
      <c r="K32" s="29">
        <f t="shared" ref="K32" si="39">J32</f>
        <v>455.28300000000002</v>
      </c>
      <c r="L32" s="29">
        <f t="shared" ref="L32" si="40">K32</f>
        <v>455.28300000000002</v>
      </c>
      <c r="M32" s="29">
        <f t="shared" ref="M32" si="41">L32</f>
        <v>455.28300000000002</v>
      </c>
      <c r="N32" s="29">
        <f t="shared" ref="N32" si="42">M32</f>
        <v>455.28300000000002</v>
      </c>
      <c r="O32" s="29">
        <f t="shared" ref="O32" si="43">N32</f>
        <v>455.28300000000002</v>
      </c>
      <c r="P32" s="29">
        <f t="shared" ref="P32" si="44">O32</f>
        <v>455.28300000000002</v>
      </c>
      <c r="Q32" s="29">
        <f t="shared" ref="Q32:T32" si="45">P32</f>
        <v>455.28300000000002</v>
      </c>
      <c r="R32" s="29">
        <f t="shared" si="45"/>
        <v>455.28300000000002</v>
      </c>
      <c r="S32" s="29">
        <f t="shared" si="45"/>
        <v>455.28300000000002</v>
      </c>
      <c r="T32" s="29">
        <f t="shared" si="45"/>
        <v>455.28300000000002</v>
      </c>
      <c r="U32" s="29">
        <f>T32</f>
        <v>455.28300000000002</v>
      </c>
      <c r="V32" s="29">
        <f>U32</f>
        <v>455.28300000000002</v>
      </c>
    </row>
    <row r="33" spans="1:22" x14ac:dyDescent="0.1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15">
      <c r="A34" s="53" t="s">
        <v>19</v>
      </c>
      <c r="B34" s="46">
        <f t="shared" ref="B34:Q34" si="46">IFERROR(B21/B19,0)</f>
        <v>0.32271721492845556</v>
      </c>
      <c r="C34" s="46">
        <f t="shared" si="46"/>
        <v>0.31714250121742671</v>
      </c>
      <c r="D34" s="46">
        <f t="shared" si="46"/>
        <v>0.34490570788706426</v>
      </c>
      <c r="E34" s="46">
        <f t="shared" si="46"/>
        <v>0.3901810781469135</v>
      </c>
      <c r="F34" s="46">
        <f t="shared" si="46"/>
        <v>0.38280834753074228</v>
      </c>
      <c r="G34" s="46">
        <f t="shared" si="46"/>
        <v>0.38884641921578728</v>
      </c>
      <c r="H34" s="46">
        <f t="shared" si="46"/>
        <v>0.38884641921578728</v>
      </c>
      <c r="I34" s="46">
        <f t="shared" si="46"/>
        <v>0.38884641921578728</v>
      </c>
      <c r="J34" s="46">
        <f t="shared" si="46"/>
        <v>0.38884641921578728</v>
      </c>
      <c r="K34" s="46">
        <f t="shared" si="46"/>
        <v>0.38884641921578728</v>
      </c>
      <c r="L34" s="46">
        <f t="shared" si="46"/>
        <v>0.38884641921578728</v>
      </c>
      <c r="M34" s="46">
        <f t="shared" si="46"/>
        <v>0.38884641921578728</v>
      </c>
      <c r="N34" s="46">
        <f t="shared" si="46"/>
        <v>0.38884641921578728</v>
      </c>
      <c r="O34" s="46">
        <f t="shared" si="46"/>
        <v>0.38884641921578728</v>
      </c>
      <c r="P34" s="46">
        <f t="shared" si="46"/>
        <v>0.38884641921578728</v>
      </c>
      <c r="Q34" s="46">
        <f t="shared" si="46"/>
        <v>0.38884641921578722</v>
      </c>
      <c r="R34" s="46">
        <f t="shared" ref="R34:T34" si="47">IFERROR(R21/R19,0)</f>
        <v>0.38884641921578722</v>
      </c>
      <c r="S34" s="46">
        <f t="shared" si="47"/>
        <v>0.38884641921578722</v>
      </c>
      <c r="T34" s="46">
        <f t="shared" si="47"/>
        <v>0.38884641921578722</v>
      </c>
      <c r="U34" s="46">
        <f>IFERROR(U21/U19,0)</f>
        <v>0.38884641921578722</v>
      </c>
      <c r="V34" s="46">
        <f>IFERROR(V21/V19,0)</f>
        <v>0.38884641921578722</v>
      </c>
    </row>
    <row r="35" spans="1:22" x14ac:dyDescent="0.15">
      <c r="A35" s="53" t="s">
        <v>20</v>
      </c>
      <c r="B35" s="45">
        <f t="shared" ref="B35:Q35" si="48">IFERROR(B26/B19,0)</f>
        <v>4.5154152529871774E-2</v>
      </c>
      <c r="C35" s="45">
        <f t="shared" si="48"/>
        <v>4.3023295319418765E-2</v>
      </c>
      <c r="D35" s="45">
        <f t="shared" si="48"/>
        <v>7.1730395923553625E-2</v>
      </c>
      <c r="E35" s="45">
        <f t="shared" si="48"/>
        <v>0.10163298361102882</v>
      </c>
      <c r="F35" s="45">
        <f t="shared" si="48"/>
        <v>0.1292046398365983</v>
      </c>
      <c r="G35" s="45">
        <f t="shared" si="48"/>
        <v>0.18337037049780019</v>
      </c>
      <c r="H35" s="45">
        <f t="shared" si="48"/>
        <v>0.21187909755907186</v>
      </c>
      <c r="I35" s="45">
        <f t="shared" si="48"/>
        <v>0.23529899995177142</v>
      </c>
      <c r="J35" s="45">
        <f t="shared" si="48"/>
        <v>0.25470161528301499</v>
      </c>
      <c r="K35" s="45">
        <f t="shared" si="48"/>
        <v>0.27090953821908842</v>
      </c>
      <c r="L35" s="45">
        <f t="shared" si="48"/>
        <v>0.28724854937209476</v>
      </c>
      <c r="M35" s="45">
        <f t="shared" si="48"/>
        <v>0.29127544791778415</v>
      </c>
      <c r="N35" s="45">
        <f t="shared" si="48"/>
        <v>0.29496947772569371</v>
      </c>
      <c r="O35" s="45">
        <f t="shared" si="48"/>
        <v>0.29835921143737137</v>
      </c>
      <c r="P35" s="45">
        <f t="shared" si="48"/>
        <v>0.30147066761068081</v>
      </c>
      <c r="Q35" s="45">
        <f t="shared" si="48"/>
        <v>0.30432754840662107</v>
      </c>
      <c r="R35" s="45">
        <f t="shared" ref="R35:T35" si="49">IFERROR(R26/R19,0)</f>
        <v>0.30695145432416532</v>
      </c>
      <c r="S35" s="45">
        <f t="shared" si="49"/>
        <v>0.309362078270426</v>
      </c>
      <c r="T35" s="45">
        <f t="shared" si="49"/>
        <v>0.31157738101967913</v>
      </c>
      <c r="U35" s="45">
        <f>IFERROR(U26/U19,0)</f>
        <v>0.31361374990536073</v>
      </c>
      <c r="V35" s="45">
        <f>IFERROR(V26/V19,0)</f>
        <v>0.31548614240151446</v>
      </c>
    </row>
    <row r="36" spans="1:22" x14ac:dyDescent="0.15">
      <c r="A36" s="53" t="s">
        <v>21</v>
      </c>
      <c r="B36" s="45">
        <f t="shared" ref="B36:Q36" si="50">IFERROR(B29/B28,0)</f>
        <v>-3.8148221736538847E-2</v>
      </c>
      <c r="C36" s="45">
        <f t="shared" si="50"/>
        <v>0.28270042194092865</v>
      </c>
      <c r="D36" s="45">
        <f t="shared" si="50"/>
        <v>-0.15133829371412802</v>
      </c>
      <c r="E36" s="45">
        <f t="shared" si="50"/>
        <v>1.2406458272521351E-2</v>
      </c>
      <c r="F36" s="45">
        <f t="shared" si="50"/>
        <v>9.4502659159439992E-2</v>
      </c>
      <c r="G36" s="45">
        <f t="shared" si="50"/>
        <v>0.13662846593120734</v>
      </c>
      <c r="H36" s="45">
        <f t="shared" si="50"/>
        <v>0.15</v>
      </c>
      <c r="I36" s="45">
        <f t="shared" si="50"/>
        <v>0.15</v>
      </c>
      <c r="J36" s="45">
        <f t="shared" si="50"/>
        <v>0.15</v>
      </c>
      <c r="K36" s="45">
        <f t="shared" si="50"/>
        <v>0.15</v>
      </c>
      <c r="L36" s="45">
        <f t="shared" si="50"/>
        <v>0.15</v>
      </c>
      <c r="M36" s="45">
        <f t="shared" si="50"/>
        <v>0.15</v>
      </c>
      <c r="N36" s="45">
        <f t="shared" si="50"/>
        <v>0.15</v>
      </c>
      <c r="O36" s="45">
        <f t="shared" si="50"/>
        <v>0.15</v>
      </c>
      <c r="P36" s="45">
        <f t="shared" si="50"/>
        <v>0.15</v>
      </c>
      <c r="Q36" s="45">
        <f t="shared" si="50"/>
        <v>0.15</v>
      </c>
      <c r="R36" s="45">
        <f t="shared" ref="R36:T36" si="51">IFERROR(R29/R28,0)</f>
        <v>0.15</v>
      </c>
      <c r="S36" s="45">
        <f t="shared" si="51"/>
        <v>0.15</v>
      </c>
      <c r="T36" s="45">
        <f t="shared" si="51"/>
        <v>0.15</v>
      </c>
      <c r="U36" s="45">
        <f>IFERROR(U29/U28,0)</f>
        <v>0.15</v>
      </c>
      <c r="V36" s="45">
        <f>IFERROR(V29/V28,0)</f>
        <v>0.15</v>
      </c>
    </row>
    <row r="37" spans="1:22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1" t="s">
        <v>18</v>
      </c>
      <c r="B38" s="11"/>
      <c r="C38" s="44">
        <f t="shared" ref="C38:T38" si="52">C19/B19-1</f>
        <v>0.30256675025814994</v>
      </c>
      <c r="D38" s="44">
        <f t="shared" si="52"/>
        <v>0.3240792290008041</v>
      </c>
      <c r="E38" s="44">
        <f t="shared" si="52"/>
        <v>0.35089599916248648</v>
      </c>
      <c r="F38" s="44">
        <f>F19/E19-1</f>
        <v>0.27624406741629803</v>
      </c>
      <c r="G38" s="44">
        <f t="shared" si="52"/>
        <v>0.24001963742012</v>
      </c>
      <c r="H38" s="44">
        <f t="shared" si="52"/>
        <v>0.22399999999999998</v>
      </c>
      <c r="I38" s="44">
        <f t="shared" si="52"/>
        <v>0.2240000000000002</v>
      </c>
      <c r="J38" s="44">
        <f t="shared" si="52"/>
        <v>0.22399999999999975</v>
      </c>
      <c r="K38" s="44">
        <f t="shared" si="52"/>
        <v>0.22399999999999998</v>
      </c>
      <c r="L38" s="44">
        <f t="shared" si="52"/>
        <v>0.22399999999999998</v>
      </c>
      <c r="M38" s="44">
        <f t="shared" si="52"/>
        <v>0.10000000000000009</v>
      </c>
      <c r="N38" s="44">
        <f t="shared" si="52"/>
        <v>0.10000000000000009</v>
      </c>
      <c r="O38" s="44">
        <f t="shared" si="52"/>
        <v>0.10000000000000009</v>
      </c>
      <c r="P38" s="44">
        <f t="shared" si="52"/>
        <v>0.10000000000000009</v>
      </c>
      <c r="Q38" s="44">
        <f t="shared" si="52"/>
        <v>0.10000000000000009</v>
      </c>
      <c r="R38" s="44">
        <f t="shared" si="52"/>
        <v>0.10000000000000009</v>
      </c>
      <c r="S38" s="44">
        <f t="shared" si="52"/>
        <v>0.10000000000000009</v>
      </c>
      <c r="T38" s="44">
        <f t="shared" si="52"/>
        <v>0.10000000000000009</v>
      </c>
      <c r="U38" s="44">
        <f>U19/T19-1</f>
        <v>0.10000000000000009</v>
      </c>
      <c r="V38" s="44">
        <f>V19/U19-1</f>
        <v>0.10000000000000009</v>
      </c>
    </row>
    <row r="39" spans="1:22" x14ac:dyDescent="0.15">
      <c r="A39" s="53" t="s">
        <v>61</v>
      </c>
      <c r="B39" s="7"/>
      <c r="C39" s="45">
        <f t="shared" ref="C39:T39" si="53">C22/B22-1</f>
        <v>0.30940670150630178</v>
      </c>
      <c r="D39" s="45">
        <f t="shared" si="53"/>
        <v>0.2356508979927221</v>
      </c>
      <c r="E39" s="45">
        <f t="shared" si="53"/>
        <v>0.21289772203702872</v>
      </c>
      <c r="F39" s="45">
        <f t="shared" si="53"/>
        <v>0.20931296298907065</v>
      </c>
      <c r="G39" s="45">
        <f t="shared" si="53"/>
        <v>0.18523316062176165</v>
      </c>
      <c r="H39" s="45">
        <f t="shared" si="53"/>
        <v>0.14999999999999991</v>
      </c>
      <c r="I39" s="45">
        <f t="shared" si="53"/>
        <v>0.14999999999999991</v>
      </c>
      <c r="J39" s="45">
        <f t="shared" si="53"/>
        <v>0.14999999999999991</v>
      </c>
      <c r="K39" s="45">
        <f t="shared" si="53"/>
        <v>0.14999999999999991</v>
      </c>
      <c r="L39" s="45">
        <f t="shared" si="53"/>
        <v>0.10000000000000009</v>
      </c>
      <c r="M39" s="45">
        <f t="shared" si="53"/>
        <v>0.10000000000000009</v>
      </c>
      <c r="N39" s="45">
        <f t="shared" si="53"/>
        <v>0.10000000000000009</v>
      </c>
      <c r="O39" s="45">
        <f t="shared" si="53"/>
        <v>0.10000000000000009</v>
      </c>
      <c r="P39" s="45">
        <f t="shared" si="53"/>
        <v>0.10000000000000009</v>
      </c>
      <c r="Q39" s="45">
        <f t="shared" si="53"/>
        <v>0.10000000000000009</v>
      </c>
      <c r="R39" s="45">
        <f t="shared" si="53"/>
        <v>0.10000000000000009</v>
      </c>
      <c r="S39" s="45">
        <f t="shared" si="53"/>
        <v>0.10000000000000009</v>
      </c>
      <c r="T39" s="45">
        <f t="shared" si="53"/>
        <v>0.10000000000000009</v>
      </c>
      <c r="U39" s="45">
        <f>U22/T22-1</f>
        <v>0.10000000000000009</v>
      </c>
      <c r="V39" s="45">
        <f>V22/U22-1</f>
        <v>0.10000000000000009</v>
      </c>
    </row>
    <row r="40" spans="1:22" x14ac:dyDescent="0.15">
      <c r="A40" s="53" t="s">
        <v>62</v>
      </c>
      <c r="B40" s="7"/>
      <c r="C40" s="45">
        <f t="shared" ref="C40:T40" si="54">C23/B23-1</f>
        <v>0.20269450175992243</v>
      </c>
      <c r="D40" s="45">
        <f t="shared" si="54"/>
        <v>0.2895741245332526</v>
      </c>
      <c r="E40" s="45">
        <f t="shared" si="54"/>
        <v>0.69945196538844123</v>
      </c>
      <c r="F40" s="45">
        <f t="shared" si="54"/>
        <v>0.22166524069982563</v>
      </c>
      <c r="G40" s="45">
        <f t="shared" si="54"/>
        <v>-0.15981907274783269</v>
      </c>
      <c r="H40" s="45">
        <f t="shared" si="54"/>
        <v>5.0000000000000044E-2</v>
      </c>
      <c r="I40" s="45">
        <f t="shared" si="54"/>
        <v>5.0000000000000044E-2</v>
      </c>
      <c r="J40" s="45">
        <f t="shared" si="54"/>
        <v>5.0000000000000044E-2</v>
      </c>
      <c r="K40" s="45">
        <f t="shared" si="54"/>
        <v>5.0000000000000044E-2</v>
      </c>
      <c r="L40" s="45">
        <f t="shared" si="54"/>
        <v>2.0000000000000018E-2</v>
      </c>
      <c r="M40" s="45">
        <f t="shared" si="54"/>
        <v>2.0000000000000018E-2</v>
      </c>
      <c r="N40" s="45">
        <f t="shared" si="54"/>
        <v>2.0000000000000018E-2</v>
      </c>
      <c r="O40" s="45">
        <f t="shared" si="54"/>
        <v>2.0000000000000018E-2</v>
      </c>
      <c r="P40" s="45">
        <f t="shared" si="54"/>
        <v>2.0000000000000018E-2</v>
      </c>
      <c r="Q40" s="45">
        <f t="shared" si="54"/>
        <v>2.0000000000000018E-2</v>
      </c>
      <c r="R40" s="45">
        <f t="shared" si="54"/>
        <v>2.0000000000000018E-2</v>
      </c>
      <c r="S40" s="45">
        <f t="shared" si="54"/>
        <v>2.0000000000000018E-2</v>
      </c>
      <c r="T40" s="45">
        <f t="shared" si="54"/>
        <v>2.0000000000000018E-2</v>
      </c>
      <c r="U40" s="45">
        <f>U23/T23-1</f>
        <v>2.0000000000000018E-2</v>
      </c>
      <c r="V40" s="45">
        <f>V23/U23-1</f>
        <v>2.0000000000000018E-2</v>
      </c>
    </row>
    <row r="41" spans="1:22" x14ac:dyDescent="0.15">
      <c r="A41" s="53" t="s">
        <v>63</v>
      </c>
      <c r="B41" s="7"/>
      <c r="C41" s="45">
        <f t="shared" ref="C41:T41" si="55">C24/B24-1</f>
        <v>0.41906165561287145</v>
      </c>
      <c r="D41" s="45">
        <f t="shared" si="55"/>
        <v>0.4945611909295482</v>
      </c>
      <c r="E41" s="45">
        <f t="shared" si="55"/>
        <v>0.28449470007227151</v>
      </c>
      <c r="F41" s="45">
        <f t="shared" si="55"/>
        <v>-0.17496436116543712</v>
      </c>
      <c r="G41" s="45">
        <f t="shared" si="55"/>
        <v>0.17704918032786887</v>
      </c>
      <c r="H41" s="45">
        <f t="shared" si="55"/>
        <v>-9.9999999999999978E-2</v>
      </c>
      <c r="I41" s="45">
        <f t="shared" si="55"/>
        <v>-9.9999999999999978E-2</v>
      </c>
      <c r="J41" s="45">
        <f t="shared" si="55"/>
        <v>-9.9999999999999978E-2</v>
      </c>
      <c r="K41" s="45">
        <f t="shared" si="55"/>
        <v>-9.9999999999999978E-2</v>
      </c>
      <c r="L41" s="45">
        <f t="shared" si="55"/>
        <v>-1.9999999999999907E-2</v>
      </c>
      <c r="M41" s="45">
        <f t="shared" si="55"/>
        <v>-1.9999999999999907E-2</v>
      </c>
      <c r="N41" s="45">
        <f t="shared" si="55"/>
        <v>-2.0000000000000018E-2</v>
      </c>
      <c r="O41" s="45">
        <f t="shared" si="55"/>
        <v>-2.0000000000000018E-2</v>
      </c>
      <c r="P41" s="45">
        <f t="shared" si="55"/>
        <v>-1.9999999999999907E-2</v>
      </c>
      <c r="Q41" s="45">
        <f t="shared" si="55"/>
        <v>-2.0000000000000018E-2</v>
      </c>
      <c r="R41" s="45">
        <f t="shared" si="55"/>
        <v>-2.0000000000000018E-2</v>
      </c>
      <c r="S41" s="45">
        <f t="shared" si="55"/>
        <v>-1.9999999999999907E-2</v>
      </c>
      <c r="T41" s="45">
        <f t="shared" si="55"/>
        <v>-2.0000000000000018E-2</v>
      </c>
      <c r="U41" s="45">
        <f>U24/T24-1</f>
        <v>-2.0000000000000018E-2</v>
      </c>
      <c r="V41" s="45">
        <f>V24/U24-1</f>
        <v>-2.0000000000000129E-2</v>
      </c>
    </row>
    <row r="42" spans="1:22" s="30" customFormat="1" x14ac:dyDescent="0.15">
      <c r="A42" s="74" t="s">
        <v>98</v>
      </c>
      <c r="B42" s="35"/>
      <c r="C42" s="52">
        <f>C25/B25-1</f>
        <v>0.28640518707483009</v>
      </c>
      <c r="D42" s="52">
        <f>D25/C25-1</f>
        <v>0.31951993389795486</v>
      </c>
      <c r="E42" s="52">
        <f>E25/D25-1</f>
        <v>0.42691688964393992</v>
      </c>
      <c r="F42" s="52">
        <f>F25/E25-1</f>
        <v>0.12168554756883654</v>
      </c>
      <c r="G42" s="52">
        <f>G25/F25-1</f>
        <v>4.6948356807512415E-3</v>
      </c>
      <c r="H42" s="52">
        <f t="shared" ref="H42:T42" si="56">H25/G25-1</f>
        <v>5.4176401869159063E-2</v>
      </c>
      <c r="I42" s="52">
        <f t="shared" si="56"/>
        <v>6.2015514614212286E-2</v>
      </c>
      <c r="J42" s="52">
        <f t="shared" si="56"/>
        <v>6.9332462901199765E-2</v>
      </c>
      <c r="K42" s="52">
        <f t="shared" si="56"/>
        <v>7.6111322301413376E-2</v>
      </c>
      <c r="L42" s="52">
        <f t="shared" si="56"/>
        <v>5.4426669907952308E-2</v>
      </c>
      <c r="M42" s="52">
        <f t="shared" si="56"/>
        <v>5.6400774867886305E-2</v>
      </c>
      <c r="N42" s="52">
        <f t="shared" si="56"/>
        <v>5.8354080781978457E-2</v>
      </c>
      <c r="O42" s="52">
        <f t="shared" si="56"/>
        <v>6.0280905793688611E-2</v>
      </c>
      <c r="P42" s="52">
        <f t="shared" si="56"/>
        <v>6.2175849220349688E-2</v>
      </c>
      <c r="Q42" s="52">
        <f t="shared" si="56"/>
        <v>6.4033855871854062E-2</v>
      </c>
      <c r="R42" s="52">
        <f t="shared" si="56"/>
        <v>6.5850271286567619E-2</v>
      </c>
      <c r="S42" s="52">
        <f t="shared" si="56"/>
        <v>6.7620886773735789E-2</v>
      </c>
      <c r="T42" s="52">
        <f t="shared" si="56"/>
        <v>6.9341973586299677E-2</v>
      </c>
      <c r="U42" s="52">
        <f>U25/T25-1</f>
        <v>7.1010305983560951E-2</v>
      </c>
      <c r="V42" s="52">
        <f>V25/U25-1</f>
        <v>7.2623173354774639E-2</v>
      </c>
    </row>
    <row r="43" spans="1:22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1" t="s">
        <v>33</v>
      </c>
      <c r="B44" s="40">
        <f>B45-B46</f>
        <v>-60.700000000000273</v>
      </c>
      <c r="C44" s="40">
        <f>C45-C46</f>
        <v>-1630.6000000000001</v>
      </c>
      <c r="D44" s="40">
        <f>D45-D46</f>
        <v>-3677</v>
      </c>
      <c r="E44" s="40">
        <f>E45-E46</f>
        <v>-6565.5750000000007</v>
      </c>
      <c r="F44" s="40">
        <f t="shared" ref="F44:G44" si="57">F45-F46</f>
        <v>-9741</v>
      </c>
      <c r="G44" s="40">
        <f t="shared" si="57"/>
        <v>-8103.4500000000007</v>
      </c>
      <c r="H44" s="50">
        <f t="shared" ref="H44:T44" si="58">G44+H30</f>
        <v>-2676.2400180000004</v>
      </c>
      <c r="I44" s="50">
        <f t="shared" si="58"/>
        <v>4744.6018639680033</v>
      </c>
      <c r="J44" s="50">
        <f t="shared" si="58"/>
        <v>14645.212469393839</v>
      </c>
      <c r="K44" s="50">
        <f t="shared" si="58"/>
        <v>27604.65474613856</v>
      </c>
      <c r="L44" s="50">
        <f t="shared" si="58"/>
        <v>44495.841929342467</v>
      </c>
      <c r="M44" s="50">
        <f t="shared" si="58"/>
        <v>63432.409812423619</v>
      </c>
      <c r="N44" s="50">
        <f t="shared" si="58"/>
        <v>84643.646525986987</v>
      </c>
      <c r="O44" s="50">
        <f t="shared" si="58"/>
        <v>108362.49635683275</v>
      </c>
      <c r="P44" s="50">
        <f t="shared" si="58"/>
        <v>134845.5127563194</v>
      </c>
      <c r="Q44" s="50">
        <f t="shared" si="58"/>
        <v>164375.05641890696</v>
      </c>
      <c r="R44" s="50">
        <f t="shared" si="58"/>
        <v>197261.87970313712</v>
      </c>
      <c r="S44" s="50">
        <f t="shared" si="58"/>
        <v>233847.9681527249</v>
      </c>
      <c r="T44" s="50">
        <f t="shared" si="58"/>
        <v>274509.66624372598</v>
      </c>
      <c r="U44" s="50">
        <f>T44+U30</f>
        <v>319661.11576940538</v>
      </c>
      <c r="V44" s="50">
        <f>U44+V30</f>
        <v>369758.03812764923</v>
      </c>
    </row>
    <row r="45" spans="1:22" x14ac:dyDescent="0.15">
      <c r="A45" s="53" t="s">
        <v>34</v>
      </c>
      <c r="B45" s="38">
        <f>Reports!E37</f>
        <v>2310.6</v>
      </c>
      <c r="C45" s="38">
        <f>Reports!I37</f>
        <v>1733.7</v>
      </c>
      <c r="D45" s="38">
        <f>Reports!M37</f>
        <v>2822</v>
      </c>
      <c r="E45" s="38">
        <f>Reports!Q37</f>
        <v>3794.4830000000002</v>
      </c>
      <c r="F45" s="26">
        <f>Reports!U37</f>
        <v>5018</v>
      </c>
      <c r="G45" s="26">
        <f>SUM(Reports!Y37)</f>
        <v>8205.5499999999993</v>
      </c>
    </row>
    <row r="46" spans="1:22" x14ac:dyDescent="0.15">
      <c r="A46" s="53" t="s">
        <v>35</v>
      </c>
      <c r="B46" s="38">
        <f>Reports!E38</f>
        <v>2371.3000000000002</v>
      </c>
      <c r="C46" s="38">
        <f>Reports!I38</f>
        <v>3364.3</v>
      </c>
      <c r="D46" s="38">
        <f>Reports!M38</f>
        <v>6499</v>
      </c>
      <c r="E46" s="38">
        <f>Reports!Q38</f>
        <v>10360.058000000001</v>
      </c>
      <c r="F46" s="26">
        <f>Reports!U38</f>
        <v>14759</v>
      </c>
      <c r="G46" s="26">
        <f>SUM(Reports!Y38)</f>
        <v>16309</v>
      </c>
    </row>
    <row r="47" spans="1:22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53" t="s">
        <v>80</v>
      </c>
      <c r="D48" s="38">
        <f>Reports!M40</f>
        <v>10371.055</v>
      </c>
      <c r="E48" s="38">
        <f>Reports!Q40</f>
        <v>14960.954</v>
      </c>
      <c r="F48" s="26">
        <f>Reports!U40</f>
        <v>24505</v>
      </c>
      <c r="G48" s="26">
        <f>SUM(Reports!Y40)</f>
        <v>25384</v>
      </c>
    </row>
    <row r="49" spans="1:12" x14ac:dyDescent="0.15">
      <c r="A49" s="53" t="s">
        <v>81</v>
      </c>
      <c r="D49" s="38">
        <f>Reports!M41</f>
        <v>19012.741999999998</v>
      </c>
      <c r="E49" s="38">
        <f>Reports!Q41</f>
        <v>25974.400000000001</v>
      </c>
      <c r="F49" s="26">
        <f>Reports!U41</f>
        <v>33976</v>
      </c>
      <c r="G49" s="26">
        <f>SUM(Reports!Y41)</f>
        <v>39280</v>
      </c>
    </row>
    <row r="50" spans="1:12" x14ac:dyDescent="0.15">
      <c r="A50" s="53" t="s">
        <v>82</v>
      </c>
      <c r="D50" s="38">
        <f>Reports!M42</f>
        <v>15430.786</v>
      </c>
      <c r="E50" s="38">
        <f>Reports!Q42</f>
        <v>20735.634999999998</v>
      </c>
      <c r="F50" s="26">
        <f>Reports!U42</f>
        <v>26394</v>
      </c>
      <c r="G50" s="26">
        <f>SUM(Reports!Y42)</f>
        <v>28515</v>
      </c>
    </row>
    <row r="52" spans="1:12" x14ac:dyDescent="0.15">
      <c r="A52" s="53" t="s">
        <v>83</v>
      </c>
      <c r="D52" s="9">
        <f>D49-D48-D45</f>
        <v>5819.6869999999981</v>
      </c>
      <c r="E52" s="9">
        <f>E49-E48-E45</f>
        <v>7218.9630000000016</v>
      </c>
      <c r="F52" s="9">
        <f>F49-F48-F45</f>
        <v>4453</v>
      </c>
      <c r="G52" s="9">
        <f>G49-G48-G45</f>
        <v>5690.4500000000007</v>
      </c>
    </row>
    <row r="53" spans="1:12" x14ac:dyDescent="0.15">
      <c r="A53" s="53" t="s">
        <v>84</v>
      </c>
      <c r="D53" s="9">
        <f>D49-D50</f>
        <v>3581.9559999999983</v>
      </c>
      <c r="E53" s="9">
        <f>E49-E50</f>
        <v>5238.7650000000031</v>
      </c>
      <c r="F53" s="9">
        <f>F49-F50</f>
        <v>7582</v>
      </c>
      <c r="G53" s="9">
        <f>G49-G50</f>
        <v>10765</v>
      </c>
    </row>
    <row r="55" spans="1:12" x14ac:dyDescent="0.15">
      <c r="A55" s="73" t="s">
        <v>86</v>
      </c>
      <c r="D55" s="48">
        <f>D30/D53</f>
        <v>0.156078969144233</v>
      </c>
      <c r="E55" s="48">
        <f>E30/E53</f>
        <v>0.23120754605331598</v>
      </c>
      <c r="F55" s="48">
        <f>F30/F53</f>
        <v>0.24643022949089965</v>
      </c>
      <c r="G55" s="48">
        <f>G30/G53</f>
        <v>0.25652159777055289</v>
      </c>
    </row>
    <row r="56" spans="1:12" x14ac:dyDescent="0.15">
      <c r="A56" s="73" t="s">
        <v>87</v>
      </c>
      <c r="D56" s="48">
        <f>D30/D49</f>
        <v>2.9404911716574077E-2</v>
      </c>
      <c r="E56" s="48">
        <f>E30/E49</f>
        <v>4.6632145497104864E-2</v>
      </c>
      <c r="F56" s="48">
        <f>F30/F49</f>
        <v>5.4992759595008274E-2</v>
      </c>
      <c r="G56" s="48">
        <f>G30/G49</f>
        <v>7.0301807535641594E-2</v>
      </c>
    </row>
    <row r="57" spans="1:12" x14ac:dyDescent="0.15">
      <c r="A57" s="73" t="s">
        <v>88</v>
      </c>
      <c r="D57" s="48">
        <f>D30/(D53-D48)</f>
        <v>-8.234789329187861E-2</v>
      </c>
      <c r="E57" s="48">
        <f>E30/(E53-E48)</f>
        <v>-0.12458531715439816</v>
      </c>
      <c r="F57" s="48">
        <f>F30/(F53-F48)</f>
        <v>-0.1104079654907523</v>
      </c>
      <c r="G57" s="48">
        <f>G30/(G53-G48)</f>
        <v>-0.18889493125384785</v>
      </c>
    </row>
    <row r="58" spans="1:12" x14ac:dyDescent="0.15">
      <c r="A58" s="73" t="s">
        <v>89</v>
      </c>
      <c r="D58" s="48">
        <f>D30/D52</f>
        <v>9.6064960194594692E-2</v>
      </c>
      <c r="E58" s="48">
        <f>E30/E52</f>
        <v>0.16778614878618997</v>
      </c>
      <c r="F58" s="48">
        <f>F30/F52</f>
        <v>0.41958993936671929</v>
      </c>
      <c r="G58" s="48">
        <f>G30/G52</f>
        <v>0.48527884437961871</v>
      </c>
    </row>
    <row r="60" spans="1:12" x14ac:dyDescent="0.15">
      <c r="A60" s="73" t="s">
        <v>76</v>
      </c>
      <c r="C60" s="47">
        <f>C16/B16-1</f>
        <v>0.21249999999999991</v>
      </c>
      <c r="D60" s="47">
        <f>D16/C16-1</f>
        <v>0.24742268041237114</v>
      </c>
      <c r="E60" s="47">
        <f>E16/D16-1</f>
        <v>0.14876033057851235</v>
      </c>
      <c r="F60" s="47">
        <f>F16/E16-1</f>
        <v>0.20143884892086339</v>
      </c>
      <c r="G60" s="47">
        <f>G16/F16-1</f>
        <v>0.21952095808383221</v>
      </c>
      <c r="H60" s="47">
        <f t="shared" ref="H60:L60" si="59">H16/G16-1</f>
        <v>0.19999999999999996</v>
      </c>
      <c r="I60" s="47">
        <f t="shared" si="59"/>
        <v>0.19999999999999996</v>
      </c>
      <c r="J60" s="47">
        <f t="shared" si="59"/>
        <v>0.19999999999999996</v>
      </c>
      <c r="K60" s="47">
        <f t="shared" si="59"/>
        <v>0.19999999999999996</v>
      </c>
      <c r="L60" s="47">
        <f t="shared" si="59"/>
        <v>0.19999999999999996</v>
      </c>
    </row>
    <row r="61" spans="1:12" x14ac:dyDescent="0.15">
      <c r="A61" s="73" t="s">
        <v>78</v>
      </c>
      <c r="C61" s="47">
        <f>C17/B17-1</f>
        <v>7.4281855883010284E-2</v>
      </c>
      <c r="D61" s="47">
        <f>D17/C17-1</f>
        <v>6.1451943909735407E-2</v>
      </c>
      <c r="E61" s="47">
        <f>E17/D17-1</f>
        <v>0.17595982660907117</v>
      </c>
      <c r="F61" s="47">
        <f t="shared" ref="F61:L61" si="60">F17/E17-1</f>
        <v>6.2263026172846958E-2</v>
      </c>
      <c r="G61" s="47">
        <f t="shared" si="60"/>
        <v>1.6808796273986237E-2</v>
      </c>
      <c r="H61" s="47">
        <f t="shared" si="60"/>
        <v>2.0000000000000018E-2</v>
      </c>
      <c r="I61" s="47">
        <f t="shared" si="60"/>
        <v>2.0000000000000018E-2</v>
      </c>
      <c r="J61" s="47">
        <f t="shared" si="60"/>
        <v>2.0000000000000018E-2</v>
      </c>
      <c r="K61" s="47">
        <f t="shared" si="60"/>
        <v>2.0000000000000018E-2</v>
      </c>
      <c r="L61" s="47">
        <f t="shared" si="60"/>
        <v>2.0000000000000018E-2</v>
      </c>
    </row>
  </sheetData>
  <phoneticPr fontId="4" type="noConversion"/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F8532252-781E-2D47-89EC-39C2DE69DD6A}"/>
  </hyperlinks>
  <pageMargins left="0.7" right="0.7" top="0.75" bottom="0.75" header="0.3" footer="0.3"/>
  <pageSetup paperSize="9" orientation="portrait" horizontalDpi="0" verticalDpi="0"/>
  <ignoredErrors>
    <ignoredError sqref="B20" formulaRang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"/>
  <sheetViews>
    <sheetView zoomScale="130" zoomScaleNormal="13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25" sqref="AB25"/>
    </sheetView>
  </sheetViews>
  <sheetFormatPr baseColWidth="10" defaultRowHeight="13" x14ac:dyDescent="0.15"/>
  <cols>
    <col min="1" max="1" width="23.33203125" style="7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6" x14ac:dyDescent="0.15">
      <c r="A1" s="1" t="s">
        <v>69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4" t="s">
        <v>90</v>
      </c>
      <c r="S1" s="5" t="s">
        <v>91</v>
      </c>
      <c r="T1" s="5" t="s">
        <v>92</v>
      </c>
      <c r="U1" s="5" t="s">
        <v>93</v>
      </c>
      <c r="V1" s="56" t="s">
        <v>103</v>
      </c>
      <c r="W1" s="65" t="s">
        <v>105</v>
      </c>
      <c r="X1" s="65" t="s">
        <v>106</v>
      </c>
      <c r="Y1" s="65" t="s">
        <v>107</v>
      </c>
      <c r="Z1" s="65" t="s">
        <v>108</v>
      </c>
    </row>
    <row r="2" spans="1:26" s="63" customFormat="1" x14ac:dyDescent="0.15">
      <c r="A2" s="60"/>
      <c r="B2" s="61" t="s">
        <v>54</v>
      </c>
      <c r="C2" s="61" t="s">
        <v>55</v>
      </c>
      <c r="D2" s="61" t="s">
        <v>56</v>
      </c>
      <c r="E2" s="61" t="s">
        <v>57</v>
      </c>
      <c r="F2" s="62" t="s">
        <v>29</v>
      </c>
      <c r="G2" s="61" t="s">
        <v>28</v>
      </c>
      <c r="H2" s="61" t="s">
        <v>27</v>
      </c>
      <c r="I2" s="61" t="s">
        <v>32</v>
      </c>
      <c r="J2" s="62" t="s">
        <v>31</v>
      </c>
      <c r="K2" s="61" t="s">
        <v>30</v>
      </c>
      <c r="L2" s="61" t="s">
        <v>26</v>
      </c>
      <c r="M2" s="61" t="s">
        <v>36</v>
      </c>
      <c r="N2" s="62" t="s">
        <v>46</v>
      </c>
      <c r="O2" s="61" t="s">
        <v>47</v>
      </c>
      <c r="P2" s="61" t="s">
        <v>48</v>
      </c>
      <c r="Q2" s="61" t="s">
        <v>49</v>
      </c>
      <c r="R2" s="62" t="s">
        <v>94</v>
      </c>
      <c r="S2" s="61" t="s">
        <v>95</v>
      </c>
      <c r="T2" s="61" t="s">
        <v>96</v>
      </c>
      <c r="U2" s="61" t="s">
        <v>97</v>
      </c>
      <c r="V2" s="64">
        <v>43921</v>
      </c>
      <c r="W2" s="66">
        <v>44012</v>
      </c>
      <c r="X2" s="66">
        <v>44104</v>
      </c>
      <c r="Y2" s="66">
        <v>44196</v>
      </c>
      <c r="Z2" s="66">
        <v>44286</v>
      </c>
    </row>
    <row r="3" spans="1:26" x14ac:dyDescent="0.15">
      <c r="A3" s="7" t="s">
        <v>104</v>
      </c>
      <c r="R3" s="3"/>
      <c r="S3" s="2"/>
      <c r="T3" s="2"/>
      <c r="U3" s="2"/>
      <c r="V3" s="3">
        <v>5703.3630000000003</v>
      </c>
      <c r="W3" s="7">
        <v>6086.7150000000001</v>
      </c>
      <c r="X3" s="7">
        <v>6376.8029999999999</v>
      </c>
      <c r="Y3" s="67">
        <v>6644</v>
      </c>
    </row>
    <row r="4" spans="1:26" x14ac:dyDescent="0.15">
      <c r="A4" s="7" t="s">
        <v>60</v>
      </c>
      <c r="B4" s="5">
        <v>173.2</v>
      </c>
      <c r="C4" s="5">
        <v>164</v>
      </c>
      <c r="D4" s="5">
        <v>157.5</v>
      </c>
      <c r="E4" s="5">
        <v>150.9</v>
      </c>
      <c r="F4" s="4">
        <v>144.69999999999999</v>
      </c>
      <c r="G4" s="5">
        <v>138.69999999999999</v>
      </c>
      <c r="H4" s="5">
        <v>132.30000000000001</v>
      </c>
      <c r="I4" s="5">
        <v>126.4</v>
      </c>
      <c r="J4" s="4">
        <v>120.3</v>
      </c>
      <c r="K4" s="5">
        <v>114.7</v>
      </c>
      <c r="L4" s="5">
        <v>110.2</v>
      </c>
      <c r="M4" s="5">
        <v>105.152</v>
      </c>
      <c r="N4" s="4">
        <v>98.751000000000005</v>
      </c>
      <c r="O4" s="5">
        <v>92.903999999999996</v>
      </c>
      <c r="P4" s="5">
        <v>88.777000000000001</v>
      </c>
      <c r="Q4" s="5">
        <v>85.156999999999996</v>
      </c>
      <c r="R4" s="4">
        <v>81</v>
      </c>
      <c r="S4" s="5">
        <v>76</v>
      </c>
      <c r="T4" s="5">
        <v>72</v>
      </c>
      <c r="U4" s="5">
        <v>68.451999999999998</v>
      </c>
      <c r="V4" s="56">
        <v>64.328000000000003</v>
      </c>
      <c r="W4" s="65">
        <v>61.570999999999998</v>
      </c>
      <c r="X4" s="65">
        <v>58.834000000000003</v>
      </c>
    </row>
    <row r="5" spans="1:26" x14ac:dyDescent="0.15">
      <c r="B5" s="5"/>
      <c r="C5" s="5"/>
      <c r="D5" s="5"/>
      <c r="E5" s="5"/>
      <c r="F5" s="4"/>
      <c r="G5" s="5"/>
      <c r="H5" s="5"/>
      <c r="I5" s="5"/>
      <c r="J5" s="4"/>
      <c r="K5" s="5"/>
      <c r="L5" s="5"/>
      <c r="M5" s="5"/>
      <c r="N5" s="4"/>
      <c r="O5" s="5"/>
      <c r="P5" s="5"/>
      <c r="Q5" s="5"/>
      <c r="R5" s="4"/>
      <c r="S5" s="5"/>
      <c r="T5" s="5"/>
      <c r="U5" s="5"/>
      <c r="V5" s="56"/>
    </row>
    <row r="6" spans="1:26" x14ac:dyDescent="0.15">
      <c r="A6" s="7" t="s">
        <v>58</v>
      </c>
      <c r="B6" s="5">
        <v>984.5</v>
      </c>
      <c r="C6" s="5">
        <v>1025.9000000000001</v>
      </c>
      <c r="D6" s="5">
        <v>1063.9000000000001</v>
      </c>
      <c r="E6" s="5">
        <v>1105.9000000000001</v>
      </c>
      <c r="F6" s="4">
        <v>1161.2</v>
      </c>
      <c r="G6" s="5">
        <v>1208.2</v>
      </c>
      <c r="H6" s="5">
        <v>1304.3</v>
      </c>
      <c r="I6" s="5">
        <v>1403.4</v>
      </c>
      <c r="J6" s="4">
        <v>1470</v>
      </c>
      <c r="K6" s="5">
        <v>1505.4</v>
      </c>
      <c r="L6" s="5">
        <v>1547.2</v>
      </c>
      <c r="M6" s="5">
        <v>1630</v>
      </c>
      <c r="N6" s="4">
        <v>1820.019</v>
      </c>
      <c r="O6" s="5">
        <v>1893.222</v>
      </c>
      <c r="P6" s="5">
        <v>1937.3140000000001</v>
      </c>
      <c r="Q6" s="5">
        <v>1996.0920000000001</v>
      </c>
      <c r="R6" s="4">
        <v>2074</v>
      </c>
      <c r="S6" s="5">
        <v>2299</v>
      </c>
      <c r="T6" s="5">
        <v>2413</v>
      </c>
      <c r="U6" s="5">
        <v>2457.663</v>
      </c>
    </row>
    <row r="7" spans="1:26" x14ac:dyDescent="0.15">
      <c r="A7" s="7" t="s">
        <v>59</v>
      </c>
      <c r="B7" s="5">
        <v>415.3</v>
      </c>
      <c r="C7" s="5">
        <v>454.7</v>
      </c>
      <c r="D7" s="5">
        <v>516.79999999999995</v>
      </c>
      <c r="E7" s="5">
        <v>566.4</v>
      </c>
      <c r="F7" s="4">
        <v>651.70000000000005</v>
      </c>
      <c r="G7" s="5">
        <v>758.2</v>
      </c>
      <c r="H7" s="5">
        <v>853.4</v>
      </c>
      <c r="I7" s="5">
        <v>947.6</v>
      </c>
      <c r="J7" s="4">
        <v>1046.2</v>
      </c>
      <c r="K7" s="5">
        <v>1165.2</v>
      </c>
      <c r="L7" s="5">
        <v>1327.4</v>
      </c>
      <c r="M7" s="5">
        <v>1550</v>
      </c>
      <c r="N7" s="4">
        <v>1782.086</v>
      </c>
      <c r="O7" s="5">
        <v>1921.144</v>
      </c>
      <c r="P7" s="5">
        <v>1973.2829999999999</v>
      </c>
      <c r="Q7" s="5">
        <v>2105.5920000000001</v>
      </c>
      <c r="R7" s="4">
        <v>2367</v>
      </c>
      <c r="S7" s="5">
        <v>2548</v>
      </c>
      <c r="T7" s="5">
        <v>2760</v>
      </c>
      <c r="U7" s="5">
        <v>2941.319</v>
      </c>
    </row>
    <row r="8" spans="1:26" x14ac:dyDescent="0.15">
      <c r="B8" s="5"/>
      <c r="C8" s="5"/>
      <c r="D8" s="5"/>
      <c r="E8" s="5"/>
      <c r="F8" s="4"/>
      <c r="G8" s="5"/>
      <c r="H8" s="5"/>
      <c r="I8" s="5"/>
      <c r="J8" s="4"/>
      <c r="K8" s="5"/>
      <c r="L8" s="5"/>
      <c r="M8" s="5"/>
      <c r="N8" s="4"/>
      <c r="O8" s="5"/>
      <c r="P8" s="5"/>
      <c r="Q8" s="5"/>
      <c r="R8" s="4"/>
      <c r="S8" s="5"/>
      <c r="T8" s="5"/>
      <c r="U8" s="5"/>
    </row>
    <row r="9" spans="1:26" x14ac:dyDescent="0.15">
      <c r="A9" s="8" t="s">
        <v>75</v>
      </c>
      <c r="B9" s="5">
        <f>41+21+6</f>
        <v>68</v>
      </c>
      <c r="C9" s="5">
        <f>42+23+5</f>
        <v>70</v>
      </c>
      <c r="D9" s="5">
        <f>43+26+5</f>
        <v>74</v>
      </c>
      <c r="E9" s="5">
        <f>45+30+5</f>
        <v>80</v>
      </c>
      <c r="F9" s="4">
        <f>47+35+5</f>
        <v>87</v>
      </c>
      <c r="G9" s="5">
        <f>47+36+4</f>
        <v>87</v>
      </c>
      <c r="H9" s="5">
        <f>47+39+4</f>
        <v>90</v>
      </c>
      <c r="I9" s="5">
        <f>49+44+4</f>
        <v>97</v>
      </c>
      <c r="J9" s="4">
        <f>51+48+4</f>
        <v>103</v>
      </c>
      <c r="K9" s="5">
        <f>52+52+4</f>
        <v>108</v>
      </c>
      <c r="L9" s="5">
        <f>53+56+4</f>
        <v>113</v>
      </c>
      <c r="M9" s="5">
        <f>55+63+3</f>
        <v>121</v>
      </c>
      <c r="N9" s="4">
        <f>57+68+3</f>
        <v>128</v>
      </c>
      <c r="O9" s="5">
        <f>57+73+3</f>
        <v>133</v>
      </c>
      <c r="P9" s="5">
        <f>58+79+3</f>
        <v>140</v>
      </c>
      <c r="Q9" s="5">
        <v>139</v>
      </c>
      <c r="R9" s="4">
        <f>60+89+3</f>
        <v>152</v>
      </c>
      <c r="S9" s="5">
        <v>152</v>
      </c>
      <c r="T9" s="5">
        <v>158</v>
      </c>
      <c r="U9" s="5">
        <v>167</v>
      </c>
      <c r="V9" s="56">
        <v>183</v>
      </c>
      <c r="W9" s="65">
        <v>193</v>
      </c>
      <c r="X9" s="65">
        <v>195.11099999999999</v>
      </c>
      <c r="Y9" s="65">
        <v>203.66</v>
      </c>
      <c r="Z9" s="65">
        <v>209.66</v>
      </c>
    </row>
    <row r="10" spans="1:26" x14ac:dyDescent="0.15">
      <c r="A10" s="8" t="s">
        <v>77</v>
      </c>
      <c r="B10" s="9">
        <f>SUM(B3:B7)/B9</f>
        <v>23.132352941176471</v>
      </c>
      <c r="C10" s="9">
        <f>SUM(C3:C7)/C9</f>
        <v>23.494285714285716</v>
      </c>
      <c r="D10" s="9">
        <f>SUM(D3:D7)/D9</f>
        <v>23.48918918918919</v>
      </c>
      <c r="E10" s="9">
        <f>SUM(E3:E7)/E9</f>
        <v>22.790000000000003</v>
      </c>
      <c r="F10" s="9">
        <f>SUM(F3:F7)/F9</f>
        <v>22.501149425287359</v>
      </c>
      <c r="G10" s="9">
        <f>SUM(G3:G7)/G9</f>
        <v>24.196551724137937</v>
      </c>
      <c r="H10" s="9">
        <f>SUM(H3:H7)/H9</f>
        <v>25.444444444444443</v>
      </c>
      <c r="I10" s="9">
        <f>SUM(I3:I7)/I9</f>
        <v>25.540206185567012</v>
      </c>
      <c r="J10" s="10">
        <f>SUM(J3:J7)/J9</f>
        <v>25.597087378640776</v>
      </c>
      <c r="K10" s="9">
        <f>SUM(K3:K7)/K9</f>
        <v>25.789814814814818</v>
      </c>
      <c r="L10" s="9">
        <f>SUM(L3:L7)/L9</f>
        <v>26.4141592920354</v>
      </c>
      <c r="M10" s="9">
        <f>SUM(M3:M7)/M9</f>
        <v>27.150016528925619</v>
      </c>
      <c r="N10" s="10">
        <f>SUM(N3:N7)/N9</f>
        <v>28.912937499999998</v>
      </c>
      <c r="O10" s="9">
        <f>SUM(O3:O7)/O9</f>
        <v>29.377969924812032</v>
      </c>
      <c r="P10" s="9">
        <f>SUM(P3:P7)/P9</f>
        <v>28.566957142857142</v>
      </c>
      <c r="Q10" s="9">
        <f>SUM(Q3:Q7)/Q9</f>
        <v>30.121158273381297</v>
      </c>
      <c r="R10" s="10">
        <f>SUM(R3:R7)/R9</f>
        <v>29.75</v>
      </c>
      <c r="S10" s="9">
        <f>SUM(S3:S7)/S9</f>
        <v>32.388157894736842</v>
      </c>
      <c r="T10" s="9">
        <f>SUM(T3:T7)/T9</f>
        <v>33.196202531645568</v>
      </c>
      <c r="U10" s="9">
        <f>SUM(U3:U7)/U9</f>
        <v>32.739125748502993</v>
      </c>
      <c r="V10" s="10">
        <f>SUM(V3:V7)/V9</f>
        <v>31.517437158469949</v>
      </c>
      <c r="W10" s="9">
        <f>SUM(W3:W7)/W9</f>
        <v>31.856404145077722</v>
      </c>
      <c r="X10" s="9">
        <f>SUM(X3:X7)/X9</f>
        <v>32.984490879550613</v>
      </c>
      <c r="Y10" s="9">
        <f>SUM(Y3:Y7)/Y9</f>
        <v>32.622999116174014</v>
      </c>
    </row>
    <row r="11" spans="1:26" s="35" customFormat="1" x14ac:dyDescent="0.15">
      <c r="B11" s="54"/>
      <c r="C11" s="54"/>
      <c r="D11" s="54"/>
      <c r="E11" s="54"/>
      <c r="F11" s="55"/>
      <c r="G11" s="54"/>
      <c r="H11" s="54"/>
      <c r="I11" s="51"/>
      <c r="J11" s="55"/>
      <c r="K11" s="54"/>
      <c r="L11" s="54"/>
      <c r="M11" s="54"/>
      <c r="N11" s="55"/>
      <c r="O11" s="54"/>
      <c r="P11" s="54"/>
      <c r="Q11" s="54"/>
      <c r="R11" s="55">
        <v>4521</v>
      </c>
      <c r="S11" s="54">
        <v>4923</v>
      </c>
      <c r="T11" s="54">
        <v>5245</v>
      </c>
      <c r="U11" s="54">
        <v>5467</v>
      </c>
      <c r="V11" s="57">
        <v>5768</v>
      </c>
      <c r="W11" s="35">
        <v>6048</v>
      </c>
    </row>
    <row r="12" spans="1:26" s="11" customFormat="1" x14ac:dyDescent="0.15">
      <c r="A12" s="11" t="s">
        <v>4</v>
      </c>
      <c r="B12" s="12">
        <f>SUM(B6:B7)</f>
        <v>1399.8</v>
      </c>
      <c r="C12" s="12">
        <f>SUM(C6:C7)</f>
        <v>1480.6000000000001</v>
      </c>
      <c r="D12" s="12">
        <f>SUM(D6:D7)</f>
        <v>1580.7</v>
      </c>
      <c r="E12" s="12">
        <f>SUM(E6:E7)</f>
        <v>1672.3000000000002</v>
      </c>
      <c r="F12" s="13">
        <f>SUM(F6:F7)</f>
        <v>1812.9</v>
      </c>
      <c r="G12" s="12">
        <f>SUM(G6:G7)</f>
        <v>1966.4</v>
      </c>
      <c r="H12" s="12">
        <f>SUM(H6:H7)</f>
        <v>2157.6999999999998</v>
      </c>
      <c r="I12" s="12">
        <f>SUM(I6:I7)</f>
        <v>2351</v>
      </c>
      <c r="J12" s="13">
        <f>SUM(J6:J7)</f>
        <v>2516.1999999999998</v>
      </c>
      <c r="K12" s="12">
        <f>SUM(K6:K7)</f>
        <v>2670.6000000000004</v>
      </c>
      <c r="L12" s="12">
        <f>SUM(L6:L7)</f>
        <v>2874.6000000000004</v>
      </c>
      <c r="M12" s="12">
        <f>SUM(M6:M7)</f>
        <v>3180</v>
      </c>
      <c r="N12" s="13">
        <f>SUM(N6:N7)</f>
        <v>3602.105</v>
      </c>
      <c r="O12" s="12">
        <f>SUM(O6:O7)</f>
        <v>3814.366</v>
      </c>
      <c r="P12" s="12">
        <f>SUM(P6:P7)</f>
        <v>3910.5969999999998</v>
      </c>
      <c r="Q12" s="12">
        <f>SUM(Q6:Q7)</f>
        <v>4101.6840000000002</v>
      </c>
      <c r="R12" s="13">
        <f>R9*R10</f>
        <v>4522</v>
      </c>
      <c r="S12" s="12">
        <f>S9*S10</f>
        <v>4923</v>
      </c>
      <c r="T12" s="12">
        <f>T9*T10</f>
        <v>5245</v>
      </c>
      <c r="U12" s="12">
        <f>U9*U10</f>
        <v>5467.4340000000002</v>
      </c>
      <c r="V12" s="13">
        <f>V9*V10</f>
        <v>5767.6910000000007</v>
      </c>
      <c r="W12" s="12">
        <f>W9*W10</f>
        <v>6148.2860000000001</v>
      </c>
      <c r="X12" s="12">
        <f>X9*X10</f>
        <v>6435.6369999999997</v>
      </c>
      <c r="Y12" s="12">
        <f>Y9*Y10</f>
        <v>6644</v>
      </c>
      <c r="Z12" s="11">
        <v>7129</v>
      </c>
    </row>
    <row r="13" spans="1:26" x14ac:dyDescent="0.15">
      <c r="A13" s="7" t="s">
        <v>5</v>
      </c>
      <c r="B13" s="5">
        <v>1046.4000000000001</v>
      </c>
      <c r="C13" s="5">
        <v>1121.7</v>
      </c>
      <c r="D13" s="5">
        <v>1173.9000000000001</v>
      </c>
      <c r="E13" s="5">
        <v>1249.3</v>
      </c>
      <c r="F13" s="4">
        <v>1369.5</v>
      </c>
      <c r="G13" s="5">
        <v>1473</v>
      </c>
      <c r="H13" s="5">
        <v>1532.8</v>
      </c>
      <c r="I13" s="5">
        <v>1654.4</v>
      </c>
      <c r="J13" s="4">
        <v>1657</v>
      </c>
      <c r="K13" s="5">
        <v>1902.3</v>
      </c>
      <c r="L13" s="5">
        <v>1992.9</v>
      </c>
      <c r="M13" s="5">
        <v>2107</v>
      </c>
      <c r="N13" s="4">
        <v>2196.0749999999998</v>
      </c>
      <c r="O13" s="5">
        <v>2289.8670000000002</v>
      </c>
      <c r="P13" s="5">
        <v>2412.346</v>
      </c>
      <c r="Q13" s="5">
        <v>2733.4</v>
      </c>
      <c r="R13" s="4">
        <v>2871</v>
      </c>
      <c r="S13" s="5">
        <v>3006</v>
      </c>
      <c r="T13" s="5">
        <v>3098</v>
      </c>
      <c r="U13" s="5">
        <v>3466</v>
      </c>
      <c r="V13" s="56">
        <v>3599.701</v>
      </c>
      <c r="W13" s="65">
        <v>3643.7069999999999</v>
      </c>
      <c r="X13" s="65">
        <v>3867.7510000000002</v>
      </c>
      <c r="Y13" s="65">
        <v>4165</v>
      </c>
    </row>
    <row r="14" spans="1:26" x14ac:dyDescent="0.15">
      <c r="A14" s="7" t="s">
        <v>6</v>
      </c>
      <c r="B14" s="9">
        <f>B12-B13</f>
        <v>353.39999999999986</v>
      </c>
      <c r="C14" s="9">
        <f>C12-C13</f>
        <v>358.90000000000009</v>
      </c>
      <c r="D14" s="9">
        <f>D12-D13</f>
        <v>406.79999999999995</v>
      </c>
      <c r="E14" s="9">
        <f>E12-E13</f>
        <v>423.00000000000023</v>
      </c>
      <c r="F14" s="10">
        <f>F12-F13</f>
        <v>443.40000000000009</v>
      </c>
      <c r="G14" s="9">
        <f t="shared" ref="G14:L14" si="0">G12-G13</f>
        <v>493.40000000000009</v>
      </c>
      <c r="H14" s="9">
        <f t="shared" si="0"/>
        <v>624.89999999999986</v>
      </c>
      <c r="I14" s="9">
        <f t="shared" si="0"/>
        <v>696.59999999999991</v>
      </c>
      <c r="J14" s="10">
        <f t="shared" si="0"/>
        <v>859.19999999999982</v>
      </c>
      <c r="K14" s="9">
        <f t="shared" si="0"/>
        <v>768.30000000000041</v>
      </c>
      <c r="L14" s="9">
        <f t="shared" si="0"/>
        <v>881.70000000000027</v>
      </c>
      <c r="M14" s="9">
        <f t="shared" ref="M14:N14" si="1">M12-M13</f>
        <v>1073</v>
      </c>
      <c r="N14" s="10">
        <f t="shared" si="1"/>
        <v>1406.0300000000002</v>
      </c>
      <c r="O14" s="9">
        <f t="shared" ref="O14" si="2">O12-O13</f>
        <v>1524.4989999999998</v>
      </c>
      <c r="P14" s="9">
        <f t="shared" ref="P14:S14" si="3">P12-P13</f>
        <v>1498.2509999999997</v>
      </c>
      <c r="Q14" s="9">
        <f t="shared" si="3"/>
        <v>1368.2840000000001</v>
      </c>
      <c r="R14" s="10">
        <f t="shared" si="3"/>
        <v>1651</v>
      </c>
      <c r="S14" s="9">
        <f t="shared" si="3"/>
        <v>1917</v>
      </c>
      <c r="T14" s="9">
        <f t="shared" ref="T14:Y14" si="4">T12-T13</f>
        <v>2147</v>
      </c>
      <c r="U14" s="9">
        <f t="shared" si="4"/>
        <v>2001.4340000000002</v>
      </c>
      <c r="V14" s="10">
        <f t="shared" si="4"/>
        <v>2167.9900000000007</v>
      </c>
      <c r="W14" s="9">
        <f t="shared" si="4"/>
        <v>2504.5790000000002</v>
      </c>
      <c r="X14" s="9">
        <f t="shared" si="4"/>
        <v>2567.8859999999995</v>
      </c>
      <c r="Y14" s="9">
        <f t="shared" si="4"/>
        <v>2479</v>
      </c>
    </row>
    <row r="15" spans="1:26" x14ac:dyDescent="0.15">
      <c r="A15" s="7" t="s">
        <v>7</v>
      </c>
      <c r="B15" s="5">
        <v>143.1</v>
      </c>
      <c r="C15" s="5">
        <v>155</v>
      </c>
      <c r="D15" s="5">
        <v>171.7</v>
      </c>
      <c r="E15" s="5">
        <v>180.8</v>
      </c>
      <c r="F15" s="4">
        <v>203.5</v>
      </c>
      <c r="G15" s="5">
        <v>207.3</v>
      </c>
      <c r="H15" s="5">
        <v>216</v>
      </c>
      <c r="I15" s="5">
        <v>225.1</v>
      </c>
      <c r="J15" s="4">
        <v>257.10000000000002</v>
      </c>
      <c r="K15" s="5">
        <v>267</v>
      </c>
      <c r="L15" s="5">
        <v>255.2</v>
      </c>
      <c r="M15" s="5">
        <v>273.351</v>
      </c>
      <c r="N15" s="4">
        <v>300.73</v>
      </c>
      <c r="O15" s="5">
        <v>317.21300000000002</v>
      </c>
      <c r="P15" s="5">
        <v>327.02600000000001</v>
      </c>
      <c r="Q15" s="5">
        <v>331.78899999999999</v>
      </c>
      <c r="R15" s="4">
        <v>372</v>
      </c>
      <c r="S15" s="5">
        <v>383</v>
      </c>
      <c r="T15" s="5">
        <v>380</v>
      </c>
      <c r="U15" s="5">
        <v>409</v>
      </c>
      <c r="V15" s="56">
        <v>454</v>
      </c>
      <c r="W15" s="65">
        <v>435</v>
      </c>
      <c r="X15" s="65">
        <v>454</v>
      </c>
      <c r="Y15" s="65">
        <v>487</v>
      </c>
    </row>
    <row r="16" spans="1:26" x14ac:dyDescent="0.15">
      <c r="A16" s="7" t="s">
        <v>8</v>
      </c>
      <c r="B16" s="5">
        <v>194.6</v>
      </c>
      <c r="C16" s="5">
        <v>197.1</v>
      </c>
      <c r="D16" s="5">
        <v>208.1</v>
      </c>
      <c r="E16" s="5">
        <v>224.1</v>
      </c>
      <c r="F16" s="4">
        <v>208</v>
      </c>
      <c r="G16" s="5">
        <v>216</v>
      </c>
      <c r="H16" s="5">
        <v>282</v>
      </c>
      <c r="I16" s="5">
        <v>284.89999999999998</v>
      </c>
      <c r="J16" s="4">
        <v>271.2</v>
      </c>
      <c r="K16" s="5">
        <v>274.3</v>
      </c>
      <c r="L16" s="5">
        <v>312.39999999999998</v>
      </c>
      <c r="M16" s="5">
        <v>419.93900000000002</v>
      </c>
      <c r="N16" s="4">
        <v>479.22199999999998</v>
      </c>
      <c r="O16" s="5">
        <v>526.78</v>
      </c>
      <c r="P16" s="5">
        <v>435.26900000000001</v>
      </c>
      <c r="Q16" s="5">
        <v>730.35500000000002</v>
      </c>
      <c r="R16" s="4">
        <v>617</v>
      </c>
      <c r="S16" s="5">
        <v>603</v>
      </c>
      <c r="T16" s="5">
        <v>554</v>
      </c>
      <c r="U16" s="5">
        <v>879</v>
      </c>
      <c r="V16" s="56">
        <v>504</v>
      </c>
      <c r="W16" s="65">
        <v>434</v>
      </c>
      <c r="X16" s="65">
        <v>528</v>
      </c>
      <c r="Y16" s="65">
        <v>763</v>
      </c>
    </row>
    <row r="17" spans="1:26" x14ac:dyDescent="0.15">
      <c r="A17" s="7" t="s">
        <v>9</v>
      </c>
      <c r="B17" s="5">
        <v>91.4</v>
      </c>
      <c r="C17" s="5">
        <v>95.9</v>
      </c>
      <c r="D17" s="5">
        <v>110.8</v>
      </c>
      <c r="E17" s="5">
        <v>109</v>
      </c>
      <c r="F17" s="4">
        <v>127.2</v>
      </c>
      <c r="G17" s="5">
        <v>138.4</v>
      </c>
      <c r="H17" s="5">
        <v>153.1</v>
      </c>
      <c r="I17" s="5">
        <v>159</v>
      </c>
      <c r="J17" s="4">
        <v>194.2</v>
      </c>
      <c r="K17" s="5">
        <v>213.9</v>
      </c>
      <c r="L17" s="5">
        <v>215.5</v>
      </c>
      <c r="M17" s="5">
        <v>239.80799999999999</v>
      </c>
      <c r="N17" s="4">
        <v>278.25099999999998</v>
      </c>
      <c r="O17" s="5">
        <v>311.197</v>
      </c>
      <c r="P17" s="5">
        <v>344.065</v>
      </c>
      <c r="Q17" s="5">
        <v>175.53</v>
      </c>
      <c r="R17" s="4">
        <v>202</v>
      </c>
      <c r="S17" s="5">
        <v>225</v>
      </c>
      <c r="T17" s="5">
        <v>233</v>
      </c>
      <c r="U17" s="5">
        <v>255</v>
      </c>
      <c r="V17" s="56">
        <v>252</v>
      </c>
      <c r="W17" s="65">
        <v>277</v>
      </c>
      <c r="X17" s="65">
        <v>272</v>
      </c>
      <c r="Y17" s="65">
        <v>276</v>
      </c>
    </row>
    <row r="18" spans="1:26" x14ac:dyDescent="0.15">
      <c r="A18" s="7" t="s">
        <v>10</v>
      </c>
      <c r="B18" s="9">
        <f>SUM(B15:B17)</f>
        <v>429.1</v>
      </c>
      <c r="C18" s="9">
        <f>SUM(C15:C17)</f>
        <v>448</v>
      </c>
      <c r="D18" s="9">
        <f>SUM(D15:D17)</f>
        <v>490.59999999999997</v>
      </c>
      <c r="E18" s="9">
        <f>SUM(E15:E17)</f>
        <v>513.9</v>
      </c>
      <c r="F18" s="10">
        <f>SUM(F15:F17)</f>
        <v>538.70000000000005</v>
      </c>
      <c r="G18" s="9">
        <f t="shared" ref="G18:L18" si="5">SUM(G15:G17)</f>
        <v>561.70000000000005</v>
      </c>
      <c r="H18" s="9">
        <f t="shared" si="5"/>
        <v>651.1</v>
      </c>
      <c r="I18" s="9">
        <f t="shared" si="5"/>
        <v>669</v>
      </c>
      <c r="J18" s="10">
        <f t="shared" si="5"/>
        <v>722.5</v>
      </c>
      <c r="K18" s="9">
        <f t="shared" si="5"/>
        <v>755.19999999999993</v>
      </c>
      <c r="L18" s="9">
        <f t="shared" si="5"/>
        <v>783.09999999999991</v>
      </c>
      <c r="M18" s="9">
        <f t="shared" ref="M18:N18" si="6">SUM(M15:M17)</f>
        <v>933.09799999999996</v>
      </c>
      <c r="N18" s="10">
        <f t="shared" si="6"/>
        <v>1058.203</v>
      </c>
      <c r="O18" s="9">
        <f t="shared" ref="O18" si="7">SUM(O15:O17)</f>
        <v>1155.19</v>
      </c>
      <c r="P18" s="9">
        <f t="shared" ref="P18:S18" si="8">SUM(P15:P17)</f>
        <v>1106.3600000000001</v>
      </c>
      <c r="Q18" s="9">
        <f t="shared" si="8"/>
        <v>1237.674</v>
      </c>
      <c r="R18" s="10">
        <f t="shared" si="8"/>
        <v>1191</v>
      </c>
      <c r="S18" s="9">
        <f t="shared" si="8"/>
        <v>1211</v>
      </c>
      <c r="T18" s="9">
        <f t="shared" ref="T18" si="9">SUM(T15:T17)</f>
        <v>1167</v>
      </c>
      <c r="U18" s="9">
        <f>SUM(U15:U17)</f>
        <v>1543</v>
      </c>
      <c r="V18" s="10">
        <f>SUM(V15:V17)</f>
        <v>1210</v>
      </c>
      <c r="W18" s="9">
        <f t="shared" ref="W18:X18" si="10">SUM(W15:W17)</f>
        <v>1146</v>
      </c>
      <c r="X18" s="9">
        <f t="shared" si="10"/>
        <v>1254</v>
      </c>
      <c r="Y18" s="9">
        <f t="shared" ref="Y18" si="11">SUM(Y15:Y17)</f>
        <v>1526</v>
      </c>
    </row>
    <row r="19" spans="1:26" x14ac:dyDescent="0.15">
      <c r="A19" s="7" t="s">
        <v>11</v>
      </c>
      <c r="B19" s="9">
        <f>B14-B18</f>
        <v>-75.700000000000159</v>
      </c>
      <c r="C19" s="9">
        <f>C14-C18</f>
        <v>-89.099999999999909</v>
      </c>
      <c r="D19" s="9">
        <f>D14-D18</f>
        <v>-83.800000000000011</v>
      </c>
      <c r="E19" s="9">
        <f>E14-E18</f>
        <v>-90.89999999999975</v>
      </c>
      <c r="F19" s="10">
        <f>F14-F18</f>
        <v>-95.299999999999955</v>
      </c>
      <c r="G19" s="9">
        <f t="shared" ref="G19:H19" si="12">G14-G18</f>
        <v>-68.299999999999955</v>
      </c>
      <c r="H19" s="9">
        <f t="shared" si="12"/>
        <v>-26.200000000000159</v>
      </c>
      <c r="I19" s="9">
        <f>I14-I18</f>
        <v>27.599999999999909</v>
      </c>
      <c r="J19" s="10">
        <f>J14-J18</f>
        <v>136.69999999999982</v>
      </c>
      <c r="K19" s="9">
        <f>K14-K18</f>
        <v>13.100000000000477</v>
      </c>
      <c r="L19" s="9">
        <f>L14-L18</f>
        <v>98.600000000000364</v>
      </c>
      <c r="M19" s="9">
        <f t="shared" ref="M19" si="13">M14-M18</f>
        <v>139.90200000000004</v>
      </c>
      <c r="N19" s="10">
        <f t="shared" ref="N19:U19" si="14">N14-N18</f>
        <v>347.82700000000023</v>
      </c>
      <c r="O19" s="9">
        <f t="shared" si="14"/>
        <v>369.30899999999974</v>
      </c>
      <c r="P19" s="9">
        <f t="shared" si="14"/>
        <v>391.89099999999962</v>
      </c>
      <c r="Q19" s="9">
        <f t="shared" si="14"/>
        <v>130.61000000000013</v>
      </c>
      <c r="R19" s="10">
        <f t="shared" si="14"/>
        <v>460</v>
      </c>
      <c r="S19" s="9">
        <f t="shared" si="14"/>
        <v>706</v>
      </c>
      <c r="T19" s="9">
        <f t="shared" si="14"/>
        <v>980</v>
      </c>
      <c r="U19" s="9">
        <f t="shared" si="14"/>
        <v>458.4340000000002</v>
      </c>
      <c r="V19" s="10">
        <f t="shared" ref="V19:W19" si="15">V14-V18</f>
        <v>957.99000000000069</v>
      </c>
      <c r="W19" s="9">
        <f t="shared" si="15"/>
        <v>1358.5790000000002</v>
      </c>
      <c r="X19" s="9">
        <f t="shared" ref="X19:Y19" si="16">X14-X18</f>
        <v>1313.8859999999995</v>
      </c>
      <c r="Y19" s="9">
        <f t="shared" si="16"/>
        <v>953</v>
      </c>
    </row>
    <row r="20" spans="1:26" x14ac:dyDescent="0.15">
      <c r="A20" s="7" t="s">
        <v>12</v>
      </c>
      <c r="B20" s="5">
        <f>-26.7-32.2</f>
        <v>-58.900000000000006</v>
      </c>
      <c r="C20" s="5">
        <f>-35.2+0.8</f>
        <v>-34.400000000000006</v>
      </c>
      <c r="D20" s="5">
        <f>-35.3+3.9</f>
        <v>-31.4</v>
      </c>
      <c r="E20" s="5">
        <f>-35.4-3.7</f>
        <v>-39.1</v>
      </c>
      <c r="F20" s="4">
        <f>-35.5+25.9</f>
        <v>-9.6000000000000014</v>
      </c>
      <c r="G20" s="5">
        <f>-35.5+16.3</f>
        <v>-19.2</v>
      </c>
      <c r="H20" s="5">
        <f>-35.5+8.6</f>
        <v>-26.9</v>
      </c>
      <c r="I20" s="5">
        <f>-43.5-20</f>
        <v>-63.5</v>
      </c>
      <c r="J20" s="4">
        <f>-46.7+13.6</f>
        <v>-33.1</v>
      </c>
      <c r="K20" s="5">
        <f>-55.4-58.3</f>
        <v>-113.69999999999999</v>
      </c>
      <c r="L20" s="5">
        <f>-60.6-31.7</f>
        <v>-92.3</v>
      </c>
      <c r="M20" s="5">
        <f>-75.292-38.681</f>
        <v>-113.973</v>
      </c>
      <c r="N20" s="4">
        <f>-81.219-65.743</f>
        <v>-146.96199999999999</v>
      </c>
      <c r="O20" s="5">
        <f>-101.605+68.028</f>
        <v>-33.576999999999998</v>
      </c>
      <c r="P20" s="5">
        <f>-108.862+7.004</f>
        <v>-101.85799999999999</v>
      </c>
      <c r="Q20" s="5">
        <f>-128.807+32.436</f>
        <v>-96.370999999999981</v>
      </c>
      <c r="R20" s="4">
        <f>-136+76</f>
        <v>-60</v>
      </c>
      <c r="S20" s="5">
        <f>+-152-53</f>
        <v>-205</v>
      </c>
      <c r="T20" s="5">
        <f>-160+193</f>
        <v>33</v>
      </c>
      <c r="U20" s="5">
        <f>-178-131</f>
        <v>-309</v>
      </c>
      <c r="V20" s="6">
        <f>+-184+22</f>
        <v>-162</v>
      </c>
      <c r="W20" s="7">
        <f>+-189-133</f>
        <v>-322</v>
      </c>
      <c r="X20" s="7">
        <f>+-197-256</f>
        <v>-453</v>
      </c>
      <c r="Y20" s="7">
        <f>+-197-251</f>
        <v>-448</v>
      </c>
    </row>
    <row r="21" spans="1:26" x14ac:dyDescent="0.15">
      <c r="A21" s="7" t="s">
        <v>13</v>
      </c>
      <c r="B21" s="9">
        <f>B19+B20</f>
        <v>-134.60000000000016</v>
      </c>
      <c r="C21" s="9">
        <f>C19+C20</f>
        <v>-123.49999999999991</v>
      </c>
      <c r="D21" s="9">
        <f>D19+D20</f>
        <v>-115.20000000000002</v>
      </c>
      <c r="E21" s="9">
        <f>E19+E20</f>
        <v>-129.99999999999974</v>
      </c>
      <c r="F21" s="10">
        <f>F19+F20</f>
        <v>-104.89999999999995</v>
      </c>
      <c r="G21" s="9">
        <f t="shared" ref="G21:I21" si="17">G19+G20</f>
        <v>-87.499999999999957</v>
      </c>
      <c r="H21" s="9">
        <f t="shared" si="17"/>
        <v>-53.100000000000158</v>
      </c>
      <c r="I21" s="9">
        <f t="shared" si="17"/>
        <v>-35.900000000000091</v>
      </c>
      <c r="J21" s="10">
        <f t="shared" ref="J21:K21" si="18">J19+J20</f>
        <v>103.59999999999982</v>
      </c>
      <c r="K21" s="9">
        <f t="shared" si="18"/>
        <v>-100.59999999999951</v>
      </c>
      <c r="L21" s="9">
        <f t="shared" ref="L21:N21" si="19">L19+L20</f>
        <v>6.3000000000003666</v>
      </c>
      <c r="M21" s="9">
        <f t="shared" si="19"/>
        <v>25.929000000000045</v>
      </c>
      <c r="N21" s="10">
        <f t="shared" si="19"/>
        <v>200.86500000000024</v>
      </c>
      <c r="O21" s="9">
        <f t="shared" ref="O21" si="20">O19+O20</f>
        <v>335.73199999999974</v>
      </c>
      <c r="P21" s="9">
        <f t="shared" ref="P21:S21" si="21">P19+P20</f>
        <v>290.03299999999962</v>
      </c>
      <c r="Q21" s="9">
        <f t="shared" si="21"/>
        <v>34.239000000000146</v>
      </c>
      <c r="R21" s="10">
        <f t="shared" si="21"/>
        <v>400</v>
      </c>
      <c r="S21" s="9">
        <f t="shared" si="21"/>
        <v>501</v>
      </c>
      <c r="T21" s="9">
        <f>T19+T20</f>
        <v>1013</v>
      </c>
      <c r="U21" s="9">
        <f>U19+U20</f>
        <v>149.4340000000002</v>
      </c>
      <c r="V21" s="10">
        <f>V19+V20</f>
        <v>795.99000000000069</v>
      </c>
      <c r="W21" s="9">
        <f>W19+W20</f>
        <v>1036.5790000000002</v>
      </c>
      <c r="X21" s="9">
        <f>X19+X20</f>
        <v>860.88599999999951</v>
      </c>
      <c r="Y21" s="9">
        <f>Y19+Y20</f>
        <v>505</v>
      </c>
    </row>
    <row r="22" spans="1:26" x14ac:dyDescent="0.15">
      <c r="A22" s="7" t="s">
        <v>14</v>
      </c>
      <c r="B22" s="5">
        <v>14.7</v>
      </c>
      <c r="C22" s="5">
        <v>14.1</v>
      </c>
      <c r="D22" s="5">
        <v>12.8</v>
      </c>
      <c r="E22" s="5">
        <v>-22.4</v>
      </c>
      <c r="F22" s="4">
        <v>12.2</v>
      </c>
      <c r="G22" s="5">
        <v>10.4</v>
      </c>
      <c r="H22" s="5">
        <v>27.6</v>
      </c>
      <c r="I22" s="5">
        <v>23.5</v>
      </c>
      <c r="J22" s="4">
        <v>45.6</v>
      </c>
      <c r="K22" s="5">
        <v>-51.6</v>
      </c>
      <c r="L22" s="5">
        <v>-13.3</v>
      </c>
      <c r="M22" s="5">
        <v>-54.186999999999998</v>
      </c>
      <c r="N22" s="4">
        <v>9.4920000000000009</v>
      </c>
      <c r="O22" s="5">
        <v>44.286999999999999</v>
      </c>
      <c r="P22" s="5">
        <v>-24.024999999999999</v>
      </c>
      <c r="Q22" s="5">
        <v>-14.538</v>
      </c>
      <c r="R22" s="4">
        <v>56</v>
      </c>
      <c r="S22" s="5">
        <v>230</v>
      </c>
      <c r="T22" s="5">
        <v>347</v>
      </c>
      <c r="U22" s="5">
        <v>-438</v>
      </c>
      <c r="V22" s="56">
        <v>87</v>
      </c>
      <c r="W22" s="65">
        <v>315</v>
      </c>
      <c r="X22" s="65">
        <v>71</v>
      </c>
      <c r="Y22" s="65">
        <v>-36</v>
      </c>
    </row>
    <row r="23" spans="1:26" s="11" customFormat="1" x14ac:dyDescent="0.15">
      <c r="A23" s="11" t="s">
        <v>15</v>
      </c>
      <c r="B23" s="12">
        <f>B21-B22</f>
        <v>-149.30000000000015</v>
      </c>
      <c r="C23" s="12">
        <f>C21-C22</f>
        <v>-137.59999999999991</v>
      </c>
      <c r="D23" s="12">
        <f>D21-D22</f>
        <v>-128.00000000000003</v>
      </c>
      <c r="E23" s="12">
        <f>E21-E22</f>
        <v>-107.59999999999974</v>
      </c>
      <c r="F23" s="13">
        <f>F21-F22</f>
        <v>-117.09999999999995</v>
      </c>
      <c r="G23" s="12">
        <f t="shared" ref="G23:H23" si="22">G21-G22</f>
        <v>-97.899999999999963</v>
      </c>
      <c r="H23" s="12">
        <f t="shared" si="22"/>
        <v>-80.700000000000159</v>
      </c>
      <c r="I23" s="12">
        <f>I21-I22</f>
        <v>-59.400000000000091</v>
      </c>
      <c r="J23" s="13">
        <f>J21-J22</f>
        <v>57.999999999999822</v>
      </c>
      <c r="K23" s="12">
        <f>K21-K22</f>
        <v>-48.99999999999951</v>
      </c>
      <c r="L23" s="12">
        <f>L21-L22</f>
        <v>19.600000000000367</v>
      </c>
      <c r="M23" s="12">
        <f t="shared" ref="M23" si="23">M21-M22</f>
        <v>80.116000000000042</v>
      </c>
      <c r="N23" s="13">
        <f t="shared" ref="N23:V23" si="24">N21-N22</f>
        <v>191.37300000000025</v>
      </c>
      <c r="O23" s="12">
        <f t="shared" si="24"/>
        <v>291.44499999999977</v>
      </c>
      <c r="P23" s="12">
        <f t="shared" si="24"/>
        <v>314.05799999999959</v>
      </c>
      <c r="Q23" s="12">
        <f t="shared" si="24"/>
        <v>48.777000000000143</v>
      </c>
      <c r="R23" s="13">
        <f t="shared" si="24"/>
        <v>344</v>
      </c>
      <c r="S23" s="12">
        <f t="shared" si="24"/>
        <v>271</v>
      </c>
      <c r="T23" s="12">
        <f t="shared" si="24"/>
        <v>666</v>
      </c>
      <c r="U23" s="12">
        <f t="shared" si="24"/>
        <v>587.4340000000002</v>
      </c>
      <c r="V23" s="13">
        <f t="shared" si="24"/>
        <v>708.99000000000069</v>
      </c>
      <c r="W23" s="12">
        <f t="shared" ref="W23:X23" si="25">W21-W22</f>
        <v>721.57900000000018</v>
      </c>
      <c r="X23" s="12">
        <f t="shared" si="25"/>
        <v>789.88599999999951</v>
      </c>
      <c r="Y23" s="12">
        <f t="shared" ref="Y23" si="26">Y21-Y22</f>
        <v>541</v>
      </c>
    </row>
    <row r="24" spans="1:26" x14ac:dyDescent="0.15">
      <c r="A24" s="7" t="s">
        <v>16</v>
      </c>
      <c r="B24" s="14">
        <f t="shared" ref="B24:H24" si="27">IFERROR(B23/B25,0)</f>
        <v>-0.34416781927155404</v>
      </c>
      <c r="C24" s="14">
        <f t="shared" si="27"/>
        <v>-0.31559633027522915</v>
      </c>
      <c r="D24" s="14">
        <f t="shared" si="27"/>
        <v>-0.29250457038391231</v>
      </c>
      <c r="E24" s="14">
        <f t="shared" si="27"/>
        <v>-0.24554997717936955</v>
      </c>
      <c r="F24" s="15">
        <f t="shared" si="27"/>
        <v>-0.26741265129024883</v>
      </c>
      <c r="G24" s="14">
        <f t="shared" si="27"/>
        <v>-0.22346496233736579</v>
      </c>
      <c r="H24" s="14">
        <f t="shared" si="27"/>
        <v>-0.18412046543463417</v>
      </c>
      <c r="I24" s="14">
        <f t="shared" ref="I24:L24" si="28">IFERROR(I23/I25,0)</f>
        <v>-0.1350000000000002</v>
      </c>
      <c r="J24" s="15">
        <f t="shared" si="28"/>
        <v>0.13022002694207416</v>
      </c>
      <c r="K24" s="14">
        <f t="shared" si="28"/>
        <v>-0.10981622590766363</v>
      </c>
      <c r="L24" s="14">
        <f t="shared" si="28"/>
        <v>4.3818466353678441E-2</v>
      </c>
      <c r="M24" s="14">
        <f t="shared" ref="M24:N24" si="29">IFERROR(M23/M25,0)</f>
        <v>0.17877369226718326</v>
      </c>
      <c r="N24" s="15">
        <f t="shared" si="29"/>
        <v>0.42493433016771121</v>
      </c>
      <c r="O24" s="14">
        <f t="shared" ref="O24" si="30">IFERROR(O23/O25,0)</f>
        <v>0.64542954078378512</v>
      </c>
      <c r="P24" s="14">
        <f t="shared" ref="P24:S24" si="31">IFERROR(P23/P25,0)</f>
        <v>0.69494312033793582</v>
      </c>
      <c r="Q24" s="14">
        <f t="shared" si="31"/>
        <v>0.10812518287979177</v>
      </c>
      <c r="R24" s="15">
        <f t="shared" si="31"/>
        <v>0.76119330326914814</v>
      </c>
      <c r="S24" s="14">
        <f t="shared" si="31"/>
        <v>0.59929897499972362</v>
      </c>
      <c r="T24" s="14">
        <f t="shared" ref="T24:V24" si="32">IFERROR(T23/T25,0)</f>
        <v>1.474913188292821</v>
      </c>
      <c r="U24" s="14">
        <f t="shared" si="32"/>
        <v>1.3014553567274527</v>
      </c>
      <c r="V24" s="15">
        <f t="shared" si="32"/>
        <v>1.5668495051868105</v>
      </c>
      <c r="W24" s="14">
        <f t="shared" ref="W24:X24" si="33">IFERROR(W23/W25,0)</f>
        <v>1.5895736267609517</v>
      </c>
      <c r="X24" s="14">
        <f t="shared" si="33"/>
        <v>1.7356774953415592</v>
      </c>
      <c r="Y24" s="14">
        <f t="shared" ref="Y24" si="34">IFERROR(Y23/Y25,0)</f>
        <v>1.1882719099988359</v>
      </c>
    </row>
    <row r="25" spans="1:26" x14ac:dyDescent="0.15">
      <c r="A25" s="7" t="s">
        <v>17</v>
      </c>
      <c r="B25" s="5">
        <v>433.8</v>
      </c>
      <c r="C25" s="5">
        <v>436</v>
      </c>
      <c r="D25" s="5">
        <v>437.6</v>
      </c>
      <c r="E25" s="5">
        <v>438.2</v>
      </c>
      <c r="F25" s="4">
        <v>437.9</v>
      </c>
      <c r="G25" s="5">
        <v>438.1</v>
      </c>
      <c r="H25" s="5">
        <v>438.3</v>
      </c>
      <c r="I25" s="5">
        <v>440</v>
      </c>
      <c r="J25" s="4">
        <v>445.4</v>
      </c>
      <c r="K25" s="5">
        <v>446.2</v>
      </c>
      <c r="L25" s="5">
        <v>447.3</v>
      </c>
      <c r="M25" s="5">
        <v>448.142</v>
      </c>
      <c r="N25" s="4">
        <v>450.35899999999998</v>
      </c>
      <c r="O25" s="5">
        <v>451.55200000000002</v>
      </c>
      <c r="P25" s="5">
        <v>451.91899999999998</v>
      </c>
      <c r="Q25" s="5">
        <v>451.11599999999999</v>
      </c>
      <c r="R25" s="4">
        <v>451.92200000000003</v>
      </c>
      <c r="S25" s="5">
        <v>452.19499999999999</v>
      </c>
      <c r="T25" s="5">
        <v>451.55200000000002</v>
      </c>
      <c r="U25" s="5">
        <v>451.36700000000002</v>
      </c>
      <c r="V25" s="4">
        <v>452.49400000000003</v>
      </c>
      <c r="W25" s="65">
        <v>453.94499999999999</v>
      </c>
      <c r="X25" s="65">
        <v>455.08800000000002</v>
      </c>
      <c r="Y25" s="65">
        <v>455.28300000000002</v>
      </c>
    </row>
    <row r="26" spans="1:26" x14ac:dyDescent="0.15">
      <c r="B26" s="5"/>
      <c r="C26" s="5"/>
      <c r="D26" s="5"/>
      <c r="E26" s="5"/>
      <c r="F26" s="4"/>
      <c r="G26" s="5"/>
      <c r="H26" s="5"/>
      <c r="I26" s="5"/>
      <c r="J26" s="4"/>
      <c r="K26" s="5"/>
      <c r="L26" s="5"/>
      <c r="M26" s="5"/>
      <c r="N26" s="4"/>
      <c r="O26" s="5"/>
      <c r="P26" s="5"/>
      <c r="Q26" s="5"/>
      <c r="R26" s="4"/>
      <c r="S26" s="5"/>
      <c r="T26" s="5"/>
      <c r="U26" s="5"/>
    </row>
    <row r="27" spans="1:26" x14ac:dyDescent="0.15">
      <c r="A27" s="7" t="s">
        <v>19</v>
      </c>
      <c r="B27" s="20">
        <f t="shared" ref="B27:Q27" si="35">IFERROR(B14/B12,0)</f>
        <v>0.25246463780540068</v>
      </c>
      <c r="C27" s="20">
        <f t="shared" si="35"/>
        <v>0.24240172902877216</v>
      </c>
      <c r="D27" s="20">
        <f t="shared" si="35"/>
        <v>0.25735433668627822</v>
      </c>
      <c r="E27" s="20">
        <f t="shared" si="35"/>
        <v>0.25294504574538074</v>
      </c>
      <c r="F27" s="21">
        <f t="shared" si="35"/>
        <v>0.24458050637100781</v>
      </c>
      <c r="G27" s="20">
        <f t="shared" si="35"/>
        <v>0.25091537835638733</v>
      </c>
      <c r="H27" s="20">
        <f t="shared" si="35"/>
        <v>0.28961394077026459</v>
      </c>
      <c r="I27" s="20">
        <f t="shared" si="35"/>
        <v>0.29629944704381111</v>
      </c>
      <c r="J27" s="21">
        <f t="shared" si="35"/>
        <v>0.34146729194817577</v>
      </c>
      <c r="K27" s="20">
        <f t="shared" si="35"/>
        <v>0.28768815996405311</v>
      </c>
      <c r="L27" s="20">
        <f t="shared" si="35"/>
        <v>0.30672093508662079</v>
      </c>
      <c r="M27" s="20">
        <f t="shared" si="35"/>
        <v>0.33742138364779872</v>
      </c>
      <c r="N27" s="21">
        <f t="shared" si="35"/>
        <v>0.39033565095964728</v>
      </c>
      <c r="O27" s="20">
        <f t="shared" si="35"/>
        <v>0.39967297317562073</v>
      </c>
      <c r="P27" s="20">
        <f t="shared" si="35"/>
        <v>0.38312590123707452</v>
      </c>
      <c r="Q27" s="20">
        <f t="shared" si="35"/>
        <v>0.33359078856391666</v>
      </c>
      <c r="R27" s="21">
        <f t="shared" ref="R27:U27" si="36">IFERROR(R14/R12,0)</f>
        <v>0.36510393631136667</v>
      </c>
      <c r="S27" s="20">
        <f t="shared" si="36"/>
        <v>0.38939670932358317</v>
      </c>
      <c r="T27" s="20">
        <f t="shared" si="36"/>
        <v>0.40934223069590087</v>
      </c>
      <c r="U27" s="20">
        <f t="shared" si="36"/>
        <v>0.36606459264071595</v>
      </c>
      <c r="V27" s="21">
        <f t="shared" ref="V27:W27" si="37">IFERROR(V14/V12,0)</f>
        <v>0.37588525460188493</v>
      </c>
      <c r="W27" s="20">
        <f t="shared" si="37"/>
        <v>0.40736214938602405</v>
      </c>
      <c r="X27" s="20">
        <f t="shared" ref="X27:Y27" si="38">IFERROR(X14/X12,0)</f>
        <v>0.39901038545213158</v>
      </c>
      <c r="Y27" s="20">
        <f t="shared" si="38"/>
        <v>0.37311860325105356</v>
      </c>
    </row>
    <row r="28" spans="1:26" x14ac:dyDescent="0.15">
      <c r="A28" s="7" t="s">
        <v>20</v>
      </c>
      <c r="B28" s="22">
        <f t="shared" ref="B28:Q28" si="39">IFERROR(B19/B12,0)</f>
        <v>-5.4079154164880815E-2</v>
      </c>
      <c r="C28" s="22">
        <f t="shared" si="39"/>
        <v>-6.0178306092124746E-2</v>
      </c>
      <c r="D28" s="22">
        <f t="shared" si="39"/>
        <v>-5.3014487252483082E-2</v>
      </c>
      <c r="E28" s="22">
        <f t="shared" si="39"/>
        <v>-5.4356275787836958E-2</v>
      </c>
      <c r="F28" s="23">
        <f t="shared" si="39"/>
        <v>-5.2567709195212066E-2</v>
      </c>
      <c r="G28" s="22">
        <f t="shared" si="39"/>
        <v>-3.4733523189585003E-2</v>
      </c>
      <c r="H28" s="22">
        <f t="shared" si="39"/>
        <v>-1.2142559206562618E-2</v>
      </c>
      <c r="I28" s="22">
        <f t="shared" si="39"/>
        <v>1.1739685240323228E-2</v>
      </c>
      <c r="J28" s="23">
        <f t="shared" si="39"/>
        <v>5.4327954852555371E-2</v>
      </c>
      <c r="K28" s="22">
        <f t="shared" si="39"/>
        <v>4.9052647345167663E-3</v>
      </c>
      <c r="L28" s="22">
        <f t="shared" si="39"/>
        <v>3.4300424406874121E-2</v>
      </c>
      <c r="M28" s="22">
        <f t="shared" si="39"/>
        <v>4.3994339622641522E-2</v>
      </c>
      <c r="N28" s="23">
        <f t="shared" si="39"/>
        <v>9.6562149076720477E-2</v>
      </c>
      <c r="O28" s="22">
        <f t="shared" si="39"/>
        <v>9.6820546324081047E-2</v>
      </c>
      <c r="P28" s="22">
        <f t="shared" si="39"/>
        <v>0.10021257623835943</v>
      </c>
      <c r="Q28" s="22">
        <f t="shared" si="39"/>
        <v>3.1843018623570252E-2</v>
      </c>
      <c r="R28" s="23">
        <f t="shared" ref="R28:T28" si="40">IFERROR(R19/R12,0)</f>
        <v>0.10172490048651039</v>
      </c>
      <c r="S28" s="22">
        <f t="shared" si="40"/>
        <v>0.14340849075766809</v>
      </c>
      <c r="T28" s="22">
        <f t="shared" si="40"/>
        <v>0.18684461391801716</v>
      </c>
      <c r="U28" s="22">
        <f>IFERROR(U19/U12,0)</f>
        <v>8.3848108637433971E-2</v>
      </c>
      <c r="V28" s="23">
        <f>IFERROR(V19/V12,0)</f>
        <v>0.16609592989638325</v>
      </c>
      <c r="W28" s="22">
        <f t="shared" ref="W28:X28" si="41">IFERROR(W19/W12,0)</f>
        <v>0.22096873827925378</v>
      </c>
      <c r="X28" s="22">
        <f t="shared" si="41"/>
        <v>0.2041578790102673</v>
      </c>
      <c r="Y28" s="22">
        <f t="shared" ref="Y28" si="42">IFERROR(Y19/Y12,0)</f>
        <v>0.14343768813967489</v>
      </c>
    </row>
    <row r="29" spans="1:26" x14ac:dyDescent="0.15">
      <c r="A29" s="7" t="s">
        <v>21</v>
      </c>
      <c r="B29" s="22">
        <f t="shared" ref="B29:Q29" si="43">IFERROR(B22/B21,0)</f>
        <v>-0.1092124814264486</v>
      </c>
      <c r="C29" s="22">
        <f t="shared" si="43"/>
        <v>-0.11417004048583003</v>
      </c>
      <c r="D29" s="22">
        <f t="shared" si="43"/>
        <v>-0.1111111111111111</v>
      </c>
      <c r="E29" s="22">
        <f t="shared" si="43"/>
        <v>0.17230769230769263</v>
      </c>
      <c r="F29" s="23">
        <f t="shared" si="43"/>
        <v>-0.11630123927550053</v>
      </c>
      <c r="G29" s="22">
        <f t="shared" si="43"/>
        <v>-0.11885714285714293</v>
      </c>
      <c r="H29" s="22">
        <f t="shared" si="43"/>
        <v>-0.51977401129943346</v>
      </c>
      <c r="I29" s="22">
        <f t="shared" si="43"/>
        <v>-0.65459610027854986</v>
      </c>
      <c r="J29" s="23">
        <f t="shared" si="43"/>
        <v>0.44015444015444094</v>
      </c>
      <c r="K29" s="22">
        <f t="shared" si="43"/>
        <v>0.51292246520875007</v>
      </c>
      <c r="L29" s="22">
        <f t="shared" si="43"/>
        <v>-2.1111111111109881</v>
      </c>
      <c r="M29" s="22">
        <f t="shared" si="43"/>
        <v>-2.0898222067954761</v>
      </c>
      <c r="N29" s="23">
        <f t="shared" si="43"/>
        <v>4.7255619445896443E-2</v>
      </c>
      <c r="O29" s="22">
        <f t="shared" si="43"/>
        <v>0.13191176295378465</v>
      </c>
      <c r="P29" s="22">
        <f t="shared" si="43"/>
        <v>-8.2835401488796201E-2</v>
      </c>
      <c r="Q29" s="22">
        <f t="shared" si="43"/>
        <v>-0.42460352229913079</v>
      </c>
      <c r="R29" s="23">
        <f t="shared" ref="R29:T29" si="44">IFERROR(R22/R21,0)</f>
        <v>0.14000000000000001</v>
      </c>
      <c r="S29" s="22">
        <f t="shared" si="44"/>
        <v>0.45908183632734528</v>
      </c>
      <c r="T29" s="22">
        <f t="shared" si="44"/>
        <v>0.34254689042448172</v>
      </c>
      <c r="U29" s="22">
        <f>IFERROR(U22/U21,0)</f>
        <v>-2.9310598658939693</v>
      </c>
      <c r="V29" s="23">
        <f>IFERROR(V22/V21,0)</f>
        <v>0.10929785550069715</v>
      </c>
      <c r="W29" s="22">
        <f t="shared" ref="W29:X29" si="45">IFERROR(W22/W21,0)</f>
        <v>0.30388421914779284</v>
      </c>
      <c r="X29" s="22">
        <f t="shared" si="45"/>
        <v>8.2473172986899587E-2</v>
      </c>
      <c r="Y29" s="22">
        <f t="shared" ref="Y29" si="46">IFERROR(Y22/Y21,0)</f>
        <v>-7.1287128712871281E-2</v>
      </c>
    </row>
    <row r="30" spans="1:26" x14ac:dyDescent="0.15">
      <c r="R30" s="3"/>
      <c r="S30" s="2"/>
      <c r="T30" s="2"/>
      <c r="U30" s="2"/>
      <c r="V30" s="3"/>
      <c r="W30" s="2"/>
      <c r="X30" s="2"/>
      <c r="Y30" s="2"/>
    </row>
    <row r="31" spans="1:26" s="11" customFormat="1" x14ac:dyDescent="0.15">
      <c r="A31" s="11" t="s">
        <v>18</v>
      </c>
      <c r="B31" s="16"/>
      <c r="C31" s="16"/>
      <c r="D31" s="16"/>
      <c r="E31" s="16"/>
      <c r="F31" s="17">
        <f>IFERROR((F12/B12)-1,0)</f>
        <v>0.29511358765537943</v>
      </c>
      <c r="G31" s="16">
        <f>IFERROR((G12/C12)-1,0)</f>
        <v>0.32811022558422254</v>
      </c>
      <c r="H31" s="16">
        <f t="shared" ref="H31" si="47">IFERROR((H12/D12)-1,0)</f>
        <v>0.36502815208451933</v>
      </c>
      <c r="I31" s="16">
        <f>IFERROR((I12/E12)-1,0)</f>
        <v>0.40584823297255257</v>
      </c>
      <c r="J31" s="17">
        <f>IFERROR((J12/F12)-1,0)</f>
        <v>0.38794197142699516</v>
      </c>
      <c r="K31" s="16">
        <f t="shared" ref="K31" si="48">IFERROR((K12/G12)-1,0)</f>
        <v>0.3581163547599675</v>
      </c>
      <c r="L31" s="16">
        <f>IFERROR((L12/H12)-1,0)</f>
        <v>0.33225193493071359</v>
      </c>
      <c r="M31" s="16">
        <f t="shared" ref="M31" si="49">IFERROR((M12/I12)-1,0)</f>
        <v>0.3526159081242024</v>
      </c>
      <c r="N31" s="17">
        <f>IFERROR((N12/J12)-1,0)</f>
        <v>0.43156545584611727</v>
      </c>
      <c r="O31" s="16">
        <f t="shared" ref="O31" si="50">IFERROR((O12/K12)-1,0)</f>
        <v>0.42828053620909134</v>
      </c>
      <c r="P31" s="16">
        <f>IFERROR((P12/L12)-1,0)</f>
        <v>0.36039692478953578</v>
      </c>
      <c r="Q31" s="16">
        <f>IFERROR((Q12/M12)-1,0)</f>
        <v>0.2898377358490567</v>
      </c>
      <c r="R31" s="17">
        <f>IFERROR((R12/N12)-1,0)</f>
        <v>0.25537706424437934</v>
      </c>
      <c r="S31" s="16">
        <f t="shared" ref="S31" si="51">IFERROR((S12/O12)-1,0)</f>
        <v>0.29064699087607226</v>
      </c>
      <c r="T31" s="16">
        <f>IFERROR((T12/P12)-1,0)</f>
        <v>0.34122743918639542</v>
      </c>
      <c r="U31" s="16">
        <f>IFERROR((U12/Q12)-1,0)</f>
        <v>0.33297299353143739</v>
      </c>
      <c r="V31" s="17">
        <f>IFERROR((V12/R12)-1,0)</f>
        <v>0.27547346306943843</v>
      </c>
      <c r="W31" s="16">
        <f>IFERROR((W12/S12)-1,0)</f>
        <v>0.24889010765793218</v>
      </c>
      <c r="X31" s="16">
        <f>IFERROR((X12/T12)-1,0)</f>
        <v>0.22700419447092468</v>
      </c>
      <c r="Y31" s="16">
        <f>IFERROR((Y12/U12)-1,0)</f>
        <v>0.21519528173545388</v>
      </c>
      <c r="Z31" s="16">
        <f>IFERROR((Z12/V12)-1,0)</f>
        <v>0.23602321969051387</v>
      </c>
    </row>
    <row r="32" spans="1:26" x14ac:dyDescent="0.15">
      <c r="A32" s="7" t="s">
        <v>61</v>
      </c>
      <c r="B32" s="18"/>
      <c r="C32" s="18"/>
      <c r="D32" s="18"/>
      <c r="E32" s="18"/>
      <c r="F32" s="19">
        <f t="shared" ref="F32:Q34" si="52">F15/B15-1</f>
        <v>0.42208245981830883</v>
      </c>
      <c r="G32" s="18">
        <f t="shared" si="52"/>
        <v>0.33741935483870966</v>
      </c>
      <c r="H32" s="18">
        <f t="shared" si="52"/>
        <v>0.25800815375655217</v>
      </c>
      <c r="I32" s="18">
        <f t="shared" si="52"/>
        <v>0.24502212389380529</v>
      </c>
      <c r="J32" s="19">
        <f t="shared" si="52"/>
        <v>0.26339066339066353</v>
      </c>
      <c r="K32" s="18">
        <f t="shared" si="52"/>
        <v>0.28798842257597679</v>
      </c>
      <c r="L32" s="18">
        <f t="shared" si="52"/>
        <v>0.18148148148148135</v>
      </c>
      <c r="M32" s="18">
        <f t="shared" si="52"/>
        <v>0.21435362061306096</v>
      </c>
      <c r="N32" s="19">
        <f t="shared" si="52"/>
        <v>0.16970050563982886</v>
      </c>
      <c r="O32" s="18">
        <f t="shared" si="52"/>
        <v>0.18806367041198513</v>
      </c>
      <c r="P32" s="18">
        <f t="shared" si="52"/>
        <v>0.28144984326018818</v>
      </c>
      <c r="Q32" s="18">
        <f t="shared" si="52"/>
        <v>0.21378374324586336</v>
      </c>
      <c r="R32" s="19">
        <f t="shared" ref="R32:R34" si="53">R15/N15-1</f>
        <v>0.2369899910218467</v>
      </c>
      <c r="S32" s="18">
        <f t="shared" ref="S32:S34" si="54">S15/O15-1</f>
        <v>0.20739061766068856</v>
      </c>
      <c r="T32" s="18">
        <f t="shared" ref="T32:T34" si="55">T15/P15-1</f>
        <v>0.16198712029012974</v>
      </c>
      <c r="U32" s="18">
        <f t="shared" ref="U32:Y34" si="56">U15/Q15-1</f>
        <v>0.23271115076147808</v>
      </c>
      <c r="V32" s="19">
        <f t="shared" si="56"/>
        <v>0.22043010752688175</v>
      </c>
      <c r="W32" s="18">
        <f t="shared" si="56"/>
        <v>0.13577023498694518</v>
      </c>
      <c r="X32" s="18">
        <f t="shared" si="56"/>
        <v>0.1947368421052631</v>
      </c>
      <c r="Y32" s="18">
        <f t="shared" si="56"/>
        <v>0.19070904645476783</v>
      </c>
    </row>
    <row r="33" spans="1:25" x14ac:dyDescent="0.15">
      <c r="A33" s="7" t="s">
        <v>62</v>
      </c>
      <c r="B33" s="18"/>
      <c r="C33" s="18"/>
      <c r="D33" s="18"/>
      <c r="E33" s="18"/>
      <c r="F33" s="19">
        <f t="shared" si="52"/>
        <v>6.8859198355601281E-2</v>
      </c>
      <c r="G33" s="18">
        <f t="shared" si="52"/>
        <v>9.5890410958904049E-2</v>
      </c>
      <c r="H33" s="18">
        <f t="shared" si="52"/>
        <v>0.35511773185968298</v>
      </c>
      <c r="I33" s="18">
        <f t="shared" si="52"/>
        <v>0.27130745203034357</v>
      </c>
      <c r="J33" s="19">
        <f t="shared" si="52"/>
        <v>0.30384615384615388</v>
      </c>
      <c r="K33" s="18">
        <f t="shared" si="52"/>
        <v>0.26990740740740748</v>
      </c>
      <c r="L33" s="18">
        <f t="shared" si="52"/>
        <v>0.10780141843971625</v>
      </c>
      <c r="M33" s="18">
        <f t="shared" si="52"/>
        <v>0.47398736398736419</v>
      </c>
      <c r="N33" s="19">
        <f t="shared" si="52"/>
        <v>0.76704277286135691</v>
      </c>
      <c r="O33" s="18">
        <f t="shared" si="52"/>
        <v>0.9204520597885526</v>
      </c>
      <c r="P33" s="18">
        <f t="shared" si="52"/>
        <v>0.39330665813060195</v>
      </c>
      <c r="Q33" s="18">
        <f t="shared" si="52"/>
        <v>0.73919307327969053</v>
      </c>
      <c r="R33" s="19">
        <f t="shared" si="53"/>
        <v>0.28750349524854868</v>
      </c>
      <c r="S33" s="18">
        <f t="shared" si="54"/>
        <v>0.14469038308212157</v>
      </c>
      <c r="T33" s="18">
        <f t="shared" si="55"/>
        <v>0.27277614532622363</v>
      </c>
      <c r="U33" s="18">
        <f t="shared" si="56"/>
        <v>0.20352431351876832</v>
      </c>
      <c r="V33" s="19">
        <f t="shared" si="56"/>
        <v>-0.18314424635332249</v>
      </c>
      <c r="W33" s="18">
        <f t="shared" si="56"/>
        <v>-0.28026533996683245</v>
      </c>
      <c r="X33" s="18">
        <f t="shared" si="56"/>
        <v>-4.6931407942238268E-2</v>
      </c>
      <c r="Y33" s="18">
        <f t="shared" si="56"/>
        <v>-0.13196814562002279</v>
      </c>
    </row>
    <row r="34" spans="1:25" x14ac:dyDescent="0.15">
      <c r="A34" s="7" t="s">
        <v>74</v>
      </c>
      <c r="B34" s="18"/>
      <c r="C34" s="18"/>
      <c r="D34" s="18"/>
      <c r="E34" s="18"/>
      <c r="F34" s="19">
        <f t="shared" si="52"/>
        <v>0.39168490153172852</v>
      </c>
      <c r="G34" s="18">
        <f t="shared" si="52"/>
        <v>0.44316996871741399</v>
      </c>
      <c r="H34" s="18">
        <f t="shared" si="52"/>
        <v>0.38176895306859193</v>
      </c>
      <c r="I34" s="18">
        <f t="shared" si="52"/>
        <v>0.45871559633027514</v>
      </c>
      <c r="J34" s="19">
        <f t="shared" si="52"/>
        <v>0.52672955974842761</v>
      </c>
      <c r="K34" s="18">
        <f t="shared" si="52"/>
        <v>0.54552023121387272</v>
      </c>
      <c r="L34" s="18">
        <f t="shared" si="52"/>
        <v>0.40757674722403658</v>
      </c>
      <c r="M34" s="18">
        <f t="shared" si="52"/>
        <v>0.50822641509433963</v>
      </c>
      <c r="N34" s="19">
        <f t="shared" si="52"/>
        <v>0.43280638516992798</v>
      </c>
      <c r="O34" s="18">
        <f t="shared" si="52"/>
        <v>0.45487143525011686</v>
      </c>
      <c r="P34" s="18">
        <f t="shared" si="52"/>
        <v>0.59658932714617174</v>
      </c>
      <c r="Q34" s="18">
        <f t="shared" si="52"/>
        <v>-0.26803943154523613</v>
      </c>
      <c r="R34" s="19">
        <f t="shared" si="53"/>
        <v>-0.27403675099101166</v>
      </c>
      <c r="S34" s="18">
        <f t="shared" si="54"/>
        <v>-0.2769853179818571</v>
      </c>
      <c r="T34" s="18">
        <f t="shared" si="55"/>
        <v>-0.32280237745774776</v>
      </c>
      <c r="U34" s="18">
        <f t="shared" si="56"/>
        <v>0.45274312083404555</v>
      </c>
      <c r="V34" s="19">
        <f t="shared" si="56"/>
        <v>0.24752475247524752</v>
      </c>
      <c r="W34" s="18">
        <f t="shared" si="56"/>
        <v>0.23111111111111104</v>
      </c>
      <c r="X34" s="18">
        <f t="shared" si="56"/>
        <v>0.16738197424892709</v>
      </c>
      <c r="Y34" s="18">
        <f t="shared" si="56"/>
        <v>8.2352941176470518E-2</v>
      </c>
    </row>
    <row r="35" spans="1:25" x14ac:dyDescent="0.15">
      <c r="R35" s="3"/>
      <c r="S35" s="2"/>
      <c r="T35" s="2"/>
      <c r="U35" s="2"/>
      <c r="V35" s="3"/>
      <c r="W35" s="2"/>
    </row>
    <row r="36" spans="1:25" s="11" customFormat="1" x14ac:dyDescent="0.15">
      <c r="A36" s="11" t="s">
        <v>33</v>
      </c>
      <c r="B36" s="12">
        <f>B37-B38</f>
        <v>557.59999999999991</v>
      </c>
      <c r="C36" s="12">
        <f>C37-C38</f>
        <v>396.60000000000036</v>
      </c>
      <c r="D36" s="12">
        <f>D37-D38</f>
        <v>209.59999999999991</v>
      </c>
      <c r="E36" s="12">
        <f>E37-E38</f>
        <v>-60.700000000000273</v>
      </c>
      <c r="F36" s="13">
        <f>F37-F38</f>
        <v>-299.79999999999973</v>
      </c>
      <c r="G36" s="12">
        <f t="shared" ref="G36:K36" si="57">G37-G38</f>
        <v>-538.79999999999995</v>
      </c>
      <c r="H36" s="12">
        <f t="shared" si="57"/>
        <v>-1030.7</v>
      </c>
      <c r="I36" s="12">
        <f t="shared" si="57"/>
        <v>-1630.6000000000001</v>
      </c>
      <c r="J36" s="13">
        <f t="shared" si="57"/>
        <v>-2024.2000000000003</v>
      </c>
      <c r="K36" s="12">
        <f t="shared" si="57"/>
        <v>-2671.7</v>
      </c>
      <c r="L36" s="12">
        <f>L37-L38</f>
        <v>-3142.2999999999997</v>
      </c>
      <c r="M36" s="12">
        <f t="shared" ref="M36:N36" si="58">M37-M38</f>
        <v>-3677</v>
      </c>
      <c r="N36" s="13">
        <f t="shared" si="58"/>
        <v>-3948.7069999999994</v>
      </c>
      <c r="O36" s="12">
        <f>O37-O38</f>
        <v>-4435.7099999999991</v>
      </c>
      <c r="P36" s="12">
        <f>P37-P38</f>
        <v>-5269.0519999999997</v>
      </c>
      <c r="Q36" s="12">
        <f>Q37-Q38</f>
        <v>-6565.5750000000007</v>
      </c>
      <c r="R36" s="13">
        <f t="shared" ref="R36" si="59">R37-R38</f>
        <v>-6956</v>
      </c>
      <c r="S36" s="12">
        <f>S37-S38</f>
        <v>-7590</v>
      </c>
      <c r="T36" s="12">
        <f>T37-T38</f>
        <v>-7991</v>
      </c>
      <c r="U36" s="12">
        <f>U37-U38</f>
        <v>-9741</v>
      </c>
      <c r="V36" s="13">
        <f>V37-V38</f>
        <v>-9518</v>
      </c>
      <c r="W36" s="12">
        <f>W37-W38</f>
        <v>-8641</v>
      </c>
      <c r="X36" s="12">
        <f>X37-X38</f>
        <v>-7655</v>
      </c>
      <c r="Y36" s="12">
        <f>Y37-Y38</f>
        <v>-8103.4500000000007</v>
      </c>
    </row>
    <row r="37" spans="1:25" x14ac:dyDescent="0.15">
      <c r="A37" s="7" t="s">
        <v>34</v>
      </c>
      <c r="B37" s="5">
        <f>2454.7+502.9</f>
        <v>2957.6</v>
      </c>
      <c r="C37" s="5">
        <f>2293.8+502.8</f>
        <v>2796.6000000000004</v>
      </c>
      <c r="D37" s="5">
        <f>2115.4+494.2</f>
        <v>2609.6</v>
      </c>
      <c r="E37" s="5">
        <f>1809.3+501.3</f>
        <v>2310.6</v>
      </c>
      <c r="F37" s="4">
        <f>1605.2+467.2</f>
        <v>2072.4</v>
      </c>
      <c r="G37" s="5">
        <f>1390.9+443.3</f>
        <v>1834.2</v>
      </c>
      <c r="H37" s="5">
        <f>969.1+374.1</f>
        <v>1343.2</v>
      </c>
      <c r="I37" s="5">
        <f>1467.5+266.2</f>
        <v>1733.7</v>
      </c>
      <c r="J37" s="4">
        <f>1077.8+263.4</f>
        <v>1341.1999999999998</v>
      </c>
      <c r="K37" s="5">
        <f>1918.7+246.1</f>
        <v>2164.8000000000002</v>
      </c>
      <c r="L37" s="5">
        <v>1746.4</v>
      </c>
      <c r="M37" s="5">
        <v>2822</v>
      </c>
      <c r="N37" s="4">
        <v>2593.6660000000002</v>
      </c>
      <c r="O37" s="5">
        <v>3906.357</v>
      </c>
      <c r="P37" s="5">
        <v>3067.5340000000001</v>
      </c>
      <c r="Q37" s="5">
        <v>3794.4830000000002</v>
      </c>
      <c r="R37" s="4">
        <v>3349</v>
      </c>
      <c r="S37" s="5">
        <v>5004</v>
      </c>
      <c r="T37" s="5">
        <v>4435</v>
      </c>
      <c r="U37" s="5">
        <v>5018</v>
      </c>
      <c r="V37" s="4">
        <v>5152</v>
      </c>
      <c r="W37" s="5">
        <v>7153</v>
      </c>
      <c r="X37" s="65">
        <v>8392</v>
      </c>
      <c r="Y37" s="65">
        <v>8205.5499999999993</v>
      </c>
    </row>
    <row r="38" spans="1:25" x14ac:dyDescent="0.15">
      <c r="A38" s="7" t="s">
        <v>35</v>
      </c>
      <c r="B38" s="5">
        <v>2400</v>
      </c>
      <c r="C38" s="5">
        <v>2400</v>
      </c>
      <c r="D38" s="5">
        <v>2400</v>
      </c>
      <c r="E38" s="5">
        <v>2371.3000000000002</v>
      </c>
      <c r="F38" s="4">
        <v>2372.1999999999998</v>
      </c>
      <c r="G38" s="5">
        <v>2373</v>
      </c>
      <c r="H38" s="5">
        <v>2373.9</v>
      </c>
      <c r="I38" s="5">
        <v>3364.3</v>
      </c>
      <c r="J38" s="4">
        <v>3365.4</v>
      </c>
      <c r="K38" s="5">
        <v>4836.5</v>
      </c>
      <c r="L38" s="5">
        <v>4888.7</v>
      </c>
      <c r="M38" s="5">
        <v>6499</v>
      </c>
      <c r="N38" s="4">
        <v>6542.3729999999996</v>
      </c>
      <c r="O38" s="5">
        <v>8342.0669999999991</v>
      </c>
      <c r="P38" s="5">
        <v>8336.5859999999993</v>
      </c>
      <c r="Q38" s="5">
        <v>10360.058000000001</v>
      </c>
      <c r="R38" s="4">
        <v>10305</v>
      </c>
      <c r="S38" s="5">
        <v>12594</v>
      </c>
      <c r="T38" s="5">
        <v>12426</v>
      </c>
      <c r="U38" s="5">
        <v>14759</v>
      </c>
      <c r="V38" s="4">
        <f>499+14171</f>
        <v>14670</v>
      </c>
      <c r="W38" s="5">
        <f>499+15295</f>
        <v>15794</v>
      </c>
      <c r="X38" s="7">
        <f>499+15548</f>
        <v>16047</v>
      </c>
      <c r="Y38" s="7">
        <f>500+15809</f>
        <v>16309</v>
      </c>
    </row>
    <row r="39" spans="1:25" x14ac:dyDescent="0.15">
      <c r="R39" s="3"/>
      <c r="S39" s="2"/>
      <c r="T39" s="2"/>
      <c r="U39" s="2"/>
      <c r="V39" s="3"/>
    </row>
    <row r="40" spans="1:25" s="29" customFormat="1" x14ac:dyDescent="0.15">
      <c r="A40" s="29" t="s">
        <v>80</v>
      </c>
      <c r="B40" s="5"/>
      <c r="C40" s="5"/>
      <c r="D40" s="5"/>
      <c r="E40" s="5"/>
      <c r="F40" s="4"/>
      <c r="G40" s="5"/>
      <c r="H40" s="5"/>
      <c r="I40" s="5"/>
      <c r="J40" s="4"/>
      <c r="K40" s="5"/>
      <c r="L40" s="5"/>
      <c r="M40" s="5">
        <v>10371.055</v>
      </c>
      <c r="N40" s="4"/>
      <c r="O40" s="5"/>
      <c r="P40" s="5"/>
      <c r="Q40" s="5">
        <v>14960.954</v>
      </c>
      <c r="R40" s="4"/>
      <c r="S40" s="5"/>
      <c r="T40" s="5"/>
      <c r="U40" s="5">
        <v>24505</v>
      </c>
      <c r="V40" s="4">
        <v>25267</v>
      </c>
      <c r="W40" s="29">
        <v>25155</v>
      </c>
      <c r="X40" s="29">
        <v>25068</v>
      </c>
      <c r="Y40" s="29">
        <v>25384</v>
      </c>
    </row>
    <row r="41" spans="1:25" s="29" customFormat="1" x14ac:dyDescent="0.15">
      <c r="A41" s="29" t="s">
        <v>81</v>
      </c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>
        <v>19012.741999999998</v>
      </c>
      <c r="N41" s="4"/>
      <c r="O41" s="5"/>
      <c r="P41" s="5"/>
      <c r="Q41" s="5">
        <v>25974.400000000001</v>
      </c>
      <c r="R41" s="4"/>
      <c r="S41" s="5"/>
      <c r="T41" s="5"/>
      <c r="U41" s="5">
        <v>33976</v>
      </c>
      <c r="V41" s="4">
        <v>35060</v>
      </c>
      <c r="W41" s="29">
        <v>37175</v>
      </c>
      <c r="X41" s="29">
        <v>38623</v>
      </c>
      <c r="Y41" s="29">
        <v>39280</v>
      </c>
    </row>
    <row r="42" spans="1:25" s="29" customFormat="1" x14ac:dyDescent="0.15">
      <c r="A42" s="29" t="s">
        <v>82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>
        <v>15430.786</v>
      </c>
      <c r="N42" s="4"/>
      <c r="O42" s="5"/>
      <c r="P42" s="5"/>
      <c r="Q42" s="5">
        <v>20735.634999999998</v>
      </c>
      <c r="R42" s="4"/>
      <c r="S42" s="5"/>
      <c r="T42" s="5"/>
      <c r="U42" s="5">
        <v>26394</v>
      </c>
      <c r="V42" s="4">
        <v>26651</v>
      </c>
      <c r="W42" s="29">
        <v>27841</v>
      </c>
      <c r="X42" s="29">
        <v>28289</v>
      </c>
      <c r="Y42" s="29">
        <v>28515</v>
      </c>
    </row>
    <row r="43" spans="1:25" x14ac:dyDescent="0.15">
      <c r="R43" s="3"/>
      <c r="S43" s="2"/>
      <c r="T43" s="2"/>
      <c r="U43" s="2"/>
      <c r="V43" s="3"/>
    </row>
    <row r="44" spans="1:25" x14ac:dyDescent="0.15">
      <c r="A44" s="7" t="s">
        <v>83</v>
      </c>
      <c r="M44" s="9">
        <f>M41-M40-M37</f>
        <v>5819.6869999999981</v>
      </c>
      <c r="Q44" s="9">
        <f>Q41-Q40-Q37</f>
        <v>7218.9630000000016</v>
      </c>
      <c r="R44" s="3"/>
      <c r="S44" s="2"/>
      <c r="T44" s="2"/>
      <c r="U44" s="9">
        <f>U41-U40-U37</f>
        <v>4453</v>
      </c>
      <c r="V44" s="10">
        <f>V41-V40-V37</f>
        <v>4641</v>
      </c>
      <c r="W44" s="9">
        <f>W41-W40-W37</f>
        <v>4867</v>
      </c>
      <c r="X44" s="9">
        <f>X41-X40-X37</f>
        <v>5163</v>
      </c>
      <c r="Y44" s="9">
        <f>Y41-Y40-Y37</f>
        <v>5690.4500000000007</v>
      </c>
    </row>
    <row r="45" spans="1:25" x14ac:dyDescent="0.15">
      <c r="A45" s="7" t="s">
        <v>84</v>
      </c>
      <c r="M45" s="9">
        <f>M41-M42</f>
        <v>3581.9559999999983</v>
      </c>
      <c r="Q45" s="9">
        <f>Q41-Q42</f>
        <v>5238.7650000000031</v>
      </c>
      <c r="R45" s="3"/>
      <c r="S45" s="2"/>
      <c r="T45" s="2"/>
      <c r="U45" s="9">
        <f>U41-U42</f>
        <v>7582</v>
      </c>
      <c r="V45" s="10">
        <f>V41-V42</f>
        <v>8409</v>
      </c>
      <c r="W45" s="9">
        <f>W41-W42</f>
        <v>9334</v>
      </c>
      <c r="X45" s="9">
        <f>X41-X42</f>
        <v>10334</v>
      </c>
      <c r="Y45" s="9">
        <f>Y41-Y42</f>
        <v>10765</v>
      </c>
    </row>
    <row r="46" spans="1:25" x14ac:dyDescent="0.15">
      <c r="R46" s="3"/>
      <c r="S46" s="2"/>
      <c r="T46" s="2"/>
      <c r="U46" s="2"/>
      <c r="V46" s="3"/>
      <c r="W46" s="2"/>
      <c r="X46" s="2"/>
    </row>
    <row r="47" spans="1:25" s="11" customFormat="1" x14ac:dyDescent="0.15">
      <c r="A47" s="11" t="s">
        <v>85</v>
      </c>
      <c r="B47" s="49"/>
      <c r="C47" s="49"/>
      <c r="D47" s="49"/>
      <c r="E47" s="12">
        <f t="shared" ref="E47:Q47" si="60">SUM(B23:E23)</f>
        <v>-522.49999999999977</v>
      </c>
      <c r="F47" s="13">
        <f t="shared" si="60"/>
        <v>-490.29999999999961</v>
      </c>
      <c r="G47" s="12">
        <f t="shared" si="60"/>
        <v>-450.59999999999968</v>
      </c>
      <c r="H47" s="12">
        <f t="shared" si="60"/>
        <v>-403.29999999999984</v>
      </c>
      <c r="I47" s="12">
        <f t="shared" si="60"/>
        <v>-355.10000000000014</v>
      </c>
      <c r="J47" s="13">
        <f t="shared" si="60"/>
        <v>-180.0000000000004</v>
      </c>
      <c r="K47" s="12">
        <f t="shared" si="60"/>
        <v>-131.09999999999994</v>
      </c>
      <c r="L47" s="12">
        <f t="shared" si="60"/>
        <v>-30.799999999999411</v>
      </c>
      <c r="M47" s="12">
        <f t="shared" si="60"/>
        <v>108.71600000000072</v>
      </c>
      <c r="N47" s="13">
        <f t="shared" si="60"/>
        <v>242.08900000000114</v>
      </c>
      <c r="O47" s="12">
        <f t="shared" si="60"/>
        <v>582.53400000000033</v>
      </c>
      <c r="P47" s="12">
        <f t="shared" si="60"/>
        <v>876.99199999999951</v>
      </c>
      <c r="Q47" s="12">
        <f t="shared" si="60"/>
        <v>845.65299999999968</v>
      </c>
      <c r="R47" s="13">
        <f t="shared" ref="R47" si="61">SUM(O23:R23)</f>
        <v>998.27999999999952</v>
      </c>
      <c r="S47" s="12">
        <f t="shared" ref="S47" si="62">SUM(P23:S23)</f>
        <v>977.83499999999981</v>
      </c>
      <c r="T47" s="12">
        <f t="shared" ref="T47" si="63">SUM(Q23:T23)</f>
        <v>1329.777</v>
      </c>
      <c r="U47" s="12">
        <f t="shared" ref="U47:Y47" si="64">SUM(R23:U23)</f>
        <v>1868.4340000000002</v>
      </c>
      <c r="V47" s="13">
        <f t="shared" si="64"/>
        <v>2233.4240000000009</v>
      </c>
      <c r="W47" s="12">
        <f t="shared" si="64"/>
        <v>2684.0030000000011</v>
      </c>
      <c r="X47" s="12">
        <f t="shared" si="64"/>
        <v>2807.8890000000006</v>
      </c>
      <c r="Y47" s="12">
        <f t="shared" si="64"/>
        <v>2761.4550000000004</v>
      </c>
    </row>
    <row r="48" spans="1:25" x14ac:dyDescent="0.15">
      <c r="A48" s="7" t="s">
        <v>86</v>
      </c>
      <c r="M48" s="20">
        <f>M47/M45</f>
        <v>3.0351014920339828E-2</v>
      </c>
      <c r="Q48" s="20">
        <f>Q47/Q45</f>
        <v>0.16142220542436991</v>
      </c>
      <c r="R48" s="3"/>
      <c r="S48" s="2"/>
      <c r="T48" s="2"/>
      <c r="U48" s="20">
        <f>U47/U45</f>
        <v>0.24643022949089952</v>
      </c>
      <c r="V48" s="21">
        <f>V47/V45</f>
        <v>0.26559923891069104</v>
      </c>
      <c r="W48" s="20">
        <f>W47/W45</f>
        <v>0.28755121062781241</v>
      </c>
      <c r="X48" s="20">
        <f>X47/X45</f>
        <v>0.27171366363460425</v>
      </c>
      <c r="Y48" s="20">
        <f>Y47/Y45</f>
        <v>0.25652159777055278</v>
      </c>
    </row>
    <row r="49" spans="1:26" x14ac:dyDescent="0.15">
      <c r="A49" s="7" t="s">
        <v>87</v>
      </c>
      <c r="M49" s="20">
        <f>M47/M41</f>
        <v>5.7180600252189151E-3</v>
      </c>
      <c r="Q49" s="20">
        <f>Q47/Q41</f>
        <v>3.2557171676727843E-2</v>
      </c>
      <c r="R49" s="3"/>
      <c r="S49" s="2"/>
      <c r="T49" s="2"/>
      <c r="U49" s="20">
        <f>U47/U41</f>
        <v>5.4992759595008246E-2</v>
      </c>
      <c r="V49" s="21">
        <f>V47/V41</f>
        <v>6.3702909298345725E-2</v>
      </c>
      <c r="W49" s="20">
        <f>W47/W41</f>
        <v>7.2199139206455987E-2</v>
      </c>
      <c r="X49" s="20">
        <f>X47/X41</f>
        <v>7.2699919736944327E-2</v>
      </c>
      <c r="Y49" s="20">
        <f>Y47/Y41</f>
        <v>7.0301807535641553E-2</v>
      </c>
    </row>
    <row r="50" spans="1:26" x14ac:dyDescent="0.15">
      <c r="A50" s="7" t="s">
        <v>88</v>
      </c>
      <c r="M50" s="20">
        <f>M47/(M45-M40)</f>
        <v>-1.6013317820229266E-2</v>
      </c>
      <c r="Q50" s="20">
        <f>Q47/(Q45-Q40)</f>
        <v>-8.6981748657632557E-2</v>
      </c>
      <c r="R50" s="3"/>
      <c r="S50" s="2"/>
      <c r="T50" s="2"/>
      <c r="U50" s="20">
        <f>U47/(U45-U40)</f>
        <v>-0.11040796549075224</v>
      </c>
      <c r="V50" s="21">
        <f>V47/(V45-V40)</f>
        <v>-0.13248451773638634</v>
      </c>
      <c r="W50" s="20">
        <f>W47/(W45-W40)</f>
        <v>-0.16964812590860257</v>
      </c>
      <c r="X50" s="20">
        <f>X47/(X45-X40)</f>
        <v>-0.19057207818650743</v>
      </c>
      <c r="Y50" s="20">
        <f>Y47/(Y45-Y40)</f>
        <v>-0.18889493125384776</v>
      </c>
    </row>
    <row r="51" spans="1:26" x14ac:dyDescent="0.15">
      <c r="A51" s="7" t="s">
        <v>89</v>
      </c>
      <c r="M51" s="20">
        <f>M47/M44</f>
        <v>1.8680729736839929E-2</v>
      </c>
      <c r="Q51" s="20">
        <f>Q47/Q44</f>
        <v>0.11714327944332163</v>
      </c>
      <c r="R51" s="3"/>
      <c r="S51" s="2"/>
      <c r="T51" s="2"/>
      <c r="U51" s="20">
        <f>U47/U44</f>
        <v>0.41958993936671912</v>
      </c>
      <c r="V51" s="21">
        <f>V47/V44</f>
        <v>0.48123766429648801</v>
      </c>
      <c r="W51" s="20">
        <f>W47/W44</f>
        <v>0.5514696938565854</v>
      </c>
      <c r="X51" s="20">
        <f>X47/X44</f>
        <v>0.54384834398605475</v>
      </c>
      <c r="Y51" s="20">
        <f>Y47/Y44</f>
        <v>0.48527884437961849</v>
      </c>
    </row>
    <row r="52" spans="1:26" x14ac:dyDescent="0.15">
      <c r="R52" s="3"/>
      <c r="S52" s="2"/>
      <c r="T52" s="2"/>
      <c r="U52" s="2"/>
      <c r="V52" s="3"/>
      <c r="W52" s="2"/>
      <c r="X52" s="2"/>
      <c r="Y52" s="2"/>
    </row>
    <row r="53" spans="1:26" x14ac:dyDescent="0.15">
      <c r="A53" s="8" t="s">
        <v>76</v>
      </c>
      <c r="C53" s="18"/>
      <c r="D53" s="18"/>
      <c r="E53" s="18"/>
      <c r="F53" s="19">
        <f>F9/B9-1</f>
        <v>0.27941176470588225</v>
      </c>
      <c r="G53" s="18">
        <f t="shared" ref="G53:Q53" si="65">G9/C9-1</f>
        <v>0.24285714285714288</v>
      </c>
      <c r="H53" s="18">
        <f t="shared" si="65"/>
        <v>0.21621621621621623</v>
      </c>
      <c r="I53" s="18">
        <f t="shared" si="65"/>
        <v>0.21249999999999991</v>
      </c>
      <c r="J53" s="19">
        <f t="shared" si="65"/>
        <v>0.18390804597701149</v>
      </c>
      <c r="K53" s="18">
        <f t="shared" si="65"/>
        <v>0.24137931034482762</v>
      </c>
      <c r="L53" s="18">
        <f t="shared" si="65"/>
        <v>0.25555555555555554</v>
      </c>
      <c r="M53" s="18">
        <f t="shared" si="65"/>
        <v>0.24742268041237114</v>
      </c>
      <c r="N53" s="19">
        <f t="shared" si="65"/>
        <v>0.24271844660194164</v>
      </c>
      <c r="O53" s="18">
        <f t="shared" si="65"/>
        <v>0.2314814814814814</v>
      </c>
      <c r="P53" s="18">
        <f t="shared" si="65"/>
        <v>0.23893805309734506</v>
      </c>
      <c r="Q53" s="18">
        <f t="shared" si="65"/>
        <v>0.14876033057851235</v>
      </c>
      <c r="R53" s="19">
        <f t="shared" ref="R53:R54" si="66">R9/N9-1</f>
        <v>0.1875</v>
      </c>
      <c r="S53" s="18">
        <f t="shared" ref="S53:S54" si="67">S9/O9-1</f>
        <v>0.14285714285714279</v>
      </c>
      <c r="T53" s="18">
        <f t="shared" ref="T53:T54" si="68">T9/P9-1</f>
        <v>0.12857142857142856</v>
      </c>
      <c r="U53" s="18">
        <f t="shared" ref="U53:Z54" si="69">U9/Q9-1</f>
        <v>0.20143884892086339</v>
      </c>
      <c r="V53" s="19">
        <f t="shared" si="69"/>
        <v>0.20394736842105265</v>
      </c>
      <c r="W53" s="18">
        <f t="shared" si="69"/>
        <v>0.26973684210526305</v>
      </c>
      <c r="X53" s="18">
        <f t="shared" si="69"/>
        <v>0.23487974683544288</v>
      </c>
      <c r="Y53" s="18">
        <f t="shared" si="69"/>
        <v>0.21952095808383221</v>
      </c>
      <c r="Z53" s="18"/>
    </row>
    <row r="54" spans="1:26" x14ac:dyDescent="0.15">
      <c r="A54" s="8" t="s">
        <v>78</v>
      </c>
      <c r="B54" s="24"/>
      <c r="C54" s="24"/>
      <c r="D54" s="24"/>
      <c r="E54" s="24"/>
      <c r="F54" s="19">
        <f>F10/B10-1</f>
        <v>-2.7286610985670423E-2</v>
      </c>
      <c r="G54" s="18">
        <f t="shared" ref="G54:Q54" si="70">G10/C10-1</f>
        <v>2.9890928304545428E-2</v>
      </c>
      <c r="H54" s="18">
        <f t="shared" si="70"/>
        <v>8.3240644856108936E-2</v>
      </c>
      <c r="I54" s="18">
        <f t="shared" si="70"/>
        <v>0.12067600638731935</v>
      </c>
      <c r="J54" s="19">
        <f t="shared" si="70"/>
        <v>0.13759021349701017</v>
      </c>
      <c r="K54" s="18">
        <f t="shared" si="70"/>
        <v>6.5846700341498643E-2</v>
      </c>
      <c r="L54" s="18">
        <f t="shared" si="70"/>
        <v>3.8111063879120666E-2</v>
      </c>
      <c r="M54" s="18">
        <f t="shared" si="70"/>
        <v>6.3030436467984563E-2</v>
      </c>
      <c r="N54" s="19">
        <f t="shared" si="70"/>
        <v>0.12954013369998107</v>
      </c>
      <c r="O54" s="18">
        <f t="shared" si="70"/>
        <v>0.13913070472828748</v>
      </c>
      <c r="P54" s="18">
        <f t="shared" si="70"/>
        <v>8.1501660795650244E-2</v>
      </c>
      <c r="Q54" s="18">
        <f t="shared" si="70"/>
        <v>0.10943425177256239</v>
      </c>
      <c r="R54" s="19">
        <f t="shared" si="66"/>
        <v>2.895113995248666E-2</v>
      </c>
      <c r="S54" s="18">
        <f t="shared" si="67"/>
        <v>0.10246412456779286</v>
      </c>
      <c r="T54" s="18">
        <f t="shared" si="68"/>
        <v>0.16204894926815538</v>
      </c>
      <c r="U54" s="18">
        <f t="shared" si="69"/>
        <v>8.6914568535541692E-2</v>
      </c>
      <c r="V54" s="19">
        <f t="shared" si="69"/>
        <v>5.940965238554452E-2</v>
      </c>
      <c r="W54" s="18">
        <f t="shared" si="69"/>
        <v>-1.6418153554374593E-2</v>
      </c>
      <c r="X54" s="18">
        <f t="shared" si="69"/>
        <v>-6.3775864692092732E-3</v>
      </c>
      <c r="Y54" s="18">
        <f t="shared" si="69"/>
        <v>-3.5470291180358382E-3</v>
      </c>
      <c r="Z54" s="18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2021-01-25T17:36:04Z</dcterms:modified>
</cp:coreProperties>
</file>