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8E20554B-1461-804F-877F-8AFD98711EDD}" xr6:coauthVersionLast="46" xr6:coauthVersionMax="46" xr10:uidLastSave="{00000000-0000-0000-0000-000000000000}"/>
  <bookViews>
    <workbookView xWindow="0" yWindow="460" windowWidth="1920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C5" i="2"/>
  <c r="C3" i="2"/>
  <c r="X51" i="1"/>
  <c r="X45" i="1"/>
  <c r="X49" i="1" s="1"/>
  <c r="X43" i="1"/>
  <c r="X42" i="1"/>
  <c r="X36" i="1"/>
  <c r="X35" i="1"/>
  <c r="X34" i="1" s="1"/>
  <c r="X32" i="1"/>
  <c r="X31" i="1"/>
  <c r="X30" i="1"/>
  <c r="X29" i="1"/>
  <c r="X28" i="1"/>
  <c r="X26" i="1"/>
  <c r="X25" i="1"/>
  <c r="X24" i="1"/>
  <c r="X21" i="1"/>
  <c r="X20" i="1"/>
  <c r="X17" i="1"/>
  <c r="X14" i="1"/>
  <c r="X15" i="1" s="1"/>
  <c r="X10" i="1"/>
  <c r="X8" i="1"/>
  <c r="Y28" i="1"/>
  <c r="M18" i="2"/>
  <c r="N18" i="2" s="1"/>
  <c r="O18" i="2" s="1"/>
  <c r="P18" i="2" s="1"/>
  <c r="Q18" i="2" s="1"/>
  <c r="R18" i="2" s="1"/>
  <c r="S18" i="2" s="1"/>
  <c r="T18" i="2" s="1"/>
  <c r="U18" i="2" s="1"/>
  <c r="L18" i="2"/>
  <c r="F4" i="2"/>
  <c r="H18" i="2"/>
  <c r="I18" i="2" s="1"/>
  <c r="J18" i="2" s="1"/>
  <c r="K18" i="2" s="1"/>
  <c r="G18" i="2"/>
  <c r="L15" i="2"/>
  <c r="J10" i="2"/>
  <c r="K10" i="2" s="1"/>
  <c r="I10" i="2"/>
  <c r="H10" i="2"/>
  <c r="G10" i="2"/>
  <c r="H20" i="2"/>
  <c r="I20" i="2" s="1"/>
  <c r="J20" i="2" s="1"/>
  <c r="K20" i="2" s="1"/>
  <c r="G20" i="2"/>
  <c r="H19" i="2"/>
  <c r="I19" i="2" s="1"/>
  <c r="J19" i="2" s="1"/>
  <c r="K19" i="2" s="1"/>
  <c r="G19" i="2"/>
  <c r="U9" i="2"/>
  <c r="T9" i="2"/>
  <c r="S9" i="2"/>
  <c r="R9" i="2"/>
  <c r="Q9" i="2"/>
  <c r="G15" i="2"/>
  <c r="G17" i="2" s="1"/>
  <c r="E28" i="2"/>
  <c r="F28" i="2"/>
  <c r="F25" i="2"/>
  <c r="F23" i="2"/>
  <c r="F20" i="2"/>
  <c r="F19" i="2"/>
  <c r="F18" i="2"/>
  <c r="F16" i="2"/>
  <c r="F10" i="2"/>
  <c r="E25" i="2"/>
  <c r="E23" i="2"/>
  <c r="E20" i="2"/>
  <c r="E19" i="2"/>
  <c r="E18" i="2"/>
  <c r="E16" i="2"/>
  <c r="E10" i="2"/>
  <c r="W51" i="1"/>
  <c r="V51" i="1"/>
  <c r="R51" i="1"/>
  <c r="U35" i="1"/>
  <c r="U40" i="1"/>
  <c r="V16" i="1"/>
  <c r="W40" i="1"/>
  <c r="W36" i="1"/>
  <c r="W35" i="1"/>
  <c r="W16" i="1"/>
  <c r="X46" i="1" l="1"/>
  <c r="X47" i="1"/>
  <c r="X48" i="1"/>
  <c r="H15" i="2"/>
  <c r="W43" i="1"/>
  <c r="W42" i="1"/>
  <c r="W30" i="1"/>
  <c r="W29" i="1"/>
  <c r="W14" i="1"/>
  <c r="W8" i="1"/>
  <c r="W10" i="1" s="1"/>
  <c r="W24" i="1" s="1"/>
  <c r="I15" i="2" l="1"/>
  <c r="W34" i="1"/>
  <c r="W15" i="1"/>
  <c r="F46" i="2"/>
  <c r="F45" i="2"/>
  <c r="V42" i="1"/>
  <c r="F41" i="2"/>
  <c r="U51" i="1"/>
  <c r="U43" i="1"/>
  <c r="U30" i="1"/>
  <c r="U29" i="1"/>
  <c r="U14" i="1"/>
  <c r="U8" i="1"/>
  <c r="K15" i="2" l="1"/>
  <c r="J15" i="2"/>
  <c r="U34" i="1"/>
  <c r="F42" i="2"/>
  <c r="F40" i="2" s="1"/>
  <c r="F49" i="2"/>
  <c r="U42" i="1"/>
  <c r="F44" i="2"/>
  <c r="F56" i="2" s="1"/>
  <c r="W25" i="1"/>
  <c r="W17" i="1"/>
  <c r="U10" i="1"/>
  <c r="U24" i="1" s="1"/>
  <c r="G35" i="2"/>
  <c r="F15" i="2"/>
  <c r="F48" i="2" l="1"/>
  <c r="U15" i="1"/>
  <c r="U25" i="1" s="1"/>
  <c r="W26" i="1"/>
  <c r="W20" i="1"/>
  <c r="W21" i="1" s="1"/>
  <c r="F17" i="2"/>
  <c r="U17" i="1" l="1"/>
  <c r="U26" i="1" l="1"/>
  <c r="U20" i="1"/>
  <c r="U21" i="1" s="1"/>
  <c r="T43" i="1"/>
  <c r="T51" i="1"/>
  <c r="T14" i="1"/>
  <c r="T8" i="1"/>
  <c r="T10" i="1" s="1"/>
  <c r="V43" i="1"/>
  <c r="V30" i="1"/>
  <c r="V29" i="1"/>
  <c r="V14" i="1"/>
  <c r="V8" i="1"/>
  <c r="T34" i="1" l="1"/>
  <c r="T42" i="1"/>
  <c r="T15" i="1"/>
  <c r="T17" i="1" s="1"/>
  <c r="T20" i="1" s="1"/>
  <c r="V10" i="1"/>
  <c r="V34" i="1"/>
  <c r="C4" i="2"/>
  <c r="T29" i="1"/>
  <c r="T30" i="1"/>
  <c r="S42" i="1"/>
  <c r="W31" i="1"/>
  <c r="S51" i="1"/>
  <c r="S43" i="1"/>
  <c r="S30" i="1"/>
  <c r="S29" i="1"/>
  <c r="S8" i="1"/>
  <c r="F61" i="2"/>
  <c r="N34" i="1"/>
  <c r="O34" i="1"/>
  <c r="O14" i="1"/>
  <c r="P34" i="1"/>
  <c r="P14" i="1"/>
  <c r="U31" i="1"/>
  <c r="E44" i="2"/>
  <c r="E41" i="2"/>
  <c r="Q8" i="1"/>
  <c r="P8" i="1"/>
  <c r="P10" i="1" s="1"/>
  <c r="P24" i="1" s="1"/>
  <c r="O8" i="1"/>
  <c r="O10" i="1" s="1"/>
  <c r="R43" i="1"/>
  <c r="N14" i="1"/>
  <c r="R30" i="1"/>
  <c r="R29" i="1"/>
  <c r="N8" i="1"/>
  <c r="N10" i="1" s="1"/>
  <c r="N24" i="1" s="1"/>
  <c r="R8" i="1"/>
  <c r="R10" i="1" s="1"/>
  <c r="V31" i="1"/>
  <c r="E45" i="2"/>
  <c r="Q43" i="1"/>
  <c r="E42" i="2"/>
  <c r="E46" i="2"/>
  <c r="P43" i="1"/>
  <c r="O43" i="1"/>
  <c r="N43" i="1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N42" i="1" l="1"/>
  <c r="Q42" i="1"/>
  <c r="Q14" i="1"/>
  <c r="S34" i="1"/>
  <c r="P42" i="1"/>
  <c r="R14" i="1"/>
  <c r="V32" i="1" s="1"/>
  <c r="R42" i="1"/>
  <c r="S10" i="1"/>
  <c r="S24" i="1" s="1"/>
  <c r="W28" i="1"/>
  <c r="R28" i="1"/>
  <c r="V28" i="1"/>
  <c r="Q10" i="1"/>
  <c r="Q24" i="1" s="1"/>
  <c r="U28" i="1"/>
  <c r="T21" i="1"/>
  <c r="H59" i="2"/>
  <c r="E59" i="2"/>
  <c r="K59" i="2"/>
  <c r="J59" i="2"/>
  <c r="I59" i="2"/>
  <c r="G59" i="2"/>
  <c r="F59" i="2"/>
  <c r="E40" i="2"/>
  <c r="V15" i="1"/>
  <c r="V24" i="1"/>
  <c r="O15" i="1"/>
  <c r="O25" i="1" s="1"/>
  <c r="O24" i="1"/>
  <c r="E49" i="2"/>
  <c r="E48" i="2"/>
  <c r="O42" i="1"/>
  <c r="R34" i="1"/>
  <c r="Q34" i="1"/>
  <c r="T31" i="1"/>
  <c r="P15" i="1"/>
  <c r="E15" i="2"/>
  <c r="N15" i="1"/>
  <c r="S28" i="1"/>
  <c r="S14" i="1"/>
  <c r="R31" i="1"/>
  <c r="C6" i="2"/>
  <c r="C7" i="2" s="1"/>
  <c r="R24" i="1"/>
  <c r="S31" i="1"/>
  <c r="T32" i="1"/>
  <c r="O17" i="1" l="1"/>
  <c r="U32" i="1"/>
  <c r="F21" i="2"/>
  <c r="F22" i="2" s="1"/>
  <c r="F24" i="2" s="1"/>
  <c r="R32" i="1"/>
  <c r="S32" i="1"/>
  <c r="W32" i="1"/>
  <c r="Q15" i="1"/>
  <c r="Q25" i="1" s="1"/>
  <c r="R15" i="1"/>
  <c r="R17" i="1" s="1"/>
  <c r="R26" i="1" s="1"/>
  <c r="V25" i="1"/>
  <c r="V17" i="1"/>
  <c r="O20" i="1"/>
  <c r="O26" i="1"/>
  <c r="T28" i="1"/>
  <c r="N25" i="1"/>
  <c r="N17" i="1"/>
  <c r="F36" i="2"/>
  <c r="P17" i="1"/>
  <c r="P25" i="1"/>
  <c r="E17" i="2"/>
  <c r="S15" i="1"/>
  <c r="E21" i="2"/>
  <c r="R25" i="1" l="1"/>
  <c r="Q17" i="1"/>
  <c r="Q20" i="1" s="1"/>
  <c r="R20" i="1"/>
  <c r="R21" i="1" s="1"/>
  <c r="V20" i="1"/>
  <c r="W45" i="1" s="1"/>
  <c r="V26" i="1"/>
  <c r="F35" i="2"/>
  <c r="S17" i="1"/>
  <c r="S25" i="1"/>
  <c r="G36" i="2"/>
  <c r="P20" i="1"/>
  <c r="P26" i="1"/>
  <c r="T24" i="1"/>
  <c r="F37" i="2"/>
  <c r="E22" i="2"/>
  <c r="E30" i="2"/>
  <c r="N26" i="1"/>
  <c r="N20" i="1"/>
  <c r="Q26" i="1"/>
  <c r="O21" i="1"/>
  <c r="F38" i="2"/>
  <c r="W49" i="1" l="1"/>
  <c r="W48" i="1"/>
  <c r="W46" i="1"/>
  <c r="W47" i="1"/>
  <c r="Q21" i="1"/>
  <c r="V21" i="1"/>
  <c r="T25" i="1"/>
  <c r="G37" i="2"/>
  <c r="H21" i="2"/>
  <c r="G61" i="2"/>
  <c r="S26" i="1"/>
  <c r="S20" i="1"/>
  <c r="T45" i="1" s="1"/>
  <c r="H36" i="2"/>
  <c r="F34" i="2"/>
  <c r="P21" i="1"/>
  <c r="N21" i="1"/>
  <c r="Q45" i="1"/>
  <c r="E31" i="2"/>
  <c r="E24" i="2"/>
  <c r="R45" i="1"/>
  <c r="P45" i="1"/>
  <c r="G21" i="2"/>
  <c r="G38" i="2" s="1"/>
  <c r="T48" i="1" l="1"/>
  <c r="T46" i="1"/>
  <c r="T49" i="1"/>
  <c r="T47" i="1"/>
  <c r="S21" i="1"/>
  <c r="U45" i="1"/>
  <c r="H38" i="2"/>
  <c r="H35" i="2"/>
  <c r="F30" i="2"/>
  <c r="H61" i="2"/>
  <c r="H37" i="2"/>
  <c r="P49" i="1"/>
  <c r="P46" i="1"/>
  <c r="P48" i="1"/>
  <c r="P47" i="1"/>
  <c r="I36" i="2"/>
  <c r="G34" i="2"/>
  <c r="R48" i="1"/>
  <c r="R47" i="1"/>
  <c r="R46" i="1"/>
  <c r="R49" i="1"/>
  <c r="E32" i="2"/>
  <c r="E26" i="2"/>
  <c r="E58" i="2" s="1"/>
  <c r="Q49" i="1"/>
  <c r="Q48" i="1"/>
  <c r="Q47" i="1"/>
  <c r="Q46" i="1"/>
  <c r="O45" i="1"/>
  <c r="N45" i="1"/>
  <c r="S45" i="1"/>
  <c r="U49" i="1" l="1"/>
  <c r="U47" i="1"/>
  <c r="U48" i="1"/>
  <c r="U46" i="1"/>
  <c r="G16" i="2"/>
  <c r="I21" i="2"/>
  <c r="I38" i="2" s="1"/>
  <c r="I35" i="2"/>
  <c r="H34" i="2"/>
  <c r="O49" i="1"/>
  <c r="O48" i="1"/>
  <c r="O47" i="1"/>
  <c r="O46" i="1"/>
  <c r="I61" i="2"/>
  <c r="T26" i="1"/>
  <c r="E27" i="2"/>
  <c r="J36" i="2"/>
  <c r="S48" i="1"/>
  <c r="S47" i="1"/>
  <c r="S46" i="1"/>
  <c r="S49" i="1"/>
  <c r="F31" i="2"/>
  <c r="I37" i="2"/>
  <c r="N49" i="1"/>
  <c r="N48" i="1"/>
  <c r="N47" i="1"/>
  <c r="N46" i="1"/>
  <c r="Q35" i="2" l="1"/>
  <c r="G22" i="2"/>
  <c r="G31" i="2" s="1"/>
  <c r="G30" i="2"/>
  <c r="H17" i="2" s="1"/>
  <c r="H30" i="2" s="1"/>
  <c r="I17" i="2" s="1"/>
  <c r="I16" i="2" s="1"/>
  <c r="J21" i="2"/>
  <c r="J38" i="2" s="1"/>
  <c r="K61" i="2"/>
  <c r="J35" i="2"/>
  <c r="F32" i="2"/>
  <c r="I34" i="2"/>
  <c r="K36" i="2"/>
  <c r="L19" i="2"/>
  <c r="J37" i="2"/>
  <c r="J61" i="2"/>
  <c r="R35" i="2" l="1"/>
  <c r="H16" i="2"/>
  <c r="H22" i="2"/>
  <c r="H31" i="2" s="1"/>
  <c r="F26" i="2"/>
  <c r="F58" i="2" s="1"/>
  <c r="V45" i="1"/>
  <c r="K35" i="2"/>
  <c r="I22" i="2"/>
  <c r="I30" i="2"/>
  <c r="J17" i="2" s="1"/>
  <c r="J34" i="2"/>
  <c r="K37" i="2"/>
  <c r="L20" i="2"/>
  <c r="K21" i="2"/>
  <c r="K38" i="2" s="1"/>
  <c r="L36" i="2"/>
  <c r="M19" i="2"/>
  <c r="S35" i="2" l="1"/>
  <c r="V48" i="1"/>
  <c r="V49" i="1"/>
  <c r="F27" i="2"/>
  <c r="F51" i="2"/>
  <c r="F53" i="2"/>
  <c r="F52" i="2"/>
  <c r="F54" i="2"/>
  <c r="G23" i="2"/>
  <c r="G24" i="2" s="1"/>
  <c r="V47" i="1"/>
  <c r="V46" i="1"/>
  <c r="L35" i="2"/>
  <c r="M20" i="2"/>
  <c r="M21" i="2" s="1"/>
  <c r="L37" i="2"/>
  <c r="J22" i="2"/>
  <c r="J30" i="2"/>
  <c r="K17" i="2" s="1"/>
  <c r="K16" i="2" s="1"/>
  <c r="K34" i="2"/>
  <c r="J16" i="2"/>
  <c r="L21" i="2"/>
  <c r="L38" i="2" s="1"/>
  <c r="M36" i="2"/>
  <c r="N19" i="2"/>
  <c r="I31" i="2"/>
  <c r="T35" i="2" l="1"/>
  <c r="M35" i="2"/>
  <c r="J31" i="2"/>
  <c r="G32" i="2"/>
  <c r="K22" i="2"/>
  <c r="K30" i="2"/>
  <c r="L17" i="2" s="1"/>
  <c r="M15" i="2"/>
  <c r="L34" i="2"/>
  <c r="M38" i="2"/>
  <c r="O19" i="2"/>
  <c r="N36" i="2"/>
  <c r="N20" i="2"/>
  <c r="M37" i="2"/>
  <c r="U35" i="2" l="1"/>
  <c r="G26" i="2"/>
  <c r="G40" i="2" s="1"/>
  <c r="N35" i="2"/>
  <c r="N15" i="2"/>
  <c r="M34" i="2"/>
  <c r="O36" i="2"/>
  <c r="P19" i="2"/>
  <c r="Q19" i="2" s="1"/>
  <c r="L22" i="2"/>
  <c r="L30" i="2"/>
  <c r="M17" i="2" s="1"/>
  <c r="K31" i="2"/>
  <c r="L16" i="2"/>
  <c r="O20" i="2"/>
  <c r="N37" i="2"/>
  <c r="N21" i="2"/>
  <c r="N38" i="2" s="1"/>
  <c r="Q36" i="2" l="1"/>
  <c r="R19" i="2"/>
  <c r="G58" i="2"/>
  <c r="G27" i="2"/>
  <c r="O35" i="2"/>
  <c r="M22" i="2"/>
  <c r="M30" i="2"/>
  <c r="N17" i="2" s="1"/>
  <c r="M16" i="2"/>
  <c r="O37" i="2"/>
  <c r="P20" i="2"/>
  <c r="Q20" i="2" s="1"/>
  <c r="L31" i="2"/>
  <c r="O21" i="2"/>
  <c r="O38" i="2" s="1"/>
  <c r="P36" i="2"/>
  <c r="P21" i="2"/>
  <c r="O15" i="2"/>
  <c r="N34" i="2"/>
  <c r="Q37" i="2" l="1"/>
  <c r="R20" i="2"/>
  <c r="Q21" i="2"/>
  <c r="Q38" i="2" s="1"/>
  <c r="R36" i="2"/>
  <c r="S19" i="2"/>
  <c r="R21" i="2"/>
  <c r="R38" i="2" s="1"/>
  <c r="P35" i="2"/>
  <c r="N30" i="2"/>
  <c r="O17" i="2" s="1"/>
  <c r="O16" i="2" s="1"/>
  <c r="N22" i="2"/>
  <c r="N16" i="2"/>
  <c r="O34" i="2"/>
  <c r="P15" i="2"/>
  <c r="Q15" i="2" s="1"/>
  <c r="P38" i="2"/>
  <c r="H23" i="2"/>
  <c r="H24" i="2" s="1"/>
  <c r="P37" i="2"/>
  <c r="M31" i="2"/>
  <c r="S20" i="2" l="1"/>
  <c r="R37" i="2"/>
  <c r="S36" i="2"/>
  <c r="T19" i="2"/>
  <c r="S21" i="2"/>
  <c r="S38" i="2" s="1"/>
  <c r="R15" i="2"/>
  <c r="Q34" i="2"/>
  <c r="H32" i="2"/>
  <c r="N31" i="2"/>
  <c r="P34" i="2"/>
  <c r="O22" i="2"/>
  <c r="O30" i="2"/>
  <c r="P17" i="2" s="1"/>
  <c r="S37" i="2" l="1"/>
  <c r="T20" i="2"/>
  <c r="T36" i="2"/>
  <c r="U19" i="2"/>
  <c r="T21" i="2"/>
  <c r="T38" i="2" s="1"/>
  <c r="S15" i="2"/>
  <c r="R34" i="2"/>
  <c r="H26" i="2"/>
  <c r="P22" i="2"/>
  <c r="P30" i="2"/>
  <c r="Q17" i="2" s="1"/>
  <c r="P16" i="2"/>
  <c r="O31" i="2"/>
  <c r="T37" i="2" l="1"/>
  <c r="U20" i="2"/>
  <c r="U37" i="2" s="1"/>
  <c r="U36" i="2"/>
  <c r="U21" i="2"/>
  <c r="U38" i="2" s="1"/>
  <c r="Q30" i="2"/>
  <c r="R17" i="2" s="1"/>
  <c r="Q22" i="2"/>
  <c r="Q16" i="2"/>
  <c r="S34" i="2"/>
  <c r="T15" i="2"/>
  <c r="H58" i="2"/>
  <c r="H27" i="2"/>
  <c r="H40" i="2"/>
  <c r="I23" i="2" s="1"/>
  <c r="I24" i="2" s="1"/>
  <c r="P31" i="2"/>
  <c r="Q31" i="2" l="1"/>
  <c r="U15" i="2"/>
  <c r="T34" i="2"/>
  <c r="R30" i="2"/>
  <c r="S17" i="2" s="1"/>
  <c r="R22" i="2"/>
  <c r="R16" i="2"/>
  <c r="I32" i="2"/>
  <c r="U34" i="2" l="1"/>
  <c r="R31" i="2"/>
  <c r="S30" i="2"/>
  <c r="T17" i="2" s="1"/>
  <c r="S22" i="2"/>
  <c r="S16" i="2"/>
  <c r="I26" i="2"/>
  <c r="I40" i="2" l="1"/>
  <c r="J23" i="2" s="1"/>
  <c r="T22" i="2"/>
  <c r="T30" i="2"/>
  <c r="U17" i="2" s="1"/>
  <c r="T16" i="2"/>
  <c r="S31" i="2"/>
  <c r="I58" i="2"/>
  <c r="I27" i="2"/>
  <c r="J24" i="2"/>
  <c r="U30" i="2" l="1"/>
  <c r="U22" i="2"/>
  <c r="U16" i="2"/>
  <c r="T31" i="2"/>
  <c r="J32" i="2"/>
  <c r="U31" i="2" l="1"/>
  <c r="J26" i="2"/>
  <c r="J27" i="2" l="1"/>
  <c r="J58" i="2"/>
  <c r="J40" i="2"/>
  <c r="K23" i="2" s="1"/>
  <c r="K24" i="2" s="1"/>
  <c r="K32" i="2" l="1"/>
  <c r="K26" i="2" l="1"/>
  <c r="K58" i="2" s="1"/>
  <c r="K27" i="2"/>
  <c r="K40" i="2"/>
  <c r="L23" i="2" l="1"/>
  <c r="L24" i="2" s="1"/>
  <c r="L32" i="2" l="1"/>
  <c r="L26" i="2" l="1"/>
  <c r="L27" i="2" s="1"/>
  <c r="L40" i="2" l="1"/>
  <c r="M23" i="2"/>
  <c r="M24" i="2" s="1"/>
  <c r="M32" i="2" l="1"/>
  <c r="M26" i="2" l="1"/>
  <c r="M27" i="2" l="1"/>
  <c r="M40" i="2"/>
  <c r="N23" i="2" l="1"/>
  <c r="N24" i="2" s="1"/>
  <c r="N25" i="2" s="1"/>
  <c r="N32" i="2" l="1"/>
  <c r="N26" i="2" l="1"/>
  <c r="N27" i="2" l="1"/>
  <c r="N40" i="2"/>
  <c r="O23" i="2"/>
  <c r="O24" i="2" s="1"/>
  <c r="O25" i="2" s="1"/>
  <c r="O32" i="2" l="1"/>
  <c r="O26" i="2" l="1"/>
  <c r="O27" i="2"/>
  <c r="O40" i="2"/>
  <c r="P23" i="2" l="1"/>
  <c r="P24" i="2" s="1"/>
  <c r="P25" i="2" s="1"/>
  <c r="P32" i="2" l="1"/>
  <c r="P26" i="2" l="1"/>
  <c r="P27" i="2" l="1"/>
  <c r="P40" i="2"/>
  <c r="Q23" i="2" l="1"/>
  <c r="Q24" i="2" s="1"/>
  <c r="Q25" i="2" s="1"/>
  <c r="Q32" i="2" l="1"/>
  <c r="Q26" i="2"/>
  <c r="Q27" i="2" l="1"/>
  <c r="Q40" i="2"/>
  <c r="R23" i="2" l="1"/>
  <c r="R24" i="2" s="1"/>
  <c r="R25" i="2" s="1"/>
  <c r="R32" i="2" l="1"/>
  <c r="R26" i="2"/>
  <c r="R27" i="2" l="1"/>
  <c r="R40" i="2"/>
  <c r="S23" i="2" l="1"/>
  <c r="S24" i="2" s="1"/>
  <c r="S25" i="2" s="1"/>
  <c r="S32" i="2" l="1"/>
  <c r="S26" i="2" l="1"/>
  <c r="S27" i="2" l="1"/>
  <c r="S40" i="2"/>
  <c r="T23" i="2" l="1"/>
  <c r="T24" i="2" s="1"/>
  <c r="T25" i="2" s="1"/>
  <c r="T32" i="2" l="1"/>
  <c r="T26" i="2"/>
  <c r="T27" i="2" l="1"/>
  <c r="T40" i="2"/>
  <c r="U23" i="2" l="1"/>
  <c r="U24" i="2" s="1"/>
  <c r="U25" i="2" s="1"/>
  <c r="U32" i="2" l="1"/>
  <c r="U26" i="2"/>
  <c r="U27" i="2" l="1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F5" i="2" s="1"/>
  <c r="U40" i="2"/>
  <c r="F6" i="2" l="1"/>
  <c r="F7" i="2" s="1"/>
  <c r="G7" i="2" s="1"/>
</calcChain>
</file>

<file path=xl/sharedStrings.xml><?xml version="1.0" encoding="utf-8"?>
<sst xmlns="http://schemas.openxmlformats.org/spreadsheetml/2006/main" count="142" uniqueCount="96">
  <si>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</si>
  <si>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</si>
  <si>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</si>
  <si>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</si>
  <si>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</si>
  <si>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</si>
  <si>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</si>
  <si>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</si>
  <si>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</si>
  <si>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</si>
  <si>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</si>
  <si>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</si>
  <si>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</si>
  <si>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</si>
  <si>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</si>
  <si>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</si>
  <si>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</si>
  <si>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</si>
  <si>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</si>
  <si>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</si>
  <si>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</si>
  <si>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</si>
  <si>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</si>
  <si>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</si>
  <si>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</si>
  <si>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</si>
  <si>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</si>
  <si>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</si>
  <si>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</si>
  <si>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</si>
  <si>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</si>
  <si>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</si>
  <si>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</si>
  <si>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</si>
  <si>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</si>
  <si>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</si>
  <si>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</si>
  <si>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</si>
  <si>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</si>
  <si>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</si>
  <si>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</si>
  <si>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</si>
  <si>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</si>
  <si>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</si>
  <si>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</si>
  <si>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</si>
  <si>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</si>
  <si>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</si>
  <si>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</si>
  <si>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</si>
  <si>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</si>
  <si>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</si>
  <si>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</si>
  <si>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</si>
  <si>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</si>
  <si>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</si>
  <si>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</si>
  <si>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</si>
  <si>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</si>
  <si>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</si>
  <si>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</si>
  <si>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</si>
  <si>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</si>
  <si>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</si>
  <si>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</si>
  <si>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DAU</t>
  </si>
  <si>
    <t>ARPU</t>
  </si>
  <si>
    <t>DAU y/y</t>
  </si>
  <si>
    <t>ARPU y/y</t>
  </si>
  <si>
    <t>Subscription</t>
  </si>
  <si>
    <t>Subscription y/y</t>
  </si>
  <si>
    <t>Operating Expenses y/y</t>
  </si>
  <si>
    <t>Q120</t>
  </si>
  <si>
    <t>Q420</t>
  </si>
  <si>
    <t>BADWILL</t>
  </si>
  <si>
    <t>Intangibles per share</t>
  </si>
  <si>
    <t>Risk-free rate + market premium (opportunity cost)</t>
  </si>
  <si>
    <t>http://www.worldgovernmentbonds.com/country/united-states/</t>
  </si>
  <si>
    <t>Net present value on future net income (terminal value)</t>
  </si>
  <si>
    <t>RORC</t>
  </si>
  <si>
    <t>PRR</t>
  </si>
  <si>
    <t>Return on research capital</t>
  </si>
  <si>
    <t>Price to R&amp;D ratio</t>
  </si>
  <si>
    <t>Q220</t>
  </si>
  <si>
    <t>Q320</t>
  </si>
  <si>
    <t>Asana Inc (ASAN)</t>
  </si>
  <si>
    <t>Dustin Moskovitz</t>
  </si>
  <si>
    <t>Justin Rosenstein</t>
  </si>
  <si>
    <t>Products</t>
  </si>
  <si>
    <t>Q121</t>
  </si>
  <si>
    <t>Q221</t>
  </si>
  <si>
    <t>Q321</t>
  </si>
  <si>
    <t>Q421</t>
  </si>
  <si>
    <t>Asana</t>
  </si>
  <si>
    <t>Cloud-based collaboration platform</t>
  </si>
  <si>
    <t>Pricing seems to be targeted at small teams and non-profits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</si>
</sst>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4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6" fillId="2" borderId="0" xfId="0" applyNumberFormat="1" applyFont="1" applyFill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152400</xdr:rowOff>
    </xdr:from>
    <xdr:to>
      <xdr:col>6</xdr:col>
      <xdr:colOff>228600</xdr:colOff>
      <xdr:row>65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905500" y="1308100"/>
          <a:ext cx="0" cy="9436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204354</xdr:colOff>
      <xdr:row>0</xdr:row>
      <xdr:rowOff>152400</xdr:rowOff>
    </xdr:from>
    <xdr:to>
      <xdr:col>24</xdr:col>
      <xdr:colOff>204354</xdr:colOff>
      <xdr:row>52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870718" y="152400"/>
          <a:ext cx="0" cy="826539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ustin_Moskovitz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asana.com/overview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Dustin_Moskovitz" TargetMode="External"/><Relationship Id="rId4" Type="http://schemas.openxmlformats.org/officeDocument/2006/relationships/hyperlink" Target="https://en.wikipedia.org/wiki/Justin_Rosenste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47772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6"/>
  <sheetViews>
    <sheetView tabSelected="1" workbookViewId="0">
      <pane xSplit="1" ySplit="9" topLeftCell="D10" activePane="bottomRight" state="frozen"/>
      <selection pane="topRight" activeCell="B1" sqref="B1"/>
      <selection pane="bottomLeft" activeCell="A11" sqref="A11"/>
      <selection pane="bottomRight" activeCell="K11" sqref="K11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75" t="s">
        <v>62</v>
      </c>
      <c r="B1" s="2" t="s">
        <v>85</v>
      </c>
    </row>
    <row r="2" spans="1:117" x14ac:dyDescent="0.15">
      <c r="B2" s="3" t="s">
        <v>44</v>
      </c>
      <c r="C2" s="4">
        <v>28.55</v>
      </c>
      <c r="D2" s="73">
        <v>44201</v>
      </c>
      <c r="E2" s="6" t="s">
        <v>29</v>
      </c>
      <c r="F2" s="7">
        <v>-0.01</v>
      </c>
      <c r="I2" s="16"/>
      <c r="L2" s="2"/>
    </row>
    <row r="3" spans="1:117" x14ac:dyDescent="0.15">
      <c r="A3" s="2" t="s">
        <v>42</v>
      </c>
      <c r="B3" s="3" t="s">
        <v>17</v>
      </c>
      <c r="C3" s="8">
        <f>Reports!X22</f>
        <v>113.264</v>
      </c>
      <c r="D3" s="74" t="s">
        <v>91</v>
      </c>
      <c r="E3" s="6" t="s">
        <v>30</v>
      </c>
      <c r="F3" s="7">
        <v>0.02</v>
      </c>
      <c r="G3" s="5" t="s">
        <v>63</v>
      </c>
      <c r="I3" s="16"/>
    </row>
    <row r="4" spans="1:117" x14ac:dyDescent="0.15">
      <c r="A4" s="76" t="s">
        <v>86</v>
      </c>
      <c r="B4" s="3" t="s">
        <v>45</v>
      </c>
      <c r="C4" s="10">
        <f>C2*C3</f>
        <v>3233.6871999999998</v>
      </c>
      <c r="D4" s="74"/>
      <c r="E4" s="6" t="s">
        <v>31</v>
      </c>
      <c r="F4" s="7">
        <f>7%</f>
        <v>7.0000000000000007E-2</v>
      </c>
      <c r="G4" s="5" t="s">
        <v>76</v>
      </c>
      <c r="I4" s="20"/>
      <c r="L4" s="9" t="s">
        <v>77</v>
      </c>
    </row>
    <row r="5" spans="1:117" x14ac:dyDescent="0.15">
      <c r="B5" s="3" t="s">
        <v>26</v>
      </c>
      <c r="C5" s="8">
        <f>Reports!X34</f>
        <v>70</v>
      </c>
      <c r="D5" s="74" t="s">
        <v>91</v>
      </c>
      <c r="E5" s="6" t="s">
        <v>32</v>
      </c>
      <c r="F5" s="11">
        <f>NPV(F4,G26:GR26)</f>
        <v>4119.4107587336866</v>
      </c>
      <c r="G5" s="5" t="s">
        <v>78</v>
      </c>
      <c r="I5" s="20"/>
    </row>
    <row r="6" spans="1:117" x14ac:dyDescent="0.15">
      <c r="A6" s="2" t="s">
        <v>43</v>
      </c>
      <c r="B6" s="3" t="s">
        <v>46</v>
      </c>
      <c r="C6" s="10">
        <f>C4-C5</f>
        <v>3163.6871999999998</v>
      </c>
      <c r="D6" s="74"/>
      <c r="E6" s="12" t="s">
        <v>33</v>
      </c>
      <c r="F6" s="13">
        <f>F5+C5</f>
        <v>4189.4107587336866</v>
      </c>
      <c r="I6" s="20"/>
    </row>
    <row r="7" spans="1:117" x14ac:dyDescent="0.15">
      <c r="A7" s="76" t="s">
        <v>86</v>
      </c>
      <c r="B7" s="5" t="s">
        <v>47</v>
      </c>
      <c r="C7" s="47">
        <f>C6/C3</f>
        <v>27.931974855205539</v>
      </c>
      <c r="D7" s="74"/>
      <c r="E7" s="14" t="s">
        <v>47</v>
      </c>
      <c r="F7" s="43">
        <f>F6/C3</f>
        <v>36.988017010998085</v>
      </c>
      <c r="G7" s="20">
        <f>F7/C2-1</f>
        <v>0.29555225957961762</v>
      </c>
    </row>
    <row r="8" spans="1:117" x14ac:dyDescent="0.15">
      <c r="A8" s="76" t="s">
        <v>87</v>
      </c>
      <c r="E8" s="6"/>
      <c r="F8" s="15"/>
    </row>
    <row r="9" spans="1:117" x14ac:dyDescent="0.15">
      <c r="B9" s="39">
        <v>2016</v>
      </c>
      <c r="C9" s="39">
        <v>2017</v>
      </c>
      <c r="D9" s="39">
        <f>C9+1</f>
        <v>2018</v>
      </c>
      <c r="E9" s="39">
        <f t="shared" ref="E9:U9" si="0">D9+1</f>
        <v>2019</v>
      </c>
      <c r="F9" s="39">
        <f t="shared" si="0"/>
        <v>2020</v>
      </c>
      <c r="G9" s="39">
        <f t="shared" si="0"/>
        <v>2021</v>
      </c>
      <c r="H9" s="39">
        <f t="shared" si="0"/>
        <v>2022</v>
      </c>
      <c r="I9" s="39">
        <f t="shared" si="0"/>
        <v>2023</v>
      </c>
      <c r="J9" s="39">
        <f t="shared" si="0"/>
        <v>2024</v>
      </c>
      <c r="K9" s="39">
        <f t="shared" si="0"/>
        <v>2025</v>
      </c>
      <c r="L9" s="39">
        <f t="shared" si="0"/>
        <v>2026</v>
      </c>
      <c r="M9" s="39">
        <f t="shared" si="0"/>
        <v>2027</v>
      </c>
      <c r="N9" s="39">
        <f t="shared" si="0"/>
        <v>2028</v>
      </c>
      <c r="O9" s="39">
        <f t="shared" si="0"/>
        <v>2029</v>
      </c>
      <c r="P9" s="39">
        <f t="shared" si="0"/>
        <v>2030</v>
      </c>
      <c r="Q9" s="39">
        <f t="shared" si="0"/>
        <v>2031</v>
      </c>
      <c r="R9" s="39">
        <f t="shared" si="0"/>
        <v>2032</v>
      </c>
      <c r="S9" s="39">
        <f t="shared" si="0"/>
        <v>2033</v>
      </c>
      <c r="T9" s="39">
        <f t="shared" si="0"/>
        <v>2034</v>
      </c>
      <c r="U9" s="39">
        <f t="shared" si="0"/>
        <v>2035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</row>
    <row r="10" spans="1:117" x14ac:dyDescent="0.15">
      <c r="A10" s="8" t="s">
        <v>69</v>
      </c>
      <c r="B10" s="24"/>
      <c r="C10" s="24"/>
      <c r="D10" s="38"/>
      <c r="E10" s="38">
        <f>SUM(Reports!N3:Q3)</f>
        <v>77</v>
      </c>
      <c r="F10" s="38">
        <f>SUM(Reports!R3:U3)</f>
        <v>142.47</v>
      </c>
      <c r="G10" s="38">
        <f>F10*1.6</f>
        <v>227.952</v>
      </c>
      <c r="H10" s="38">
        <f>G10*1.5</f>
        <v>341.928</v>
      </c>
      <c r="I10" s="38">
        <f>H10*1.4</f>
        <v>478.69919999999996</v>
      </c>
      <c r="J10" s="38">
        <f t="shared" ref="J10:K10" si="1">I10*1.4</f>
        <v>670.17887999999994</v>
      </c>
      <c r="K10" s="38">
        <f t="shared" si="1"/>
        <v>938.25043199999982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x14ac:dyDescent="0.15">
      <c r="B11" s="24"/>
      <c r="C11" s="24"/>
      <c r="D11" s="38"/>
      <c r="E11" s="38"/>
      <c r="F11" s="38"/>
      <c r="G11" s="38"/>
      <c r="H11" s="38"/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</row>
    <row r="12" spans="1:117" s="16" customFormat="1" x14ac:dyDescent="0.15">
      <c r="A12" s="16" t="s">
        <v>65</v>
      </c>
      <c r="B12" s="24"/>
      <c r="C12" s="24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</row>
    <row r="13" spans="1:117" s="44" customFormat="1" x14ac:dyDescent="0.15">
      <c r="A13" s="44" t="s">
        <v>66</v>
      </c>
      <c r="B13" s="45"/>
      <c r="C13" s="45"/>
      <c r="D13" s="38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</row>
    <row r="14" spans="1:117" s="63" customFormat="1" x14ac:dyDescent="0.15">
      <c r="B14" s="45"/>
      <c r="C14" s="45"/>
      <c r="D14" s="38"/>
      <c r="F14" s="53"/>
      <c r="G14" s="53"/>
      <c r="H14" s="53"/>
      <c r="I14" s="53"/>
    </row>
    <row r="15" spans="1:117" x14ac:dyDescent="0.15">
      <c r="A15" s="2" t="s">
        <v>4</v>
      </c>
      <c r="B15" s="45"/>
      <c r="C15" s="45"/>
      <c r="D15" s="38"/>
      <c r="E15" s="25">
        <f>SUM(E10:E10)</f>
        <v>77</v>
      </c>
      <c r="F15" s="25">
        <f>SUM(F10:F10)</f>
        <v>142.47</v>
      </c>
      <c r="G15" s="50">
        <f>SUM(G10:G10)</f>
        <v>227.952</v>
      </c>
      <c r="H15" s="50">
        <f t="shared" ref="H15:J15" si="2">SUM(H10:H10)</f>
        <v>341.928</v>
      </c>
      <c r="I15" s="50">
        <f t="shared" si="2"/>
        <v>478.69919999999996</v>
      </c>
      <c r="J15" s="50">
        <f t="shared" si="2"/>
        <v>670.17887999999994</v>
      </c>
      <c r="K15" s="50">
        <f>SUM(K10:K10)</f>
        <v>938.25043199999982</v>
      </c>
      <c r="L15" s="50">
        <f>K15*1.1</f>
        <v>1032.0754751999998</v>
      </c>
      <c r="M15" s="50">
        <f t="shared" ref="M15:U15" si="3">L15*1.1</f>
        <v>1135.28302272</v>
      </c>
      <c r="N15" s="50">
        <f t="shared" si="3"/>
        <v>1248.811324992</v>
      </c>
      <c r="O15" s="50">
        <f t="shared" si="3"/>
        <v>1373.6924574912</v>
      </c>
      <c r="P15" s="50">
        <f t="shared" si="3"/>
        <v>1511.0617032403202</v>
      </c>
      <c r="Q15" s="50">
        <f t="shared" si="3"/>
        <v>1662.1678735643522</v>
      </c>
      <c r="R15" s="50">
        <f t="shared" si="3"/>
        <v>1828.3846609207876</v>
      </c>
      <c r="S15" s="50">
        <f t="shared" si="3"/>
        <v>2011.2231270128666</v>
      </c>
      <c r="T15" s="50">
        <f t="shared" si="3"/>
        <v>2212.3454397141536</v>
      </c>
      <c r="U15" s="50">
        <f t="shared" si="3"/>
        <v>2433.579983685569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</row>
    <row r="16" spans="1:117" x14ac:dyDescent="0.15">
      <c r="A16" s="3" t="s">
        <v>5</v>
      </c>
      <c r="B16" s="45"/>
      <c r="C16" s="45"/>
      <c r="D16" s="38"/>
      <c r="E16" s="38">
        <f>SUM(Reports!N9:Q9)</f>
        <v>14</v>
      </c>
      <c r="F16" s="38">
        <f>SUM(Reports!R9:U9)</f>
        <v>19.802</v>
      </c>
      <c r="G16" s="24">
        <f>G15-G17</f>
        <v>31.683199999999999</v>
      </c>
      <c r="H16" s="24">
        <f t="shared" ref="H16" si="4">H15-H17</f>
        <v>47.524799999999971</v>
      </c>
      <c r="I16" s="24">
        <f t="shared" ref="I16:P16" si="5">I15-I17</f>
        <v>66.534719999999993</v>
      </c>
      <c r="J16" s="24">
        <f t="shared" si="5"/>
        <v>93.148607999999967</v>
      </c>
      <c r="K16" s="24">
        <f>K15-K17</f>
        <v>130.40805119999993</v>
      </c>
      <c r="L16" s="24">
        <f t="shared" si="5"/>
        <v>143.44885631999989</v>
      </c>
      <c r="M16" s="24">
        <f t="shared" si="5"/>
        <v>157.79374195199989</v>
      </c>
      <c r="N16" s="24">
        <f t="shared" si="5"/>
        <v>173.57311614719993</v>
      </c>
      <c r="O16" s="24">
        <f t="shared" si="5"/>
        <v>190.93042776191987</v>
      </c>
      <c r="P16" s="24">
        <f t="shared" si="5"/>
        <v>210.02347053811195</v>
      </c>
      <c r="Q16" s="24">
        <f t="shared" ref="Q16:U16" si="6">Q15-Q17</f>
        <v>231.02581759192321</v>
      </c>
      <c r="R16" s="24">
        <f t="shared" si="6"/>
        <v>254.12839935111538</v>
      </c>
      <c r="S16" s="24">
        <f t="shared" si="6"/>
        <v>279.54123928622676</v>
      </c>
      <c r="T16" s="24">
        <f t="shared" si="6"/>
        <v>307.49536321484948</v>
      </c>
      <c r="U16" s="24">
        <f t="shared" si="6"/>
        <v>338.24489953633474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</row>
    <row r="17" spans="1:200" x14ac:dyDescent="0.15">
      <c r="A17" s="3" t="s">
        <v>6</v>
      </c>
      <c r="B17" s="45"/>
      <c r="C17" s="45"/>
      <c r="D17" s="38"/>
      <c r="E17" s="27">
        <f>E15-E16</f>
        <v>63</v>
      </c>
      <c r="F17" s="27">
        <f>F15-F16</f>
        <v>122.66800000000001</v>
      </c>
      <c r="G17" s="24">
        <f>G15*F30</f>
        <v>196.2688</v>
      </c>
      <c r="H17" s="24">
        <f t="shared" ref="H17:U17" si="7">H15*G30</f>
        <v>294.40320000000003</v>
      </c>
      <c r="I17" s="24">
        <f t="shared" si="7"/>
        <v>412.16447999999997</v>
      </c>
      <c r="J17" s="24">
        <f t="shared" si="7"/>
        <v>577.03027199999997</v>
      </c>
      <c r="K17" s="24">
        <f>K15*J30</f>
        <v>807.84238079999989</v>
      </c>
      <c r="L17" s="24">
        <f t="shared" si="7"/>
        <v>888.62661887999991</v>
      </c>
      <c r="M17" s="24">
        <f t="shared" si="7"/>
        <v>977.48928076800007</v>
      </c>
      <c r="N17" s="24">
        <f t="shared" si="7"/>
        <v>1075.2382088448001</v>
      </c>
      <c r="O17" s="24">
        <f t="shared" si="7"/>
        <v>1182.7620297292801</v>
      </c>
      <c r="P17" s="24">
        <f t="shared" si="7"/>
        <v>1301.0382327022082</v>
      </c>
      <c r="Q17" s="24">
        <f t="shared" si="7"/>
        <v>1431.142055972429</v>
      </c>
      <c r="R17" s="24">
        <f t="shared" si="7"/>
        <v>1574.2562615696722</v>
      </c>
      <c r="S17" s="24">
        <f t="shared" si="7"/>
        <v>1731.6818877266398</v>
      </c>
      <c r="T17" s="24">
        <f t="shared" si="7"/>
        <v>1904.8500764993041</v>
      </c>
      <c r="U17" s="24">
        <f t="shared" si="7"/>
        <v>2095.3350841492343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</row>
    <row r="18" spans="1:200" x14ac:dyDescent="0.15">
      <c r="A18" s="3" t="s">
        <v>7</v>
      </c>
      <c r="B18" s="45"/>
      <c r="C18" s="45"/>
      <c r="D18" s="38"/>
      <c r="E18" s="38">
        <f>SUM(Reports!N11:Q11)</f>
        <v>43</v>
      </c>
      <c r="F18" s="38">
        <f>SUM(Reports!R11:U11)</f>
        <v>89</v>
      </c>
      <c r="G18" s="24">
        <f>F18*1.3</f>
        <v>115.7</v>
      </c>
      <c r="H18" s="24">
        <f t="shared" ref="H18:K18" si="8">G18*1.3</f>
        <v>150.41</v>
      </c>
      <c r="I18" s="24">
        <f t="shared" si="8"/>
        <v>195.53300000000002</v>
      </c>
      <c r="J18" s="24">
        <f t="shared" si="8"/>
        <v>254.19290000000004</v>
      </c>
      <c r="K18" s="24">
        <f t="shared" si="8"/>
        <v>330.45077000000003</v>
      </c>
      <c r="L18" s="24">
        <f>K18*1.1</f>
        <v>363.49584700000008</v>
      </c>
      <c r="M18" s="24">
        <f t="shared" ref="M18:U18" si="9">L18*1.1</f>
        <v>399.84543170000012</v>
      </c>
      <c r="N18" s="24">
        <f t="shared" si="9"/>
        <v>439.82997487000017</v>
      </c>
      <c r="O18" s="24">
        <f t="shared" si="9"/>
        <v>483.81297235700021</v>
      </c>
      <c r="P18" s="24">
        <f t="shared" si="9"/>
        <v>532.19426959270027</v>
      </c>
      <c r="Q18" s="24">
        <f t="shared" si="9"/>
        <v>585.41369655197036</v>
      </c>
      <c r="R18" s="24">
        <f t="shared" si="9"/>
        <v>643.95506620716742</v>
      </c>
      <c r="S18" s="24">
        <f t="shared" si="9"/>
        <v>708.35057282788421</v>
      </c>
      <c r="T18" s="24">
        <f t="shared" si="9"/>
        <v>779.18563011067272</v>
      </c>
      <c r="U18" s="24">
        <f t="shared" si="9"/>
        <v>857.10419312174008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</row>
    <row r="19" spans="1:200" x14ac:dyDescent="0.15">
      <c r="A19" s="3" t="s">
        <v>8</v>
      </c>
      <c r="B19" s="45"/>
      <c r="C19" s="45"/>
      <c r="D19" s="38"/>
      <c r="E19" s="38">
        <f>SUM(Reports!N12:Q12)</f>
        <v>52</v>
      </c>
      <c r="F19" s="38">
        <f>SUM(Reports!R12:U12)</f>
        <v>106</v>
      </c>
      <c r="G19" s="24">
        <f>F19*1.3</f>
        <v>137.80000000000001</v>
      </c>
      <c r="H19" s="24">
        <f t="shared" ref="H19:K19" si="10">G19*1.3</f>
        <v>179.14000000000001</v>
      </c>
      <c r="I19" s="24">
        <f t="shared" si="10"/>
        <v>232.88200000000003</v>
      </c>
      <c r="J19" s="24">
        <f t="shared" si="10"/>
        <v>302.74660000000006</v>
      </c>
      <c r="K19" s="24">
        <f t="shared" si="10"/>
        <v>393.57058000000006</v>
      </c>
      <c r="L19" s="24">
        <f t="shared" ref="L19:U19" si="11">K19*0.98</f>
        <v>385.69916840000008</v>
      </c>
      <c r="M19" s="24">
        <f t="shared" si="11"/>
        <v>377.98518503200006</v>
      </c>
      <c r="N19" s="24">
        <f t="shared" si="11"/>
        <v>370.42548133136006</v>
      </c>
      <c r="O19" s="24">
        <f t="shared" si="11"/>
        <v>363.01697170473284</v>
      </c>
      <c r="P19" s="24">
        <f t="shared" si="11"/>
        <v>355.75663227063819</v>
      </c>
      <c r="Q19" s="24">
        <f t="shared" si="11"/>
        <v>348.64149962522544</v>
      </c>
      <c r="R19" s="24">
        <f t="shared" si="11"/>
        <v>341.66866963272093</v>
      </c>
      <c r="S19" s="24">
        <f t="shared" si="11"/>
        <v>334.8352962400665</v>
      </c>
      <c r="T19" s="24">
        <f t="shared" si="11"/>
        <v>328.13859031526516</v>
      </c>
      <c r="U19" s="24">
        <f t="shared" si="11"/>
        <v>321.57581850895986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</row>
    <row r="20" spans="1:200" x14ac:dyDescent="0.15">
      <c r="A20" s="3" t="s">
        <v>9</v>
      </c>
      <c r="B20" s="45"/>
      <c r="C20" s="45"/>
      <c r="D20" s="38"/>
      <c r="E20" s="38">
        <f>SUM(Reports!N13:Q13)</f>
        <v>21</v>
      </c>
      <c r="F20" s="38">
        <f>SUM(Reports!R13:U13)</f>
        <v>47</v>
      </c>
      <c r="G20" s="24">
        <f>F20*1.25</f>
        <v>58.75</v>
      </c>
      <c r="H20" s="24">
        <f t="shared" ref="H20:K20" si="12">G20*1.25</f>
        <v>73.4375</v>
      </c>
      <c r="I20" s="24">
        <f t="shared" si="12"/>
        <v>91.796875</v>
      </c>
      <c r="J20" s="24">
        <f t="shared" si="12"/>
        <v>114.74609375</v>
      </c>
      <c r="K20" s="24">
        <f t="shared" si="12"/>
        <v>143.4326171875</v>
      </c>
      <c r="L20" s="24">
        <f t="shared" ref="L20:U20" si="13">K20*0.98</f>
        <v>140.56396484375</v>
      </c>
      <c r="M20" s="24">
        <f t="shared" si="13"/>
        <v>137.752685546875</v>
      </c>
      <c r="N20" s="24">
        <f t="shared" si="13"/>
        <v>134.99763183593751</v>
      </c>
      <c r="O20" s="24">
        <f t="shared" si="13"/>
        <v>132.29767919921875</v>
      </c>
      <c r="P20" s="24">
        <f t="shared" si="13"/>
        <v>129.65172561523437</v>
      </c>
      <c r="Q20" s="24">
        <f t="shared" si="13"/>
        <v>127.05869110292969</v>
      </c>
      <c r="R20" s="24">
        <f t="shared" si="13"/>
        <v>124.51751728087109</v>
      </c>
      <c r="S20" s="24">
        <f t="shared" si="13"/>
        <v>122.02716693525366</v>
      </c>
      <c r="T20" s="24">
        <f t="shared" si="13"/>
        <v>119.58662359654859</v>
      </c>
      <c r="U20" s="24">
        <f t="shared" si="13"/>
        <v>117.19489112461761</v>
      </c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</row>
    <row r="21" spans="1:200" x14ac:dyDescent="0.15">
      <c r="A21" s="3" t="s">
        <v>10</v>
      </c>
      <c r="B21" s="45"/>
      <c r="C21" s="45"/>
      <c r="D21" s="38"/>
      <c r="E21" s="27">
        <f>SUM(E18:E20)</f>
        <v>116</v>
      </c>
      <c r="F21" s="27">
        <f>SUM(F18:F20)</f>
        <v>242</v>
      </c>
      <c r="G21" s="24">
        <f t="shared" ref="G21:H21" si="14">SUM(G18:G20)</f>
        <v>312.25</v>
      </c>
      <c r="H21" s="24">
        <f t="shared" si="14"/>
        <v>402.98750000000001</v>
      </c>
      <c r="I21" s="24">
        <f t="shared" ref="I21:P21" si="15">SUM(I18:I20)</f>
        <v>520.21187500000008</v>
      </c>
      <c r="J21" s="24">
        <f t="shared" si="15"/>
        <v>671.68559375000007</v>
      </c>
      <c r="K21" s="24">
        <f t="shared" si="15"/>
        <v>867.4539671875001</v>
      </c>
      <c r="L21" s="24">
        <f t="shared" si="15"/>
        <v>889.7589802437501</v>
      </c>
      <c r="M21" s="24">
        <f t="shared" si="15"/>
        <v>915.58330227887518</v>
      </c>
      <c r="N21" s="24">
        <f t="shared" si="15"/>
        <v>945.25308803729763</v>
      </c>
      <c r="O21" s="24">
        <f t="shared" si="15"/>
        <v>979.12762326095185</v>
      </c>
      <c r="P21" s="24">
        <f t="shared" si="15"/>
        <v>1017.6026274785728</v>
      </c>
      <c r="Q21" s="24">
        <f t="shared" ref="Q21:U21" si="16">SUM(Q18:Q20)</f>
        <v>1061.1138872801255</v>
      </c>
      <c r="R21" s="24">
        <f t="shared" si="16"/>
        <v>1110.1412531207595</v>
      </c>
      <c r="S21" s="24">
        <f t="shared" si="16"/>
        <v>1165.2130360032045</v>
      </c>
      <c r="T21" s="24">
        <f t="shared" si="16"/>
        <v>1226.9108440224866</v>
      </c>
      <c r="U21" s="24">
        <f t="shared" si="16"/>
        <v>1295.8749027553176</v>
      </c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</row>
    <row r="22" spans="1:200" x14ac:dyDescent="0.15">
      <c r="A22" s="3" t="s">
        <v>11</v>
      </c>
      <c r="B22" s="45"/>
      <c r="C22" s="45"/>
      <c r="D22" s="38"/>
      <c r="E22" s="27">
        <f>E17-E21</f>
        <v>-53</v>
      </c>
      <c r="F22" s="27">
        <f>F17-F21</f>
        <v>-119.33199999999999</v>
      </c>
      <c r="G22" s="24">
        <f t="shared" ref="G22:H22" si="17">G17-G21</f>
        <v>-115.9812</v>
      </c>
      <c r="H22" s="24">
        <f t="shared" si="17"/>
        <v>-108.58429999999998</v>
      </c>
      <c r="I22" s="24">
        <f t="shared" ref="I22:P22" si="18">I17-I21</f>
        <v>-108.04739500000011</v>
      </c>
      <c r="J22" s="24">
        <f t="shared" si="18"/>
        <v>-94.655321750000098</v>
      </c>
      <c r="K22" s="24">
        <f t="shared" si="18"/>
        <v>-59.611586387500211</v>
      </c>
      <c r="L22" s="24">
        <f t="shared" si="18"/>
        <v>-1.1323613637501921</v>
      </c>
      <c r="M22" s="24">
        <f t="shared" si="18"/>
        <v>61.905978489124891</v>
      </c>
      <c r="N22" s="24">
        <f t="shared" si="18"/>
        <v>129.98512080750243</v>
      </c>
      <c r="O22" s="24">
        <f t="shared" si="18"/>
        <v>203.63440646832828</v>
      </c>
      <c r="P22" s="24">
        <f t="shared" si="18"/>
        <v>283.43560522363543</v>
      </c>
      <c r="Q22" s="24">
        <f t="shared" ref="Q22:U22" si="19">Q17-Q21</f>
        <v>370.02816869230355</v>
      </c>
      <c r="R22" s="24">
        <f t="shared" si="19"/>
        <v>464.1150084489127</v>
      </c>
      <c r="S22" s="24">
        <f t="shared" si="19"/>
        <v>566.46885172343536</v>
      </c>
      <c r="T22" s="24">
        <f t="shared" si="19"/>
        <v>677.93923247681755</v>
      </c>
      <c r="U22" s="24">
        <f t="shared" si="19"/>
        <v>799.46018139391663</v>
      </c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</row>
    <row r="23" spans="1:200" x14ac:dyDescent="0.15">
      <c r="A23" s="3" t="s">
        <v>12</v>
      </c>
      <c r="B23" s="45"/>
      <c r="C23" s="45"/>
      <c r="D23" s="38"/>
      <c r="E23" s="38">
        <f>SUM(Reports!N16:Q16)</f>
        <v>0</v>
      </c>
      <c r="F23" s="38">
        <f>SUM(Reports!R16:U16)</f>
        <v>0</v>
      </c>
      <c r="G23" s="24">
        <f>F40*$F$3</f>
        <v>2.96</v>
      </c>
      <c r="H23" s="24">
        <f t="shared" ref="H23:U23" si="20">G40*$F$3</f>
        <v>0.69957599999999986</v>
      </c>
      <c r="I23" s="24">
        <f t="shared" si="20"/>
        <v>-1.45811848</v>
      </c>
      <c r="J23" s="24">
        <f>I40*$F$3</f>
        <v>-3.6482287496000021</v>
      </c>
      <c r="K23" s="24">
        <f t="shared" si="20"/>
        <v>-5.6142997595920043</v>
      </c>
      <c r="L23" s="24">
        <f t="shared" si="20"/>
        <v>-6.9188174825338482</v>
      </c>
      <c r="M23" s="24">
        <f t="shared" si="20"/>
        <v>-7.079841059459528</v>
      </c>
      <c r="N23" s="24">
        <f t="shared" si="20"/>
        <v>-6.1477967231552171</v>
      </c>
      <c r="O23" s="24">
        <f t="shared" si="20"/>
        <v>-4.0425622137213146</v>
      </c>
      <c r="P23" s="24">
        <f t="shared" si="20"/>
        <v>-0.64950086139299634</v>
      </c>
      <c r="Q23" s="24">
        <f t="shared" si="20"/>
        <v>4.1578629127651254</v>
      </c>
      <c r="R23" s="24">
        <f t="shared" si="20"/>
        <v>10.519025450051295</v>
      </c>
      <c r="S23" s="24">
        <f t="shared" si="20"/>
        <v>18.587804026333682</v>
      </c>
      <c r="T23" s="24">
        <f t="shared" si="20"/>
        <v>28.53376717407976</v>
      </c>
      <c r="U23" s="24">
        <f t="shared" si="20"/>
        <v>40.543808168145013</v>
      </c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</row>
    <row r="24" spans="1:200" x14ac:dyDescent="0.15">
      <c r="A24" s="3" t="s">
        <v>13</v>
      </c>
      <c r="B24" s="45"/>
      <c r="C24" s="45"/>
      <c r="D24" s="38"/>
      <c r="E24" s="27">
        <f>E22+E23</f>
        <v>-53</v>
      </c>
      <c r="F24" s="27">
        <f>F22+F23</f>
        <v>-119.33199999999999</v>
      </c>
      <c r="G24" s="24">
        <f t="shared" ref="G24:H24" si="21">G22+G23</f>
        <v>-113.02120000000001</v>
      </c>
      <c r="H24" s="24">
        <f t="shared" si="21"/>
        <v>-107.88472399999999</v>
      </c>
      <c r="I24" s="24">
        <f t="shared" ref="I24" si="22">I22+I23</f>
        <v>-109.5055134800001</v>
      </c>
      <c r="J24" s="24">
        <f t="shared" ref="J24" si="23">J22+J23</f>
        <v>-98.303550499600107</v>
      </c>
      <c r="K24" s="24">
        <f t="shared" ref="K24" si="24">K22+K23</f>
        <v>-65.225886147092211</v>
      </c>
      <c r="L24" s="24">
        <f t="shared" ref="L24" si="25">L22+L23</f>
        <v>-8.0511788462840403</v>
      </c>
      <c r="M24" s="24">
        <f t="shared" ref="M24" si="26">M22+M23</f>
        <v>54.826137429665366</v>
      </c>
      <c r="N24" s="24">
        <f t="shared" ref="N24" si="27">N22+N23</f>
        <v>123.83732408434722</v>
      </c>
      <c r="O24" s="24">
        <f t="shared" ref="O24" si="28">O22+O23</f>
        <v>199.59184425460697</v>
      </c>
      <c r="P24" s="24">
        <f t="shared" ref="P24:Q24" si="29">P22+P23</f>
        <v>282.78610436224244</v>
      </c>
      <c r="Q24" s="24">
        <f t="shared" si="29"/>
        <v>374.18603160506871</v>
      </c>
      <c r="R24" s="24">
        <f t="shared" ref="R24:U24" si="30">R22+R23</f>
        <v>474.63403389896399</v>
      </c>
      <c r="S24" s="24">
        <f t="shared" si="30"/>
        <v>585.05665574976899</v>
      </c>
      <c r="T24" s="24">
        <f t="shared" si="30"/>
        <v>706.47299965089735</v>
      </c>
      <c r="U24" s="24">
        <f t="shared" si="30"/>
        <v>840.00398956206163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</row>
    <row r="25" spans="1:200" x14ac:dyDescent="0.15">
      <c r="A25" s="3" t="s">
        <v>14</v>
      </c>
      <c r="B25" s="45"/>
      <c r="C25" s="45"/>
      <c r="D25" s="38"/>
      <c r="E25" s="38">
        <f>SUM(Reports!N18:Q18)</f>
        <v>0</v>
      </c>
      <c r="F25" s="38">
        <f>SUM(Reports!R18:U18)</f>
        <v>0</v>
      </c>
      <c r="G25" s="24"/>
      <c r="H25" s="24"/>
      <c r="I25" s="24"/>
      <c r="J25" s="24"/>
      <c r="K25" s="24"/>
      <c r="L25" s="24"/>
      <c r="M25" s="24">
        <f>M24*0.15</f>
        <v>8.2239206144498045</v>
      </c>
      <c r="N25" s="24">
        <f t="shared" ref="N25:U25" si="31">N24*0.15</f>
        <v>18.575598612652083</v>
      </c>
      <c r="O25" s="24">
        <f t="shared" si="31"/>
        <v>29.938776638191044</v>
      </c>
      <c r="P25" s="24">
        <f t="shared" si="31"/>
        <v>42.417915654336362</v>
      </c>
      <c r="Q25" s="24">
        <f t="shared" si="31"/>
        <v>56.127904740760307</v>
      </c>
      <c r="R25" s="24">
        <f t="shared" si="31"/>
        <v>71.195105084844599</v>
      </c>
      <c r="S25" s="24">
        <f t="shared" si="31"/>
        <v>87.758498362465346</v>
      </c>
      <c r="T25" s="24">
        <f t="shared" si="31"/>
        <v>105.97094994763459</v>
      </c>
      <c r="U25" s="24">
        <f t="shared" si="31"/>
        <v>126.00059843430924</v>
      </c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</row>
    <row r="26" spans="1:200" s="2" customFormat="1" x14ac:dyDescent="0.15">
      <c r="A26" s="2" t="s">
        <v>15</v>
      </c>
      <c r="B26" s="45"/>
      <c r="C26" s="45"/>
      <c r="D26" s="38"/>
      <c r="E26" s="25">
        <f>E24-E25</f>
        <v>-53</v>
      </c>
      <c r="F26" s="25">
        <f t="shared" ref="F26:H26" si="32">F24-F25</f>
        <v>-119.33199999999999</v>
      </c>
      <c r="G26" s="25">
        <f>G24-G25</f>
        <v>-113.02120000000001</v>
      </c>
      <c r="H26" s="25">
        <f t="shared" si="32"/>
        <v>-107.88472399999999</v>
      </c>
      <c r="I26" s="25">
        <f t="shared" ref="I26:P26" si="33">I24-I25</f>
        <v>-109.5055134800001</v>
      </c>
      <c r="J26" s="25">
        <f t="shared" si="33"/>
        <v>-98.303550499600107</v>
      </c>
      <c r="K26" s="25">
        <f t="shared" si="33"/>
        <v>-65.225886147092211</v>
      </c>
      <c r="L26" s="25">
        <f t="shared" si="33"/>
        <v>-8.0511788462840403</v>
      </c>
      <c r="M26" s="25">
        <f t="shared" si="33"/>
        <v>46.602216815215563</v>
      </c>
      <c r="N26" s="25">
        <f t="shared" si="33"/>
        <v>105.26172547169513</v>
      </c>
      <c r="O26" s="25">
        <f t="shared" si="33"/>
        <v>169.65306761641591</v>
      </c>
      <c r="P26" s="25">
        <f t="shared" si="33"/>
        <v>240.36818870790609</v>
      </c>
      <c r="Q26" s="25">
        <f t="shared" ref="Q26:U26" si="34">Q24-Q25</f>
        <v>318.05812686430841</v>
      </c>
      <c r="R26" s="25">
        <f t="shared" si="34"/>
        <v>403.43892881411938</v>
      </c>
      <c r="S26" s="25">
        <f t="shared" si="34"/>
        <v>497.29815738730366</v>
      </c>
      <c r="T26" s="25">
        <f t="shared" si="34"/>
        <v>600.50204970326274</v>
      </c>
      <c r="U26" s="25">
        <f t="shared" si="34"/>
        <v>714.00339112775237</v>
      </c>
      <c r="V26" s="25">
        <f t="shared" ref="V26:BY26" si="35">U26*($F$2+1)</f>
        <v>706.86335721647481</v>
      </c>
      <c r="W26" s="25">
        <f t="shared" si="35"/>
        <v>699.79472364431001</v>
      </c>
      <c r="X26" s="25">
        <f t="shared" si="35"/>
        <v>692.7967764078669</v>
      </c>
      <c r="Y26" s="25">
        <f t="shared" si="35"/>
        <v>685.86880864378827</v>
      </c>
      <c r="Z26" s="25">
        <f t="shared" si="35"/>
        <v>679.01012055735043</v>
      </c>
      <c r="AA26" s="25">
        <f t="shared" si="35"/>
        <v>672.22001935177695</v>
      </c>
      <c r="AB26" s="25">
        <f t="shared" si="35"/>
        <v>665.49781915825918</v>
      </c>
      <c r="AC26" s="25">
        <f t="shared" si="35"/>
        <v>658.84284096667659</v>
      </c>
      <c r="AD26" s="25">
        <f t="shared" si="35"/>
        <v>652.2544125570098</v>
      </c>
      <c r="AE26" s="25">
        <f t="shared" si="35"/>
        <v>645.73186843143969</v>
      </c>
      <c r="AF26" s="25">
        <f t="shared" si="35"/>
        <v>639.27454974712532</v>
      </c>
      <c r="AG26" s="25">
        <f t="shared" si="35"/>
        <v>632.88180424965401</v>
      </c>
      <c r="AH26" s="25">
        <f t="shared" si="35"/>
        <v>626.55298620715746</v>
      </c>
      <c r="AI26" s="25">
        <f t="shared" si="35"/>
        <v>620.28745634508584</v>
      </c>
      <c r="AJ26" s="25">
        <f t="shared" si="35"/>
        <v>614.08458178163494</v>
      </c>
      <c r="AK26" s="25">
        <f t="shared" si="35"/>
        <v>607.94373596381854</v>
      </c>
      <c r="AL26" s="25">
        <f t="shared" si="35"/>
        <v>601.86429860418036</v>
      </c>
      <c r="AM26" s="25">
        <f t="shared" si="35"/>
        <v>595.84565561813861</v>
      </c>
      <c r="AN26" s="25">
        <f t="shared" si="35"/>
        <v>589.88719906195718</v>
      </c>
      <c r="AO26" s="25">
        <f t="shared" si="35"/>
        <v>583.98832707133761</v>
      </c>
      <c r="AP26" s="25">
        <f t="shared" si="35"/>
        <v>578.14844380062425</v>
      </c>
      <c r="AQ26" s="25">
        <f t="shared" si="35"/>
        <v>572.36695936261799</v>
      </c>
      <c r="AR26" s="25">
        <f t="shared" si="35"/>
        <v>566.64328976899185</v>
      </c>
      <c r="AS26" s="25">
        <f t="shared" si="35"/>
        <v>560.97685687130195</v>
      </c>
      <c r="AT26" s="25">
        <f t="shared" si="35"/>
        <v>555.36708830258897</v>
      </c>
      <c r="AU26" s="25">
        <f t="shared" si="35"/>
        <v>549.81341741956305</v>
      </c>
      <c r="AV26" s="25">
        <f t="shared" si="35"/>
        <v>544.31528324536737</v>
      </c>
      <c r="AW26" s="25">
        <f t="shared" si="35"/>
        <v>538.87213041291363</v>
      </c>
      <c r="AX26" s="25">
        <f t="shared" si="35"/>
        <v>533.48340910878449</v>
      </c>
      <c r="AY26" s="25">
        <f t="shared" si="35"/>
        <v>528.14857501769666</v>
      </c>
      <c r="AZ26" s="25">
        <f t="shared" si="35"/>
        <v>522.86708926751965</v>
      </c>
      <c r="BA26" s="25">
        <f t="shared" si="35"/>
        <v>517.63841837484449</v>
      </c>
      <c r="BB26" s="25">
        <f t="shared" si="35"/>
        <v>512.462034191096</v>
      </c>
      <c r="BC26" s="25">
        <f t="shared" si="35"/>
        <v>507.33741384918505</v>
      </c>
      <c r="BD26" s="25">
        <f t="shared" si="35"/>
        <v>502.26403971069323</v>
      </c>
      <c r="BE26" s="25">
        <f t="shared" si="35"/>
        <v>497.24139931358627</v>
      </c>
      <c r="BF26" s="25">
        <f t="shared" si="35"/>
        <v>492.26898532045038</v>
      </c>
      <c r="BG26" s="25">
        <f t="shared" si="35"/>
        <v>487.34629546724585</v>
      </c>
      <c r="BH26" s="25">
        <f t="shared" si="35"/>
        <v>482.4728325125734</v>
      </c>
      <c r="BI26" s="25">
        <f t="shared" si="35"/>
        <v>477.64810418744764</v>
      </c>
      <c r="BJ26" s="25">
        <f t="shared" si="35"/>
        <v>472.87162314557315</v>
      </c>
      <c r="BK26" s="25">
        <f t="shared" si="35"/>
        <v>468.14290691411742</v>
      </c>
      <c r="BL26" s="25">
        <f t="shared" si="35"/>
        <v>463.46147784497623</v>
      </c>
      <c r="BM26" s="25">
        <f t="shared" si="35"/>
        <v>458.82686306652647</v>
      </c>
      <c r="BN26" s="25">
        <f t="shared" si="35"/>
        <v>454.23859443586122</v>
      </c>
      <c r="BO26" s="25">
        <f t="shared" si="35"/>
        <v>449.6962084915026</v>
      </c>
      <c r="BP26" s="25">
        <f t="shared" si="35"/>
        <v>445.19924640658758</v>
      </c>
      <c r="BQ26" s="25">
        <f t="shared" si="35"/>
        <v>440.7472539425217</v>
      </c>
      <c r="BR26" s="25">
        <f t="shared" si="35"/>
        <v>436.33978140309648</v>
      </c>
      <c r="BS26" s="25">
        <f t="shared" si="35"/>
        <v>431.97638358906551</v>
      </c>
      <c r="BT26" s="25">
        <f t="shared" si="35"/>
        <v>427.65661975317482</v>
      </c>
      <c r="BU26" s="25">
        <f t="shared" si="35"/>
        <v>423.38005355564309</v>
      </c>
      <c r="BV26" s="25">
        <f t="shared" si="35"/>
        <v>419.14625302008665</v>
      </c>
      <c r="BW26" s="25">
        <f t="shared" si="35"/>
        <v>414.9547904898858</v>
      </c>
      <c r="BX26" s="25">
        <f t="shared" si="35"/>
        <v>410.80524258498696</v>
      </c>
      <c r="BY26" s="25">
        <f t="shared" si="35"/>
        <v>406.69719015913711</v>
      </c>
      <c r="BZ26" s="25">
        <f t="shared" ref="BZ26:DM26" si="36">BY26*($F$2+1)</f>
        <v>402.63021825754572</v>
      </c>
      <c r="CA26" s="25">
        <f t="shared" si="36"/>
        <v>398.60391607497024</v>
      </c>
      <c r="CB26" s="25">
        <f t="shared" si="36"/>
        <v>394.61787691422052</v>
      </c>
      <c r="CC26" s="25">
        <f t="shared" si="36"/>
        <v>390.67169814507832</v>
      </c>
      <c r="CD26" s="25">
        <f t="shared" si="36"/>
        <v>386.76498116362751</v>
      </c>
      <c r="CE26" s="25">
        <f t="shared" si="36"/>
        <v>382.89733135199123</v>
      </c>
      <c r="CF26" s="25">
        <f t="shared" si="36"/>
        <v>379.06835803847133</v>
      </c>
      <c r="CG26" s="25">
        <f t="shared" si="36"/>
        <v>375.27767445808661</v>
      </c>
      <c r="CH26" s="25">
        <f t="shared" si="36"/>
        <v>371.52489771350577</v>
      </c>
      <c r="CI26" s="25">
        <f t="shared" si="36"/>
        <v>367.80964873637072</v>
      </c>
      <c r="CJ26" s="25">
        <f t="shared" si="36"/>
        <v>364.13155224900703</v>
      </c>
      <c r="CK26" s="25">
        <f t="shared" si="36"/>
        <v>360.49023672651697</v>
      </c>
      <c r="CL26" s="25">
        <f t="shared" si="36"/>
        <v>356.88533435925177</v>
      </c>
      <c r="CM26" s="25">
        <f t="shared" si="36"/>
        <v>353.31648101565924</v>
      </c>
      <c r="CN26" s="25">
        <f t="shared" si="36"/>
        <v>349.78331620550262</v>
      </c>
      <c r="CO26" s="25">
        <f t="shared" si="36"/>
        <v>346.28548304344758</v>
      </c>
      <c r="CP26" s="25">
        <f t="shared" si="36"/>
        <v>342.8226282130131</v>
      </c>
      <c r="CQ26" s="25">
        <f t="shared" si="36"/>
        <v>339.39440193088296</v>
      </c>
      <c r="CR26" s="25">
        <f t="shared" si="36"/>
        <v>336.00045791157413</v>
      </c>
      <c r="CS26" s="25">
        <f t="shared" si="36"/>
        <v>332.64045333245838</v>
      </c>
      <c r="CT26" s="25">
        <f t="shared" si="36"/>
        <v>329.31404879913379</v>
      </c>
      <c r="CU26" s="25">
        <f t="shared" si="36"/>
        <v>326.02090831114242</v>
      </c>
      <c r="CV26" s="25">
        <f t="shared" si="36"/>
        <v>322.760699228031</v>
      </c>
      <c r="CW26" s="25">
        <f t="shared" si="36"/>
        <v>319.5330922357507</v>
      </c>
      <c r="CX26" s="25">
        <f t="shared" si="36"/>
        <v>316.33776131339317</v>
      </c>
      <c r="CY26" s="25">
        <f t="shared" si="36"/>
        <v>313.17438370025923</v>
      </c>
      <c r="CZ26" s="25">
        <f t="shared" si="36"/>
        <v>310.04263986325662</v>
      </c>
      <c r="DA26" s="25">
        <f t="shared" si="36"/>
        <v>306.94221346462405</v>
      </c>
      <c r="DB26" s="25">
        <f t="shared" si="36"/>
        <v>303.87279132997782</v>
      </c>
      <c r="DC26" s="25">
        <f t="shared" si="36"/>
        <v>300.83406341667802</v>
      </c>
      <c r="DD26" s="25">
        <f t="shared" si="36"/>
        <v>297.82572278251126</v>
      </c>
      <c r="DE26" s="25">
        <f t="shared" si="36"/>
        <v>294.84746555468615</v>
      </c>
      <c r="DF26" s="25">
        <f t="shared" si="36"/>
        <v>291.89899089913928</v>
      </c>
      <c r="DG26" s="25">
        <f t="shared" si="36"/>
        <v>288.98000099014786</v>
      </c>
      <c r="DH26" s="25">
        <f t="shared" si="36"/>
        <v>286.09020098024638</v>
      </c>
      <c r="DI26" s="25">
        <f t="shared" si="36"/>
        <v>283.22929897044389</v>
      </c>
      <c r="DJ26" s="25">
        <f t="shared" si="36"/>
        <v>280.39700598073944</v>
      </c>
      <c r="DK26" s="25">
        <f t="shared" si="36"/>
        <v>277.59303592093204</v>
      </c>
      <c r="DL26" s="25">
        <f t="shared" si="36"/>
        <v>274.81710556172271</v>
      </c>
      <c r="DM26" s="25">
        <f t="shared" si="36"/>
        <v>272.06893450610551</v>
      </c>
      <c r="DN26" s="25">
        <f t="shared" ref="DN26" si="37">DM26*($F$2+1)</f>
        <v>269.34824516104447</v>
      </c>
      <c r="DO26" s="25">
        <f t="shared" ref="DO26" si="38">DN26*($F$2+1)</f>
        <v>266.65476270943401</v>
      </c>
      <c r="DP26" s="25">
        <f t="shared" ref="DP26" si="39">DO26*($F$2+1)</f>
        <v>263.98821508233965</v>
      </c>
      <c r="DQ26" s="25">
        <f t="shared" ref="DQ26" si="40">DP26*($F$2+1)</f>
        <v>261.34833293151627</v>
      </c>
      <c r="DR26" s="25">
        <f t="shared" ref="DR26" si="41">DQ26*($F$2+1)</f>
        <v>258.73484960220111</v>
      </c>
      <c r="DS26" s="25">
        <f t="shared" ref="DS26" si="42">DR26*($F$2+1)</f>
        <v>256.14750110617911</v>
      </c>
      <c r="DT26" s="25">
        <f t="shared" ref="DT26" si="43">DS26*($F$2+1)</f>
        <v>253.58602609511732</v>
      </c>
      <c r="DU26" s="25">
        <f t="shared" ref="DU26" si="44">DT26*($F$2+1)</f>
        <v>251.05016583416614</v>
      </c>
      <c r="DV26" s="25">
        <f t="shared" ref="DV26" si="45">DU26*($F$2+1)</f>
        <v>248.53966417582447</v>
      </c>
      <c r="DW26" s="25">
        <f t="shared" ref="DW26" si="46">DV26*($F$2+1)</f>
        <v>246.05426753406621</v>
      </c>
      <c r="DX26" s="25">
        <f t="shared" ref="DX26" si="47">DW26*($F$2+1)</f>
        <v>243.59372485872555</v>
      </c>
      <c r="DY26" s="25">
        <f t="shared" ref="DY26" si="48">DX26*($F$2+1)</f>
        <v>241.15778761013829</v>
      </c>
      <c r="DZ26" s="25">
        <f t="shared" ref="DZ26" si="49">DY26*($F$2+1)</f>
        <v>238.74620973403691</v>
      </c>
      <c r="EA26" s="25">
        <f t="shared" ref="EA26" si="50">DZ26*($F$2+1)</f>
        <v>236.35874763669653</v>
      </c>
      <c r="EB26" s="25">
        <f t="shared" ref="EB26" si="51">EA26*($F$2+1)</f>
        <v>233.99516016032956</v>
      </c>
      <c r="EC26" s="25">
        <f t="shared" ref="EC26" si="52">EB26*($F$2+1)</f>
        <v>231.65520855872626</v>
      </c>
      <c r="ED26" s="25">
        <f t="shared" ref="ED26" si="53">EC26*($F$2+1)</f>
        <v>229.338656473139</v>
      </c>
      <c r="EE26" s="25">
        <f t="shared" ref="EE26" si="54">ED26*($F$2+1)</f>
        <v>227.04526990840762</v>
      </c>
      <c r="EF26" s="25">
        <f t="shared" ref="EF26" si="55">EE26*($F$2+1)</f>
        <v>224.77481720932354</v>
      </c>
      <c r="EG26" s="25">
        <f t="shared" ref="EG26" si="56">EF26*($F$2+1)</f>
        <v>222.52706903723032</v>
      </c>
      <c r="EH26" s="25">
        <f t="shared" ref="EH26" si="57">EG26*($F$2+1)</f>
        <v>220.30179834685802</v>
      </c>
      <c r="EI26" s="25">
        <f t="shared" ref="EI26" si="58">EH26*($F$2+1)</f>
        <v>218.09878036338944</v>
      </c>
      <c r="EJ26" s="25">
        <f t="shared" ref="EJ26" si="59">EI26*($F$2+1)</f>
        <v>215.91779255975555</v>
      </c>
      <c r="EK26" s="25">
        <f t="shared" ref="EK26" si="60">EJ26*($F$2+1)</f>
        <v>213.75861463415799</v>
      </c>
      <c r="EL26" s="25">
        <f t="shared" ref="EL26" si="61">EK26*($F$2+1)</f>
        <v>211.6210284878164</v>
      </c>
      <c r="EM26" s="25">
        <f t="shared" ref="EM26" si="62">EL26*($F$2+1)</f>
        <v>209.50481820293822</v>
      </c>
      <c r="EN26" s="25">
        <f t="shared" ref="EN26" si="63">EM26*($F$2+1)</f>
        <v>207.40977002090884</v>
      </c>
      <c r="EO26" s="25">
        <f t="shared" ref="EO26" si="64">EN26*($F$2+1)</f>
        <v>205.33567232069976</v>
      </c>
      <c r="EP26" s="25">
        <f t="shared" ref="EP26" si="65">EO26*($F$2+1)</f>
        <v>203.28231559749275</v>
      </c>
      <c r="EQ26" s="25">
        <f t="shared" ref="EQ26" si="66">EP26*($F$2+1)</f>
        <v>201.24949244151782</v>
      </c>
      <c r="ER26" s="25">
        <f t="shared" ref="ER26" si="67">EQ26*($F$2+1)</f>
        <v>199.23699751710262</v>
      </c>
      <c r="ES26" s="25">
        <f t="shared" ref="ES26" si="68">ER26*($F$2+1)</f>
        <v>197.24462754193161</v>
      </c>
      <c r="ET26" s="25">
        <f t="shared" ref="ET26" si="69">ES26*($F$2+1)</f>
        <v>195.27218126651229</v>
      </c>
      <c r="EU26" s="25">
        <f t="shared" ref="EU26" si="70">ET26*($F$2+1)</f>
        <v>193.31945945384717</v>
      </c>
      <c r="EV26" s="25">
        <f t="shared" ref="EV26" si="71">EU26*($F$2+1)</f>
        <v>191.38626485930871</v>
      </c>
      <c r="EW26" s="25">
        <f t="shared" ref="EW26" si="72">EV26*($F$2+1)</f>
        <v>189.47240221071561</v>
      </c>
      <c r="EX26" s="25">
        <f t="shared" ref="EX26" si="73">EW26*($F$2+1)</f>
        <v>187.57767818860844</v>
      </c>
      <c r="EY26" s="25">
        <f t="shared" ref="EY26" si="74">EX26*($F$2+1)</f>
        <v>185.70190140672236</v>
      </c>
      <c r="EZ26" s="25">
        <f t="shared" ref="EZ26" si="75">EY26*($F$2+1)</f>
        <v>183.84488239265514</v>
      </c>
      <c r="FA26" s="25">
        <f t="shared" ref="FA26" si="76">EZ26*($F$2+1)</f>
        <v>182.0064335687286</v>
      </c>
      <c r="FB26" s="25">
        <f t="shared" ref="FB26" si="77">FA26*($F$2+1)</f>
        <v>180.18636923304132</v>
      </c>
      <c r="FC26" s="25">
        <f t="shared" ref="FC26" si="78">FB26*($F$2+1)</f>
        <v>178.3845055407109</v>
      </c>
      <c r="FD26" s="25">
        <f t="shared" ref="FD26" si="79">FC26*($F$2+1)</f>
        <v>176.60066048530379</v>
      </c>
      <c r="FE26" s="25">
        <f t="shared" ref="FE26" si="80">FD26*($F$2+1)</f>
        <v>174.83465388045076</v>
      </c>
      <c r="FF26" s="25">
        <f t="shared" ref="FF26" si="81">FE26*($F$2+1)</f>
        <v>173.08630734164626</v>
      </c>
      <c r="FG26" s="25">
        <f t="shared" ref="FG26" si="82">FF26*($F$2+1)</f>
        <v>171.3554442682298</v>
      </c>
      <c r="FH26" s="25">
        <f t="shared" ref="FH26" si="83">FG26*($F$2+1)</f>
        <v>169.64188982554751</v>
      </c>
      <c r="FI26" s="25">
        <f t="shared" ref="FI26" si="84">FH26*($F$2+1)</f>
        <v>167.94547092729204</v>
      </c>
      <c r="FJ26" s="25">
        <f t="shared" ref="FJ26" si="85">FI26*($F$2+1)</f>
        <v>166.2660162180191</v>
      </c>
      <c r="FK26" s="25">
        <f t="shared" ref="FK26" si="86">FJ26*($F$2+1)</f>
        <v>164.6033560558389</v>
      </c>
      <c r="FL26" s="25">
        <f t="shared" ref="FL26" si="87">FK26*($F$2+1)</f>
        <v>162.95732249528052</v>
      </c>
      <c r="FM26" s="25">
        <f t="shared" ref="FM26" si="88">FL26*($F$2+1)</f>
        <v>161.32774927032773</v>
      </c>
      <c r="FN26" s="25">
        <f t="shared" ref="FN26" si="89">FM26*($F$2+1)</f>
        <v>159.71447177762445</v>
      </c>
      <c r="FO26" s="25">
        <f t="shared" ref="FO26" si="90">FN26*($F$2+1)</f>
        <v>158.11732705984821</v>
      </c>
      <c r="FP26" s="25">
        <f t="shared" ref="FP26" si="91">FO26*($F$2+1)</f>
        <v>156.53615378924974</v>
      </c>
      <c r="FQ26" s="25">
        <f t="shared" ref="FQ26" si="92">FP26*($F$2+1)</f>
        <v>154.97079225135724</v>
      </c>
      <c r="FR26" s="25">
        <f t="shared" ref="FR26" si="93">FQ26*($F$2+1)</f>
        <v>153.42108432884368</v>
      </c>
      <c r="FS26" s="25">
        <f t="shared" ref="FS26" si="94">FR26*($F$2+1)</f>
        <v>151.88687348555524</v>
      </c>
      <c r="FT26" s="25">
        <f t="shared" ref="FT26" si="95">FS26*($F$2+1)</f>
        <v>150.3680047506997</v>
      </c>
      <c r="FU26" s="25">
        <f t="shared" ref="FU26" si="96">FT26*($F$2+1)</f>
        <v>148.86432470319269</v>
      </c>
      <c r="FV26" s="25">
        <f t="shared" ref="FV26" si="97">FU26*($F$2+1)</f>
        <v>147.37568145616078</v>
      </c>
      <c r="FW26" s="25">
        <f t="shared" ref="FW26" si="98">FV26*($F$2+1)</f>
        <v>145.90192464159918</v>
      </c>
      <c r="FX26" s="25">
        <f t="shared" ref="FX26" si="99">FW26*($F$2+1)</f>
        <v>144.44290539518317</v>
      </c>
      <c r="FY26" s="25">
        <f t="shared" ref="FY26" si="100">FX26*($F$2+1)</f>
        <v>142.99847634123134</v>
      </c>
      <c r="FZ26" s="25">
        <f t="shared" ref="FZ26" si="101">FY26*($F$2+1)</f>
        <v>141.56849157781903</v>
      </c>
      <c r="GA26" s="25">
        <f t="shared" ref="GA26" si="102">FZ26*($F$2+1)</f>
        <v>140.15280666204083</v>
      </c>
      <c r="GB26" s="25">
        <f t="shared" ref="GB26" si="103">GA26*($F$2+1)</f>
        <v>138.75127859542042</v>
      </c>
      <c r="GC26" s="25">
        <f t="shared" ref="GC26" si="104">GB26*($F$2+1)</f>
        <v>137.3637658094662</v>
      </c>
      <c r="GD26" s="25">
        <f t="shared" ref="GD26" si="105">GC26*($F$2+1)</f>
        <v>135.99012815137155</v>
      </c>
      <c r="GE26" s="25">
        <f t="shared" ref="GE26" si="106">GD26*($F$2+1)</f>
        <v>134.63022686985784</v>
      </c>
      <c r="GF26" s="25">
        <f t="shared" ref="GF26" si="107">GE26*($F$2+1)</f>
        <v>133.28392460115924</v>
      </c>
      <c r="GG26" s="25">
        <f t="shared" ref="GG26" si="108">GF26*($F$2+1)</f>
        <v>131.95108535514765</v>
      </c>
      <c r="GH26" s="25">
        <f t="shared" ref="GH26" si="109">GG26*($F$2+1)</f>
        <v>130.63157450159616</v>
      </c>
      <c r="GI26" s="25">
        <f t="shared" ref="GI26" si="110">GH26*($F$2+1)</f>
        <v>129.32525875658021</v>
      </c>
      <c r="GJ26" s="25">
        <f t="shared" ref="GJ26" si="111">GI26*($F$2+1)</f>
        <v>128.03200616901441</v>
      </c>
      <c r="GK26" s="25">
        <f t="shared" ref="GK26" si="112">GJ26*($F$2+1)</f>
        <v>126.75168610732426</v>
      </c>
      <c r="GL26" s="25">
        <f t="shared" ref="GL26" si="113">GK26*($F$2+1)</f>
        <v>125.48416924625101</v>
      </c>
      <c r="GM26" s="25">
        <f t="shared" ref="GM26" si="114">GL26*($F$2+1)</f>
        <v>124.22932755378851</v>
      </c>
      <c r="GN26" s="25">
        <f t="shared" ref="GN26" si="115">GM26*($F$2+1)</f>
        <v>122.98703427825062</v>
      </c>
      <c r="GO26" s="25">
        <f t="shared" ref="GO26" si="116">GN26*($F$2+1)</f>
        <v>121.75716393546811</v>
      </c>
      <c r="GP26" s="25">
        <f t="shared" ref="GP26" si="117">GO26*($F$2+1)</f>
        <v>120.53959229611343</v>
      </c>
      <c r="GQ26" s="25">
        <f t="shared" ref="GQ26" si="118">GP26*($F$2+1)</f>
        <v>119.3341963731523</v>
      </c>
      <c r="GR26" s="25">
        <f t="shared" ref="GR26" si="119">GQ26*($F$2+1)</f>
        <v>118.14085440942077</v>
      </c>
    </row>
    <row r="27" spans="1:200" x14ac:dyDescent="0.15">
      <c r="A27" s="3" t="s">
        <v>16</v>
      </c>
      <c r="B27" s="45"/>
      <c r="C27" s="45"/>
      <c r="D27" s="38"/>
      <c r="E27" s="29" t="e">
        <f t="shared" ref="E27:G27" si="120">E26/E28</f>
        <v>#DIV/0!</v>
      </c>
      <c r="F27" s="29">
        <f t="shared" si="120"/>
        <v>-1.7128913258788234</v>
      </c>
      <c r="G27" s="54">
        <f t="shared" si="120"/>
        <v>-1.6223061133678787</v>
      </c>
      <c r="H27" s="54">
        <f t="shared" ref="H27" si="121">H26/H28</f>
        <v>-1.5485771455638966</v>
      </c>
      <c r="I27" s="54">
        <f t="shared" ref="I27:P27" si="122">I26/I28</f>
        <v>-1.5718419550145708</v>
      </c>
      <c r="J27" s="54">
        <f t="shared" si="122"/>
        <v>-1.4110489973674782</v>
      </c>
      <c r="K27" s="54">
        <f t="shared" si="122"/>
        <v>-0.93625225927759503</v>
      </c>
      <c r="L27" s="54">
        <f t="shared" si="122"/>
        <v>-0.11556660752270143</v>
      </c>
      <c r="M27" s="54">
        <f t="shared" si="122"/>
        <v>0.66892814123208355</v>
      </c>
      <c r="N27" s="54">
        <f t="shared" si="122"/>
        <v>1.5109266291313697</v>
      </c>
      <c r="O27" s="54">
        <f t="shared" si="122"/>
        <v>2.4351998452124524</v>
      </c>
      <c r="P27" s="54">
        <f t="shared" si="122"/>
        <v>3.450244573584424</v>
      </c>
      <c r="Q27" s="54">
        <f t="shared" ref="Q27:U27" si="123">Q26/Q28</f>
        <v>4.5654058142923963</v>
      </c>
      <c r="R27" s="54">
        <f t="shared" si="123"/>
        <v>5.790961700864389</v>
      </c>
      <c r="S27" s="54">
        <f t="shared" si="123"/>
        <v>7.1382169088277614</v>
      </c>
      <c r="T27" s="54">
        <f t="shared" si="123"/>
        <v>8.6196054043271957</v>
      </c>
      <c r="U27" s="54">
        <f t="shared" si="123"/>
        <v>10.248803466888948</v>
      </c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</row>
    <row r="28" spans="1:200" s="16" customFormat="1" x14ac:dyDescent="0.15">
      <c r="A28" s="16" t="s">
        <v>17</v>
      </c>
      <c r="B28" s="45"/>
      <c r="C28" s="45"/>
      <c r="D28" s="38"/>
      <c r="E28" s="24" t="e">
        <f>AVERAGE(Reports!N22:Q22)</f>
        <v>#DIV/0!</v>
      </c>
      <c r="F28" s="24">
        <f>AVERAGE(Reports!R22:U22)</f>
        <v>69.667000000000002</v>
      </c>
      <c r="G28" s="24">
        <f t="shared" ref="G28" si="124">F28</f>
        <v>69.667000000000002</v>
      </c>
      <c r="H28" s="24">
        <f t="shared" ref="H28" si="125">G28</f>
        <v>69.667000000000002</v>
      </c>
      <c r="I28" s="24">
        <f t="shared" ref="I28" si="126">H28</f>
        <v>69.667000000000002</v>
      </c>
      <c r="J28" s="24">
        <f t="shared" ref="J28" si="127">I28</f>
        <v>69.667000000000002</v>
      </c>
      <c r="K28" s="24">
        <f t="shared" ref="K28" si="128">J28</f>
        <v>69.667000000000002</v>
      </c>
      <c r="L28" s="24">
        <f t="shared" ref="L28" si="129">K28</f>
        <v>69.667000000000002</v>
      </c>
      <c r="M28" s="24">
        <f t="shared" ref="M28" si="130">L28</f>
        <v>69.667000000000002</v>
      </c>
      <c r="N28" s="24">
        <f t="shared" ref="N28" si="131">M28</f>
        <v>69.667000000000002</v>
      </c>
      <c r="O28" s="24">
        <f t="shared" ref="O28" si="132">N28</f>
        <v>69.667000000000002</v>
      </c>
      <c r="P28" s="24">
        <f t="shared" ref="P28:U28" si="133">O28</f>
        <v>69.667000000000002</v>
      </c>
      <c r="Q28" s="24">
        <f t="shared" si="133"/>
        <v>69.667000000000002</v>
      </c>
      <c r="R28" s="24">
        <f t="shared" si="133"/>
        <v>69.667000000000002</v>
      </c>
      <c r="S28" s="24">
        <f t="shared" si="133"/>
        <v>69.667000000000002</v>
      </c>
      <c r="T28" s="24">
        <f t="shared" si="133"/>
        <v>69.667000000000002</v>
      </c>
      <c r="U28" s="24">
        <f t="shared" si="133"/>
        <v>69.667000000000002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</row>
    <row r="29" spans="1:200" x14ac:dyDescent="0.15">
      <c r="B29" s="45"/>
      <c r="C29" s="45"/>
      <c r="D29" s="3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</row>
    <row r="30" spans="1:200" x14ac:dyDescent="0.15">
      <c r="A30" s="3" t="s">
        <v>19</v>
      </c>
      <c r="B30" s="45"/>
      <c r="C30" s="45"/>
      <c r="D30" s="38"/>
      <c r="E30" s="34">
        <f>IFERROR(E17/E15,0)</f>
        <v>0.81818181818181823</v>
      </c>
      <c r="F30" s="34">
        <f t="shared" ref="F30:P30" si="134">IFERROR(F17/F15,0)</f>
        <v>0.86100933529865942</v>
      </c>
      <c r="G30" s="34">
        <f t="shared" si="134"/>
        <v>0.86100933529865942</v>
      </c>
      <c r="H30" s="34">
        <f>IFERROR(H17/H15,0)</f>
        <v>0.86100933529865942</v>
      </c>
      <c r="I30" s="34">
        <f t="shared" si="134"/>
        <v>0.86100933529865942</v>
      </c>
      <c r="J30" s="34">
        <f t="shared" si="134"/>
        <v>0.86100933529865942</v>
      </c>
      <c r="K30" s="34">
        <f t="shared" si="134"/>
        <v>0.86100933529865942</v>
      </c>
      <c r="L30" s="34">
        <f t="shared" si="134"/>
        <v>0.86100933529865942</v>
      </c>
      <c r="M30" s="34">
        <f t="shared" si="134"/>
        <v>0.86100933529865942</v>
      </c>
      <c r="N30" s="34">
        <f t="shared" si="134"/>
        <v>0.86100933529865942</v>
      </c>
      <c r="O30" s="34">
        <f t="shared" si="134"/>
        <v>0.86100933529865942</v>
      </c>
      <c r="P30" s="34">
        <f t="shared" si="134"/>
        <v>0.86100933529865942</v>
      </c>
      <c r="Q30" s="34">
        <f t="shared" ref="Q30:U30" si="135">IFERROR(Q17/Q15,0)</f>
        <v>0.86100933529865942</v>
      </c>
      <c r="R30" s="34">
        <f t="shared" si="135"/>
        <v>0.86100933529865953</v>
      </c>
      <c r="S30" s="34">
        <f t="shared" si="135"/>
        <v>0.86100933529865953</v>
      </c>
      <c r="T30" s="34">
        <f t="shared" si="135"/>
        <v>0.86100933529865953</v>
      </c>
      <c r="U30" s="34">
        <f t="shared" si="135"/>
        <v>0.86100933529865942</v>
      </c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</row>
    <row r="31" spans="1:200" x14ac:dyDescent="0.15">
      <c r="A31" s="3" t="s">
        <v>20</v>
      </c>
      <c r="B31" s="45"/>
      <c r="C31" s="45"/>
      <c r="D31" s="38"/>
      <c r="E31" s="36">
        <f>IFERROR(E22/E15,0)</f>
        <v>-0.68831168831168832</v>
      </c>
      <c r="F31" s="36">
        <f t="shared" ref="F31:P31" si="136">IFERROR(F22/F15,0)</f>
        <v>-0.83759387941320973</v>
      </c>
      <c r="G31" s="36">
        <f>IFERROR(G22/G15,0)</f>
        <v>-0.50879658875552747</v>
      </c>
      <c r="H31" s="36">
        <f t="shared" si="136"/>
        <v>-0.31756480896563016</v>
      </c>
      <c r="I31" s="36">
        <f t="shared" si="136"/>
        <v>-0.22571041480746179</v>
      </c>
      <c r="J31" s="36">
        <f t="shared" si="136"/>
        <v>-0.14123889095102507</v>
      </c>
      <c r="K31" s="36">
        <f t="shared" si="136"/>
        <v>-6.3534835001813478E-2</v>
      </c>
      <c r="L31" s="36">
        <f t="shared" si="136"/>
        <v>-1.0971691421412359E-3</v>
      </c>
      <c r="M31" s="36">
        <f t="shared" si="136"/>
        <v>5.4529114987384997E-2</v>
      </c>
      <c r="N31" s="36">
        <f t="shared" si="136"/>
        <v>0.10408707721187195</v>
      </c>
      <c r="O31" s="36">
        <f t="shared" si="136"/>
        <v>0.14823871628459662</v>
      </c>
      <c r="P31" s="36">
        <f t="shared" si="136"/>
        <v>0.18757381291302413</v>
      </c>
      <c r="Q31" s="36">
        <f t="shared" ref="Q31:U31" si="137">IFERROR(Q22/Q15,0)</f>
        <v>0.22261780809107762</v>
      </c>
      <c r="R31" s="36">
        <f t="shared" si="137"/>
        <v>0.25383882197697999</v>
      </c>
      <c r="S31" s="36">
        <f t="shared" si="137"/>
        <v>0.28165390707532939</v>
      </c>
      <c r="T31" s="36">
        <f t="shared" si="137"/>
        <v>0.30643461925385884</v>
      </c>
      <c r="U31" s="36">
        <f t="shared" si="137"/>
        <v>0.32851198101291212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</row>
    <row r="32" spans="1:200" x14ac:dyDescent="0.15">
      <c r="A32" s="3" t="s">
        <v>21</v>
      </c>
      <c r="B32" s="45"/>
      <c r="C32" s="45"/>
      <c r="D32" s="38"/>
      <c r="E32" s="36">
        <f>IFERROR(E25/E24,0)</f>
        <v>0</v>
      </c>
      <c r="F32" s="36">
        <f t="shared" ref="F32:P32" si="138">IFERROR(F25/F24,0)</f>
        <v>0</v>
      </c>
      <c r="G32" s="36">
        <f t="shared" si="138"/>
        <v>0</v>
      </c>
      <c r="H32" s="36">
        <f t="shared" si="138"/>
        <v>0</v>
      </c>
      <c r="I32" s="36">
        <f t="shared" si="138"/>
        <v>0</v>
      </c>
      <c r="J32" s="36">
        <f t="shared" si="138"/>
        <v>0</v>
      </c>
      <c r="K32" s="36">
        <f t="shared" si="138"/>
        <v>0</v>
      </c>
      <c r="L32" s="36">
        <f t="shared" si="138"/>
        <v>0</v>
      </c>
      <c r="M32" s="36">
        <f t="shared" si="138"/>
        <v>0.15</v>
      </c>
      <c r="N32" s="36">
        <f t="shared" si="138"/>
        <v>0.15</v>
      </c>
      <c r="O32" s="36">
        <f t="shared" si="138"/>
        <v>0.15</v>
      </c>
      <c r="P32" s="36">
        <f t="shared" si="138"/>
        <v>0.15</v>
      </c>
      <c r="Q32" s="36">
        <f t="shared" ref="Q32:U32" si="139">IFERROR(Q25/Q24,0)</f>
        <v>0.15</v>
      </c>
      <c r="R32" s="36">
        <f t="shared" si="139"/>
        <v>0.15</v>
      </c>
      <c r="S32" s="36">
        <f t="shared" si="139"/>
        <v>0.15</v>
      </c>
      <c r="T32" s="36">
        <f t="shared" si="139"/>
        <v>0.15</v>
      </c>
      <c r="U32" s="36">
        <f t="shared" si="139"/>
        <v>0.15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</row>
    <row r="33" spans="1:117" x14ac:dyDescent="0.15">
      <c r="B33" s="45"/>
      <c r="C33" s="45"/>
      <c r="D33" s="38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</row>
    <row r="34" spans="1:117" x14ac:dyDescent="0.15">
      <c r="A34" s="2" t="s">
        <v>18</v>
      </c>
      <c r="B34" s="45"/>
      <c r="C34" s="45"/>
      <c r="D34" s="38"/>
      <c r="E34" s="55"/>
      <c r="F34" s="55">
        <f>F15/E15-1</f>
        <v>0.85025974025974027</v>
      </c>
      <c r="G34" s="55">
        <f t="shared" ref="G34:U34" si="140">G15/F15-1</f>
        <v>0.60000000000000009</v>
      </c>
      <c r="H34" s="55">
        <f t="shared" si="140"/>
        <v>0.5</v>
      </c>
      <c r="I34" s="55">
        <f t="shared" si="140"/>
        <v>0.39999999999999991</v>
      </c>
      <c r="J34" s="55">
        <f t="shared" si="140"/>
        <v>0.39999999999999991</v>
      </c>
      <c r="K34" s="55">
        <f t="shared" si="140"/>
        <v>0.39999999999999991</v>
      </c>
      <c r="L34" s="55">
        <f t="shared" si="140"/>
        <v>0.10000000000000009</v>
      </c>
      <c r="M34" s="55">
        <f t="shared" si="140"/>
        <v>0.10000000000000009</v>
      </c>
      <c r="N34" s="55">
        <f t="shared" si="140"/>
        <v>0.10000000000000009</v>
      </c>
      <c r="O34" s="55">
        <f t="shared" si="140"/>
        <v>0.10000000000000009</v>
      </c>
      <c r="P34" s="55">
        <f t="shared" si="140"/>
        <v>0.10000000000000009</v>
      </c>
      <c r="Q34" s="55">
        <f t="shared" si="140"/>
        <v>0.10000000000000009</v>
      </c>
      <c r="R34" s="55">
        <f t="shared" si="140"/>
        <v>0.10000000000000009</v>
      </c>
      <c r="S34" s="55">
        <f t="shared" si="140"/>
        <v>0.10000000000000009</v>
      </c>
      <c r="T34" s="55">
        <f t="shared" si="140"/>
        <v>0.10000000000000009</v>
      </c>
      <c r="U34" s="55">
        <f t="shared" si="140"/>
        <v>0.10000000000000009</v>
      </c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</row>
    <row r="35" spans="1:117" x14ac:dyDescent="0.15">
      <c r="A35" s="3" t="s">
        <v>38</v>
      </c>
      <c r="B35" s="45"/>
      <c r="C35" s="45"/>
      <c r="D35" s="38"/>
      <c r="E35" s="36"/>
      <c r="F35" s="36">
        <f t="shared" ref="F35:U35" si="141">F18/E18-1</f>
        <v>1.0697674418604652</v>
      </c>
      <c r="G35" s="36">
        <f t="shared" si="141"/>
        <v>0.30000000000000004</v>
      </c>
      <c r="H35" s="36">
        <f t="shared" si="141"/>
        <v>0.30000000000000004</v>
      </c>
      <c r="I35" s="36">
        <f t="shared" si="141"/>
        <v>0.30000000000000004</v>
      </c>
      <c r="J35" s="36">
        <f t="shared" si="141"/>
        <v>0.30000000000000004</v>
      </c>
      <c r="K35" s="36">
        <f t="shared" si="141"/>
        <v>0.30000000000000004</v>
      </c>
      <c r="L35" s="36">
        <f t="shared" si="141"/>
        <v>0.10000000000000009</v>
      </c>
      <c r="M35" s="36">
        <f t="shared" si="141"/>
        <v>0.10000000000000009</v>
      </c>
      <c r="N35" s="36">
        <f t="shared" si="141"/>
        <v>0.10000000000000009</v>
      </c>
      <c r="O35" s="36">
        <f t="shared" si="141"/>
        <v>0.10000000000000009</v>
      </c>
      <c r="P35" s="36">
        <f t="shared" si="141"/>
        <v>0.10000000000000009</v>
      </c>
      <c r="Q35" s="36">
        <f t="shared" si="141"/>
        <v>0.10000000000000009</v>
      </c>
      <c r="R35" s="36">
        <f t="shared" si="141"/>
        <v>0.10000000000000009</v>
      </c>
      <c r="S35" s="36">
        <f t="shared" si="141"/>
        <v>0.10000000000000009</v>
      </c>
      <c r="T35" s="36">
        <f t="shared" si="141"/>
        <v>0.10000000000000009</v>
      </c>
      <c r="U35" s="36">
        <f t="shared" si="141"/>
        <v>0.10000000000000009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</row>
    <row r="36" spans="1:117" x14ac:dyDescent="0.15">
      <c r="A36" s="3" t="s">
        <v>39</v>
      </c>
      <c r="B36" s="45"/>
      <c r="C36" s="45"/>
      <c r="D36" s="38"/>
      <c r="E36" s="36"/>
      <c r="F36" s="36">
        <f t="shared" ref="F36:U36" si="142">F19/E19-1</f>
        <v>1.0384615384615383</v>
      </c>
      <c r="G36" s="36">
        <f t="shared" si="142"/>
        <v>0.30000000000000004</v>
      </c>
      <c r="H36" s="36">
        <f t="shared" si="142"/>
        <v>0.30000000000000004</v>
      </c>
      <c r="I36" s="36">
        <f t="shared" si="142"/>
        <v>0.30000000000000004</v>
      </c>
      <c r="J36" s="36">
        <f t="shared" si="142"/>
        <v>0.30000000000000004</v>
      </c>
      <c r="K36" s="36">
        <f t="shared" si="142"/>
        <v>0.30000000000000004</v>
      </c>
      <c r="L36" s="36">
        <f t="shared" si="142"/>
        <v>-2.0000000000000018E-2</v>
      </c>
      <c r="M36" s="36">
        <f t="shared" si="142"/>
        <v>-2.0000000000000018E-2</v>
      </c>
      <c r="N36" s="36">
        <f t="shared" si="142"/>
        <v>-2.0000000000000018E-2</v>
      </c>
      <c r="O36" s="36">
        <f t="shared" si="142"/>
        <v>-2.0000000000000018E-2</v>
      </c>
      <c r="P36" s="36">
        <f t="shared" si="142"/>
        <v>-2.0000000000000018E-2</v>
      </c>
      <c r="Q36" s="36">
        <f t="shared" si="142"/>
        <v>-2.0000000000000018E-2</v>
      </c>
      <c r="R36" s="36">
        <f t="shared" si="142"/>
        <v>-2.0000000000000018E-2</v>
      </c>
      <c r="S36" s="36">
        <f t="shared" si="142"/>
        <v>-2.0000000000000018E-2</v>
      </c>
      <c r="T36" s="36">
        <f t="shared" si="142"/>
        <v>-2.0000000000000018E-2</v>
      </c>
      <c r="U36" s="36">
        <f t="shared" si="142"/>
        <v>-2.0000000000000018E-2</v>
      </c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</row>
    <row r="37" spans="1:117" x14ac:dyDescent="0.15">
      <c r="A37" s="3" t="s">
        <v>40</v>
      </c>
      <c r="B37" s="45"/>
      <c r="C37" s="45"/>
      <c r="D37" s="38"/>
      <c r="E37" s="36"/>
      <c r="F37" s="36">
        <f t="shared" ref="F37:U37" si="143">F20/E20-1</f>
        <v>1.2380952380952381</v>
      </c>
      <c r="G37" s="36">
        <f t="shared" si="143"/>
        <v>0.25</v>
      </c>
      <c r="H37" s="36">
        <f t="shared" si="143"/>
        <v>0.25</v>
      </c>
      <c r="I37" s="36">
        <f t="shared" si="143"/>
        <v>0.25</v>
      </c>
      <c r="J37" s="36">
        <f t="shared" si="143"/>
        <v>0.25</v>
      </c>
      <c r="K37" s="36">
        <f t="shared" si="143"/>
        <v>0.25</v>
      </c>
      <c r="L37" s="36">
        <f t="shared" si="143"/>
        <v>-2.0000000000000018E-2</v>
      </c>
      <c r="M37" s="36">
        <f t="shared" si="143"/>
        <v>-2.0000000000000018E-2</v>
      </c>
      <c r="N37" s="36">
        <f t="shared" si="143"/>
        <v>-1.9999999999999907E-2</v>
      </c>
      <c r="O37" s="36">
        <f t="shared" si="143"/>
        <v>-2.0000000000000129E-2</v>
      </c>
      <c r="P37" s="36">
        <f t="shared" si="143"/>
        <v>-2.0000000000000018E-2</v>
      </c>
      <c r="Q37" s="36">
        <f t="shared" si="143"/>
        <v>-2.0000000000000018E-2</v>
      </c>
      <c r="R37" s="36">
        <f t="shared" si="143"/>
        <v>-2.0000000000000018E-2</v>
      </c>
      <c r="S37" s="36">
        <f t="shared" si="143"/>
        <v>-2.0000000000000018E-2</v>
      </c>
      <c r="T37" s="36">
        <f t="shared" si="143"/>
        <v>-2.0000000000000018E-2</v>
      </c>
      <c r="U37" s="36">
        <f t="shared" si="143"/>
        <v>-2.0000000000000018E-2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</row>
    <row r="38" spans="1:117" x14ac:dyDescent="0.15">
      <c r="A38" s="6" t="s">
        <v>71</v>
      </c>
      <c r="B38" s="45"/>
      <c r="C38" s="45"/>
      <c r="D38" s="38"/>
      <c r="E38" s="48"/>
      <c r="F38" s="48">
        <f t="shared" ref="F38:U38" si="144">F21/E21-1</f>
        <v>1.0862068965517242</v>
      </c>
      <c r="G38" s="48">
        <f t="shared" si="144"/>
        <v>0.290289256198347</v>
      </c>
      <c r="H38" s="48">
        <f t="shared" si="144"/>
        <v>0.29059247397918342</v>
      </c>
      <c r="I38" s="48">
        <f t="shared" si="144"/>
        <v>0.29088836502372928</v>
      </c>
      <c r="J38" s="48">
        <f t="shared" si="144"/>
        <v>0.29117697236342388</v>
      </c>
      <c r="K38" s="48">
        <f t="shared" si="144"/>
        <v>0.29145834786262315</v>
      </c>
      <c r="L38" s="48">
        <f>L21/K21-1</f>
        <v>2.5713195051223714E-2</v>
      </c>
      <c r="M38" s="48">
        <f t="shared" si="144"/>
        <v>2.9023952113470752E-2</v>
      </c>
      <c r="N38" s="48">
        <f t="shared" si="144"/>
        <v>3.2405337323840211E-2</v>
      </c>
      <c r="O38" s="48">
        <f t="shared" si="144"/>
        <v>3.5836471366616163E-2</v>
      </c>
      <c r="P38" s="48">
        <f t="shared" si="144"/>
        <v>3.9295188189544916E-2</v>
      </c>
      <c r="Q38" s="48">
        <f t="shared" si="144"/>
        <v>4.2758596161809548E-2</v>
      </c>
      <c r="R38" s="48">
        <f t="shared" si="144"/>
        <v>4.6203679386670027E-2</v>
      </c>
      <c r="S38" s="48">
        <f t="shared" si="144"/>
        <v>4.9607905955778797E-2</v>
      </c>
      <c r="T38" s="48">
        <f t="shared" si="144"/>
        <v>5.2949809273428405E-2</v>
      </c>
      <c r="U38" s="48">
        <f t="shared" si="144"/>
        <v>5.6209511122037981E-2</v>
      </c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</row>
    <row r="39" spans="1:117" x14ac:dyDescent="0.15">
      <c r="B39" s="45"/>
      <c r="C39" s="45"/>
      <c r="D39" s="3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</row>
    <row r="40" spans="1:117" x14ac:dyDescent="0.15">
      <c r="A40" s="2" t="s">
        <v>26</v>
      </c>
      <c r="B40" s="45"/>
      <c r="C40" s="45"/>
      <c r="D40" s="38"/>
      <c r="E40" s="25">
        <f>E41-E42</f>
        <v>0</v>
      </c>
      <c r="F40" s="25">
        <f>F41-F42</f>
        <v>148</v>
      </c>
      <c r="G40" s="56">
        <f>F40+G26</f>
        <v>34.978799999999993</v>
      </c>
      <c r="H40" s="56">
        <f>G40+H26</f>
        <v>-72.905923999999999</v>
      </c>
      <c r="I40" s="56">
        <f t="shared" ref="I40:U40" si="145">H40+I26</f>
        <v>-182.4114374800001</v>
      </c>
      <c r="J40" s="56">
        <f t="shared" si="145"/>
        <v>-280.71498797960021</v>
      </c>
      <c r="K40" s="56">
        <f t="shared" si="145"/>
        <v>-345.94087412669239</v>
      </c>
      <c r="L40" s="56">
        <f t="shared" si="145"/>
        <v>-353.99205297297641</v>
      </c>
      <c r="M40" s="56">
        <f t="shared" si="145"/>
        <v>-307.38983615776084</v>
      </c>
      <c r="N40" s="56">
        <f t="shared" si="145"/>
        <v>-202.12811068606572</v>
      </c>
      <c r="O40" s="56">
        <f t="shared" si="145"/>
        <v>-32.475043069649814</v>
      </c>
      <c r="P40" s="56">
        <f t="shared" si="145"/>
        <v>207.89314563825627</v>
      </c>
      <c r="Q40" s="56">
        <f t="shared" si="145"/>
        <v>525.95127250256473</v>
      </c>
      <c r="R40" s="56">
        <f t="shared" si="145"/>
        <v>929.39020131668417</v>
      </c>
      <c r="S40" s="56">
        <f t="shared" si="145"/>
        <v>1426.6883587039879</v>
      </c>
      <c r="T40" s="56">
        <f t="shared" si="145"/>
        <v>2027.1904084072507</v>
      </c>
      <c r="U40" s="56">
        <f t="shared" si="145"/>
        <v>2741.1937995350031</v>
      </c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</row>
    <row r="41" spans="1:117" x14ac:dyDescent="0.15">
      <c r="A41" s="3" t="s">
        <v>27</v>
      </c>
      <c r="B41" s="45"/>
      <c r="C41" s="45"/>
      <c r="D41" s="38"/>
      <c r="E41" s="57">
        <f>Reports!Q35</f>
        <v>0</v>
      </c>
      <c r="F41" s="57">
        <f>Reports!U35</f>
        <v>351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</row>
    <row r="42" spans="1:117" x14ac:dyDescent="0.15">
      <c r="A42" s="3" t="s">
        <v>28</v>
      </c>
      <c r="B42" s="45"/>
      <c r="C42" s="45"/>
      <c r="D42" s="38"/>
      <c r="E42" s="57">
        <f>Reports!Q36</f>
        <v>0</v>
      </c>
      <c r="F42" s="57">
        <f>Reports!U36</f>
        <v>203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</row>
    <row r="43" spans="1:117" x14ac:dyDescent="0.15">
      <c r="B43" s="45"/>
      <c r="C43" s="45"/>
      <c r="D43" s="3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</row>
    <row r="44" spans="1:117" x14ac:dyDescent="0.15">
      <c r="A44" s="3" t="s">
        <v>52</v>
      </c>
      <c r="B44" s="45"/>
      <c r="C44" s="45"/>
      <c r="D44" s="38"/>
      <c r="E44" s="57">
        <f>Reports!Q38</f>
        <v>0</v>
      </c>
      <c r="F44" s="57">
        <f>Reports!U38</f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</row>
    <row r="45" spans="1:117" x14ac:dyDescent="0.15">
      <c r="A45" s="3" t="s">
        <v>53</v>
      </c>
      <c r="B45" s="45"/>
      <c r="C45" s="45"/>
      <c r="D45" s="38"/>
      <c r="E45" s="57">
        <f>Reports!Q39</f>
        <v>0</v>
      </c>
      <c r="F45" s="57">
        <f>Reports!U39</f>
        <v>422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</row>
    <row r="46" spans="1:117" x14ac:dyDescent="0.15">
      <c r="A46" s="3" t="s">
        <v>54</v>
      </c>
      <c r="B46" s="45"/>
      <c r="C46" s="45"/>
      <c r="D46" s="38"/>
      <c r="E46" s="57">
        <f>Reports!Q40</f>
        <v>0</v>
      </c>
      <c r="F46" s="57">
        <f>Reports!U40</f>
        <v>567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</row>
    <row r="47" spans="1:117" x14ac:dyDescent="0.15">
      <c r="B47" s="45"/>
      <c r="C47" s="45"/>
      <c r="D47" s="3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</row>
    <row r="48" spans="1:117" x14ac:dyDescent="0.15">
      <c r="A48" s="3" t="s">
        <v>55</v>
      </c>
      <c r="B48" s="45"/>
      <c r="C48" s="45"/>
      <c r="D48" s="38"/>
      <c r="E48" s="60">
        <f>E45-E44-E41</f>
        <v>0</v>
      </c>
      <c r="F48" s="60">
        <f>F45-F44-F41</f>
        <v>71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</row>
    <row r="49" spans="1:117" x14ac:dyDescent="0.15">
      <c r="A49" s="3" t="s">
        <v>56</v>
      </c>
      <c r="B49" s="45"/>
      <c r="C49" s="45"/>
      <c r="D49" s="38"/>
      <c r="E49" s="60">
        <f>E45-E46</f>
        <v>0</v>
      </c>
      <c r="F49" s="60">
        <f>F45-F46</f>
        <v>-145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</row>
    <row r="50" spans="1:117" x14ac:dyDescent="0.15">
      <c r="B50" s="45"/>
      <c r="C50" s="45"/>
      <c r="D50" s="3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</row>
    <row r="51" spans="1:117" x14ac:dyDescent="0.15">
      <c r="A51" s="19" t="s">
        <v>58</v>
      </c>
      <c r="B51" s="45"/>
      <c r="C51" s="45"/>
      <c r="D51" s="38"/>
      <c r="E51" s="61"/>
      <c r="F51" s="61">
        <f>F26/F49</f>
        <v>0.82297931034482752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</row>
    <row r="52" spans="1:117" x14ac:dyDescent="0.15">
      <c r="A52" s="19" t="s">
        <v>59</v>
      </c>
      <c r="B52" s="45"/>
      <c r="C52" s="45"/>
      <c r="D52" s="38"/>
      <c r="E52" s="61"/>
      <c r="F52" s="61">
        <f>F26/F45</f>
        <v>-0.2827772511848341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</row>
    <row r="53" spans="1:117" x14ac:dyDescent="0.15">
      <c r="A53" s="19" t="s">
        <v>60</v>
      </c>
      <c r="B53" s="45"/>
      <c r="C53" s="45"/>
      <c r="D53" s="38"/>
      <c r="E53" s="61"/>
      <c r="F53" s="61">
        <f>F26/(F49-F44)</f>
        <v>0.82297931034482752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</row>
    <row r="54" spans="1:117" x14ac:dyDescent="0.15">
      <c r="A54" s="19" t="s">
        <v>61</v>
      </c>
      <c r="B54" s="45"/>
      <c r="C54" s="45"/>
      <c r="D54" s="38"/>
      <c r="E54" s="61"/>
      <c r="F54" s="61">
        <f>F26/F48</f>
        <v>-1.6807323943661971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</row>
    <row r="55" spans="1:117" x14ac:dyDescent="0.15">
      <c r="B55" s="45"/>
      <c r="C55" s="45"/>
      <c r="D55" s="3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</row>
    <row r="56" spans="1:117" x14ac:dyDescent="0.15">
      <c r="A56" s="3" t="s">
        <v>74</v>
      </c>
      <c r="B56" s="45"/>
      <c r="C56" s="45"/>
      <c r="D56" s="38"/>
      <c r="E56" s="61"/>
      <c r="F56" s="61">
        <f>(F44/F28)/$C$2</f>
        <v>0</v>
      </c>
      <c r="G56" s="64" t="s">
        <v>75</v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</row>
    <row r="57" spans="1:117" x14ac:dyDescent="0.15">
      <c r="B57" s="45"/>
      <c r="C57" s="45"/>
      <c r="D57" s="38"/>
      <c r="E57" s="61"/>
      <c r="F57" s="61"/>
      <c r="G57" s="64"/>
      <c r="H57" s="39"/>
      <c r="I57" s="39"/>
      <c r="J57" s="39"/>
      <c r="K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</row>
    <row r="58" spans="1:117" x14ac:dyDescent="0.15">
      <c r="A58" s="3" t="s">
        <v>79</v>
      </c>
      <c r="B58" s="45"/>
      <c r="C58" s="45"/>
      <c r="D58" s="38"/>
      <c r="E58" s="61">
        <f t="shared" ref="E58:K58" si="146">E26/E18-1</f>
        <v>-2.2325581395348837</v>
      </c>
      <c r="F58" s="61">
        <f t="shared" si="146"/>
        <v>-2.3408089887640449</v>
      </c>
      <c r="G58" s="61">
        <f t="shared" si="146"/>
        <v>-1.976847018150389</v>
      </c>
      <c r="H58" s="61">
        <f t="shared" si="146"/>
        <v>-1.7172709527292067</v>
      </c>
      <c r="I58" s="61">
        <f t="shared" si="146"/>
        <v>-1.5600359708079972</v>
      </c>
      <c r="J58" s="61">
        <f t="shared" si="146"/>
        <v>-1.3867281521222665</v>
      </c>
      <c r="K58" s="61">
        <f t="shared" si="146"/>
        <v>-1.197384579092045</v>
      </c>
      <c r="L58" s="64" t="s">
        <v>81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</row>
    <row r="59" spans="1:117" x14ac:dyDescent="0.15">
      <c r="A59" s="3" t="s">
        <v>80</v>
      </c>
      <c r="B59" s="45"/>
      <c r="C59" s="45"/>
      <c r="D59" s="38"/>
      <c r="E59" s="65" t="str">
        <f t="shared" ref="E59:K59" si="147">ROUND($C$4/E18,0)&amp;"x"</f>
        <v>75x</v>
      </c>
      <c r="F59" s="65" t="str">
        <f t="shared" si="147"/>
        <v>36x</v>
      </c>
      <c r="G59" s="65" t="str">
        <f t="shared" si="147"/>
        <v>28x</v>
      </c>
      <c r="H59" s="65" t="str">
        <f t="shared" si="147"/>
        <v>21x</v>
      </c>
      <c r="I59" s="65" t="str">
        <f t="shared" si="147"/>
        <v>17x</v>
      </c>
      <c r="J59" s="65" t="str">
        <f t="shared" si="147"/>
        <v>13x</v>
      </c>
      <c r="K59" s="65" t="str">
        <f t="shared" si="147"/>
        <v>10x</v>
      </c>
      <c r="L59" s="64" t="s">
        <v>82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</row>
    <row r="60" spans="1:117" x14ac:dyDescent="0.15">
      <c r="B60" s="45"/>
      <c r="C60" s="45"/>
      <c r="D60" s="38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</row>
    <row r="61" spans="1:117" x14ac:dyDescent="0.15">
      <c r="A61" s="6" t="s">
        <v>70</v>
      </c>
      <c r="B61" s="45"/>
      <c r="C61" s="45"/>
      <c r="D61" s="38"/>
      <c r="E61" s="61"/>
      <c r="F61" s="61">
        <f t="shared" ref="F61:K61" si="148">F10/E10-1</f>
        <v>0.85025974025974027</v>
      </c>
      <c r="G61" s="61">
        <f t="shared" si="148"/>
        <v>0.60000000000000009</v>
      </c>
      <c r="H61" s="61">
        <f t="shared" si="148"/>
        <v>0.5</v>
      </c>
      <c r="I61" s="61">
        <f t="shared" si="148"/>
        <v>0.39999999999999991</v>
      </c>
      <c r="J61" s="61">
        <f t="shared" si="148"/>
        <v>0.39999999999999991</v>
      </c>
      <c r="K61" s="61">
        <f t="shared" si="148"/>
        <v>0.39999999999999991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</row>
    <row r="62" spans="1:117" x14ac:dyDescent="0.15">
      <c r="B62" s="45"/>
      <c r="C62" s="45"/>
      <c r="D62" s="38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</row>
    <row r="63" spans="1:117" s="20" customFormat="1" x14ac:dyDescent="0.15">
      <c r="A63" s="20" t="s">
        <v>67</v>
      </c>
      <c r="B63" s="45"/>
      <c r="C63" s="45"/>
      <c r="D63" s="38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</row>
    <row r="64" spans="1:117" s="20" customFormat="1" x14ac:dyDescent="0.15">
      <c r="A64" s="20" t="s">
        <v>68</v>
      </c>
      <c r="B64" s="45"/>
      <c r="C64" s="45"/>
      <c r="D64" s="38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</row>
    <row r="65" spans="2:4" x14ac:dyDescent="0.15">
      <c r="B65" s="45"/>
      <c r="C65" s="45"/>
      <c r="D65" s="38"/>
    </row>
    <row r="66" spans="2:4" x14ac:dyDescent="0.15">
      <c r="D66" s="38"/>
    </row>
  </sheetData>
  <hyperlinks>
    <hyperlink ref="A1" r:id="rId1" xr:uid="{00000000-0004-0000-0000-000000000000}"/>
    <hyperlink ref="L4" r:id="rId2" xr:uid="{CBCA994A-BC74-CB48-8009-AD2DE8254A02}"/>
    <hyperlink ref="A7" r:id="rId3" xr:uid="{579463CB-1121-8248-986F-B35AD5EB8673}"/>
    <hyperlink ref="A8" r:id="rId4" xr:uid="{8E95B49B-BB90-D144-AEB5-1D2AF250AFE7}"/>
    <hyperlink ref="A4" r:id="rId5" xr:uid="{625BBA97-6ABD-ED4E-A457-E1827B89E414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4"/>
  <sheetViews>
    <sheetView zoomScale="110" zoomScaleNormal="110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A31" sqref="AA31"/>
    </sheetView>
  </sheetViews>
  <sheetFormatPr baseColWidth="10" defaultRowHeight="13" x14ac:dyDescent="0.15"/>
  <cols>
    <col min="1" max="1" width="20.33203125" style="6" bestFit="1" customWidth="1"/>
    <col min="2" max="5" width="10.83203125" style="21" customWidth="1"/>
    <col min="6" max="6" width="10.83203125" style="22" customWidth="1"/>
    <col min="7" max="8" width="10.83203125" style="21" customWidth="1"/>
    <col min="9" max="9" width="10.83203125" style="21"/>
    <col min="10" max="10" width="10.83203125" style="22"/>
    <col min="11" max="13" width="10.83203125" style="21"/>
    <col min="14" max="14" width="10.83203125" style="22"/>
    <col min="15" max="17" width="10.83203125" style="21"/>
    <col min="18" max="18" width="10.83203125" style="22"/>
    <col min="19" max="21" width="10.83203125" style="21"/>
    <col min="22" max="22" width="10.83203125" style="22"/>
    <col min="23" max="25" width="10.83203125" style="21"/>
    <col min="26" max="16384" width="10.83203125" style="6"/>
  </cols>
  <sheetData>
    <row r="1" spans="1:25" x14ac:dyDescent="0.15">
      <c r="A1" s="75" t="s">
        <v>41</v>
      </c>
      <c r="B1" s="22" t="s">
        <v>22</v>
      </c>
      <c r="C1" s="21" t="s">
        <v>23</v>
      </c>
      <c r="D1" s="21" t="s">
        <v>24</v>
      </c>
      <c r="E1" s="21" t="s">
        <v>25</v>
      </c>
      <c r="F1" s="23" t="s">
        <v>0</v>
      </c>
      <c r="G1" s="24" t="s">
        <v>1</v>
      </c>
      <c r="H1" s="24" t="s">
        <v>2</v>
      </c>
      <c r="I1" s="24" t="s">
        <v>3</v>
      </c>
      <c r="J1" s="23" t="s">
        <v>34</v>
      </c>
      <c r="K1" s="24" t="s">
        <v>35</v>
      </c>
      <c r="L1" s="24" t="s">
        <v>36</v>
      </c>
      <c r="M1" s="24" t="s">
        <v>37</v>
      </c>
      <c r="N1" s="23" t="s">
        <v>48</v>
      </c>
      <c r="O1" s="24" t="s">
        <v>49</v>
      </c>
      <c r="P1" s="24" t="s">
        <v>50</v>
      </c>
      <c r="Q1" s="24" t="s">
        <v>51</v>
      </c>
      <c r="R1" s="23" t="s">
        <v>72</v>
      </c>
      <c r="S1" s="24" t="s">
        <v>83</v>
      </c>
      <c r="T1" s="24" t="s">
        <v>84</v>
      </c>
      <c r="U1" s="24" t="s">
        <v>73</v>
      </c>
      <c r="V1" s="22" t="s">
        <v>89</v>
      </c>
      <c r="W1" s="21" t="s">
        <v>90</v>
      </c>
      <c r="X1" s="21" t="s">
        <v>91</v>
      </c>
      <c r="Y1" s="21" t="s">
        <v>92</v>
      </c>
    </row>
    <row r="2" spans="1:25" s="21" customFormat="1" x14ac:dyDescent="0.15">
      <c r="A2" s="1"/>
      <c r="F2" s="22"/>
      <c r="J2" s="22"/>
      <c r="N2" s="67">
        <v>43220</v>
      </c>
      <c r="O2" s="66">
        <v>43312</v>
      </c>
      <c r="P2" s="66">
        <v>43404</v>
      </c>
      <c r="Q2" s="66">
        <v>43496</v>
      </c>
      <c r="R2" s="67">
        <v>43585</v>
      </c>
      <c r="S2" s="66">
        <v>43677</v>
      </c>
      <c r="T2" s="66">
        <v>43769</v>
      </c>
      <c r="U2" s="66">
        <v>43861</v>
      </c>
      <c r="V2" s="67">
        <v>43951</v>
      </c>
      <c r="W2" s="66">
        <v>44043</v>
      </c>
      <c r="X2" s="66">
        <v>44135</v>
      </c>
    </row>
    <row r="3" spans="1:25" s="8" customFormat="1" x14ac:dyDescent="0.15">
      <c r="A3" s="8" t="s">
        <v>69</v>
      </c>
      <c r="B3" s="24"/>
      <c r="C3" s="24"/>
      <c r="D3" s="24"/>
      <c r="E3" s="24"/>
      <c r="F3" s="23"/>
      <c r="G3" s="24"/>
      <c r="H3" s="24"/>
      <c r="I3" s="24"/>
      <c r="J3" s="23"/>
      <c r="K3" s="24"/>
      <c r="L3" s="24"/>
      <c r="M3" s="24"/>
      <c r="N3" s="23">
        <v>14</v>
      </c>
      <c r="O3" s="24">
        <v>18</v>
      </c>
      <c r="P3" s="24">
        <v>21</v>
      </c>
      <c r="Q3" s="24">
        <v>24</v>
      </c>
      <c r="R3" s="23">
        <v>28</v>
      </c>
      <c r="S3" s="24">
        <v>33</v>
      </c>
      <c r="T3" s="24">
        <v>38</v>
      </c>
      <c r="U3" s="24">
        <v>43.47</v>
      </c>
      <c r="V3" s="23">
        <v>47.706000000000003</v>
      </c>
      <c r="W3" s="24">
        <v>52</v>
      </c>
      <c r="X3" s="24">
        <v>58.905000000000001</v>
      </c>
      <c r="Y3" s="24"/>
    </row>
    <row r="4" spans="1:25" x14ac:dyDescent="0.15">
      <c r="B4" s="24"/>
      <c r="C4" s="24"/>
      <c r="D4" s="24"/>
      <c r="E4" s="24"/>
      <c r="F4" s="23"/>
      <c r="G4" s="24"/>
      <c r="H4" s="24"/>
      <c r="I4" s="24"/>
      <c r="J4" s="23"/>
      <c r="K4" s="24"/>
      <c r="L4" s="24"/>
      <c r="M4" s="24"/>
      <c r="N4" s="23"/>
      <c r="O4" s="24"/>
      <c r="P4" s="24"/>
      <c r="Q4" s="24"/>
    </row>
    <row r="5" spans="1:25" s="8" customFormat="1" x14ac:dyDescent="0.15">
      <c r="A5" s="8" t="s">
        <v>65</v>
      </c>
      <c r="B5" s="24"/>
      <c r="C5" s="24"/>
      <c r="D5" s="24"/>
      <c r="E5" s="24"/>
      <c r="F5" s="23"/>
      <c r="G5" s="24"/>
      <c r="H5" s="24"/>
      <c r="I5" s="24"/>
      <c r="J5" s="23"/>
      <c r="K5" s="24"/>
      <c r="L5" s="24"/>
      <c r="M5" s="24"/>
      <c r="N5" s="23"/>
      <c r="O5" s="24"/>
      <c r="P5" s="24"/>
      <c r="Q5" s="24"/>
      <c r="R5" s="23"/>
      <c r="S5" s="24"/>
      <c r="T5" s="24"/>
      <c r="U5" s="24"/>
      <c r="V5" s="23"/>
      <c r="W5" s="24"/>
      <c r="X5" s="24"/>
      <c r="Y5" s="24"/>
    </row>
    <row r="6" spans="1:25" s="4" customFormat="1" x14ac:dyDescent="0.15">
      <c r="A6" s="4" t="s">
        <v>66</v>
      </c>
      <c r="B6" s="46"/>
      <c r="C6" s="45"/>
      <c r="D6" s="45"/>
      <c r="E6" s="45"/>
      <c r="F6" s="46"/>
      <c r="G6" s="45"/>
      <c r="H6" s="45"/>
      <c r="I6" s="45"/>
      <c r="J6" s="46"/>
      <c r="K6" s="45"/>
      <c r="L6" s="45"/>
      <c r="M6" s="45"/>
      <c r="N6" s="46"/>
      <c r="O6" s="45"/>
      <c r="P6" s="45"/>
      <c r="Q6" s="45"/>
      <c r="R6" s="46"/>
      <c r="S6" s="45"/>
      <c r="T6" s="45"/>
      <c r="U6" s="45"/>
      <c r="V6" s="46"/>
      <c r="W6" s="45"/>
      <c r="X6" s="45"/>
      <c r="Y6" s="45"/>
    </row>
    <row r="7" spans="1:25" s="24" customFormat="1" x14ac:dyDescent="0.15">
      <c r="B7" s="46"/>
      <c r="C7" s="45"/>
      <c r="D7" s="45"/>
      <c r="E7" s="45"/>
      <c r="F7" s="46"/>
      <c r="G7" s="45"/>
      <c r="H7" s="45"/>
      <c r="I7" s="45"/>
      <c r="J7" s="46"/>
      <c r="K7" s="45"/>
      <c r="L7" s="45"/>
      <c r="M7" s="45"/>
      <c r="N7" s="23"/>
      <c r="R7" s="23"/>
      <c r="V7" s="23"/>
      <c r="X7" s="24">
        <v>53</v>
      </c>
      <c r="Y7" s="24">
        <v>62</v>
      </c>
    </row>
    <row r="8" spans="1:25" s="17" customFormat="1" x14ac:dyDescent="0.15">
      <c r="A8" s="17" t="s">
        <v>4</v>
      </c>
      <c r="B8" s="46"/>
      <c r="C8" s="45"/>
      <c r="D8" s="45"/>
      <c r="E8" s="45"/>
      <c r="F8" s="46"/>
      <c r="G8" s="45"/>
      <c r="H8" s="45"/>
      <c r="I8" s="45"/>
      <c r="J8" s="46"/>
      <c r="K8" s="45"/>
      <c r="L8" s="45"/>
      <c r="M8" s="45"/>
      <c r="N8" s="26">
        <f t="shared" ref="N8:X8" si="0">SUM(N3:N3)</f>
        <v>14</v>
      </c>
      <c r="O8" s="25">
        <f t="shared" si="0"/>
        <v>18</v>
      </c>
      <c r="P8" s="25">
        <f t="shared" si="0"/>
        <v>21</v>
      </c>
      <c r="Q8" s="25">
        <f t="shared" si="0"/>
        <v>24</v>
      </c>
      <c r="R8" s="26">
        <f t="shared" si="0"/>
        <v>28</v>
      </c>
      <c r="S8" s="25">
        <f t="shared" si="0"/>
        <v>33</v>
      </c>
      <c r="T8" s="25">
        <f t="shared" si="0"/>
        <v>38</v>
      </c>
      <c r="U8" s="25">
        <f t="shared" si="0"/>
        <v>43.47</v>
      </c>
      <c r="V8" s="26">
        <f t="shared" si="0"/>
        <v>47.706000000000003</v>
      </c>
      <c r="W8" s="25">
        <f t="shared" si="0"/>
        <v>52</v>
      </c>
      <c r="X8" s="25">
        <f t="shared" si="0"/>
        <v>58.905000000000001</v>
      </c>
      <c r="Y8" s="56">
        <v>62</v>
      </c>
    </row>
    <row r="9" spans="1:25" s="8" customFormat="1" x14ac:dyDescent="0.15">
      <c r="A9" s="8" t="s">
        <v>5</v>
      </c>
      <c r="B9" s="46"/>
      <c r="C9" s="45"/>
      <c r="D9" s="45"/>
      <c r="E9" s="45"/>
      <c r="F9" s="46"/>
      <c r="G9" s="45"/>
      <c r="H9" s="45"/>
      <c r="I9" s="45"/>
      <c r="J9" s="46"/>
      <c r="K9" s="45"/>
      <c r="L9" s="45"/>
      <c r="M9" s="45"/>
      <c r="N9" s="23">
        <v>3</v>
      </c>
      <c r="O9" s="24">
        <v>3</v>
      </c>
      <c r="P9" s="24">
        <v>4</v>
      </c>
      <c r="Q9" s="24">
        <v>4</v>
      </c>
      <c r="R9" s="23">
        <v>4</v>
      </c>
      <c r="S9" s="24">
        <v>5</v>
      </c>
      <c r="T9" s="57">
        <v>5</v>
      </c>
      <c r="U9" s="57">
        <v>5.8019999999999996</v>
      </c>
      <c r="V9" s="23">
        <v>6</v>
      </c>
      <c r="W9" s="57">
        <v>7</v>
      </c>
      <c r="X9" s="57">
        <v>7.3209999999999997</v>
      </c>
      <c r="Y9" s="57"/>
    </row>
    <row r="10" spans="1:25" s="8" customFormat="1" x14ac:dyDescent="0.15">
      <c r="A10" s="8" t="s">
        <v>6</v>
      </c>
      <c r="B10" s="46"/>
      <c r="C10" s="45"/>
      <c r="D10" s="45"/>
      <c r="E10" s="45"/>
      <c r="F10" s="46"/>
      <c r="G10" s="45"/>
      <c r="H10" s="45"/>
      <c r="I10" s="45"/>
      <c r="J10" s="46"/>
      <c r="K10" s="45"/>
      <c r="L10" s="45"/>
      <c r="M10" s="45"/>
      <c r="N10" s="28">
        <f>N8-N9</f>
        <v>11</v>
      </c>
      <c r="O10" s="27">
        <f>O8-O9</f>
        <v>15</v>
      </c>
      <c r="P10" s="27">
        <f t="shared" ref="P10:R10" si="1">P8-P9</f>
        <v>17</v>
      </c>
      <c r="Q10" s="27">
        <f t="shared" si="1"/>
        <v>20</v>
      </c>
      <c r="R10" s="28">
        <f t="shared" si="1"/>
        <v>24</v>
      </c>
      <c r="S10" s="27">
        <f t="shared" ref="S10:X10" si="2">S8-S9</f>
        <v>28</v>
      </c>
      <c r="T10" s="27">
        <f t="shared" si="2"/>
        <v>33</v>
      </c>
      <c r="U10" s="27">
        <f t="shared" si="2"/>
        <v>37.667999999999999</v>
      </c>
      <c r="V10" s="28">
        <f t="shared" ref="V10" si="3">V8-V9</f>
        <v>41.706000000000003</v>
      </c>
      <c r="W10" s="27">
        <f t="shared" si="2"/>
        <v>45</v>
      </c>
      <c r="X10" s="27">
        <f t="shared" si="2"/>
        <v>51.584000000000003</v>
      </c>
      <c r="Y10" s="57"/>
    </row>
    <row r="11" spans="1:25" s="8" customFormat="1" x14ac:dyDescent="0.15">
      <c r="A11" s="8" t="s">
        <v>7</v>
      </c>
      <c r="B11" s="46"/>
      <c r="C11" s="45"/>
      <c r="D11" s="45"/>
      <c r="E11" s="45"/>
      <c r="F11" s="46"/>
      <c r="G11" s="45"/>
      <c r="H11" s="45"/>
      <c r="I11" s="45"/>
      <c r="J11" s="46"/>
      <c r="K11" s="45"/>
      <c r="L11" s="45"/>
      <c r="M11" s="45"/>
      <c r="N11" s="23">
        <v>9</v>
      </c>
      <c r="O11" s="24">
        <v>13</v>
      </c>
      <c r="P11" s="24">
        <v>10</v>
      </c>
      <c r="Q11" s="24">
        <v>11</v>
      </c>
      <c r="R11" s="23">
        <v>13</v>
      </c>
      <c r="S11" s="24">
        <v>16</v>
      </c>
      <c r="T11" s="57">
        <v>40</v>
      </c>
      <c r="U11" s="57">
        <v>20</v>
      </c>
      <c r="V11" s="23">
        <v>22</v>
      </c>
      <c r="W11" s="57">
        <v>26</v>
      </c>
      <c r="X11" s="57">
        <v>33</v>
      </c>
      <c r="Y11" s="57"/>
    </row>
    <row r="12" spans="1:25" s="8" customFormat="1" x14ac:dyDescent="0.15">
      <c r="A12" s="8" t="s">
        <v>8</v>
      </c>
      <c r="B12" s="46"/>
      <c r="C12" s="45"/>
      <c r="D12" s="45"/>
      <c r="E12" s="45"/>
      <c r="F12" s="46"/>
      <c r="G12" s="45"/>
      <c r="H12" s="45"/>
      <c r="I12" s="45"/>
      <c r="J12" s="46"/>
      <c r="K12" s="45"/>
      <c r="L12" s="45"/>
      <c r="M12" s="45"/>
      <c r="N12" s="23">
        <v>10</v>
      </c>
      <c r="O12" s="24">
        <v>13</v>
      </c>
      <c r="P12" s="24">
        <v>13</v>
      </c>
      <c r="Q12" s="24">
        <v>16</v>
      </c>
      <c r="R12" s="23">
        <v>19</v>
      </c>
      <c r="S12" s="24">
        <v>20</v>
      </c>
      <c r="T12" s="57">
        <v>36</v>
      </c>
      <c r="U12" s="57">
        <v>31</v>
      </c>
      <c r="V12" s="23">
        <v>36</v>
      </c>
      <c r="W12" s="57">
        <v>39</v>
      </c>
      <c r="X12" s="57">
        <v>48</v>
      </c>
      <c r="Y12" s="57"/>
    </row>
    <row r="13" spans="1:25" s="8" customFormat="1" x14ac:dyDescent="0.15">
      <c r="A13" s="8" t="s">
        <v>9</v>
      </c>
      <c r="B13" s="46"/>
      <c r="C13" s="45"/>
      <c r="D13" s="45"/>
      <c r="E13" s="45"/>
      <c r="F13" s="46"/>
      <c r="G13" s="45"/>
      <c r="H13" s="45"/>
      <c r="I13" s="45"/>
      <c r="J13" s="46"/>
      <c r="K13" s="45"/>
      <c r="L13" s="45"/>
      <c r="M13" s="45"/>
      <c r="N13" s="23">
        <v>4</v>
      </c>
      <c r="O13" s="24">
        <v>5</v>
      </c>
      <c r="P13" s="24">
        <v>6</v>
      </c>
      <c r="Q13" s="24">
        <v>6</v>
      </c>
      <c r="R13" s="23">
        <v>7</v>
      </c>
      <c r="S13" s="24">
        <v>8</v>
      </c>
      <c r="T13" s="57">
        <v>20</v>
      </c>
      <c r="U13" s="57">
        <v>12</v>
      </c>
      <c r="V13" s="23">
        <v>12</v>
      </c>
      <c r="W13" s="57">
        <v>14</v>
      </c>
      <c r="X13" s="57">
        <v>32</v>
      </c>
      <c r="Y13" s="57"/>
    </row>
    <row r="14" spans="1:25" s="8" customFormat="1" x14ac:dyDescent="0.15">
      <c r="A14" s="8" t="s">
        <v>10</v>
      </c>
      <c r="B14" s="46"/>
      <c r="C14" s="45"/>
      <c r="D14" s="45"/>
      <c r="E14" s="45"/>
      <c r="F14" s="46"/>
      <c r="G14" s="45"/>
      <c r="H14" s="45"/>
      <c r="I14" s="45"/>
      <c r="J14" s="46"/>
      <c r="K14" s="45"/>
      <c r="L14" s="45"/>
      <c r="M14" s="45"/>
      <c r="N14" s="28">
        <f t="shared" ref="N14" si="4">SUM(N11:N13)</f>
        <v>23</v>
      </c>
      <c r="O14" s="27">
        <f t="shared" ref="O14:P14" si="5">SUM(O11:O13)</f>
        <v>31</v>
      </c>
      <c r="P14" s="27">
        <f t="shared" si="5"/>
        <v>29</v>
      </c>
      <c r="Q14" s="27">
        <f t="shared" ref="Q14:S14" si="6">SUM(Q11:Q13)</f>
        <v>33</v>
      </c>
      <c r="R14" s="28">
        <f t="shared" si="6"/>
        <v>39</v>
      </c>
      <c r="S14" s="27">
        <f t="shared" si="6"/>
        <v>44</v>
      </c>
      <c r="T14" s="27">
        <f t="shared" ref="T14:U14" si="7">SUM(T11:T13)</f>
        <v>96</v>
      </c>
      <c r="U14" s="27">
        <f t="shared" si="7"/>
        <v>63</v>
      </c>
      <c r="V14" s="28">
        <f t="shared" ref="V14:W14" si="8">SUM(V11:V13)</f>
        <v>70</v>
      </c>
      <c r="W14" s="27">
        <f t="shared" si="8"/>
        <v>79</v>
      </c>
      <c r="X14" s="27">
        <f t="shared" ref="X14" si="9">SUM(X11:X13)</f>
        <v>113</v>
      </c>
      <c r="Y14" s="57"/>
    </row>
    <row r="15" spans="1:25" s="8" customFormat="1" x14ac:dyDescent="0.15">
      <c r="A15" s="8" t="s">
        <v>11</v>
      </c>
      <c r="B15" s="46"/>
      <c r="C15" s="45"/>
      <c r="D15" s="45"/>
      <c r="E15" s="45"/>
      <c r="F15" s="46"/>
      <c r="G15" s="45"/>
      <c r="H15" s="45"/>
      <c r="I15" s="45"/>
      <c r="J15" s="46"/>
      <c r="K15" s="45"/>
      <c r="L15" s="45"/>
      <c r="M15" s="45"/>
      <c r="N15" s="28">
        <f t="shared" ref="N15:P15" si="10">N10-N14</f>
        <v>-12</v>
      </c>
      <c r="O15" s="27">
        <f t="shared" si="10"/>
        <v>-16</v>
      </c>
      <c r="P15" s="27">
        <f t="shared" si="10"/>
        <v>-12</v>
      </c>
      <c r="Q15" s="27">
        <f t="shared" ref="Q15:S15" si="11">Q10-Q14</f>
        <v>-13</v>
      </c>
      <c r="R15" s="28">
        <f t="shared" si="11"/>
        <v>-15</v>
      </c>
      <c r="S15" s="27">
        <f t="shared" si="11"/>
        <v>-16</v>
      </c>
      <c r="T15" s="27">
        <f t="shared" ref="T15:U15" si="12">T10-T14</f>
        <v>-63</v>
      </c>
      <c r="U15" s="27">
        <f t="shared" si="12"/>
        <v>-25.332000000000001</v>
      </c>
      <c r="V15" s="28">
        <f t="shared" ref="V15:W15" si="13">V10-V14</f>
        <v>-28.293999999999997</v>
      </c>
      <c r="W15" s="27">
        <f t="shared" si="13"/>
        <v>-34</v>
      </c>
      <c r="X15" s="27">
        <f t="shared" ref="X15" si="14">X10-X14</f>
        <v>-61.415999999999997</v>
      </c>
      <c r="Y15" s="57"/>
    </row>
    <row r="16" spans="1:25" s="8" customFormat="1" x14ac:dyDescent="0.15">
      <c r="A16" s="8" t="s">
        <v>12</v>
      </c>
      <c r="B16" s="46"/>
      <c r="C16" s="45"/>
      <c r="D16" s="45"/>
      <c r="E16" s="45"/>
      <c r="F16" s="46"/>
      <c r="G16" s="45"/>
      <c r="H16" s="45"/>
      <c r="I16" s="45"/>
      <c r="J16" s="46"/>
      <c r="K16" s="45"/>
      <c r="L16" s="45"/>
      <c r="M16" s="45"/>
      <c r="N16" s="23">
        <v>0</v>
      </c>
      <c r="O16" s="24">
        <v>0</v>
      </c>
      <c r="P16" s="24">
        <v>0</v>
      </c>
      <c r="Q16" s="24">
        <v>0</v>
      </c>
      <c r="R16" s="23">
        <v>0</v>
      </c>
      <c r="S16" s="24">
        <v>0</v>
      </c>
      <c r="T16" s="57">
        <v>0</v>
      </c>
      <c r="U16" s="57">
        <v>0</v>
      </c>
      <c r="V16" s="23">
        <f>1-7</f>
        <v>-6</v>
      </c>
      <c r="W16" s="57">
        <f>-8+1</f>
        <v>-7</v>
      </c>
      <c r="X16" s="57">
        <v>-11</v>
      </c>
      <c r="Y16" s="57"/>
    </row>
    <row r="17" spans="1:25" s="8" customFormat="1" x14ac:dyDescent="0.15">
      <c r="A17" s="8" t="s">
        <v>13</v>
      </c>
      <c r="B17" s="46"/>
      <c r="C17" s="45"/>
      <c r="D17" s="45"/>
      <c r="E17" s="45"/>
      <c r="F17" s="46"/>
      <c r="G17" s="45"/>
      <c r="H17" s="45"/>
      <c r="I17" s="45"/>
      <c r="J17" s="46"/>
      <c r="K17" s="45"/>
      <c r="L17" s="45"/>
      <c r="M17" s="45"/>
      <c r="N17" s="28">
        <f t="shared" ref="N17" si="15">N15+N16</f>
        <v>-12</v>
      </c>
      <c r="O17" s="27">
        <f t="shared" ref="O17" si="16">O15+O16</f>
        <v>-16</v>
      </c>
      <c r="P17" s="27">
        <f t="shared" ref="P17:T17" si="17">P15+P16</f>
        <v>-12</v>
      </c>
      <c r="Q17" s="27">
        <f t="shared" si="17"/>
        <v>-13</v>
      </c>
      <c r="R17" s="28">
        <f t="shared" si="17"/>
        <v>-15</v>
      </c>
      <c r="S17" s="27">
        <f t="shared" si="17"/>
        <v>-16</v>
      </c>
      <c r="T17" s="27">
        <f t="shared" si="17"/>
        <v>-63</v>
      </c>
      <c r="U17" s="27">
        <f t="shared" ref="U17" si="18">U15+U16</f>
        <v>-25.332000000000001</v>
      </c>
      <c r="V17" s="28">
        <f t="shared" ref="V17:X17" si="19">V15+V16</f>
        <v>-34.293999999999997</v>
      </c>
      <c r="W17" s="27">
        <f t="shared" si="19"/>
        <v>-41</v>
      </c>
      <c r="X17" s="27">
        <f t="shared" si="19"/>
        <v>-72.415999999999997</v>
      </c>
      <c r="Y17" s="57"/>
    </row>
    <row r="18" spans="1:25" s="8" customFormat="1" x14ac:dyDescent="0.15">
      <c r="A18" s="8" t="s">
        <v>14</v>
      </c>
      <c r="B18" s="46"/>
      <c r="C18" s="45"/>
      <c r="D18" s="45"/>
      <c r="E18" s="45"/>
      <c r="F18" s="46"/>
      <c r="G18" s="45"/>
      <c r="H18" s="45"/>
      <c r="I18" s="45"/>
      <c r="J18" s="46"/>
      <c r="K18" s="45"/>
      <c r="L18" s="45"/>
      <c r="M18" s="45"/>
      <c r="N18" s="23">
        <v>0</v>
      </c>
      <c r="O18" s="24">
        <v>0</v>
      </c>
      <c r="P18" s="24">
        <v>0</v>
      </c>
      <c r="Q18" s="24">
        <v>0</v>
      </c>
      <c r="R18" s="23">
        <v>0</v>
      </c>
      <c r="S18" s="24">
        <v>0</v>
      </c>
      <c r="T18" s="24">
        <v>0</v>
      </c>
      <c r="U18" s="24">
        <v>0</v>
      </c>
      <c r="V18" s="23">
        <v>0</v>
      </c>
      <c r="W18" s="24">
        <v>0</v>
      </c>
      <c r="X18" s="24">
        <v>1</v>
      </c>
      <c r="Y18" s="24"/>
    </row>
    <row r="19" spans="1:25" s="51" customFormat="1" x14ac:dyDescent="0.15">
      <c r="A19" s="51" t="s">
        <v>64</v>
      </c>
      <c r="B19" s="46"/>
      <c r="C19" s="45"/>
      <c r="D19" s="45"/>
      <c r="E19" s="45"/>
      <c r="F19" s="46"/>
      <c r="G19" s="45"/>
      <c r="H19" s="45"/>
      <c r="I19" s="45"/>
      <c r="J19" s="46"/>
      <c r="K19" s="45"/>
      <c r="L19" s="45"/>
      <c r="M19" s="45"/>
      <c r="N19" s="41"/>
      <c r="O19" s="40"/>
      <c r="P19" s="40"/>
      <c r="Q19" s="40"/>
      <c r="R19" s="41"/>
      <c r="S19" s="40"/>
      <c r="T19" s="40"/>
      <c r="U19" s="40"/>
      <c r="V19" s="41"/>
      <c r="W19" s="40"/>
      <c r="X19" s="40"/>
      <c r="Y19" s="40"/>
    </row>
    <row r="20" spans="1:25" s="17" customFormat="1" x14ac:dyDescent="0.15">
      <c r="A20" s="17" t="s">
        <v>15</v>
      </c>
      <c r="B20" s="46"/>
      <c r="C20" s="45"/>
      <c r="D20" s="45"/>
      <c r="E20" s="45"/>
      <c r="F20" s="46"/>
      <c r="G20" s="45"/>
      <c r="H20" s="45"/>
      <c r="I20" s="45"/>
      <c r="J20" s="46"/>
      <c r="K20" s="45"/>
      <c r="L20" s="45"/>
      <c r="M20" s="45"/>
      <c r="N20" s="26">
        <f t="shared" ref="N20:O20" si="20">N17-N18</f>
        <v>-12</v>
      </c>
      <c r="O20" s="25">
        <f t="shared" si="20"/>
        <v>-16</v>
      </c>
      <c r="P20" s="25">
        <f t="shared" ref="P20:S20" si="21">P17-P18</f>
        <v>-12</v>
      </c>
      <c r="Q20" s="25">
        <f t="shared" si="21"/>
        <v>-13</v>
      </c>
      <c r="R20" s="26">
        <f t="shared" si="21"/>
        <v>-15</v>
      </c>
      <c r="S20" s="25">
        <f t="shared" si="21"/>
        <v>-16</v>
      </c>
      <c r="T20" s="25">
        <f t="shared" ref="T20:U20" si="22">T17-T18</f>
        <v>-63</v>
      </c>
      <c r="U20" s="25">
        <f t="shared" si="22"/>
        <v>-25.332000000000001</v>
      </c>
      <c r="V20" s="26">
        <f t="shared" ref="V20:W20" si="23">V17-V18</f>
        <v>-34.293999999999997</v>
      </c>
      <c r="W20" s="25">
        <f t="shared" si="23"/>
        <v>-41</v>
      </c>
      <c r="X20" s="25">
        <f t="shared" ref="X20" si="24">X17-X18</f>
        <v>-73.415999999999997</v>
      </c>
      <c r="Y20" s="56"/>
    </row>
    <row r="21" spans="1:25" s="4" customFormat="1" x14ac:dyDescent="0.15">
      <c r="A21" s="4" t="s">
        <v>16</v>
      </c>
      <c r="B21" s="46"/>
      <c r="C21" s="45"/>
      <c r="D21" s="45"/>
      <c r="E21" s="45"/>
      <c r="F21" s="46"/>
      <c r="G21" s="45"/>
      <c r="H21" s="45"/>
      <c r="I21" s="45"/>
      <c r="J21" s="46"/>
      <c r="K21" s="45"/>
      <c r="L21" s="45"/>
      <c r="M21" s="45"/>
      <c r="N21" s="69">
        <f t="shared" ref="N21:S21" si="25">IFERROR(N20/N22,0)</f>
        <v>0</v>
      </c>
      <c r="O21" s="68">
        <f t="shared" si="25"/>
        <v>0</v>
      </c>
      <c r="P21" s="68">
        <f t="shared" si="25"/>
        <v>0</v>
      </c>
      <c r="Q21" s="68">
        <f t="shared" si="25"/>
        <v>0</v>
      </c>
      <c r="R21" s="69">
        <f t="shared" si="25"/>
        <v>0</v>
      </c>
      <c r="S21" s="68">
        <f t="shared" si="25"/>
        <v>-0.23324295168955364</v>
      </c>
      <c r="T21" s="68">
        <f t="shared" ref="T21:U21" si="26">IFERROR(T20/T22,0)</f>
        <v>-0.89063560280479526</v>
      </c>
      <c r="U21" s="68">
        <f t="shared" si="26"/>
        <v>0</v>
      </c>
      <c r="V21" s="69">
        <f t="shared" ref="V21:W21" si="27">IFERROR(V20/V22,0)</f>
        <v>0</v>
      </c>
      <c r="W21" s="68">
        <f t="shared" si="27"/>
        <v>-0.53678270774145398</v>
      </c>
      <c r="X21" s="68">
        <f t="shared" ref="X21" si="28">IFERROR(X20/X22,0)</f>
        <v>-0.64818477186043222</v>
      </c>
      <c r="Y21" s="70"/>
    </row>
    <row r="22" spans="1:25" s="8" customFormat="1" x14ac:dyDescent="0.15">
      <c r="A22" s="8" t="s">
        <v>17</v>
      </c>
      <c r="B22" s="46"/>
      <c r="C22" s="45"/>
      <c r="D22" s="45"/>
      <c r="E22" s="45"/>
      <c r="F22" s="46"/>
      <c r="G22" s="45"/>
      <c r="H22" s="45"/>
      <c r="I22" s="45"/>
      <c r="J22" s="46"/>
      <c r="K22" s="45"/>
      <c r="L22" s="45"/>
      <c r="M22" s="45"/>
      <c r="N22" s="23"/>
      <c r="O22" s="24"/>
      <c r="P22" s="24"/>
      <c r="Q22" s="24"/>
      <c r="R22" s="23"/>
      <c r="S22" s="24">
        <v>68.597999999999999</v>
      </c>
      <c r="T22" s="57">
        <v>70.736000000000004</v>
      </c>
      <c r="U22" s="57"/>
      <c r="V22" s="23"/>
      <c r="W22" s="57">
        <v>76.381</v>
      </c>
      <c r="X22" s="57">
        <v>113.264</v>
      </c>
      <c r="Y22" s="57"/>
    </row>
    <row r="23" spans="1:25" s="42" customFormat="1" x14ac:dyDescent="0.15">
      <c r="B23" s="46"/>
      <c r="C23" s="45"/>
      <c r="D23" s="45"/>
      <c r="E23" s="45"/>
      <c r="F23" s="46"/>
      <c r="G23" s="45"/>
      <c r="H23" s="45"/>
      <c r="I23" s="45"/>
      <c r="J23" s="46"/>
      <c r="K23" s="45"/>
      <c r="L23" s="45"/>
      <c r="M23" s="45"/>
      <c r="N23" s="62"/>
      <c r="Q23" s="40"/>
      <c r="R23" s="62"/>
      <c r="V23" s="62"/>
    </row>
    <row r="24" spans="1:25" x14ac:dyDescent="0.15">
      <c r="A24" s="6" t="s">
        <v>19</v>
      </c>
      <c r="B24" s="46"/>
      <c r="C24" s="45"/>
      <c r="D24" s="45"/>
      <c r="E24" s="45"/>
      <c r="F24" s="46"/>
      <c r="G24" s="45"/>
      <c r="H24" s="45"/>
      <c r="I24" s="45"/>
      <c r="J24" s="46"/>
      <c r="K24" s="45"/>
      <c r="L24" s="45"/>
      <c r="M24" s="45"/>
      <c r="N24" s="35">
        <f t="shared" ref="N24:Q24" si="29">IFERROR(N10/N8,0)</f>
        <v>0.7857142857142857</v>
      </c>
      <c r="O24" s="34">
        <f t="shared" si="29"/>
        <v>0.83333333333333337</v>
      </c>
      <c r="P24" s="34">
        <f t="shared" si="29"/>
        <v>0.80952380952380953</v>
      </c>
      <c r="Q24" s="34">
        <f t="shared" si="29"/>
        <v>0.83333333333333337</v>
      </c>
      <c r="R24" s="35">
        <f t="shared" ref="R24:S24" si="30">IFERROR(R10/R8,0)</f>
        <v>0.8571428571428571</v>
      </c>
      <c r="S24" s="34">
        <f t="shared" si="30"/>
        <v>0.84848484848484851</v>
      </c>
      <c r="T24" s="34">
        <f t="shared" ref="T24:V24" si="31">IFERROR(T10/T8,0)</f>
        <v>0.86842105263157898</v>
      </c>
      <c r="U24" s="34">
        <f t="shared" ref="U24" si="32">IFERROR(U10/U8,0)</f>
        <v>0.86652864044168387</v>
      </c>
      <c r="V24" s="35">
        <f t="shared" si="31"/>
        <v>0.87422965664696262</v>
      </c>
      <c r="W24" s="34">
        <f t="shared" ref="W24:X24" si="33">IFERROR(W10/W8,0)</f>
        <v>0.86538461538461542</v>
      </c>
      <c r="X24" s="34">
        <f t="shared" si="33"/>
        <v>0.87571513453866401</v>
      </c>
      <c r="Y24" s="34"/>
    </row>
    <row r="25" spans="1:25" x14ac:dyDescent="0.15">
      <c r="A25" s="6" t="s">
        <v>20</v>
      </c>
      <c r="B25" s="46"/>
      <c r="C25" s="45"/>
      <c r="D25" s="45"/>
      <c r="E25" s="45"/>
      <c r="F25" s="46"/>
      <c r="G25" s="45"/>
      <c r="H25" s="45"/>
      <c r="I25" s="45"/>
      <c r="J25" s="46"/>
      <c r="K25" s="45"/>
      <c r="L25" s="45"/>
      <c r="M25" s="45"/>
      <c r="N25" s="37">
        <f t="shared" ref="N25:Q25" si="34">IFERROR(N15/N8,0)</f>
        <v>-0.8571428571428571</v>
      </c>
      <c r="O25" s="36">
        <f t="shared" si="34"/>
        <v>-0.88888888888888884</v>
      </c>
      <c r="P25" s="36">
        <f t="shared" si="34"/>
        <v>-0.5714285714285714</v>
      </c>
      <c r="Q25" s="36">
        <f t="shared" si="34"/>
        <v>-0.54166666666666663</v>
      </c>
      <c r="R25" s="37">
        <f t="shared" ref="R25:S25" si="35">IFERROR(R15/R8,0)</f>
        <v>-0.5357142857142857</v>
      </c>
      <c r="S25" s="36">
        <f t="shared" si="35"/>
        <v>-0.48484848484848486</v>
      </c>
      <c r="T25" s="36">
        <f t="shared" ref="T25:V25" si="36">IFERROR(T15/T8,0)</f>
        <v>-1.6578947368421053</v>
      </c>
      <c r="U25" s="36">
        <f t="shared" ref="U25" si="37">IFERROR(U15/U8,0)</f>
        <v>-0.5827467218771567</v>
      </c>
      <c r="V25" s="37">
        <f t="shared" si="36"/>
        <v>-0.59309101580513968</v>
      </c>
      <c r="W25" s="36">
        <f t="shared" ref="W25:X25" si="38">IFERROR(W15/W8,0)</f>
        <v>-0.65384615384615385</v>
      </c>
      <c r="X25" s="36">
        <f t="shared" si="38"/>
        <v>-1.042627960275019</v>
      </c>
      <c r="Y25" s="36"/>
    </row>
    <row r="26" spans="1:25" x14ac:dyDescent="0.15">
      <c r="A26" s="6" t="s">
        <v>21</v>
      </c>
      <c r="B26" s="46"/>
      <c r="C26" s="45"/>
      <c r="D26" s="45"/>
      <c r="E26" s="45"/>
      <c r="F26" s="46"/>
      <c r="G26" s="45"/>
      <c r="H26" s="45"/>
      <c r="I26" s="45"/>
      <c r="J26" s="46"/>
      <c r="K26" s="45"/>
      <c r="L26" s="45"/>
      <c r="M26" s="45"/>
      <c r="N26" s="37">
        <f t="shared" ref="N26:Q26" si="39">IFERROR(N18/N17,0)</f>
        <v>0</v>
      </c>
      <c r="O26" s="36">
        <f t="shared" si="39"/>
        <v>0</v>
      </c>
      <c r="P26" s="36">
        <f t="shared" si="39"/>
        <v>0</v>
      </c>
      <c r="Q26" s="36">
        <f t="shared" si="39"/>
        <v>0</v>
      </c>
      <c r="R26" s="37">
        <f t="shared" ref="R26:S26" si="40">IFERROR(R18/R17,0)</f>
        <v>0</v>
      </c>
      <c r="S26" s="36">
        <f t="shared" si="40"/>
        <v>0</v>
      </c>
      <c r="T26" s="36">
        <f t="shared" ref="T26:V26" si="41">IFERROR(T18/T17,0)</f>
        <v>0</v>
      </c>
      <c r="U26" s="36">
        <f t="shared" ref="U26" si="42">IFERROR(U18/U17,0)</f>
        <v>0</v>
      </c>
      <c r="V26" s="37">
        <f t="shared" si="41"/>
        <v>0</v>
      </c>
      <c r="W26" s="36">
        <f t="shared" ref="W26:X26" si="43">IFERROR(W18/W17,0)</f>
        <v>0</v>
      </c>
      <c r="X26" s="36">
        <f t="shared" si="43"/>
        <v>-1.3809102960671676E-2</v>
      </c>
      <c r="Y26" s="36"/>
    </row>
    <row r="27" spans="1:25" s="42" customFormat="1" x14ac:dyDescent="0.15">
      <c r="B27" s="46"/>
      <c r="C27" s="45"/>
      <c r="D27" s="45"/>
      <c r="E27" s="45"/>
      <c r="F27" s="46"/>
      <c r="G27" s="45"/>
      <c r="H27" s="45"/>
      <c r="I27" s="45"/>
      <c r="J27" s="46"/>
      <c r="K27" s="45"/>
      <c r="L27" s="45"/>
      <c r="M27" s="45"/>
      <c r="N27" s="62"/>
      <c r="Q27" s="40"/>
      <c r="R27" s="62"/>
      <c r="V27" s="62"/>
    </row>
    <row r="28" spans="1:25" s="12" customFormat="1" x14ac:dyDescent="0.15">
      <c r="A28" s="12" t="s">
        <v>18</v>
      </c>
      <c r="B28" s="46"/>
      <c r="C28" s="45"/>
      <c r="D28" s="45"/>
      <c r="E28" s="45"/>
      <c r="F28" s="46"/>
      <c r="G28" s="45"/>
      <c r="H28" s="45"/>
      <c r="I28" s="45"/>
      <c r="J28" s="46"/>
      <c r="K28" s="45"/>
      <c r="L28" s="45"/>
      <c r="M28" s="45"/>
      <c r="N28" s="31"/>
      <c r="O28" s="30"/>
      <c r="P28" s="30"/>
      <c r="Q28" s="30"/>
      <c r="R28" s="31">
        <f t="shared" ref="R28:X28" si="44">IFERROR((R8/N8)-1,0)</f>
        <v>1</v>
      </c>
      <c r="S28" s="30">
        <f t="shared" si="44"/>
        <v>0.83333333333333326</v>
      </c>
      <c r="T28" s="30">
        <f t="shared" si="44"/>
        <v>0.80952380952380953</v>
      </c>
      <c r="U28" s="30">
        <f t="shared" si="44"/>
        <v>0.81125000000000003</v>
      </c>
      <c r="V28" s="31">
        <f t="shared" ref="V28" si="45">IFERROR((V8/R8)-1,0)</f>
        <v>0.70378571428571446</v>
      </c>
      <c r="W28" s="30">
        <f t="shared" si="44"/>
        <v>0.57575757575757569</v>
      </c>
      <c r="X28" s="30">
        <f t="shared" si="44"/>
        <v>0.55013157894736842</v>
      </c>
      <c r="Y28" s="30">
        <f>IFERROR((Y8/U8)-1,0)</f>
        <v>0.42627099148838288</v>
      </c>
    </row>
    <row r="29" spans="1:25" s="12" customFormat="1" x14ac:dyDescent="0.15">
      <c r="A29" s="6" t="s">
        <v>38</v>
      </c>
      <c r="B29" s="46"/>
      <c r="C29" s="45"/>
      <c r="D29" s="45"/>
      <c r="E29" s="45"/>
      <c r="F29" s="46"/>
      <c r="G29" s="45"/>
      <c r="H29" s="45"/>
      <c r="I29" s="45"/>
      <c r="J29" s="46"/>
      <c r="K29" s="45"/>
      <c r="L29" s="45"/>
      <c r="M29" s="45"/>
      <c r="N29" s="33"/>
      <c r="O29" s="32"/>
      <c r="P29" s="32"/>
      <c r="Q29" s="32"/>
      <c r="R29" s="33">
        <f t="shared" ref="R29:X32" si="46">R11/N11-1</f>
        <v>0.44444444444444442</v>
      </c>
      <c r="S29" s="32">
        <f t="shared" si="46"/>
        <v>0.23076923076923084</v>
      </c>
      <c r="T29" s="32">
        <f t="shared" si="46"/>
        <v>3</v>
      </c>
      <c r="U29" s="32">
        <f t="shared" si="46"/>
        <v>0.81818181818181812</v>
      </c>
      <c r="V29" s="33">
        <f t="shared" ref="V29:V31" si="47">V11/R11-1</f>
        <v>0.69230769230769229</v>
      </c>
      <c r="W29" s="32">
        <f t="shared" si="46"/>
        <v>0.625</v>
      </c>
      <c r="X29" s="32">
        <f t="shared" si="46"/>
        <v>-0.17500000000000004</v>
      </c>
      <c r="Y29" s="32"/>
    </row>
    <row r="30" spans="1:25" s="12" customFormat="1" x14ac:dyDescent="0.15">
      <c r="A30" s="6" t="s">
        <v>39</v>
      </c>
      <c r="B30" s="46"/>
      <c r="C30" s="45"/>
      <c r="D30" s="45"/>
      <c r="E30" s="45"/>
      <c r="F30" s="46"/>
      <c r="G30" s="45"/>
      <c r="H30" s="45"/>
      <c r="I30" s="45"/>
      <c r="J30" s="46"/>
      <c r="K30" s="45"/>
      <c r="L30" s="45"/>
      <c r="M30" s="45"/>
      <c r="N30" s="33"/>
      <c r="O30" s="32"/>
      <c r="P30" s="32"/>
      <c r="Q30" s="32"/>
      <c r="R30" s="33">
        <f t="shared" si="46"/>
        <v>0.89999999999999991</v>
      </c>
      <c r="S30" s="32">
        <f t="shared" si="46"/>
        <v>0.53846153846153855</v>
      </c>
      <c r="T30" s="32">
        <f t="shared" si="46"/>
        <v>1.7692307692307692</v>
      </c>
      <c r="U30" s="32">
        <f t="shared" si="46"/>
        <v>0.9375</v>
      </c>
      <c r="V30" s="33">
        <f t="shared" si="47"/>
        <v>0.89473684210526305</v>
      </c>
      <c r="W30" s="32">
        <f t="shared" si="46"/>
        <v>0.95</v>
      </c>
      <c r="X30" s="32">
        <f t="shared" si="46"/>
        <v>0.33333333333333326</v>
      </c>
      <c r="Y30" s="32"/>
    </row>
    <row r="31" spans="1:25" s="12" customFormat="1" x14ac:dyDescent="0.15">
      <c r="A31" s="6" t="s">
        <v>40</v>
      </c>
      <c r="B31" s="46"/>
      <c r="C31" s="45"/>
      <c r="D31" s="45"/>
      <c r="E31" s="45"/>
      <c r="F31" s="46"/>
      <c r="G31" s="45"/>
      <c r="H31" s="45"/>
      <c r="I31" s="45"/>
      <c r="J31" s="46"/>
      <c r="K31" s="45"/>
      <c r="L31" s="45"/>
      <c r="M31" s="45"/>
      <c r="N31" s="33"/>
      <c r="O31" s="32"/>
      <c r="P31" s="32"/>
      <c r="Q31" s="32"/>
      <c r="R31" s="33">
        <f t="shared" si="46"/>
        <v>0.75</v>
      </c>
      <c r="S31" s="32">
        <f t="shared" si="46"/>
        <v>0.60000000000000009</v>
      </c>
      <c r="T31" s="32">
        <f t="shared" si="46"/>
        <v>2.3333333333333335</v>
      </c>
      <c r="U31" s="32">
        <f t="shared" si="46"/>
        <v>1</v>
      </c>
      <c r="V31" s="33">
        <f t="shared" si="47"/>
        <v>0.71428571428571419</v>
      </c>
      <c r="W31" s="32">
        <f t="shared" si="46"/>
        <v>0.75</v>
      </c>
      <c r="X31" s="32">
        <f t="shared" si="46"/>
        <v>0.60000000000000009</v>
      </c>
      <c r="Y31" s="32"/>
    </row>
    <row r="32" spans="1:25" x14ac:dyDescent="0.15">
      <c r="A32" s="6" t="s">
        <v>71</v>
      </c>
      <c r="B32" s="46"/>
      <c r="C32" s="45"/>
      <c r="D32" s="45"/>
      <c r="E32" s="45"/>
      <c r="F32" s="46"/>
      <c r="G32" s="45"/>
      <c r="H32" s="45"/>
      <c r="I32" s="45"/>
      <c r="J32" s="46"/>
      <c r="K32" s="45"/>
      <c r="L32" s="45"/>
      <c r="M32" s="45"/>
      <c r="N32" s="35"/>
      <c r="O32" s="34"/>
      <c r="P32" s="34"/>
      <c r="Q32" s="34"/>
      <c r="R32" s="35">
        <f>R14/N14-1</f>
        <v>0.69565217391304346</v>
      </c>
      <c r="S32" s="34">
        <f t="shared" si="46"/>
        <v>0.41935483870967749</v>
      </c>
      <c r="T32" s="34">
        <f t="shared" si="46"/>
        <v>2.3103448275862069</v>
      </c>
      <c r="U32" s="34">
        <f t="shared" si="46"/>
        <v>0.90909090909090917</v>
      </c>
      <c r="V32" s="35">
        <f>V14/R14-1</f>
        <v>0.79487179487179493</v>
      </c>
      <c r="W32" s="34">
        <f t="shared" si="46"/>
        <v>0.79545454545454541</v>
      </c>
      <c r="X32" s="34">
        <f t="shared" si="46"/>
        <v>0.17708333333333326</v>
      </c>
      <c r="Y32" s="34"/>
    </row>
    <row r="33" spans="1:25" x14ac:dyDescent="0.15">
      <c r="B33" s="46"/>
      <c r="C33" s="45"/>
      <c r="D33" s="45"/>
      <c r="E33" s="45"/>
      <c r="F33" s="46"/>
      <c r="G33" s="45"/>
      <c r="H33" s="45"/>
      <c r="I33" s="45"/>
      <c r="J33" s="46"/>
      <c r="K33" s="45"/>
      <c r="L33" s="45"/>
      <c r="M33" s="45"/>
      <c r="N33" s="49"/>
      <c r="O33" s="48"/>
      <c r="P33" s="48"/>
      <c r="Q33" s="48"/>
      <c r="S33" s="48"/>
    </row>
    <row r="34" spans="1:25" s="17" customFormat="1" x14ac:dyDescent="0.15">
      <c r="A34" s="17" t="s">
        <v>26</v>
      </c>
      <c r="B34" s="46"/>
      <c r="C34" s="45"/>
      <c r="D34" s="45"/>
      <c r="E34" s="45"/>
      <c r="F34" s="46"/>
      <c r="G34" s="45"/>
      <c r="H34" s="45"/>
      <c r="I34" s="45"/>
      <c r="J34" s="46"/>
      <c r="K34" s="45"/>
      <c r="L34" s="45"/>
      <c r="M34" s="45"/>
      <c r="N34" s="26">
        <f t="shared" ref="N34:P34" si="48">N35-N36</f>
        <v>0</v>
      </c>
      <c r="O34" s="25">
        <f t="shared" si="48"/>
        <v>0</v>
      </c>
      <c r="P34" s="25">
        <f t="shared" si="48"/>
        <v>0</v>
      </c>
      <c r="Q34" s="25">
        <f t="shared" ref="Q34:S34" si="49">Q35-Q36</f>
        <v>0</v>
      </c>
      <c r="R34" s="26">
        <f t="shared" si="49"/>
        <v>0</v>
      </c>
      <c r="S34" s="25">
        <f t="shared" si="49"/>
        <v>0</v>
      </c>
      <c r="T34" s="25">
        <f t="shared" ref="T34" si="50">T35-T36</f>
        <v>0</v>
      </c>
      <c r="U34" s="25">
        <f t="shared" ref="U34" si="51">U35-U36</f>
        <v>148</v>
      </c>
      <c r="V34" s="26">
        <f t="shared" ref="V34:X34" si="52">V35-V36</f>
        <v>0</v>
      </c>
      <c r="W34" s="25">
        <f t="shared" si="52"/>
        <v>123</v>
      </c>
      <c r="X34" s="25">
        <f t="shared" si="52"/>
        <v>70</v>
      </c>
      <c r="Y34" s="50"/>
    </row>
    <row r="35" spans="1:25" s="8" customFormat="1" x14ac:dyDescent="0.15">
      <c r="A35" s="8" t="s">
        <v>27</v>
      </c>
      <c r="B35" s="46"/>
      <c r="C35" s="45"/>
      <c r="D35" s="45"/>
      <c r="E35" s="45"/>
      <c r="F35" s="46"/>
      <c r="G35" s="45"/>
      <c r="H35" s="45"/>
      <c r="I35" s="45"/>
      <c r="J35" s="46"/>
      <c r="K35" s="45"/>
      <c r="L35" s="45"/>
      <c r="M35" s="45"/>
      <c r="N35" s="23"/>
      <c r="O35" s="24"/>
      <c r="P35" s="24"/>
      <c r="Q35" s="24"/>
      <c r="R35" s="23"/>
      <c r="S35" s="24"/>
      <c r="T35" s="24"/>
      <c r="U35" s="24">
        <f>306+45</f>
        <v>351</v>
      </c>
      <c r="V35" s="23"/>
      <c r="W35" s="24">
        <f>450+6</f>
        <v>456</v>
      </c>
      <c r="X35" s="24">
        <f>297+126</f>
        <v>423</v>
      </c>
      <c r="Y35" s="24"/>
    </row>
    <row r="36" spans="1:25" s="8" customFormat="1" x14ac:dyDescent="0.15">
      <c r="A36" s="8" t="s">
        <v>28</v>
      </c>
      <c r="B36" s="46"/>
      <c r="C36" s="45"/>
      <c r="D36" s="45"/>
      <c r="E36" s="45"/>
      <c r="F36" s="46"/>
      <c r="G36" s="45"/>
      <c r="H36" s="45"/>
      <c r="I36" s="45"/>
      <c r="J36" s="46"/>
      <c r="K36" s="45"/>
      <c r="L36" s="45"/>
      <c r="M36" s="45"/>
      <c r="N36" s="23"/>
      <c r="O36" s="24"/>
      <c r="P36" s="24"/>
      <c r="Q36" s="24"/>
      <c r="R36" s="23"/>
      <c r="S36" s="24"/>
      <c r="T36" s="24"/>
      <c r="U36" s="24">
        <v>203</v>
      </c>
      <c r="V36" s="23"/>
      <c r="W36" s="24">
        <f>3+330</f>
        <v>333</v>
      </c>
      <c r="X36" s="24">
        <f>12+341</f>
        <v>353</v>
      </c>
      <c r="Y36" s="24"/>
    </row>
    <row r="37" spans="1:25" s="8" customFormat="1" x14ac:dyDescent="0.15">
      <c r="B37" s="46"/>
      <c r="C37" s="45"/>
      <c r="D37" s="45"/>
      <c r="E37" s="45"/>
      <c r="F37" s="46"/>
      <c r="G37" s="45"/>
      <c r="H37" s="45"/>
      <c r="I37" s="45"/>
      <c r="J37" s="46"/>
      <c r="K37" s="45"/>
      <c r="L37" s="45"/>
      <c r="M37" s="45"/>
      <c r="N37" s="23"/>
      <c r="O37" s="24"/>
      <c r="P37" s="24"/>
      <c r="Q37" s="24"/>
      <c r="R37" s="23"/>
      <c r="S37" s="24"/>
      <c r="T37" s="24"/>
      <c r="U37" s="24"/>
      <c r="V37" s="23"/>
      <c r="W37" s="24"/>
      <c r="X37" s="24"/>
      <c r="Y37" s="24"/>
    </row>
    <row r="38" spans="1:25" s="8" customFormat="1" x14ac:dyDescent="0.15">
      <c r="A38" s="71" t="s">
        <v>52</v>
      </c>
      <c r="B38" s="46"/>
      <c r="C38" s="45"/>
      <c r="D38" s="45"/>
      <c r="E38" s="45"/>
      <c r="F38" s="46"/>
      <c r="G38" s="45"/>
      <c r="H38" s="45"/>
      <c r="I38" s="45"/>
      <c r="J38" s="46"/>
      <c r="K38" s="45"/>
      <c r="L38" s="45"/>
      <c r="M38" s="45"/>
      <c r="N38" s="23"/>
      <c r="O38" s="24"/>
      <c r="P38" s="24"/>
      <c r="Q38" s="24"/>
      <c r="R38" s="23"/>
      <c r="S38" s="24"/>
      <c r="T38" s="24"/>
      <c r="U38" s="24">
        <v>0</v>
      </c>
      <c r="V38" s="23"/>
      <c r="W38" s="24">
        <v>0</v>
      </c>
      <c r="X38" s="24">
        <v>0</v>
      </c>
      <c r="Y38" s="24"/>
    </row>
    <row r="39" spans="1:25" s="8" customFormat="1" x14ac:dyDescent="0.15">
      <c r="A39" s="71" t="s">
        <v>53</v>
      </c>
      <c r="B39" s="46"/>
      <c r="C39" s="45"/>
      <c r="D39" s="45"/>
      <c r="E39" s="45"/>
      <c r="F39" s="46"/>
      <c r="G39" s="45"/>
      <c r="H39" s="45"/>
      <c r="I39" s="45"/>
      <c r="J39" s="46"/>
      <c r="K39" s="45"/>
      <c r="L39" s="45"/>
      <c r="M39" s="45"/>
      <c r="N39" s="23"/>
      <c r="O39" s="24"/>
      <c r="P39" s="24"/>
      <c r="Q39" s="24"/>
      <c r="R39" s="23"/>
      <c r="S39" s="24"/>
      <c r="T39" s="24"/>
      <c r="U39" s="24">
        <v>422</v>
      </c>
      <c r="V39" s="23"/>
      <c r="W39" s="24">
        <v>669</v>
      </c>
      <c r="X39" s="24">
        <v>674</v>
      </c>
      <c r="Y39" s="24"/>
    </row>
    <row r="40" spans="1:25" s="8" customFormat="1" x14ac:dyDescent="0.15">
      <c r="A40" s="71" t="s">
        <v>54</v>
      </c>
      <c r="B40" s="46"/>
      <c r="C40" s="45"/>
      <c r="D40" s="45"/>
      <c r="E40" s="45"/>
      <c r="F40" s="46"/>
      <c r="G40" s="45"/>
      <c r="H40" s="45"/>
      <c r="I40" s="45"/>
      <c r="J40" s="46"/>
      <c r="K40" s="45"/>
      <c r="L40" s="45"/>
      <c r="M40" s="45"/>
      <c r="N40" s="23"/>
      <c r="O40" s="24"/>
      <c r="P40" s="24"/>
      <c r="Q40" s="24"/>
      <c r="R40" s="23"/>
      <c r="S40" s="24"/>
      <c r="T40" s="24"/>
      <c r="U40" s="24">
        <f>316+251</f>
        <v>567</v>
      </c>
      <c r="V40" s="23"/>
      <c r="W40" s="24">
        <f>590+251</f>
        <v>841</v>
      </c>
      <c r="X40" s="24">
        <v>646</v>
      </c>
      <c r="Y40" s="24"/>
    </row>
    <row r="41" spans="1:25" s="8" customFormat="1" x14ac:dyDescent="0.15">
      <c r="B41" s="46"/>
      <c r="C41" s="45"/>
      <c r="D41" s="45"/>
      <c r="E41" s="45"/>
      <c r="F41" s="46"/>
      <c r="G41" s="45"/>
      <c r="H41" s="45"/>
      <c r="I41" s="45"/>
      <c r="J41" s="46"/>
      <c r="K41" s="45"/>
      <c r="L41" s="45"/>
      <c r="M41" s="45"/>
      <c r="N41" s="23"/>
      <c r="O41" s="24"/>
      <c r="P41" s="24"/>
      <c r="Q41" s="24"/>
      <c r="R41" s="23"/>
      <c r="S41" s="24"/>
      <c r="T41" s="24"/>
      <c r="U41" s="24"/>
      <c r="V41" s="23"/>
      <c r="W41" s="24"/>
      <c r="X41" s="24"/>
      <c r="Y41" s="24"/>
    </row>
    <row r="42" spans="1:25" s="8" customFormat="1" x14ac:dyDescent="0.15">
      <c r="A42" s="71" t="s">
        <v>55</v>
      </c>
      <c r="B42" s="46"/>
      <c r="C42" s="45"/>
      <c r="D42" s="45"/>
      <c r="E42" s="45"/>
      <c r="F42" s="46"/>
      <c r="G42" s="45"/>
      <c r="H42" s="45"/>
      <c r="I42" s="45"/>
      <c r="J42" s="46"/>
      <c r="K42" s="45"/>
      <c r="L42" s="45"/>
      <c r="M42" s="45"/>
      <c r="N42" s="28">
        <f t="shared" ref="N42:O42" si="53">N39-N35-N38</f>
        <v>0</v>
      </c>
      <c r="O42" s="27">
        <f t="shared" si="53"/>
        <v>0</v>
      </c>
      <c r="P42" s="27">
        <f t="shared" ref="P42:V42" si="54">P39-P35-P38</f>
        <v>0</v>
      </c>
      <c r="Q42" s="27">
        <f t="shared" si="54"/>
        <v>0</v>
      </c>
      <c r="R42" s="28">
        <f t="shared" si="54"/>
        <v>0</v>
      </c>
      <c r="S42" s="27">
        <f t="shared" si="54"/>
        <v>0</v>
      </c>
      <c r="T42" s="27">
        <f t="shared" si="54"/>
        <v>0</v>
      </c>
      <c r="U42" s="27">
        <f t="shared" si="54"/>
        <v>71</v>
      </c>
      <c r="V42" s="28">
        <f t="shared" si="54"/>
        <v>0</v>
      </c>
      <c r="W42" s="27">
        <f t="shared" ref="W42:X42" si="55">W39-W35-W38</f>
        <v>213</v>
      </c>
      <c r="X42" s="27">
        <f t="shared" si="55"/>
        <v>251</v>
      </c>
      <c r="Y42" s="24"/>
    </row>
    <row r="43" spans="1:25" s="8" customFormat="1" x14ac:dyDescent="0.15">
      <c r="A43" s="71" t="s">
        <v>56</v>
      </c>
      <c r="B43" s="46"/>
      <c r="C43" s="45"/>
      <c r="D43" s="45"/>
      <c r="E43" s="45"/>
      <c r="F43" s="46"/>
      <c r="G43" s="45"/>
      <c r="H43" s="45"/>
      <c r="I43" s="45"/>
      <c r="J43" s="46"/>
      <c r="K43" s="45"/>
      <c r="L43" s="45"/>
      <c r="M43" s="45"/>
      <c r="N43" s="28">
        <f t="shared" ref="N43:P43" si="56">N39-N40</f>
        <v>0</v>
      </c>
      <c r="O43" s="27">
        <f t="shared" si="56"/>
        <v>0</v>
      </c>
      <c r="P43" s="27">
        <f t="shared" si="56"/>
        <v>0</v>
      </c>
      <c r="Q43" s="27">
        <f t="shared" ref="Q43:S43" si="57">Q39-Q40</f>
        <v>0</v>
      </c>
      <c r="R43" s="28">
        <f t="shared" si="57"/>
        <v>0</v>
      </c>
      <c r="S43" s="27">
        <f t="shared" si="57"/>
        <v>0</v>
      </c>
      <c r="T43" s="27">
        <f>T39-T40</f>
        <v>0</v>
      </c>
      <c r="U43" s="27">
        <f>U39-U40</f>
        <v>-145</v>
      </c>
      <c r="V43" s="28">
        <f t="shared" ref="V43" si="58">V39-V40</f>
        <v>0</v>
      </c>
      <c r="W43" s="27">
        <f>W39-W40</f>
        <v>-172</v>
      </c>
      <c r="X43" s="27">
        <f>X39-X40</f>
        <v>28</v>
      </c>
      <c r="Y43" s="24"/>
    </row>
    <row r="44" spans="1:25" s="8" customFormat="1" x14ac:dyDescent="0.15">
      <c r="B44" s="46"/>
      <c r="C44" s="45"/>
      <c r="D44" s="45"/>
      <c r="E44" s="45"/>
      <c r="F44" s="46"/>
      <c r="G44" s="45"/>
      <c r="H44" s="45"/>
      <c r="I44" s="45"/>
      <c r="J44" s="46"/>
      <c r="K44" s="45"/>
      <c r="L44" s="45"/>
      <c r="M44" s="45"/>
      <c r="N44" s="23"/>
      <c r="O44" s="24"/>
      <c r="P44" s="24"/>
      <c r="Q44" s="24"/>
      <c r="R44" s="23"/>
      <c r="S44" s="24"/>
      <c r="T44" s="24"/>
      <c r="U44" s="24"/>
      <c r="V44" s="23"/>
      <c r="W44" s="24"/>
      <c r="X44" s="24"/>
      <c r="Y44" s="24"/>
    </row>
    <row r="45" spans="1:25" s="17" customFormat="1" x14ac:dyDescent="0.15">
      <c r="A45" s="72" t="s">
        <v>57</v>
      </c>
      <c r="B45" s="46"/>
      <c r="C45" s="45"/>
      <c r="D45" s="45"/>
      <c r="E45" s="45"/>
      <c r="F45" s="46"/>
      <c r="G45" s="45"/>
      <c r="H45" s="45"/>
      <c r="I45" s="45"/>
      <c r="J45" s="46"/>
      <c r="K45" s="45"/>
      <c r="L45" s="45"/>
      <c r="M45" s="45"/>
      <c r="N45" s="26">
        <f t="shared" ref="N45:U45" si="59">SUM(K20:N20)</f>
        <v>-12</v>
      </c>
      <c r="O45" s="25">
        <f t="shared" si="59"/>
        <v>-28</v>
      </c>
      <c r="P45" s="25">
        <f t="shared" si="59"/>
        <v>-40</v>
      </c>
      <c r="Q45" s="25">
        <f t="shared" si="59"/>
        <v>-53</v>
      </c>
      <c r="R45" s="26">
        <f t="shared" si="59"/>
        <v>-56</v>
      </c>
      <c r="S45" s="25">
        <f t="shared" si="59"/>
        <v>-56</v>
      </c>
      <c r="T45" s="25">
        <f t="shared" si="59"/>
        <v>-107</v>
      </c>
      <c r="U45" s="25">
        <f t="shared" si="59"/>
        <v>-119.33199999999999</v>
      </c>
      <c r="V45" s="26">
        <f t="shared" ref="V45" si="60">SUM(S20:V20)</f>
        <v>-138.62599999999998</v>
      </c>
      <c r="W45" s="25">
        <f>SUM(T20:W20)</f>
        <v>-163.62599999999998</v>
      </c>
      <c r="X45" s="25">
        <f>SUM(U20:X20)</f>
        <v>-174.042</v>
      </c>
      <c r="Y45" s="50"/>
    </row>
    <row r="46" spans="1:25" x14ac:dyDescent="0.15">
      <c r="A46" s="19" t="s">
        <v>58</v>
      </c>
      <c r="B46" s="46"/>
      <c r="C46" s="45"/>
      <c r="D46" s="45"/>
      <c r="E46" s="45"/>
      <c r="F46" s="46"/>
      <c r="G46" s="45"/>
      <c r="H46" s="45"/>
      <c r="I46" s="45"/>
      <c r="J46" s="46"/>
      <c r="K46" s="45"/>
      <c r="L46" s="45"/>
      <c r="M46" s="45"/>
      <c r="N46" s="35" t="e">
        <f t="shared" ref="N46:O46" si="61">N45/N43</f>
        <v>#DIV/0!</v>
      </c>
      <c r="O46" s="34" t="e">
        <f t="shared" si="61"/>
        <v>#DIV/0!</v>
      </c>
      <c r="P46" s="34" t="e">
        <f t="shared" ref="P46:V46" si="62">P45/P43</f>
        <v>#DIV/0!</v>
      </c>
      <c r="Q46" s="34" t="e">
        <f t="shared" si="62"/>
        <v>#DIV/0!</v>
      </c>
      <c r="R46" s="35" t="e">
        <f t="shared" si="62"/>
        <v>#DIV/0!</v>
      </c>
      <c r="S46" s="34" t="e">
        <f t="shared" si="62"/>
        <v>#DIV/0!</v>
      </c>
      <c r="T46" s="34" t="e">
        <f t="shared" si="62"/>
        <v>#DIV/0!</v>
      </c>
      <c r="U46" s="34">
        <f t="shared" si="62"/>
        <v>0.82297931034482752</v>
      </c>
      <c r="V46" s="35" t="e">
        <f t="shared" si="62"/>
        <v>#DIV/0!</v>
      </c>
      <c r="W46" s="34">
        <f t="shared" ref="W46:X46" si="63">W45/W43</f>
        <v>0.951313953488372</v>
      </c>
      <c r="X46" s="34">
        <f t="shared" si="63"/>
        <v>-6.2157857142857145</v>
      </c>
    </row>
    <row r="47" spans="1:25" x14ac:dyDescent="0.15">
      <c r="A47" s="19" t="s">
        <v>59</v>
      </c>
      <c r="B47" s="46"/>
      <c r="C47" s="45"/>
      <c r="D47" s="45"/>
      <c r="E47" s="45"/>
      <c r="F47" s="46"/>
      <c r="G47" s="45"/>
      <c r="H47" s="45"/>
      <c r="I47" s="45"/>
      <c r="J47" s="46"/>
      <c r="K47" s="45"/>
      <c r="L47" s="45"/>
      <c r="M47" s="45"/>
      <c r="N47" s="35" t="e">
        <f t="shared" ref="N47:O47" si="64">N45/N39</f>
        <v>#DIV/0!</v>
      </c>
      <c r="O47" s="34" t="e">
        <f t="shared" si="64"/>
        <v>#DIV/0!</v>
      </c>
      <c r="P47" s="34" t="e">
        <f t="shared" ref="P47:V47" si="65">P45/P39</f>
        <v>#DIV/0!</v>
      </c>
      <c r="Q47" s="34" t="e">
        <f t="shared" si="65"/>
        <v>#DIV/0!</v>
      </c>
      <c r="R47" s="35" t="e">
        <f t="shared" si="65"/>
        <v>#DIV/0!</v>
      </c>
      <c r="S47" s="34" t="e">
        <f t="shared" si="65"/>
        <v>#DIV/0!</v>
      </c>
      <c r="T47" s="34" t="e">
        <f t="shared" si="65"/>
        <v>#DIV/0!</v>
      </c>
      <c r="U47" s="34">
        <f t="shared" si="65"/>
        <v>-0.2827772511848341</v>
      </c>
      <c r="V47" s="35" t="e">
        <f t="shared" si="65"/>
        <v>#DIV/0!</v>
      </c>
      <c r="W47" s="34">
        <f t="shared" ref="W47:X47" si="66">W45/W39</f>
        <v>-0.24458295964125557</v>
      </c>
      <c r="X47" s="34">
        <f t="shared" si="66"/>
        <v>-0.25822255192878341</v>
      </c>
    </row>
    <row r="48" spans="1:25" x14ac:dyDescent="0.15">
      <c r="A48" s="19" t="s">
        <v>60</v>
      </c>
      <c r="B48" s="46"/>
      <c r="C48" s="45"/>
      <c r="D48" s="45"/>
      <c r="E48" s="45"/>
      <c r="F48" s="46"/>
      <c r="G48" s="45"/>
      <c r="H48" s="45"/>
      <c r="I48" s="45"/>
      <c r="J48" s="46"/>
      <c r="K48" s="45"/>
      <c r="L48" s="45"/>
      <c r="M48" s="45"/>
      <c r="N48" s="35" t="e">
        <f t="shared" ref="N48:O48" si="67">N45/(N43-N38)</f>
        <v>#DIV/0!</v>
      </c>
      <c r="O48" s="34" t="e">
        <f t="shared" si="67"/>
        <v>#DIV/0!</v>
      </c>
      <c r="P48" s="34" t="e">
        <f t="shared" ref="P48:V48" si="68">P45/(P43-P38)</f>
        <v>#DIV/0!</v>
      </c>
      <c r="Q48" s="34" t="e">
        <f t="shared" si="68"/>
        <v>#DIV/0!</v>
      </c>
      <c r="R48" s="35" t="e">
        <f t="shared" si="68"/>
        <v>#DIV/0!</v>
      </c>
      <c r="S48" s="34" t="e">
        <f t="shared" si="68"/>
        <v>#DIV/0!</v>
      </c>
      <c r="T48" s="34" t="e">
        <f t="shared" si="68"/>
        <v>#DIV/0!</v>
      </c>
      <c r="U48" s="34">
        <f t="shared" si="68"/>
        <v>0.82297931034482752</v>
      </c>
      <c r="V48" s="35" t="e">
        <f t="shared" si="68"/>
        <v>#DIV/0!</v>
      </c>
      <c r="W48" s="34">
        <f t="shared" ref="W48:X48" si="69">W45/(W43-W38)</f>
        <v>0.951313953488372</v>
      </c>
      <c r="X48" s="34">
        <f t="shared" si="69"/>
        <v>-6.2157857142857145</v>
      </c>
    </row>
    <row r="49" spans="1:25" x14ac:dyDescent="0.15">
      <c r="A49" s="19" t="s">
        <v>61</v>
      </c>
      <c r="B49" s="46"/>
      <c r="C49" s="45"/>
      <c r="D49" s="45"/>
      <c r="E49" s="45"/>
      <c r="F49" s="46"/>
      <c r="G49" s="45"/>
      <c r="H49" s="45"/>
      <c r="I49" s="45"/>
      <c r="J49" s="46"/>
      <c r="K49" s="45"/>
      <c r="L49" s="45"/>
      <c r="M49" s="45"/>
      <c r="N49" s="35" t="e">
        <f t="shared" ref="N49:O49" si="70">N45/N42</f>
        <v>#DIV/0!</v>
      </c>
      <c r="O49" s="34" t="e">
        <f t="shared" si="70"/>
        <v>#DIV/0!</v>
      </c>
      <c r="P49" s="34" t="e">
        <f t="shared" ref="P49:V49" si="71">P45/P42</f>
        <v>#DIV/0!</v>
      </c>
      <c r="Q49" s="34" t="e">
        <f t="shared" si="71"/>
        <v>#DIV/0!</v>
      </c>
      <c r="R49" s="35" t="e">
        <f t="shared" si="71"/>
        <v>#DIV/0!</v>
      </c>
      <c r="S49" s="34" t="e">
        <f t="shared" si="71"/>
        <v>#DIV/0!</v>
      </c>
      <c r="T49" s="34" t="e">
        <f t="shared" si="71"/>
        <v>#DIV/0!</v>
      </c>
      <c r="U49" s="34">
        <f t="shared" si="71"/>
        <v>-1.6807323943661971</v>
      </c>
      <c r="V49" s="35" t="e">
        <f t="shared" si="71"/>
        <v>#DIV/0!</v>
      </c>
      <c r="W49" s="34">
        <f t="shared" ref="W49:X49" si="72">W45/W42</f>
        <v>-0.76819718309859142</v>
      </c>
      <c r="X49" s="34">
        <f t="shared" si="72"/>
        <v>-0.69339442231075699</v>
      </c>
    </row>
    <row r="50" spans="1:25" x14ac:dyDescent="0.15">
      <c r="B50" s="46"/>
      <c r="C50" s="45"/>
      <c r="D50" s="45"/>
      <c r="E50" s="45"/>
      <c r="F50" s="46"/>
      <c r="G50" s="45"/>
      <c r="H50" s="45"/>
      <c r="I50" s="45"/>
      <c r="J50" s="46"/>
      <c r="K50" s="45"/>
      <c r="L50" s="45"/>
      <c r="M50" s="45"/>
    </row>
    <row r="51" spans="1:25" x14ac:dyDescent="0.15">
      <c r="A51" s="6" t="s">
        <v>70</v>
      </c>
      <c r="B51" s="46"/>
      <c r="C51" s="45"/>
      <c r="D51" s="45"/>
      <c r="E51" s="45"/>
      <c r="F51" s="46"/>
      <c r="G51" s="45"/>
      <c r="H51" s="45"/>
      <c r="I51" s="45"/>
      <c r="J51" s="46"/>
      <c r="K51" s="45"/>
      <c r="L51" s="45"/>
      <c r="M51" s="45"/>
      <c r="N51" s="35"/>
      <c r="O51" s="34"/>
      <c r="P51" s="34"/>
      <c r="Q51" s="34"/>
      <c r="R51" s="35">
        <f t="shared" ref="R51:X51" si="73">R3/N3-1</f>
        <v>1</v>
      </c>
      <c r="S51" s="34">
        <f t="shared" si="73"/>
        <v>0.83333333333333326</v>
      </c>
      <c r="T51" s="34">
        <f t="shared" si="73"/>
        <v>0.80952380952380953</v>
      </c>
      <c r="U51" s="34">
        <f t="shared" si="73"/>
        <v>0.81125000000000003</v>
      </c>
      <c r="V51" s="35">
        <f t="shared" si="73"/>
        <v>0.70378571428571446</v>
      </c>
      <c r="W51" s="34">
        <f t="shared" si="73"/>
        <v>0.57575757575757569</v>
      </c>
      <c r="X51" s="34">
        <f t="shared" si="73"/>
        <v>0.55013157894736842</v>
      </c>
      <c r="Y51" s="34"/>
    </row>
    <row r="52" spans="1:25" x14ac:dyDescent="0.15">
      <c r="B52" s="46"/>
      <c r="C52" s="45"/>
      <c r="D52" s="45"/>
      <c r="E52" s="45"/>
      <c r="F52" s="46"/>
      <c r="G52" s="45"/>
      <c r="H52" s="45"/>
      <c r="I52" s="45"/>
      <c r="J52" s="46"/>
      <c r="K52" s="45"/>
      <c r="L52" s="45"/>
      <c r="M52" s="45"/>
    </row>
    <row r="53" spans="1:25" s="18" customFormat="1" x14ac:dyDescent="0.15">
      <c r="A53" s="18" t="s">
        <v>67</v>
      </c>
      <c r="B53" s="46"/>
      <c r="C53" s="45"/>
      <c r="D53" s="45"/>
      <c r="E53" s="45"/>
      <c r="F53" s="46"/>
      <c r="G53" s="45"/>
      <c r="H53" s="45"/>
      <c r="I53" s="45"/>
      <c r="J53" s="46"/>
      <c r="K53" s="45"/>
      <c r="L53" s="45"/>
      <c r="M53" s="45"/>
      <c r="N53" s="35"/>
      <c r="O53" s="34"/>
      <c r="P53" s="34"/>
      <c r="Q53" s="34"/>
      <c r="R53" s="35"/>
      <c r="S53" s="34"/>
      <c r="T53" s="34"/>
      <c r="U53" s="34"/>
      <c r="V53" s="35"/>
      <c r="W53" s="34"/>
      <c r="X53" s="34"/>
      <c r="Y53" s="34"/>
    </row>
    <row r="54" spans="1:25" s="18" customFormat="1" x14ac:dyDescent="0.15">
      <c r="A54" s="18" t="s">
        <v>68</v>
      </c>
      <c r="B54" s="34"/>
      <c r="C54" s="34"/>
      <c r="D54" s="34"/>
      <c r="E54" s="34"/>
      <c r="F54" s="35"/>
      <c r="G54" s="34"/>
      <c r="H54" s="34"/>
      <c r="I54" s="34"/>
      <c r="J54" s="35"/>
      <c r="K54" s="34"/>
      <c r="L54" s="34"/>
      <c r="M54" s="34"/>
      <c r="N54" s="35"/>
      <c r="O54" s="34"/>
      <c r="P54" s="34"/>
      <c r="Q54" s="34"/>
      <c r="R54" s="35"/>
      <c r="S54" s="34"/>
      <c r="T54" s="34"/>
      <c r="U54" s="34"/>
      <c r="V54" s="35"/>
      <c r="W54" s="34"/>
      <c r="X54" s="34"/>
      <c r="Y54" s="34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6"/>
  <sheetViews>
    <sheetView workbookViewId="0">
      <selection activeCell="D10" sqref="D10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3" width="28.5" style="3" bestFit="1" customWidth="1"/>
    <col min="4" max="16384" width="10.83203125" style="3"/>
  </cols>
  <sheetData>
    <row r="4" spans="2:4" x14ac:dyDescent="0.15">
      <c r="B4" s="2" t="s">
        <v>88</v>
      </c>
    </row>
    <row r="6" spans="2:4" x14ac:dyDescent="0.15">
      <c r="B6" s="3" t="s">
        <v>93</v>
      </c>
      <c r="C6" s="3" t="s">
        <v>94</v>
      </c>
      <c r="D6" s="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2021-01-05T22:15:48Z</dcterms:modified>
</cp:coreProperties>
</file>