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michaelsjoeberg/Dropbox/_PROJECTS/_investing/stocks/"/>
    </mc:Choice>
  </mc:AlternateContent>
  <xr:revisionPtr revIDLastSave="0" documentId="13_ncr:1_{37FAEFBC-CF84-B349-A863-8BCCAC862EB4}" xr6:coauthVersionLast="46" xr6:coauthVersionMax="46" xr10:uidLastSave="{00000000-0000-0000-0000-000000000000}"/>
  <bookViews>
    <workbookView xWindow="0" yWindow="460" windowWidth="18920" windowHeight="20320" tabRatio="500" xr2:uid="{00000000-000D-0000-FFFF-FFFF00000000}"/>
  </bookViews>
  <sheets>
    <sheet name="Main" sheetId="2" r:id="rId1"/>
    <sheet name="Reports" sheetId="1" r:id="rId2"/>
    <sheet name="Products" sheetId="3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" i="2" l="1"/>
  <c r="Q50" i="1"/>
  <c r="Q5" i="1"/>
  <c r="Q6" i="1" s="1"/>
  <c r="P53" i="1"/>
  <c r="O53" i="1"/>
  <c r="N53" i="1"/>
  <c r="M53" i="1"/>
  <c r="L53" i="1"/>
  <c r="C5" i="2"/>
  <c r="C3" i="2"/>
  <c r="L20" i="2"/>
  <c r="M20" i="2" s="1"/>
  <c r="N20" i="2" s="1"/>
  <c r="O20" i="2" s="1"/>
  <c r="K20" i="2"/>
  <c r="L19" i="2"/>
  <c r="M19" i="2" s="1"/>
  <c r="N19" i="2" s="1"/>
  <c r="O19" i="2" s="1"/>
  <c r="K19" i="2"/>
  <c r="G19" i="2"/>
  <c r="H19" i="2" s="1"/>
  <c r="I19" i="2" s="1"/>
  <c r="J19" i="2" s="1"/>
  <c r="F19" i="2"/>
  <c r="G18" i="2"/>
  <c r="H18" i="2" s="1"/>
  <c r="I18" i="2" s="1"/>
  <c r="J18" i="2" s="1"/>
  <c r="F18" i="2"/>
  <c r="E59" i="2"/>
  <c r="E58" i="2"/>
  <c r="E15" i="2"/>
  <c r="D15" i="2"/>
  <c r="E13" i="2"/>
  <c r="E12" i="2"/>
  <c r="D13" i="2"/>
  <c r="D12" i="2"/>
  <c r="P8" i="1"/>
  <c r="P10" i="1" s="1"/>
  <c r="P23" i="1" s="1"/>
  <c r="O8" i="1"/>
  <c r="O10" i="1" s="1"/>
  <c r="O23" i="1" s="1"/>
  <c r="N8" i="1"/>
  <c r="M8" i="1"/>
  <c r="L8" i="1"/>
  <c r="K8" i="1"/>
  <c r="J8" i="1"/>
  <c r="I8" i="1"/>
  <c r="H8" i="1"/>
  <c r="P6" i="1"/>
  <c r="O6" i="1"/>
  <c r="N6" i="1"/>
  <c r="M6" i="1"/>
  <c r="L6" i="1"/>
  <c r="K6" i="1"/>
  <c r="J6" i="1"/>
  <c r="I6" i="1"/>
  <c r="H6" i="1"/>
  <c r="P52" i="1"/>
  <c r="O52" i="1"/>
  <c r="N52" i="1"/>
  <c r="M52" i="1"/>
  <c r="L52" i="1"/>
  <c r="P50" i="1"/>
  <c r="P42" i="1"/>
  <c r="P41" i="1"/>
  <c r="P37" i="1"/>
  <c r="P34" i="1"/>
  <c r="P33" i="1" s="1"/>
  <c r="P31" i="1"/>
  <c r="P30" i="1"/>
  <c r="P29" i="1"/>
  <c r="P28" i="1"/>
  <c r="P16" i="1"/>
  <c r="P14" i="1"/>
  <c r="O50" i="1"/>
  <c r="O42" i="1"/>
  <c r="O41" i="1"/>
  <c r="O37" i="1"/>
  <c r="O34" i="1"/>
  <c r="O33" i="1"/>
  <c r="O31" i="1"/>
  <c r="O30" i="1"/>
  <c r="O29" i="1"/>
  <c r="O28" i="1"/>
  <c r="O16" i="1"/>
  <c r="O14" i="1"/>
  <c r="E28" i="2"/>
  <c r="E20" i="2"/>
  <c r="F20" i="2" s="1"/>
  <c r="G20" i="2" s="1"/>
  <c r="H20" i="2" s="1"/>
  <c r="I20" i="2" s="1"/>
  <c r="J20" i="2" s="1"/>
  <c r="E19" i="2"/>
  <c r="E18" i="2"/>
  <c r="E16" i="2"/>
  <c r="E10" i="2"/>
  <c r="D28" i="2"/>
  <c r="D25" i="2"/>
  <c r="D23" i="2"/>
  <c r="D20" i="2"/>
  <c r="D19" i="2"/>
  <c r="D18" i="2"/>
  <c r="D16" i="2"/>
  <c r="D10" i="2"/>
  <c r="C25" i="2"/>
  <c r="C23" i="2"/>
  <c r="C20" i="2"/>
  <c r="C19" i="2"/>
  <c r="C18" i="2"/>
  <c r="C16" i="2"/>
  <c r="C10" i="2"/>
  <c r="L34" i="1"/>
  <c r="I34" i="1"/>
  <c r="N37" i="1"/>
  <c r="M34" i="1"/>
  <c r="N34" i="1"/>
  <c r="Q52" i="1" l="1"/>
  <c r="F12" i="2"/>
  <c r="F13" i="2" s="1"/>
  <c r="F15" i="2" s="1"/>
  <c r="Q53" i="1"/>
  <c r="Q8" i="1"/>
  <c r="F58" i="2"/>
  <c r="G12" i="2"/>
  <c r="G58" i="2" s="1"/>
  <c r="G13" i="2"/>
  <c r="G59" i="2" s="1"/>
  <c r="F59" i="2"/>
  <c r="Q27" i="1"/>
  <c r="P19" i="2"/>
  <c r="Q19" i="2" s="1"/>
  <c r="R19" i="2" s="1"/>
  <c r="S19" i="2" s="1"/>
  <c r="T19" i="2" s="1"/>
  <c r="K18" i="2"/>
  <c r="L18" i="2" s="1"/>
  <c r="M18" i="2" s="1"/>
  <c r="N18" i="2" s="1"/>
  <c r="O18" i="2" s="1"/>
  <c r="P18" i="2" s="1"/>
  <c r="Q18" i="2" s="1"/>
  <c r="R18" i="2" s="1"/>
  <c r="S18" i="2" s="1"/>
  <c r="T18" i="2" s="1"/>
  <c r="P27" i="1"/>
  <c r="P15" i="1"/>
  <c r="O15" i="1"/>
  <c r="O27" i="1"/>
  <c r="G10" i="2"/>
  <c r="H10" i="2" s="1"/>
  <c r="I10" i="2" s="1"/>
  <c r="J10" i="2" s="1"/>
  <c r="E46" i="2"/>
  <c r="E45" i="2"/>
  <c r="E49" i="2" s="1"/>
  <c r="E25" i="2"/>
  <c r="E23" i="2"/>
  <c r="N41" i="1"/>
  <c r="E44" i="2"/>
  <c r="E42" i="2"/>
  <c r="E41" i="2"/>
  <c r="M50" i="1"/>
  <c r="M42" i="1"/>
  <c r="M29" i="1"/>
  <c r="M28" i="1"/>
  <c r="M10" i="1"/>
  <c r="M23" i="1" s="1"/>
  <c r="H12" i="2" l="1"/>
  <c r="G15" i="2"/>
  <c r="H13" i="2"/>
  <c r="P24" i="1"/>
  <c r="P17" i="1"/>
  <c r="O24" i="1"/>
  <c r="O17" i="1"/>
  <c r="M41" i="1"/>
  <c r="M33" i="1"/>
  <c r="M14" i="1"/>
  <c r="M15" i="1" s="1"/>
  <c r="F35" i="2"/>
  <c r="E40" i="2"/>
  <c r="E48" i="2"/>
  <c r="I12" i="2" l="1"/>
  <c r="H58" i="2"/>
  <c r="H15" i="2"/>
  <c r="I13" i="2"/>
  <c r="H59" i="2"/>
  <c r="P19" i="1"/>
  <c r="P20" i="1" s="1"/>
  <c r="P25" i="1"/>
  <c r="O25" i="1"/>
  <c r="O19" i="1"/>
  <c r="O20" i="1" s="1"/>
  <c r="M24" i="1"/>
  <c r="M17" i="1"/>
  <c r="M25" i="1" s="1"/>
  <c r="E17" i="2"/>
  <c r="J12" i="2" l="1"/>
  <c r="J58" i="2" s="1"/>
  <c r="I58" i="2"/>
  <c r="J13" i="2"/>
  <c r="I15" i="2"/>
  <c r="I59" i="2"/>
  <c r="M19" i="1"/>
  <c r="J15" i="2" l="1"/>
  <c r="K15" i="2" s="1"/>
  <c r="L15" i="2" s="1"/>
  <c r="M15" i="2" s="1"/>
  <c r="N15" i="2" s="1"/>
  <c r="O15" i="2" s="1"/>
  <c r="J59" i="2"/>
  <c r="M20" i="1"/>
  <c r="L42" i="1"/>
  <c r="L50" i="1"/>
  <c r="L14" i="1"/>
  <c r="L10" i="1"/>
  <c r="N50" i="1"/>
  <c r="N42" i="1"/>
  <c r="N29" i="1"/>
  <c r="N28" i="1"/>
  <c r="N14" i="1"/>
  <c r="L41" i="1" l="1"/>
  <c r="L33" i="1"/>
  <c r="L15" i="1"/>
  <c r="L17" i="1" s="1"/>
  <c r="L19" i="1" s="1"/>
  <c r="N10" i="1"/>
  <c r="N30" i="1"/>
  <c r="N33" i="1"/>
  <c r="C4" i="2"/>
  <c r="L28" i="1"/>
  <c r="L29" i="1"/>
  <c r="K50" i="1"/>
  <c r="K29" i="1"/>
  <c r="K28" i="1"/>
  <c r="K10" i="1"/>
  <c r="E56" i="2"/>
  <c r="B15" i="2"/>
  <c r="B14" i="1"/>
  <c r="G14" i="1"/>
  <c r="D14" i="1"/>
  <c r="H14" i="1"/>
  <c r="M30" i="1"/>
  <c r="D44" i="2"/>
  <c r="D41" i="2"/>
  <c r="J50" i="1"/>
  <c r="H10" i="1"/>
  <c r="H23" i="1" s="1"/>
  <c r="G8" i="1"/>
  <c r="G10" i="1" s="1"/>
  <c r="F14" i="1"/>
  <c r="J29" i="1"/>
  <c r="J28" i="1"/>
  <c r="F8" i="1"/>
  <c r="F10" i="1" s="1"/>
  <c r="F23" i="1" s="1"/>
  <c r="E14" i="1"/>
  <c r="J10" i="1"/>
  <c r="D45" i="2"/>
  <c r="I42" i="1"/>
  <c r="D42" i="2"/>
  <c r="D46" i="2"/>
  <c r="E8" i="1"/>
  <c r="E10" i="1" s="1"/>
  <c r="E23" i="1" s="1"/>
  <c r="I50" i="1"/>
  <c r="H50" i="1"/>
  <c r="G50" i="1"/>
  <c r="F50" i="1"/>
  <c r="B8" i="1"/>
  <c r="B10" i="1" s="1"/>
  <c r="C8" i="1"/>
  <c r="D8" i="1"/>
  <c r="I29" i="1"/>
  <c r="I28" i="1"/>
  <c r="F29" i="1"/>
  <c r="F28" i="1"/>
  <c r="G29" i="1"/>
  <c r="G28" i="1"/>
  <c r="H29" i="1"/>
  <c r="H28" i="1"/>
  <c r="F28" i="2"/>
  <c r="G28" i="2" s="1"/>
  <c r="H28" i="2" s="1"/>
  <c r="I28" i="2" s="1"/>
  <c r="J28" i="2" s="1"/>
  <c r="K28" i="2" s="1"/>
  <c r="L28" i="2" s="1"/>
  <c r="M28" i="2" s="1"/>
  <c r="N28" i="2" s="1"/>
  <c r="O28" i="2" s="1"/>
  <c r="P28" i="2" s="1"/>
  <c r="Q28" i="2" s="1"/>
  <c r="R28" i="2" s="1"/>
  <c r="S28" i="2" s="1"/>
  <c r="T28" i="2" s="1"/>
  <c r="D9" i="2"/>
  <c r="E9" i="2" s="1"/>
  <c r="F9" i="2" s="1"/>
  <c r="G9" i="2" s="1"/>
  <c r="H9" i="2" s="1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L20" i="1" l="1"/>
  <c r="C15" i="2"/>
  <c r="C17" i="2" s="1"/>
  <c r="C30" i="2" s="1"/>
  <c r="I30" i="1"/>
  <c r="I41" i="1"/>
  <c r="F30" i="1"/>
  <c r="C21" i="2"/>
  <c r="B15" i="1"/>
  <c r="B24" i="1" s="1"/>
  <c r="J14" i="1"/>
  <c r="N31" i="1" s="1"/>
  <c r="I14" i="1"/>
  <c r="H30" i="1"/>
  <c r="I10" i="1"/>
  <c r="I23" i="1" s="1"/>
  <c r="M27" i="1"/>
  <c r="H27" i="1"/>
  <c r="J27" i="1"/>
  <c r="N27" i="1"/>
  <c r="D35" i="2"/>
  <c r="D40" i="2"/>
  <c r="D36" i="2"/>
  <c r="N15" i="1"/>
  <c r="N23" i="1"/>
  <c r="G15" i="1"/>
  <c r="G17" i="1" s="1"/>
  <c r="G23" i="1"/>
  <c r="D56" i="2"/>
  <c r="G30" i="1"/>
  <c r="D49" i="2"/>
  <c r="D48" i="2"/>
  <c r="E15" i="1"/>
  <c r="E24" i="1" s="1"/>
  <c r="C56" i="2"/>
  <c r="C36" i="2"/>
  <c r="B23" i="1"/>
  <c r="F27" i="1"/>
  <c r="I33" i="1"/>
  <c r="H31" i="1"/>
  <c r="C35" i="2"/>
  <c r="F31" i="1"/>
  <c r="L30" i="1"/>
  <c r="K23" i="1"/>
  <c r="H15" i="1"/>
  <c r="I27" i="1"/>
  <c r="D10" i="1"/>
  <c r="F15" i="1"/>
  <c r="C14" i="1"/>
  <c r="C34" i="2"/>
  <c r="K27" i="1"/>
  <c r="K14" i="1"/>
  <c r="K31" i="1" s="1"/>
  <c r="B17" i="2"/>
  <c r="J30" i="1"/>
  <c r="C6" i="2"/>
  <c r="C7" i="2" s="1"/>
  <c r="C10" i="1"/>
  <c r="J23" i="1"/>
  <c r="K30" i="1"/>
  <c r="G27" i="1"/>
  <c r="L31" i="1"/>
  <c r="J15" i="1" l="1"/>
  <c r="J17" i="1" s="1"/>
  <c r="D37" i="2"/>
  <c r="B17" i="1"/>
  <c r="B25" i="1" s="1"/>
  <c r="G24" i="1"/>
  <c r="J31" i="1"/>
  <c r="I15" i="1"/>
  <c r="I24" i="1" s="1"/>
  <c r="E21" i="2"/>
  <c r="E22" i="2" s="1"/>
  <c r="E24" i="2" s="1"/>
  <c r="M31" i="1"/>
  <c r="I31" i="1"/>
  <c r="N24" i="1"/>
  <c r="N17" i="1"/>
  <c r="J24" i="1"/>
  <c r="G31" i="1"/>
  <c r="E17" i="1"/>
  <c r="E25" i="1" s="1"/>
  <c r="G19" i="1"/>
  <c r="G25" i="1"/>
  <c r="L27" i="1"/>
  <c r="C15" i="1"/>
  <c r="C23" i="1"/>
  <c r="C22" i="2"/>
  <c r="J25" i="1"/>
  <c r="J19" i="1"/>
  <c r="F24" i="1"/>
  <c r="F17" i="1"/>
  <c r="D23" i="1"/>
  <c r="D15" i="1"/>
  <c r="B30" i="2"/>
  <c r="E36" i="2"/>
  <c r="H17" i="1"/>
  <c r="H24" i="1"/>
  <c r="D34" i="2"/>
  <c r="D17" i="2"/>
  <c r="C37" i="2"/>
  <c r="K15" i="1"/>
  <c r="D21" i="2"/>
  <c r="D38" i="2" s="1"/>
  <c r="B21" i="2"/>
  <c r="B19" i="1" l="1"/>
  <c r="I17" i="1"/>
  <c r="I19" i="1" s="1"/>
  <c r="E19" i="1"/>
  <c r="J20" i="1"/>
  <c r="N19" i="1"/>
  <c r="N25" i="1"/>
  <c r="E35" i="2"/>
  <c r="K17" i="1"/>
  <c r="K24" i="1"/>
  <c r="F36" i="2"/>
  <c r="B22" i="2"/>
  <c r="C31" i="2"/>
  <c r="C24" i="2"/>
  <c r="H19" i="1"/>
  <c r="H25" i="1"/>
  <c r="C38" i="2"/>
  <c r="L23" i="1"/>
  <c r="D24" i="1"/>
  <c r="D17" i="1"/>
  <c r="E20" i="1"/>
  <c r="B20" i="1"/>
  <c r="E37" i="2"/>
  <c r="D22" i="2"/>
  <c r="D30" i="2"/>
  <c r="F25" i="1"/>
  <c r="F19" i="1"/>
  <c r="C24" i="1"/>
  <c r="C17" i="1"/>
  <c r="G20" i="1"/>
  <c r="E38" i="2"/>
  <c r="P44" i="1" l="1"/>
  <c r="O44" i="1"/>
  <c r="I25" i="1"/>
  <c r="I20" i="1"/>
  <c r="N20" i="1"/>
  <c r="L24" i="1"/>
  <c r="F37" i="2"/>
  <c r="G21" i="2"/>
  <c r="F56" i="2"/>
  <c r="K25" i="1"/>
  <c r="K19" i="1"/>
  <c r="C26" i="2"/>
  <c r="C32" i="2"/>
  <c r="B31" i="2"/>
  <c r="B24" i="2"/>
  <c r="G36" i="2"/>
  <c r="E34" i="2"/>
  <c r="H20" i="1"/>
  <c r="C19" i="1"/>
  <c r="C25" i="1"/>
  <c r="D25" i="1"/>
  <c r="D19" i="1"/>
  <c r="F20" i="1"/>
  <c r="I44" i="1"/>
  <c r="D31" i="2"/>
  <c r="D24" i="2"/>
  <c r="F21" i="2"/>
  <c r="F38" i="2" s="1"/>
  <c r="O48" i="1" l="1"/>
  <c r="O45" i="1"/>
  <c r="O47" i="1"/>
  <c r="O46" i="1"/>
  <c r="P48" i="1"/>
  <c r="P45" i="1"/>
  <c r="P47" i="1"/>
  <c r="P46" i="1"/>
  <c r="K20" i="1"/>
  <c r="M44" i="1"/>
  <c r="L44" i="1"/>
  <c r="G38" i="2"/>
  <c r="G35" i="2"/>
  <c r="E30" i="2"/>
  <c r="G56" i="2"/>
  <c r="G37" i="2"/>
  <c r="H36" i="2"/>
  <c r="B32" i="2"/>
  <c r="B26" i="2"/>
  <c r="F34" i="2"/>
  <c r="D32" i="2"/>
  <c r="D26" i="2"/>
  <c r="I48" i="1"/>
  <c r="I47" i="1"/>
  <c r="I46" i="1"/>
  <c r="I45" i="1"/>
  <c r="D20" i="1"/>
  <c r="C20" i="1"/>
  <c r="L47" i="1" l="1"/>
  <c r="L45" i="1"/>
  <c r="L48" i="1"/>
  <c r="L46" i="1"/>
  <c r="M48" i="1"/>
  <c r="M47" i="1"/>
  <c r="M45" i="1"/>
  <c r="M46" i="1"/>
  <c r="F17" i="2"/>
  <c r="F16" i="2" s="1"/>
  <c r="H21" i="2"/>
  <c r="H38" i="2" s="1"/>
  <c r="D54" i="2"/>
  <c r="D53" i="2"/>
  <c r="D51" i="2"/>
  <c r="H35" i="2"/>
  <c r="G34" i="2"/>
  <c r="H56" i="2"/>
  <c r="L25" i="1"/>
  <c r="D27" i="2"/>
  <c r="D52" i="2"/>
  <c r="I36" i="2"/>
  <c r="E31" i="2"/>
  <c r="H37" i="2"/>
  <c r="P35" i="2" l="1"/>
  <c r="F22" i="2"/>
  <c r="F31" i="2" s="1"/>
  <c r="F30" i="2"/>
  <c r="G17" i="2" s="1"/>
  <c r="G22" i="2" s="1"/>
  <c r="I21" i="2"/>
  <c r="I38" i="2" s="1"/>
  <c r="J56" i="2"/>
  <c r="I35" i="2"/>
  <c r="E32" i="2"/>
  <c r="H34" i="2"/>
  <c r="J36" i="2"/>
  <c r="I37" i="2"/>
  <c r="I56" i="2"/>
  <c r="Q35" i="2" l="1"/>
  <c r="G16" i="2"/>
  <c r="G30" i="2"/>
  <c r="H17" i="2" s="1"/>
  <c r="H16" i="2" s="1"/>
  <c r="E26" i="2"/>
  <c r="N44" i="1"/>
  <c r="J35" i="2"/>
  <c r="I34" i="2"/>
  <c r="J37" i="2"/>
  <c r="J21" i="2"/>
  <c r="J38" i="2" s="1"/>
  <c r="K36" i="2"/>
  <c r="G31" i="2"/>
  <c r="R35" i="2" l="1"/>
  <c r="H30" i="2"/>
  <c r="I17" i="2" s="1"/>
  <c r="I16" i="2" s="1"/>
  <c r="H22" i="2"/>
  <c r="H31" i="2" s="1"/>
  <c r="N48" i="1"/>
  <c r="N47" i="1"/>
  <c r="E27" i="2"/>
  <c r="E51" i="2"/>
  <c r="E53" i="2"/>
  <c r="E52" i="2"/>
  <c r="E54" i="2"/>
  <c r="F23" i="2"/>
  <c r="F24" i="2" s="1"/>
  <c r="N46" i="1"/>
  <c r="N45" i="1"/>
  <c r="K35" i="2"/>
  <c r="L21" i="2"/>
  <c r="K37" i="2"/>
  <c r="J34" i="2"/>
  <c r="K21" i="2"/>
  <c r="K38" i="2" s="1"/>
  <c r="L36" i="2"/>
  <c r="S35" i="2" l="1"/>
  <c r="I30" i="2"/>
  <c r="J17" i="2" s="1"/>
  <c r="J16" i="2" s="1"/>
  <c r="I22" i="2"/>
  <c r="I31" i="2" s="1"/>
  <c r="L35" i="2"/>
  <c r="F32" i="2"/>
  <c r="K34" i="2"/>
  <c r="L38" i="2"/>
  <c r="M36" i="2"/>
  <c r="L37" i="2"/>
  <c r="T35" i="2" l="1"/>
  <c r="J30" i="2"/>
  <c r="K17" i="2" s="1"/>
  <c r="K22" i="2" s="1"/>
  <c r="J22" i="2"/>
  <c r="J31" i="2" s="1"/>
  <c r="F26" i="2"/>
  <c r="M35" i="2"/>
  <c r="L34" i="2"/>
  <c r="N36" i="2"/>
  <c r="K30" i="2"/>
  <c r="L17" i="2" s="1"/>
  <c r="K16" i="2"/>
  <c r="M37" i="2"/>
  <c r="M21" i="2"/>
  <c r="M38" i="2" s="1"/>
  <c r="F40" i="2" l="1"/>
  <c r="P36" i="2"/>
  <c r="F27" i="2"/>
  <c r="N35" i="2"/>
  <c r="L22" i="2"/>
  <c r="L30" i="2"/>
  <c r="M17" i="2" s="1"/>
  <c r="L16" i="2"/>
  <c r="N37" i="2"/>
  <c r="K31" i="2"/>
  <c r="N21" i="2"/>
  <c r="N38" i="2" s="1"/>
  <c r="O36" i="2"/>
  <c r="M34" i="2"/>
  <c r="O21" i="2" l="1"/>
  <c r="O38" i="2" s="1"/>
  <c r="P20" i="2"/>
  <c r="Q36" i="2"/>
  <c r="O35" i="2"/>
  <c r="M30" i="2"/>
  <c r="N17" i="2" s="1"/>
  <c r="N16" i="2" s="1"/>
  <c r="M22" i="2"/>
  <c r="M16" i="2"/>
  <c r="N34" i="2"/>
  <c r="P15" i="2"/>
  <c r="G23" i="2"/>
  <c r="G24" i="2" s="1"/>
  <c r="O37" i="2"/>
  <c r="L31" i="2"/>
  <c r="Q15" i="2" l="1"/>
  <c r="P34" i="2"/>
  <c r="P37" i="2"/>
  <c r="Q20" i="2"/>
  <c r="P21" i="2"/>
  <c r="P38" i="2"/>
  <c r="R36" i="2"/>
  <c r="G32" i="2"/>
  <c r="M31" i="2"/>
  <c r="O34" i="2"/>
  <c r="N22" i="2"/>
  <c r="N30" i="2"/>
  <c r="O17" i="2" s="1"/>
  <c r="Q34" i="2" l="1"/>
  <c r="R15" i="2"/>
  <c r="Q37" i="2"/>
  <c r="R20" i="2"/>
  <c r="Q21" i="2"/>
  <c r="S36" i="2"/>
  <c r="G26" i="2"/>
  <c r="O22" i="2"/>
  <c r="O30" i="2"/>
  <c r="P17" i="2" s="1"/>
  <c r="O16" i="2"/>
  <c r="N31" i="2"/>
  <c r="P30" i="2" l="1"/>
  <c r="Q17" i="2" s="1"/>
  <c r="P16" i="2"/>
  <c r="S15" i="2"/>
  <c r="R34" i="2"/>
  <c r="P22" i="2"/>
  <c r="P31" i="2" s="1"/>
  <c r="Q38" i="2"/>
  <c r="Q22" i="2"/>
  <c r="Q31" i="2" s="1"/>
  <c r="R37" i="2"/>
  <c r="S20" i="2"/>
  <c r="R21" i="2"/>
  <c r="T36" i="2"/>
  <c r="G27" i="2"/>
  <c r="G40" i="2"/>
  <c r="H23" i="2" s="1"/>
  <c r="H24" i="2" s="1"/>
  <c r="O31" i="2"/>
  <c r="S34" i="2" l="1"/>
  <c r="T15" i="2"/>
  <c r="Q30" i="2"/>
  <c r="R17" i="2" s="1"/>
  <c r="Q16" i="2"/>
  <c r="R38" i="2"/>
  <c r="R22" i="2"/>
  <c r="R31" i="2" s="1"/>
  <c r="T20" i="2"/>
  <c r="S37" i="2"/>
  <c r="S21" i="2"/>
  <c r="H32" i="2"/>
  <c r="R30" i="2" l="1"/>
  <c r="S17" i="2" s="1"/>
  <c r="R16" i="2"/>
  <c r="T34" i="2"/>
  <c r="S22" i="2"/>
  <c r="S31" i="2" s="1"/>
  <c r="S38" i="2"/>
  <c r="T37" i="2"/>
  <c r="T21" i="2"/>
  <c r="H26" i="2"/>
  <c r="S30" i="2" l="1"/>
  <c r="T17" i="2" s="1"/>
  <c r="T22" i="2" s="1"/>
  <c r="T31" i="2" s="1"/>
  <c r="S16" i="2"/>
  <c r="T38" i="2"/>
  <c r="H40" i="2"/>
  <c r="I23" i="2" s="1"/>
  <c r="I24" i="2" s="1"/>
  <c r="I25" i="2" s="1"/>
  <c r="H27" i="2"/>
  <c r="T30" i="2" l="1"/>
  <c r="T16" i="2"/>
  <c r="I32" i="2"/>
  <c r="I26" i="2" l="1"/>
  <c r="I27" i="2" l="1"/>
  <c r="I40" i="2"/>
  <c r="J23" i="2" s="1"/>
  <c r="J24" i="2" s="1"/>
  <c r="J25" i="2" s="1"/>
  <c r="J32" i="2" l="1"/>
  <c r="J26" i="2" l="1"/>
  <c r="J40" i="2"/>
  <c r="J27" i="2" l="1"/>
  <c r="K23" i="2"/>
  <c r="K24" i="2" s="1"/>
  <c r="K25" i="2" s="1"/>
  <c r="K32" i="2" l="1"/>
  <c r="K26" i="2" l="1"/>
  <c r="K27" i="2" s="1"/>
  <c r="K40" i="2" l="1"/>
  <c r="L23" i="2"/>
  <c r="L24" i="2" s="1"/>
  <c r="L25" i="2" s="1"/>
  <c r="L32" i="2" l="1"/>
  <c r="L26" i="2" l="1"/>
  <c r="L27" i="2" l="1"/>
  <c r="L40" i="2"/>
  <c r="M23" i="2" l="1"/>
  <c r="M24" i="2" s="1"/>
  <c r="M25" i="2" s="1"/>
  <c r="M32" i="2" l="1"/>
  <c r="M26" i="2" l="1"/>
  <c r="M27" i="2"/>
  <c r="M40" i="2"/>
  <c r="N23" i="2" l="1"/>
  <c r="N24" i="2" s="1"/>
  <c r="N25" i="2" s="1"/>
  <c r="N32" i="2" l="1"/>
  <c r="N26" i="2" l="1"/>
  <c r="N27" i="2" s="1"/>
  <c r="N40" i="2"/>
  <c r="O23" i="2" l="1"/>
  <c r="O24" i="2" s="1"/>
  <c r="O25" i="2" s="1"/>
  <c r="O32" i="2" l="1"/>
  <c r="O26" i="2" l="1"/>
  <c r="O27" i="2" l="1"/>
  <c r="O40" i="2"/>
  <c r="P23" i="2" l="1"/>
  <c r="P24" i="2" s="1"/>
  <c r="P25" i="2" s="1"/>
  <c r="P32" i="2" l="1"/>
  <c r="P26" i="2" l="1"/>
  <c r="P27" i="2"/>
  <c r="P40" i="2"/>
  <c r="Q23" i="2" l="1"/>
  <c r="Q24" i="2" s="1"/>
  <c r="Q25" i="2" s="1"/>
  <c r="Q32" i="2" l="1"/>
  <c r="Q26" i="2" l="1"/>
  <c r="Q27" i="2" l="1"/>
  <c r="Q40" i="2"/>
  <c r="R23" i="2" l="1"/>
  <c r="R24" i="2" s="1"/>
  <c r="R25" i="2" s="1"/>
  <c r="R32" i="2" l="1"/>
  <c r="R26" i="2"/>
  <c r="R27" i="2" l="1"/>
  <c r="R40" i="2"/>
  <c r="S23" i="2" l="1"/>
  <c r="S24" i="2" s="1"/>
  <c r="S25" i="2" s="1"/>
  <c r="S32" i="2" l="1"/>
  <c r="S26" i="2"/>
  <c r="S27" i="2" l="1"/>
  <c r="S40" i="2"/>
  <c r="T23" i="2" l="1"/>
  <c r="T24" i="2" s="1"/>
  <c r="T25" i="2" s="1"/>
  <c r="T32" i="2" l="1"/>
  <c r="T26" i="2" l="1"/>
  <c r="T27" i="2"/>
  <c r="U26" i="2"/>
  <c r="V26" i="2" s="1"/>
  <c r="W26" i="2" s="1"/>
  <c r="X26" i="2" s="1"/>
  <c r="Y26" i="2" s="1"/>
  <c r="Z26" i="2" s="1"/>
  <c r="AA26" i="2" s="1"/>
  <c r="AB26" i="2" s="1"/>
  <c r="AC26" i="2" s="1"/>
  <c r="AD26" i="2" s="1"/>
  <c r="AE26" i="2" s="1"/>
  <c r="AF26" i="2" s="1"/>
  <c r="AG26" i="2" s="1"/>
  <c r="AH26" i="2" s="1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BJ26" i="2" s="1"/>
  <c r="BK26" i="2" s="1"/>
  <c r="BL26" i="2" s="1"/>
  <c r="BM26" i="2" s="1"/>
  <c r="BN26" i="2" s="1"/>
  <c r="BO26" i="2" s="1"/>
  <c r="BP26" i="2" s="1"/>
  <c r="BQ26" i="2" s="1"/>
  <c r="BR26" i="2" s="1"/>
  <c r="BS26" i="2" s="1"/>
  <c r="BT26" i="2" s="1"/>
  <c r="BU26" i="2" s="1"/>
  <c r="BV26" i="2" s="1"/>
  <c r="BW26" i="2" s="1"/>
  <c r="BX26" i="2" s="1"/>
  <c r="BY26" i="2" s="1"/>
  <c r="BZ26" i="2" s="1"/>
  <c r="CA26" i="2" s="1"/>
  <c r="CB26" i="2" s="1"/>
  <c r="CC26" i="2" s="1"/>
  <c r="CD26" i="2" s="1"/>
  <c r="CE26" i="2" s="1"/>
  <c r="CF26" i="2" s="1"/>
  <c r="CG26" i="2" s="1"/>
  <c r="CH26" i="2" s="1"/>
  <c r="CI26" i="2" s="1"/>
  <c r="CJ26" i="2" s="1"/>
  <c r="CK26" i="2" s="1"/>
  <c r="CL26" i="2" s="1"/>
  <c r="CM26" i="2" s="1"/>
  <c r="CN26" i="2" s="1"/>
  <c r="CO26" i="2" s="1"/>
  <c r="CP26" i="2" s="1"/>
  <c r="CQ26" i="2" s="1"/>
  <c r="CR26" i="2" s="1"/>
  <c r="CS26" i="2" s="1"/>
  <c r="CT26" i="2" s="1"/>
  <c r="CU26" i="2" s="1"/>
  <c r="CV26" i="2" s="1"/>
  <c r="CW26" i="2" s="1"/>
  <c r="CX26" i="2" s="1"/>
  <c r="CY26" i="2" s="1"/>
  <c r="CZ26" i="2" s="1"/>
  <c r="DA26" i="2" s="1"/>
  <c r="DB26" i="2" s="1"/>
  <c r="DC26" i="2" s="1"/>
  <c r="DD26" i="2" s="1"/>
  <c r="DE26" i="2" s="1"/>
  <c r="DF26" i="2" s="1"/>
  <c r="DG26" i="2" s="1"/>
  <c r="DH26" i="2" s="1"/>
  <c r="DI26" i="2" s="1"/>
  <c r="DJ26" i="2" s="1"/>
  <c r="DK26" i="2" s="1"/>
  <c r="DL26" i="2" s="1"/>
  <c r="DM26" i="2" s="1"/>
  <c r="DN26" i="2" s="1"/>
  <c r="DO26" i="2" s="1"/>
  <c r="DP26" i="2" s="1"/>
  <c r="DQ26" i="2" s="1"/>
  <c r="DR26" i="2" s="1"/>
  <c r="DS26" i="2" s="1"/>
  <c r="DT26" i="2" s="1"/>
  <c r="DU26" i="2" s="1"/>
  <c r="DV26" i="2" s="1"/>
  <c r="DW26" i="2" s="1"/>
  <c r="DX26" i="2" s="1"/>
  <c r="DY26" i="2" s="1"/>
  <c r="DZ26" i="2" s="1"/>
  <c r="EA26" i="2" s="1"/>
  <c r="EB26" i="2" s="1"/>
  <c r="EC26" i="2" s="1"/>
  <c r="ED26" i="2" s="1"/>
  <c r="EE26" i="2" s="1"/>
  <c r="EF26" i="2" s="1"/>
  <c r="EG26" i="2" s="1"/>
  <c r="EH26" i="2" s="1"/>
  <c r="EI26" i="2" s="1"/>
  <c r="EJ26" i="2" s="1"/>
  <c r="EK26" i="2" s="1"/>
  <c r="EL26" i="2" s="1"/>
  <c r="EM26" i="2" s="1"/>
  <c r="EN26" i="2" s="1"/>
  <c r="EO26" i="2" s="1"/>
  <c r="EP26" i="2" s="1"/>
  <c r="EQ26" i="2" s="1"/>
  <c r="ER26" i="2" s="1"/>
  <c r="ES26" i="2" s="1"/>
  <c r="ET26" i="2" s="1"/>
  <c r="EU26" i="2" s="1"/>
  <c r="EV26" i="2" s="1"/>
  <c r="EW26" i="2" s="1"/>
  <c r="EX26" i="2" s="1"/>
  <c r="EY26" i="2" s="1"/>
  <c r="EZ26" i="2" s="1"/>
  <c r="FA26" i="2" s="1"/>
  <c r="FB26" i="2" s="1"/>
  <c r="FC26" i="2" s="1"/>
  <c r="FD26" i="2" s="1"/>
  <c r="FE26" i="2" s="1"/>
  <c r="FF26" i="2" s="1"/>
  <c r="FG26" i="2" s="1"/>
  <c r="FH26" i="2" s="1"/>
  <c r="FI26" i="2" s="1"/>
  <c r="FJ26" i="2" s="1"/>
  <c r="FK26" i="2" s="1"/>
  <c r="FL26" i="2" s="1"/>
  <c r="FM26" i="2" s="1"/>
  <c r="FN26" i="2" s="1"/>
  <c r="FO26" i="2" s="1"/>
  <c r="FP26" i="2" s="1"/>
  <c r="FQ26" i="2" s="1"/>
  <c r="FR26" i="2" s="1"/>
  <c r="FS26" i="2" s="1"/>
  <c r="FT26" i="2" s="1"/>
  <c r="FU26" i="2" s="1"/>
  <c r="FV26" i="2" s="1"/>
  <c r="FW26" i="2" s="1"/>
  <c r="FX26" i="2" s="1"/>
  <c r="FY26" i="2" s="1"/>
  <c r="FZ26" i="2" s="1"/>
  <c r="GA26" i="2" s="1"/>
  <c r="GB26" i="2" s="1"/>
  <c r="GC26" i="2" s="1"/>
  <c r="GD26" i="2" s="1"/>
  <c r="GE26" i="2" s="1"/>
  <c r="GF26" i="2" s="1"/>
  <c r="GG26" i="2" s="1"/>
  <c r="GH26" i="2" s="1"/>
  <c r="GI26" i="2" s="1"/>
  <c r="GJ26" i="2" s="1"/>
  <c r="GK26" i="2" s="1"/>
  <c r="GL26" i="2" s="1"/>
  <c r="GM26" i="2" s="1"/>
  <c r="GN26" i="2" s="1"/>
  <c r="GO26" i="2" s="1"/>
  <c r="GP26" i="2" s="1"/>
  <c r="GQ26" i="2" s="1"/>
  <c r="F5" i="2" s="1"/>
  <c r="T40" i="2"/>
  <c r="F6" i="2" l="1"/>
  <c r="F7" i="2" s="1"/>
  <c r="G7" i="2" s="1"/>
</calcChain>
</file>

<file path=xl/sharedStrings.xml><?xml version="1.0" encoding="utf-8"?>
<sst xmlns="http://schemas.openxmlformats.org/spreadsheetml/2006/main" count="129" uniqueCount="84">
  <si>
    <t>Q117</t>
  </si>
  <si>
    <t>Q217</t>
  </si>
  <si>
    <t>Q317</t>
  </si>
  <si>
    <t>Q417</t>
  </si>
  <si>
    <t>Revenue</t>
  </si>
  <si>
    <t>COGS</t>
  </si>
  <si>
    <t>Gross Profit</t>
  </si>
  <si>
    <t>R&amp;D</t>
  </si>
  <si>
    <t>S&amp;M</t>
  </si>
  <si>
    <t>G&amp;A</t>
  </si>
  <si>
    <t>Operating Expenses</t>
  </si>
  <si>
    <t>Operating Income</t>
  </si>
  <si>
    <t>Interest Income</t>
  </si>
  <si>
    <t>Pretax Income</t>
  </si>
  <si>
    <t>Taxes</t>
  </si>
  <si>
    <t>Net Income</t>
  </si>
  <si>
    <t>EPS</t>
  </si>
  <si>
    <t>Shares</t>
  </si>
  <si>
    <t>Revenue y/y</t>
  </si>
  <si>
    <t>Gross Margin</t>
  </si>
  <si>
    <t>Operating Margin</t>
  </si>
  <si>
    <t>Tax Rate</t>
  </si>
  <si>
    <t>Net Cash</t>
  </si>
  <si>
    <t>Cash</t>
  </si>
  <si>
    <t>Debt</t>
  </si>
  <si>
    <t>Maturity</t>
  </si>
  <si>
    <t>ROIC</t>
  </si>
  <si>
    <t>Discount</t>
  </si>
  <si>
    <t>NPV</t>
  </si>
  <si>
    <t>Value</t>
  </si>
  <si>
    <t>Q118</t>
  </si>
  <si>
    <t>Q218</t>
  </si>
  <si>
    <t>Q318</t>
  </si>
  <si>
    <t>Q418</t>
  </si>
  <si>
    <t>R&amp;D y/y</t>
  </si>
  <si>
    <t>S&amp;M y/y</t>
  </si>
  <si>
    <t>G&amp;A y/y</t>
  </si>
  <si>
    <t>EDGAR</t>
  </si>
  <si>
    <t>CEO</t>
  </si>
  <si>
    <t>Founder</t>
  </si>
  <si>
    <t>Price</t>
  </si>
  <si>
    <t>Market Cap</t>
  </si>
  <si>
    <t>EV</t>
  </si>
  <si>
    <t>per share</t>
  </si>
  <si>
    <t>Q119</t>
  </si>
  <si>
    <t>Q219</t>
  </si>
  <si>
    <t>Q319</t>
  </si>
  <si>
    <t>Q419</t>
  </si>
  <si>
    <t>Intangibles</t>
  </si>
  <si>
    <t>Total assets</t>
  </si>
  <si>
    <t>Total liabilities</t>
  </si>
  <si>
    <t>TWC</t>
  </si>
  <si>
    <t>Equity</t>
  </si>
  <si>
    <t>NI 12M</t>
  </si>
  <si>
    <t>ROE</t>
  </si>
  <si>
    <t>ROA</t>
  </si>
  <si>
    <t>ROTB</t>
  </si>
  <si>
    <t>ROTWC</t>
  </si>
  <si>
    <t>Investor Relations</t>
  </si>
  <si>
    <t>Expected return on invested capital (innovation grade)</t>
  </si>
  <si>
    <t>ARPU</t>
  </si>
  <si>
    <t>ARPU y/y</t>
  </si>
  <si>
    <t>Subscription</t>
  </si>
  <si>
    <t>Subscription y/y</t>
  </si>
  <si>
    <t>Operating Expenses y/y</t>
  </si>
  <si>
    <t>Q120</t>
  </si>
  <si>
    <t>Q221</t>
  </si>
  <si>
    <t>Q321</t>
  </si>
  <si>
    <t>Q420</t>
  </si>
  <si>
    <t>Risk-free rate + market premium (opportunity cost)</t>
  </si>
  <si>
    <t>http://www.worldgovernmentbonds.com/country/united-states/</t>
  </si>
  <si>
    <t>Net present value on future net income (terminal value)</t>
  </si>
  <si>
    <t>Products</t>
  </si>
  <si>
    <t>2019-09-31</t>
  </si>
  <si>
    <t>2018-09-31</t>
  </si>
  <si>
    <t>2017-09-31</t>
  </si>
  <si>
    <t>Cloudflare Inc (NET)</t>
  </si>
  <si>
    <t>Matthew Prince</t>
  </si>
  <si>
    <t>Cloudflare.com</t>
  </si>
  <si>
    <t>Security and threat management platform</t>
  </si>
  <si>
    <t>https://www.cloudflare.com/</t>
  </si>
  <si>
    <t>Paying customers</t>
  </si>
  <si>
    <t>Paying customers y/y</t>
  </si>
  <si>
    <t>Q320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</si>
</sst>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_ ;[Red]\-#,##0\ "/>
    <numFmt numFmtId="165" formatCode="0.0%"/>
    <numFmt numFmtId="166" formatCode="#,##0.000"/>
  </numFmts>
  <fonts count="8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2">
    <xf numFmtId="0" fontId="0" fillId="0" borderId="0" xfId="0"/>
    <xf numFmtId="0" fontId="4" fillId="0" borderId="0" xfId="4" applyFont="1" applyBorder="1"/>
    <xf numFmtId="0" fontId="5" fillId="0" borderId="0" xfId="0" applyFont="1"/>
    <xf numFmtId="0" fontId="6" fillId="0" borderId="0" xfId="0" applyFont="1"/>
    <xf numFmtId="4" fontId="6" fillId="0" borderId="0" xfId="0" applyNumberFormat="1" applyFont="1" applyBorder="1"/>
    <xf numFmtId="0" fontId="7" fillId="0" borderId="0" xfId="0" applyFont="1"/>
    <xf numFmtId="0" fontId="6" fillId="0" borderId="0" xfId="0" applyFont="1" applyBorder="1"/>
    <xf numFmtId="10" fontId="6" fillId="0" borderId="0" xfId="0" applyNumberFormat="1" applyFont="1"/>
    <xf numFmtId="3" fontId="6" fillId="0" borderId="0" xfId="0" applyNumberFormat="1" applyFont="1" applyBorder="1"/>
    <xf numFmtId="0" fontId="4" fillId="0" borderId="0" xfId="4" applyFont="1"/>
    <xf numFmtId="3" fontId="6" fillId="2" borderId="0" xfId="0" applyNumberFormat="1" applyFont="1" applyFill="1" applyBorder="1"/>
    <xf numFmtId="164" fontId="6" fillId="2" borderId="0" xfId="0" applyNumberFormat="1" applyFont="1" applyFill="1"/>
    <xf numFmtId="0" fontId="5" fillId="0" borderId="0" xfId="0" applyFont="1" applyBorder="1"/>
    <xf numFmtId="164" fontId="5" fillId="2" borderId="0" xfId="0" applyNumberFormat="1" applyFont="1" applyFill="1"/>
    <xf numFmtId="0" fontId="7" fillId="0" borderId="0" xfId="0" applyFont="1" applyBorder="1"/>
    <xf numFmtId="164" fontId="6" fillId="0" borderId="0" xfId="0" applyNumberFormat="1" applyFont="1"/>
    <xf numFmtId="3" fontId="6" fillId="0" borderId="0" xfId="0" applyNumberFormat="1" applyFont="1"/>
    <xf numFmtId="3" fontId="5" fillId="0" borderId="0" xfId="0" applyNumberFormat="1" applyFont="1" applyBorder="1"/>
    <xf numFmtId="9" fontId="6" fillId="0" borderId="0" xfId="0" applyNumberFormat="1" applyFont="1" applyBorder="1"/>
    <xf numFmtId="0" fontId="6" fillId="0" borderId="0" xfId="0" applyFont="1" applyFill="1" applyBorder="1"/>
    <xf numFmtId="9" fontId="6" fillId="0" borderId="0" xfId="0" applyNumberFormat="1" applyFont="1"/>
    <xf numFmtId="0" fontId="6" fillId="0" borderId="0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6" fillId="0" borderId="0" xfId="0" applyNumberFormat="1" applyFont="1" applyBorder="1" applyAlignment="1">
      <alignment horizontal="right"/>
    </xf>
    <xf numFmtId="0" fontId="5" fillId="0" borderId="0" xfId="0" applyFont="1" applyFill="1" applyBorder="1"/>
    <xf numFmtId="3" fontId="5" fillId="2" borderId="0" xfId="0" applyNumberFormat="1" applyFont="1" applyFill="1" applyBorder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0" fontId="5" fillId="0" borderId="0" xfId="0" applyFont="1" applyBorder="1" applyAlignment="1">
      <alignment horizontal="right"/>
    </xf>
    <xf numFmtId="3" fontId="6" fillId="2" borderId="0" xfId="0" applyNumberFormat="1" applyFont="1" applyFill="1" applyBorder="1" applyAlignment="1">
      <alignment horizontal="right"/>
    </xf>
    <xf numFmtId="3" fontId="6" fillId="2" borderId="1" xfId="0" applyNumberFormat="1" applyFont="1" applyFill="1" applyBorder="1" applyAlignment="1">
      <alignment horizontal="right"/>
    </xf>
    <xf numFmtId="2" fontId="6" fillId="2" borderId="0" xfId="0" applyNumberFormat="1" applyFont="1" applyFill="1" applyBorder="1" applyAlignment="1">
      <alignment horizontal="right"/>
    </xf>
    <xf numFmtId="2" fontId="6" fillId="2" borderId="1" xfId="0" applyNumberFormat="1" applyFont="1" applyFill="1" applyBorder="1" applyAlignment="1">
      <alignment horizontal="right"/>
    </xf>
    <xf numFmtId="9" fontId="5" fillId="0" borderId="0" xfId="1" applyNumberFormat="1" applyFont="1" applyBorder="1" applyAlignment="1">
      <alignment horizontal="right"/>
    </xf>
    <xf numFmtId="9" fontId="5" fillId="0" borderId="1" xfId="1" applyNumberFormat="1" applyFont="1" applyBorder="1" applyAlignment="1">
      <alignment horizontal="right"/>
    </xf>
    <xf numFmtId="9" fontId="6" fillId="0" borderId="0" xfId="1" applyNumberFormat="1" applyFont="1" applyBorder="1" applyAlignment="1">
      <alignment horizontal="right"/>
    </xf>
    <xf numFmtId="9" fontId="6" fillId="0" borderId="1" xfId="1" applyNumberFormat="1" applyFont="1" applyBorder="1" applyAlignment="1">
      <alignment horizontal="right"/>
    </xf>
    <xf numFmtId="9" fontId="6" fillId="0" borderId="0" xfId="0" applyNumberFormat="1" applyFont="1" applyBorder="1" applyAlignment="1">
      <alignment horizontal="right"/>
    </xf>
    <xf numFmtId="9" fontId="6" fillId="0" borderId="1" xfId="0" applyNumberFormat="1" applyFont="1" applyBorder="1" applyAlignment="1">
      <alignment horizontal="right"/>
    </xf>
    <xf numFmtId="9" fontId="6" fillId="0" borderId="0" xfId="1" applyFont="1" applyBorder="1" applyAlignment="1">
      <alignment horizontal="right"/>
    </xf>
    <xf numFmtId="9" fontId="6" fillId="0" borderId="1" xfId="1" applyFont="1" applyBorder="1" applyAlignment="1">
      <alignment horizontal="right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3" fontId="7" fillId="0" borderId="0" xfId="0" applyNumberFormat="1" applyFont="1" applyBorder="1" applyAlignment="1">
      <alignment horizontal="right"/>
    </xf>
    <xf numFmtId="3" fontId="7" fillId="0" borderId="1" xfId="0" applyNumberFormat="1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4" fontId="6" fillId="2" borderId="0" xfId="0" applyNumberFormat="1" applyFont="1" applyFill="1"/>
    <xf numFmtId="4" fontId="6" fillId="2" borderId="0" xfId="0" applyNumberFormat="1" applyFont="1" applyFill="1" applyBorder="1"/>
    <xf numFmtId="9" fontId="7" fillId="0" borderId="0" xfId="0" applyNumberFormat="1" applyFont="1" applyBorder="1" applyAlignment="1">
      <alignment horizontal="right"/>
    </xf>
    <xf numFmtId="9" fontId="7" fillId="0" borderId="1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9" fontId="5" fillId="0" borderId="0" xfId="1" applyFont="1" applyBorder="1" applyAlignment="1">
      <alignment horizontal="right"/>
    </xf>
    <xf numFmtId="3" fontId="5" fillId="0" borderId="0" xfId="0" applyNumberFormat="1" applyFont="1" applyFill="1" applyBorder="1" applyAlignment="1">
      <alignment horizontal="right"/>
    </xf>
    <xf numFmtId="3" fontId="6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Alignment="1">
      <alignment horizontal="right"/>
    </xf>
    <xf numFmtId="3" fontId="6" fillId="0" borderId="0" xfId="0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/>
    </xf>
    <xf numFmtId="9" fontId="6" fillId="0" borderId="0" xfId="0" applyNumberFormat="1" applyFont="1" applyAlignment="1">
      <alignment horizontal="right"/>
    </xf>
    <xf numFmtId="2" fontId="6" fillId="0" borderId="0" xfId="0" applyNumberFormat="1" applyFont="1" applyFill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4" fillId="0" borderId="0" xfId="4" applyBorder="1"/>
    <xf numFmtId="14" fontId="6" fillId="0" borderId="1" xfId="0" applyNumberFormat="1" applyFont="1" applyBorder="1" applyAlignment="1">
      <alignment horizontal="right"/>
    </xf>
    <xf numFmtId="3" fontId="0" fillId="0" borderId="0" xfId="0" applyNumberFormat="1" applyFont="1" applyBorder="1"/>
    <xf numFmtId="14" fontId="6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1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4"/>
    <xf numFmtId="0" fontId="0" fillId="0" borderId="0" xfId="0" applyFont="1"/>
    <xf numFmtId="3" fontId="0" fillId="0" borderId="0" xfId="0" applyNumberFormat="1" applyFont="1" applyBorder="1" applyAlignment="1">
      <alignment horizontal="right"/>
    </xf>
    <xf numFmtId="3" fontId="0" fillId="0" borderId="1" xfId="0" applyNumberFormat="1" applyFont="1" applyBorder="1" applyAlignment="1">
      <alignment horizontal="right"/>
    </xf>
    <xf numFmtId="0" fontId="0" fillId="0" borderId="0" xfId="0" applyFont="1" applyAlignment="1">
      <alignment horizontal="right"/>
    </xf>
    <xf numFmtId="3" fontId="0" fillId="0" borderId="0" xfId="0" applyNumberFormat="1" applyFont="1" applyAlignment="1">
      <alignment horizontal="right"/>
    </xf>
    <xf numFmtId="166" fontId="6" fillId="0" borderId="0" xfId="0" applyNumberFormat="1" applyFont="1" applyBorder="1" applyAlignment="1">
      <alignment horizontal="right"/>
    </xf>
    <xf numFmtId="166" fontId="6" fillId="0" borderId="0" xfId="0" applyNumberFormat="1" applyFont="1" applyBorder="1"/>
    <xf numFmtId="166" fontId="6" fillId="0" borderId="1" xfId="0" applyNumberFormat="1" applyFont="1" applyBorder="1" applyAlignment="1">
      <alignment horizontal="right"/>
    </xf>
    <xf numFmtId="3" fontId="0" fillId="2" borderId="0" xfId="0" applyNumberFormat="1" applyFont="1" applyFill="1" applyBorder="1" applyAlignment="1">
      <alignment horizontal="right"/>
    </xf>
    <xf numFmtId="3" fontId="0" fillId="2" borderId="1" xfId="0" applyNumberFormat="1" applyFont="1" applyFill="1" applyBorder="1" applyAlignment="1">
      <alignment horizontal="right"/>
    </xf>
    <xf numFmtId="166" fontId="0" fillId="0" borderId="0" xfId="0" applyNumberFormat="1" applyFont="1"/>
    <xf numFmtId="166" fontId="0" fillId="0" borderId="0" xfId="0" applyNumberFormat="1" applyFont="1" applyBorder="1" applyAlignment="1">
      <alignment horizontal="right"/>
    </xf>
    <xf numFmtId="166" fontId="0" fillId="0" borderId="0" xfId="0" applyNumberFormat="1" applyFont="1" applyAlignment="1">
      <alignment horizontal="right"/>
    </xf>
  </cellXfs>
  <cellStyles count="5">
    <cellStyle name="Followed Hyperlink" xfId="3" builtinId="9" hidden="1"/>
    <cellStyle name="Hyperlink" xfId="2" builtinId="8" hidden="1"/>
    <cellStyle name="Hyperlink" xfId="4" builtinId="8" customBuiltin="1"/>
    <cellStyle name="Normal" xfId="0" builtinId="0" customBuiltin="1"/>
    <cellStyle name="Per 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165100</xdr:colOff>
      <xdr:row>7</xdr:row>
      <xdr:rowOff>152400</xdr:rowOff>
    </xdr:from>
    <xdr:to>
      <xdr:col>5</xdr:col>
      <xdr:colOff>165100</xdr:colOff>
      <xdr:row>60</xdr:row>
      <xdr:rowOff>12700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5016500" y="1308100"/>
          <a:ext cx="0" cy="943610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238990</xdr:colOff>
      <xdr:row>0</xdr:row>
      <xdr:rowOff>152400</xdr:rowOff>
    </xdr:from>
    <xdr:to>
      <xdr:col>16</xdr:col>
      <xdr:colOff>238990</xdr:colOff>
      <xdr:row>53</xdr:row>
      <xdr:rowOff>150091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CxnSpPr/>
      </xdr:nvCxnSpPr>
      <xdr:spPr>
        <a:xfrm>
          <a:off x="14255172" y="152400"/>
          <a:ext cx="0" cy="8564418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in/mprince/" TargetMode="External"/><Relationship Id="rId2" Type="http://schemas.openxmlformats.org/officeDocument/2006/relationships/hyperlink" Target="http://www.worldgovernmentbonds.com/country/united-states/" TargetMode="External"/><Relationship Id="rId1" Type="http://schemas.openxmlformats.org/officeDocument/2006/relationships/hyperlink" Target="https://cloudflare.net/home/default.aspx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www.linkedin.com/in/mprinc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www.sec.gov/cgi-bin/browse-edgar?company=cloudflare&amp;owner=exclude&amp;action=getcompan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fl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Q59"/>
  <sheetViews>
    <sheetView tabSelected="1" zoomScale="110" zoomScaleNormal="110" workbookViewId="0">
      <pane xSplit="1" ySplit="9" topLeftCell="B10" activePane="bottomRight" state="frozen"/>
      <selection pane="topRight" activeCell="B1" sqref="B1"/>
      <selection pane="bottomLeft" activeCell="A11" sqref="A11"/>
      <selection pane="bottomRight" activeCell="F38" sqref="F38"/>
    </sheetView>
  </sheetViews>
  <sheetFormatPr baseColWidth="10" defaultRowHeight="13" x14ac:dyDescent="0.15"/>
  <cols>
    <col min="1" max="1" width="20.33203125" style="3" customWidth="1"/>
    <col min="2" max="16384" width="10.83203125" style="3"/>
  </cols>
  <sheetData>
    <row r="1" spans="1:116" x14ac:dyDescent="0.15">
      <c r="A1" s="61" t="s">
        <v>58</v>
      </c>
      <c r="B1" s="2" t="s">
        <v>76</v>
      </c>
    </row>
    <row r="2" spans="1:116" x14ac:dyDescent="0.15">
      <c r="B2" s="3" t="s">
        <v>40</v>
      </c>
      <c r="C2" s="4">
        <v>76.66</v>
      </c>
      <c r="D2" s="66">
        <v>44225</v>
      </c>
      <c r="E2" s="6" t="s">
        <v>25</v>
      </c>
      <c r="F2" s="7">
        <v>5.0000000000000001E-3</v>
      </c>
      <c r="I2" s="16"/>
      <c r="L2" s="2"/>
    </row>
    <row r="3" spans="1:116" x14ac:dyDescent="0.15">
      <c r="A3" s="2" t="s">
        <v>38</v>
      </c>
      <c r="B3" s="3" t="s">
        <v>17</v>
      </c>
      <c r="C3" s="8">
        <f>Reports!P21</f>
        <v>301.68900000000002</v>
      </c>
      <c r="D3" s="67" t="s">
        <v>83</v>
      </c>
      <c r="E3" s="6" t="s">
        <v>26</v>
      </c>
      <c r="F3" s="7">
        <v>0.02</v>
      </c>
      <c r="G3" s="5" t="s">
        <v>59</v>
      </c>
      <c r="I3" s="16"/>
    </row>
    <row r="4" spans="1:116" x14ac:dyDescent="0.15">
      <c r="A4" s="68" t="s">
        <v>77</v>
      </c>
      <c r="B4" s="3" t="s">
        <v>41</v>
      </c>
      <c r="C4" s="10">
        <f>C2*C3</f>
        <v>23127.478740000002</v>
      </c>
      <c r="D4" s="67"/>
      <c r="E4" s="6" t="s">
        <v>27</v>
      </c>
      <c r="F4" s="7">
        <v>0.06</v>
      </c>
      <c r="G4" s="5" t="s">
        <v>69</v>
      </c>
      <c r="I4" s="20"/>
      <c r="L4" s="9" t="s">
        <v>70</v>
      </c>
    </row>
    <row r="5" spans="1:116" x14ac:dyDescent="0.15">
      <c r="B5" s="3" t="s">
        <v>22</v>
      </c>
      <c r="C5" s="8">
        <f>Reports!P33</f>
        <v>676</v>
      </c>
      <c r="D5" s="67" t="s">
        <v>83</v>
      </c>
      <c r="E5" s="6" t="s">
        <v>28</v>
      </c>
      <c r="F5" s="11">
        <f>NPV(F4,F26:GQ26)</f>
        <v>29876.552008743143</v>
      </c>
      <c r="G5" s="5" t="s">
        <v>71</v>
      </c>
      <c r="I5" s="20"/>
    </row>
    <row r="6" spans="1:116" x14ac:dyDescent="0.15">
      <c r="A6" s="2" t="s">
        <v>39</v>
      </c>
      <c r="B6" s="3" t="s">
        <v>42</v>
      </c>
      <c r="C6" s="10">
        <f>C4-C5</f>
        <v>22451.478740000002</v>
      </c>
      <c r="D6" s="67"/>
      <c r="E6" s="12" t="s">
        <v>29</v>
      </c>
      <c r="F6" s="13">
        <f>F5+C5</f>
        <v>30552.552008743143</v>
      </c>
      <c r="I6" s="20"/>
    </row>
    <row r="7" spans="1:116" x14ac:dyDescent="0.15">
      <c r="A7" s="68" t="s">
        <v>77</v>
      </c>
      <c r="B7" s="5" t="s">
        <v>43</v>
      </c>
      <c r="C7" s="47">
        <f>C6/C3</f>
        <v>74.419281909516087</v>
      </c>
      <c r="D7" s="67"/>
      <c r="E7" s="14" t="s">
        <v>43</v>
      </c>
      <c r="F7" s="46">
        <f>F6/C3</f>
        <v>101.27168046810836</v>
      </c>
      <c r="G7" s="20">
        <f>F7/C2-1</f>
        <v>0.32104983652632879</v>
      </c>
    </row>
    <row r="8" spans="1:116" x14ac:dyDescent="0.15">
      <c r="A8" s="9"/>
      <c r="D8" s="6"/>
      <c r="E8" s="15"/>
    </row>
    <row r="9" spans="1:116" x14ac:dyDescent="0.15">
      <c r="B9" s="42">
        <v>2016</v>
      </c>
      <c r="C9" s="42">
        <v>2017</v>
      </c>
      <c r="D9" s="42">
        <f>C9+1</f>
        <v>2018</v>
      </c>
      <c r="E9" s="42">
        <f t="shared" ref="E9:T9" si="0">D9+1</f>
        <v>2019</v>
      </c>
      <c r="F9" s="42">
        <f t="shared" si="0"/>
        <v>2020</v>
      </c>
      <c r="G9" s="42">
        <f t="shared" si="0"/>
        <v>2021</v>
      </c>
      <c r="H9" s="42">
        <f t="shared" si="0"/>
        <v>2022</v>
      </c>
      <c r="I9" s="42">
        <f t="shared" si="0"/>
        <v>2023</v>
      </c>
      <c r="J9" s="42">
        <f t="shared" si="0"/>
        <v>2024</v>
      </c>
      <c r="K9" s="42">
        <f t="shared" si="0"/>
        <v>2025</v>
      </c>
      <c r="L9" s="42">
        <f t="shared" si="0"/>
        <v>2026</v>
      </c>
      <c r="M9" s="42">
        <f t="shared" si="0"/>
        <v>2027</v>
      </c>
      <c r="N9" s="42">
        <f t="shared" si="0"/>
        <v>2028</v>
      </c>
      <c r="O9" s="42">
        <f t="shared" si="0"/>
        <v>2029</v>
      </c>
      <c r="P9" s="42">
        <f t="shared" si="0"/>
        <v>2030</v>
      </c>
      <c r="Q9" s="42">
        <f t="shared" si="0"/>
        <v>2031</v>
      </c>
      <c r="R9" s="42">
        <f t="shared" si="0"/>
        <v>2032</v>
      </c>
      <c r="S9" s="42">
        <f t="shared" si="0"/>
        <v>2033</v>
      </c>
      <c r="T9" s="42">
        <f t="shared" si="0"/>
        <v>2034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</row>
    <row r="10" spans="1:116" x14ac:dyDescent="0.15">
      <c r="A10" s="8" t="s">
        <v>62</v>
      </c>
      <c r="B10" s="24">
        <v>84.790999999999997</v>
      </c>
      <c r="C10" s="41">
        <f>SUM(Reports!B3:E3)</f>
        <v>134.51</v>
      </c>
      <c r="D10" s="41">
        <f>SUM(Reports!F3:I3)</f>
        <v>192.85</v>
      </c>
      <c r="E10" s="41">
        <f>SUM(Reports!J3:M3)</f>
        <v>287.02200000000005</v>
      </c>
      <c r="F10" s="41">
        <f>E10*1.45</f>
        <v>416.18190000000004</v>
      </c>
      <c r="G10" s="41">
        <f t="shared" ref="G10:J10" si="1">F10*1.45</f>
        <v>603.46375499999999</v>
      </c>
      <c r="H10" s="41">
        <f t="shared" si="1"/>
        <v>875.02244474999998</v>
      </c>
      <c r="I10" s="41">
        <f t="shared" si="1"/>
        <v>1268.7825448874999</v>
      </c>
      <c r="J10" s="41">
        <f t="shared" si="1"/>
        <v>1839.7346900868747</v>
      </c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</row>
    <row r="11" spans="1:116" x14ac:dyDescent="0.15">
      <c r="B11" s="24"/>
      <c r="C11" s="41"/>
      <c r="D11" s="41"/>
      <c r="E11" s="41"/>
      <c r="F11" s="41"/>
      <c r="G11" s="41"/>
      <c r="H11" s="41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</row>
    <row r="12" spans="1:116" s="79" customFormat="1" x14ac:dyDescent="0.15">
      <c r="A12" s="79" t="s">
        <v>81</v>
      </c>
      <c r="B12" s="80"/>
      <c r="C12" s="81"/>
      <c r="D12" s="81">
        <f>Reports!I5</f>
        <v>6.7899000000000001E-2</v>
      </c>
      <c r="E12" s="81">
        <f>Reports!M5</f>
        <v>8.2881999999999997E-2</v>
      </c>
      <c r="F12" s="81">
        <f>Reports!Q5</f>
        <v>0.1036025</v>
      </c>
      <c r="G12" s="81">
        <f>F12*1.25</f>
        <v>0.129503125</v>
      </c>
      <c r="H12" s="81">
        <f t="shared" ref="H12:J12" si="2">G12*1.25</f>
        <v>0.16187890625000001</v>
      </c>
      <c r="I12" s="81">
        <f t="shared" si="2"/>
        <v>0.20234863281250001</v>
      </c>
      <c r="J12" s="81">
        <f t="shared" si="2"/>
        <v>0.25293579101562502</v>
      </c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/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/>
      <c r="BT12" s="81"/>
      <c r="BU12" s="81"/>
      <c r="BV12" s="81"/>
      <c r="BW12" s="81"/>
      <c r="BX12" s="81"/>
      <c r="BY12" s="81"/>
      <c r="BZ12" s="81"/>
      <c r="CA12" s="81"/>
      <c r="CB12" s="81"/>
      <c r="CC12" s="81"/>
      <c r="CD12" s="81"/>
      <c r="CE12" s="81"/>
      <c r="CF12" s="81"/>
      <c r="CG12" s="81"/>
      <c r="CH12" s="81"/>
      <c r="CI12" s="81"/>
      <c r="CJ12" s="81"/>
      <c r="CK12" s="81"/>
      <c r="CL12" s="81"/>
      <c r="CM12" s="81"/>
      <c r="CN12" s="81"/>
      <c r="CO12" s="81"/>
      <c r="CP12" s="81"/>
      <c r="CQ12" s="81"/>
      <c r="CR12" s="81"/>
      <c r="CS12" s="81"/>
      <c r="CT12" s="81"/>
      <c r="CU12" s="81"/>
      <c r="CV12" s="81"/>
      <c r="CW12" s="81"/>
      <c r="CX12" s="81"/>
      <c r="CY12" s="81"/>
      <c r="CZ12" s="81"/>
      <c r="DA12" s="81"/>
      <c r="DB12" s="81"/>
      <c r="DC12" s="81"/>
      <c r="DD12" s="81"/>
      <c r="DE12" s="81"/>
      <c r="DF12" s="81"/>
      <c r="DG12" s="81"/>
      <c r="DH12" s="81"/>
      <c r="DI12" s="81"/>
      <c r="DJ12" s="81"/>
      <c r="DK12" s="81"/>
      <c r="DL12" s="81"/>
    </row>
    <row r="13" spans="1:116" s="16" customFormat="1" x14ac:dyDescent="0.15">
      <c r="A13" s="16" t="s">
        <v>60</v>
      </c>
      <c r="B13" s="24"/>
      <c r="C13" s="41"/>
      <c r="D13" s="57">
        <f>SUM(D10)/D12</f>
        <v>2840.2480154346895</v>
      </c>
      <c r="E13" s="57">
        <f>SUM(E10)/E12</f>
        <v>3463.0197147752233</v>
      </c>
      <c r="F13" s="57">
        <f>SUM(F10)/F12</f>
        <v>4017.1028691392585</v>
      </c>
      <c r="G13" s="41">
        <f>F13*1.1</f>
        <v>4418.8131560531847</v>
      </c>
      <c r="H13" s="41">
        <f t="shared" ref="H13:J13" si="3">G13*1.1</f>
        <v>4860.694471658504</v>
      </c>
      <c r="I13" s="41">
        <f t="shared" si="3"/>
        <v>5346.7639188243547</v>
      </c>
      <c r="J13" s="41">
        <f t="shared" si="3"/>
        <v>5881.440310706791</v>
      </c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</row>
    <row r="14" spans="1:116" s="72" customFormat="1" x14ac:dyDescent="0.15">
      <c r="E14" s="73"/>
      <c r="F14" s="73">
        <v>422.5</v>
      </c>
      <c r="G14" s="73"/>
      <c r="H14" s="73"/>
    </row>
    <row r="15" spans="1:116" x14ac:dyDescent="0.15">
      <c r="A15" s="2" t="s">
        <v>4</v>
      </c>
      <c r="B15" s="26">
        <f t="shared" ref="B15:J15" si="4">SUM(B10:B10)</f>
        <v>84.790999999999997</v>
      </c>
      <c r="C15" s="26">
        <f t="shared" si="4"/>
        <v>134.51</v>
      </c>
      <c r="D15" s="26">
        <f>D13*D12</f>
        <v>192.85</v>
      </c>
      <c r="E15" s="26">
        <f>E13*E12</f>
        <v>287.02200000000005</v>
      </c>
      <c r="F15" s="50">
        <f>F13*F12</f>
        <v>416.18190000000004</v>
      </c>
      <c r="G15" s="50">
        <f>G13*G12</f>
        <v>572.25011250000011</v>
      </c>
      <c r="H15" s="50">
        <f>H13*H12</f>
        <v>786.8439046875003</v>
      </c>
      <c r="I15" s="50">
        <f>I13*I12</f>
        <v>1081.9103689453129</v>
      </c>
      <c r="J15" s="50">
        <f>J13*J12</f>
        <v>1487.6267572998056</v>
      </c>
      <c r="K15" s="50">
        <f>J15*1.25</f>
        <v>1859.5334466247571</v>
      </c>
      <c r="L15" s="50">
        <f t="shared" ref="L15:O15" si="5">K15*1.25</f>
        <v>2324.4168082809465</v>
      </c>
      <c r="M15" s="50">
        <f t="shared" si="5"/>
        <v>2905.5210103511831</v>
      </c>
      <c r="N15" s="50">
        <f t="shared" si="5"/>
        <v>3631.901262938979</v>
      </c>
      <c r="O15" s="50">
        <f t="shared" si="5"/>
        <v>4539.876578673724</v>
      </c>
      <c r="P15" s="50">
        <f t="shared" ref="K15:T15" si="6">O15*1.1</f>
        <v>4993.8642365410969</v>
      </c>
      <c r="Q15" s="50">
        <f t="shared" si="6"/>
        <v>5493.2506601952073</v>
      </c>
      <c r="R15" s="50">
        <f t="shared" si="6"/>
        <v>6042.5757262147281</v>
      </c>
      <c r="S15" s="50">
        <f t="shared" si="6"/>
        <v>6646.8332988362017</v>
      </c>
      <c r="T15" s="50">
        <f t="shared" si="6"/>
        <v>7311.5166287198226</v>
      </c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</row>
    <row r="16" spans="1:116" x14ac:dyDescent="0.15">
      <c r="A16" s="3" t="s">
        <v>5</v>
      </c>
      <c r="B16" s="24">
        <v>23.962</v>
      </c>
      <c r="C16" s="41">
        <f>SUM(Reports!B9:E9)</f>
        <v>28.788</v>
      </c>
      <c r="D16" s="41">
        <f>SUM(Reports!F9:I9)</f>
        <v>43.53</v>
      </c>
      <c r="E16" s="41">
        <f>SUM(Reports!J9:M9)</f>
        <v>63.591000000000001</v>
      </c>
      <c r="F16" s="24">
        <f>F15-F17</f>
        <v>92.206950000000006</v>
      </c>
      <c r="G16" s="24">
        <f t="shared" ref="G16" si="7">G15-G17</f>
        <v>126.78455624999998</v>
      </c>
      <c r="H16" s="24">
        <f t="shared" ref="H16:O16" si="8">H15-H17</f>
        <v>174.32876484375004</v>
      </c>
      <c r="I16" s="24">
        <f t="shared" si="8"/>
        <v>239.70205166015626</v>
      </c>
      <c r="J16" s="24">
        <f>J15-J17</f>
        <v>329.59032103271511</v>
      </c>
      <c r="K16" s="24">
        <f t="shared" si="8"/>
        <v>411.98790129089389</v>
      </c>
      <c r="L16" s="24">
        <f t="shared" si="8"/>
        <v>514.98487661361742</v>
      </c>
      <c r="M16" s="24">
        <f t="shared" si="8"/>
        <v>643.731095767022</v>
      </c>
      <c r="N16" s="24">
        <f t="shared" si="8"/>
        <v>804.66386970877738</v>
      </c>
      <c r="O16" s="24">
        <f t="shared" si="8"/>
        <v>1005.829837135972</v>
      </c>
      <c r="P16" s="24">
        <f t="shared" ref="P16:T16" si="9">P15-P17</f>
        <v>1106.412820849569</v>
      </c>
      <c r="Q16" s="24">
        <f t="shared" si="9"/>
        <v>1217.0541029345259</v>
      </c>
      <c r="R16" s="24">
        <f t="shared" si="9"/>
        <v>1338.7595132279785</v>
      </c>
      <c r="S16" s="24">
        <f t="shared" si="9"/>
        <v>1472.6354645507772</v>
      </c>
      <c r="T16" s="24">
        <f t="shared" si="9"/>
        <v>1619.8990110058558</v>
      </c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</row>
    <row r="17" spans="1:199" x14ac:dyDescent="0.15">
      <c r="A17" s="3" t="s">
        <v>6</v>
      </c>
      <c r="B17" s="29">
        <f>B15-B16</f>
        <v>60.828999999999994</v>
      </c>
      <c r="C17" s="29">
        <f>C15-C16</f>
        <v>105.72199999999999</v>
      </c>
      <c r="D17" s="29">
        <f>D15-D16</f>
        <v>149.32</v>
      </c>
      <c r="E17" s="29">
        <f>E15-E16</f>
        <v>223.43100000000004</v>
      </c>
      <c r="F17" s="24">
        <f>F15*E30</f>
        <v>323.97495000000004</v>
      </c>
      <c r="G17" s="24">
        <f t="shared" ref="G17:T17" si="10">G15*F30</f>
        <v>445.46555625000013</v>
      </c>
      <c r="H17" s="24">
        <f t="shared" si="10"/>
        <v>612.51513984375026</v>
      </c>
      <c r="I17" s="24">
        <f t="shared" si="10"/>
        <v>842.20831728515668</v>
      </c>
      <c r="J17" s="24">
        <f>J15*I30</f>
        <v>1158.0364362670905</v>
      </c>
      <c r="K17" s="24">
        <f t="shared" si="10"/>
        <v>1447.5455453338632</v>
      </c>
      <c r="L17" s="24">
        <f t="shared" si="10"/>
        <v>1809.4319316673291</v>
      </c>
      <c r="M17" s="24">
        <f t="shared" si="10"/>
        <v>2261.7899145841611</v>
      </c>
      <c r="N17" s="24">
        <f t="shared" si="10"/>
        <v>2827.2373932302016</v>
      </c>
      <c r="O17" s="24">
        <f t="shared" si="10"/>
        <v>3534.046741537752</v>
      </c>
      <c r="P17" s="24">
        <f t="shared" si="10"/>
        <v>3887.4514156915279</v>
      </c>
      <c r="Q17" s="24">
        <f t="shared" si="10"/>
        <v>4276.1965572606814</v>
      </c>
      <c r="R17" s="24">
        <f t="shared" si="10"/>
        <v>4703.8162129867496</v>
      </c>
      <c r="S17" s="24">
        <f t="shared" si="10"/>
        <v>5174.1978342854245</v>
      </c>
      <c r="T17" s="24">
        <f t="shared" si="10"/>
        <v>5691.6176177139669</v>
      </c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</row>
    <row r="18" spans="1:199" x14ac:dyDescent="0.15">
      <c r="A18" s="3" t="s">
        <v>7</v>
      </c>
      <c r="B18" s="24">
        <v>24</v>
      </c>
      <c r="C18" s="41">
        <f>SUM(Reports!B11:E11)</f>
        <v>32</v>
      </c>
      <c r="D18" s="41">
        <f>SUM(Reports!F11:I11)</f>
        <v>54</v>
      </c>
      <c r="E18" s="41">
        <f>SUM(Reports!J11:M11)</f>
        <v>91</v>
      </c>
      <c r="F18" s="24">
        <f>E18*1.35</f>
        <v>122.85000000000001</v>
      </c>
      <c r="G18" s="24">
        <f t="shared" ref="G18:J18" si="11">F18*1.35</f>
        <v>165.84750000000003</v>
      </c>
      <c r="H18" s="24">
        <f t="shared" si="11"/>
        <v>223.89412500000006</v>
      </c>
      <c r="I18" s="24">
        <f t="shared" si="11"/>
        <v>302.25706875000009</v>
      </c>
      <c r="J18" s="24">
        <f t="shared" si="11"/>
        <v>408.04704281250014</v>
      </c>
      <c r="K18" s="24">
        <f>J18*1.1</f>
        <v>448.85174709375019</v>
      </c>
      <c r="L18" s="24">
        <f t="shared" ref="L18:T18" si="12">K18*1.1</f>
        <v>493.73692180312526</v>
      </c>
      <c r="M18" s="24">
        <f t="shared" si="12"/>
        <v>543.11061398343782</v>
      </c>
      <c r="N18" s="24">
        <f t="shared" si="12"/>
        <v>597.4216753817816</v>
      </c>
      <c r="O18" s="24">
        <f t="shared" si="12"/>
        <v>657.16384291995985</v>
      </c>
      <c r="P18" s="24">
        <f t="shared" si="12"/>
        <v>722.88022721195591</v>
      </c>
      <c r="Q18" s="24">
        <f t="shared" si="12"/>
        <v>795.16824993315151</v>
      </c>
      <c r="R18" s="24">
        <f t="shared" si="12"/>
        <v>874.68507492646677</v>
      </c>
      <c r="S18" s="24">
        <f t="shared" si="12"/>
        <v>962.15358241911349</v>
      </c>
      <c r="T18" s="24">
        <f t="shared" si="12"/>
        <v>1058.3689406610249</v>
      </c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</row>
    <row r="19" spans="1:199" x14ac:dyDescent="0.15">
      <c r="A19" s="3" t="s">
        <v>8</v>
      </c>
      <c r="B19" s="24">
        <v>40</v>
      </c>
      <c r="C19" s="41">
        <f>SUM(Reports!B12:E12)</f>
        <v>62</v>
      </c>
      <c r="D19" s="41">
        <f>SUM(Reports!F12:I12)</f>
        <v>94</v>
      </c>
      <c r="E19" s="41">
        <f>SUM(Reports!J12:M12)</f>
        <v>160</v>
      </c>
      <c r="F19" s="24">
        <f>E19*1.25</f>
        <v>200</v>
      </c>
      <c r="G19" s="24">
        <f t="shared" ref="G19:J19" si="13">F19*1.25</f>
        <v>250</v>
      </c>
      <c r="H19" s="24">
        <f t="shared" si="13"/>
        <v>312.5</v>
      </c>
      <c r="I19" s="24">
        <f t="shared" si="13"/>
        <v>390.625</v>
      </c>
      <c r="J19" s="24">
        <f t="shared" si="13"/>
        <v>488.28125</v>
      </c>
      <c r="K19" s="24">
        <f>J19*1.15</f>
        <v>561.5234375</v>
      </c>
      <c r="L19" s="24">
        <f t="shared" ref="L19:O19" si="14">K19*1.15</f>
        <v>645.751953125</v>
      </c>
      <c r="M19" s="24">
        <f t="shared" si="14"/>
        <v>742.61474609374989</v>
      </c>
      <c r="N19" s="24">
        <f t="shared" si="14"/>
        <v>854.00695800781227</v>
      </c>
      <c r="O19" s="24">
        <f t="shared" si="14"/>
        <v>982.10800170898403</v>
      </c>
      <c r="P19" s="24">
        <f t="shared" ref="L19:T19" si="15">O19*1.05</f>
        <v>1031.2134017944334</v>
      </c>
      <c r="Q19" s="24">
        <f t="shared" si="15"/>
        <v>1082.7740718841551</v>
      </c>
      <c r="R19" s="24">
        <f t="shared" si="15"/>
        <v>1136.9127754783628</v>
      </c>
      <c r="S19" s="24">
        <f t="shared" si="15"/>
        <v>1193.758414252281</v>
      </c>
      <c r="T19" s="24">
        <f t="shared" si="15"/>
        <v>1253.4463349648952</v>
      </c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</row>
    <row r="20" spans="1:199" x14ac:dyDescent="0.15">
      <c r="A20" s="3" t="s">
        <v>9</v>
      </c>
      <c r="B20" s="24">
        <v>14</v>
      </c>
      <c r="C20" s="41">
        <f>SUM(Reports!B13:E13)</f>
        <v>20</v>
      </c>
      <c r="D20" s="41">
        <f>SUM(Reports!F13:I13)</f>
        <v>86</v>
      </c>
      <c r="E20" s="41">
        <f>SUM(Reports!J13:M13)</f>
        <v>82</v>
      </c>
      <c r="F20" s="24">
        <f>E20*1.15</f>
        <v>94.3</v>
      </c>
      <c r="G20" s="24">
        <f t="shared" ref="G20:J20" si="16">F20*1.15</f>
        <v>108.44499999999999</v>
      </c>
      <c r="H20" s="24">
        <f t="shared" si="16"/>
        <v>124.71174999999998</v>
      </c>
      <c r="I20" s="24">
        <f t="shared" si="16"/>
        <v>143.41851249999996</v>
      </c>
      <c r="J20" s="24">
        <f t="shared" si="16"/>
        <v>164.93128937499995</v>
      </c>
      <c r="K20" s="24">
        <f>J20*1.05</f>
        <v>173.17785384374994</v>
      </c>
      <c r="L20" s="24">
        <f t="shared" ref="L20:O20" si="17">K20*1.05</f>
        <v>181.83674653593744</v>
      </c>
      <c r="M20" s="24">
        <f t="shared" si="17"/>
        <v>190.92858386273431</v>
      </c>
      <c r="N20" s="24">
        <f t="shared" si="17"/>
        <v>200.47501305587105</v>
      </c>
      <c r="O20" s="24">
        <f t="shared" si="17"/>
        <v>210.4987637086646</v>
      </c>
      <c r="P20" s="24">
        <f t="shared" ref="K20:T20" si="18">O20*0.98</f>
        <v>206.28878843449129</v>
      </c>
      <c r="Q20" s="24">
        <f t="shared" si="18"/>
        <v>202.16301266580146</v>
      </c>
      <c r="R20" s="24">
        <f t="shared" si="18"/>
        <v>198.11975241248544</v>
      </c>
      <c r="S20" s="24">
        <f t="shared" si="18"/>
        <v>194.15735736423574</v>
      </c>
      <c r="T20" s="24">
        <f t="shared" si="18"/>
        <v>190.27421021695102</v>
      </c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</row>
    <row r="21" spans="1:199" x14ac:dyDescent="0.15">
      <c r="A21" s="3" t="s">
        <v>10</v>
      </c>
      <c r="B21" s="29">
        <f>SUM(B18:B20)</f>
        <v>78</v>
      </c>
      <c r="C21" s="29">
        <f>SUM(C18:C20)</f>
        <v>114</v>
      </c>
      <c r="D21" s="29">
        <f>SUM(D18:D20)</f>
        <v>234</v>
      </c>
      <c r="E21" s="29">
        <f>SUM(E18:E20)</f>
        <v>333</v>
      </c>
      <c r="F21" s="24">
        <f t="shared" ref="F21:G21" si="19">SUM(F18:F20)</f>
        <v>417.15000000000003</v>
      </c>
      <c r="G21" s="24">
        <f t="shared" si="19"/>
        <v>524.29250000000002</v>
      </c>
      <c r="H21" s="24">
        <f t="shared" ref="H21:O21" si="20">SUM(H18:H20)</f>
        <v>661.10587499999997</v>
      </c>
      <c r="I21" s="24">
        <f t="shared" si="20"/>
        <v>836.30058125000005</v>
      </c>
      <c r="J21" s="24">
        <f t="shared" si="20"/>
        <v>1061.2595821875002</v>
      </c>
      <c r="K21" s="24">
        <f t="shared" si="20"/>
        <v>1183.5530384375002</v>
      </c>
      <c r="L21" s="24">
        <f t="shared" si="20"/>
        <v>1321.3256214640628</v>
      </c>
      <c r="M21" s="24">
        <f t="shared" si="20"/>
        <v>1476.6539439399221</v>
      </c>
      <c r="N21" s="24">
        <f t="shared" si="20"/>
        <v>1651.9036464454648</v>
      </c>
      <c r="O21" s="24">
        <f t="shared" si="20"/>
        <v>1849.7706083376086</v>
      </c>
      <c r="P21" s="24">
        <f t="shared" ref="P21:T21" si="21">SUM(P18:P20)</f>
        <v>1960.3824174408805</v>
      </c>
      <c r="Q21" s="24">
        <f t="shared" si="21"/>
        <v>2080.105334483108</v>
      </c>
      <c r="R21" s="24">
        <f t="shared" si="21"/>
        <v>2209.7176028173149</v>
      </c>
      <c r="S21" s="24">
        <f t="shared" si="21"/>
        <v>2350.0693540356301</v>
      </c>
      <c r="T21" s="24">
        <f t="shared" si="21"/>
        <v>2502.089485842871</v>
      </c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</row>
    <row r="22" spans="1:199" x14ac:dyDescent="0.15">
      <c r="A22" s="3" t="s">
        <v>11</v>
      </c>
      <c r="B22" s="29">
        <f>B17-B21</f>
        <v>-17.171000000000006</v>
      </c>
      <c r="C22" s="29">
        <f>C17-C21</f>
        <v>-8.2780000000000058</v>
      </c>
      <c r="D22" s="29">
        <f>D17-D21</f>
        <v>-84.68</v>
      </c>
      <c r="E22" s="29">
        <f>E17-E21</f>
        <v>-109.56899999999996</v>
      </c>
      <c r="F22" s="24">
        <f t="shared" ref="F22:G22" si="22">F17-F21</f>
        <v>-93.175049999999999</v>
      </c>
      <c r="G22" s="24">
        <f t="shared" si="22"/>
        <v>-78.826943749999884</v>
      </c>
      <c r="H22" s="24">
        <f t="shared" ref="H22:O22" si="23">H17-H21</f>
        <v>-48.590735156249707</v>
      </c>
      <c r="I22" s="24">
        <f t="shared" si="23"/>
        <v>5.9077360351566313</v>
      </c>
      <c r="J22" s="24">
        <f t="shared" si="23"/>
        <v>96.776854079590294</v>
      </c>
      <c r="K22" s="24">
        <f t="shared" si="23"/>
        <v>263.99250689636301</v>
      </c>
      <c r="L22" s="24">
        <f t="shared" si="23"/>
        <v>488.10631020326628</v>
      </c>
      <c r="M22" s="24">
        <f t="shared" si="23"/>
        <v>785.13597064423902</v>
      </c>
      <c r="N22" s="24">
        <f t="shared" si="23"/>
        <v>1175.3337467847368</v>
      </c>
      <c r="O22" s="24">
        <f t="shared" si="23"/>
        <v>1684.2761332001435</v>
      </c>
      <c r="P22" s="24">
        <f t="shared" ref="P22:T22" si="24">P17-P21</f>
        <v>1927.0689982506474</v>
      </c>
      <c r="Q22" s="24">
        <f t="shared" si="24"/>
        <v>2196.0912227775734</v>
      </c>
      <c r="R22" s="24">
        <f t="shared" si="24"/>
        <v>2494.0986101694348</v>
      </c>
      <c r="S22" s="24">
        <f t="shared" si="24"/>
        <v>2824.1284802497944</v>
      </c>
      <c r="T22" s="24">
        <f t="shared" si="24"/>
        <v>3189.5281318710959</v>
      </c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</row>
    <row r="23" spans="1:199" x14ac:dyDescent="0.15">
      <c r="A23" s="3" t="s">
        <v>12</v>
      </c>
      <c r="B23" s="24">
        <v>0</v>
      </c>
      <c r="C23" s="41">
        <f>SUM(Reports!B16:E16)</f>
        <v>0</v>
      </c>
      <c r="D23" s="41">
        <f>SUM(Reports!F16:I16)</f>
        <v>1.7690000000000001</v>
      </c>
      <c r="E23" s="41">
        <f>SUM(Reports!J16:M16)</f>
        <v>2</v>
      </c>
      <c r="F23" s="24">
        <f t="shared" ref="F23:T23" si="25">E40*$F$3</f>
        <v>12.74</v>
      </c>
      <c r="G23" s="24">
        <f t="shared" si="25"/>
        <v>11.131298999999999</v>
      </c>
      <c r="H23" s="24">
        <f t="shared" si="25"/>
        <v>9.7773861050000015</v>
      </c>
      <c r="I23" s="24">
        <f t="shared" si="25"/>
        <v>9.0011191239750072</v>
      </c>
      <c r="J23" s="24">
        <f t="shared" si="25"/>
        <v>9.2545696616802466</v>
      </c>
      <c r="K23" s="24">
        <f t="shared" si="25"/>
        <v>11.057103865281844</v>
      </c>
      <c r="L23" s="24">
        <f t="shared" si="25"/>
        <v>15.732947248229808</v>
      </c>
      <c r="M23" s="24">
        <f t="shared" si="25"/>
        <v>24.298214624905242</v>
      </c>
      <c r="N23" s="24">
        <f t="shared" si="25"/>
        <v>38.058595774480693</v>
      </c>
      <c r="O23" s="24">
        <f t="shared" si="25"/>
        <v>58.686265597987386</v>
      </c>
      <c r="P23" s="24">
        <f t="shared" si="25"/>
        <v>88.316626377555608</v>
      </c>
      <c r="Q23" s="24">
        <f t="shared" si="25"/>
        <v>122.57818199623506</v>
      </c>
      <c r="R23" s="24">
        <f t="shared" si="25"/>
        <v>161.9955618773898</v>
      </c>
      <c r="S23" s="24">
        <f t="shared" si="25"/>
        <v>207.14916280218583</v>
      </c>
      <c r="T23" s="24">
        <f t="shared" si="25"/>
        <v>258.68088273406948</v>
      </c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</row>
    <row r="24" spans="1:199" x14ac:dyDescent="0.15">
      <c r="A24" s="3" t="s">
        <v>13</v>
      </c>
      <c r="B24" s="29">
        <f>B22+B23</f>
        <v>-17.171000000000006</v>
      </c>
      <c r="C24" s="29">
        <f>C22+C23</f>
        <v>-8.2780000000000058</v>
      </c>
      <c r="D24" s="29">
        <f>D22+D23</f>
        <v>-82.911000000000001</v>
      </c>
      <c r="E24" s="29">
        <f>E22+E23</f>
        <v>-107.56899999999996</v>
      </c>
      <c r="F24" s="24">
        <f t="shared" ref="F24:G24" si="26">F22+F23</f>
        <v>-80.435050000000004</v>
      </c>
      <c r="G24" s="24">
        <f t="shared" si="26"/>
        <v>-67.695644749999886</v>
      </c>
      <c r="H24" s="24">
        <f t="shared" ref="H24" si="27">H22+H23</f>
        <v>-38.813349051249702</v>
      </c>
      <c r="I24" s="24">
        <f t="shared" ref="I24" si="28">I22+I23</f>
        <v>14.908855159131639</v>
      </c>
      <c r="J24" s="24">
        <f t="shared" ref="J24" si="29">J22+J23</f>
        <v>106.03142374127054</v>
      </c>
      <c r="K24" s="24">
        <f t="shared" ref="K24" si="30">K22+K23</f>
        <v>275.04961076164483</v>
      </c>
      <c r="L24" s="24">
        <f t="shared" ref="L24" si="31">L22+L23</f>
        <v>503.83925745149611</v>
      </c>
      <c r="M24" s="24">
        <f t="shared" ref="M24" si="32">M22+M23</f>
        <v>809.43418526914422</v>
      </c>
      <c r="N24" s="24">
        <f t="shared" ref="N24" si="33">N22+N23</f>
        <v>1213.3923425592175</v>
      </c>
      <c r="O24" s="24">
        <f t="shared" ref="O24:P24" si="34">O22+O23</f>
        <v>1742.9623987981308</v>
      </c>
      <c r="P24" s="24">
        <f t="shared" si="34"/>
        <v>2015.385624628203</v>
      </c>
      <c r="Q24" s="24">
        <f t="shared" ref="Q24:T24" si="35">Q22+Q23</f>
        <v>2318.6694047738083</v>
      </c>
      <c r="R24" s="24">
        <f t="shared" si="35"/>
        <v>2656.0941720468245</v>
      </c>
      <c r="S24" s="24">
        <f t="shared" si="35"/>
        <v>3031.2776430519802</v>
      </c>
      <c r="T24" s="24">
        <f t="shared" si="35"/>
        <v>3448.2090146051655</v>
      </c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</row>
    <row r="25" spans="1:199" x14ac:dyDescent="0.15">
      <c r="A25" s="3" t="s">
        <v>14</v>
      </c>
      <c r="B25" s="24">
        <v>0</v>
      </c>
      <c r="C25" s="41">
        <f>SUM(Reports!B18:E18)</f>
        <v>1</v>
      </c>
      <c r="D25" s="41">
        <f>SUM(Reports!F18:I18)</f>
        <v>0</v>
      </c>
      <c r="E25" s="41">
        <f>SUM(Reports!J18:M18)</f>
        <v>1</v>
      </c>
      <c r="F25" s="24">
        <v>0</v>
      </c>
      <c r="G25" s="24">
        <v>0</v>
      </c>
      <c r="H25" s="24">
        <v>0</v>
      </c>
      <c r="I25" s="24">
        <f t="shared" ref="G25:T25" si="36">I24*0.15</f>
        <v>2.2363282738697459</v>
      </c>
      <c r="J25" s="24">
        <f t="shared" si="36"/>
        <v>15.904713561190581</v>
      </c>
      <c r="K25" s="24">
        <f t="shared" si="36"/>
        <v>41.257441614246723</v>
      </c>
      <c r="L25" s="24">
        <f t="shared" si="36"/>
        <v>75.575888617724416</v>
      </c>
      <c r="M25" s="24">
        <f t="shared" si="36"/>
        <v>121.41512779037163</v>
      </c>
      <c r="N25" s="24">
        <f t="shared" si="36"/>
        <v>182.00885138388261</v>
      </c>
      <c r="O25" s="24">
        <f t="shared" si="36"/>
        <v>261.44435981971964</v>
      </c>
      <c r="P25" s="24">
        <f t="shared" si="36"/>
        <v>302.30784369423043</v>
      </c>
      <c r="Q25" s="24">
        <f t="shared" si="36"/>
        <v>347.80041071607121</v>
      </c>
      <c r="R25" s="24">
        <f t="shared" si="36"/>
        <v>398.41412580702365</v>
      </c>
      <c r="S25" s="24">
        <f t="shared" si="36"/>
        <v>454.69164645779705</v>
      </c>
      <c r="T25" s="24">
        <f t="shared" si="36"/>
        <v>517.23135219077483</v>
      </c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</row>
    <row r="26" spans="1:199" s="2" customFormat="1" x14ac:dyDescent="0.15">
      <c r="A26" s="2" t="s">
        <v>15</v>
      </c>
      <c r="B26" s="26">
        <f>B24-B25</f>
        <v>-17.171000000000006</v>
      </c>
      <c r="C26" s="26">
        <f>C24-C25</f>
        <v>-9.2780000000000058</v>
      </c>
      <c r="D26" s="26">
        <f>D24-D25</f>
        <v>-82.911000000000001</v>
      </c>
      <c r="E26" s="26">
        <f t="shared" ref="E26:G26" si="37">E24-E25</f>
        <v>-108.56899999999996</v>
      </c>
      <c r="F26" s="26">
        <f>F24-F25</f>
        <v>-80.435050000000004</v>
      </c>
      <c r="G26" s="26">
        <f t="shared" si="37"/>
        <v>-67.695644749999886</v>
      </c>
      <c r="H26" s="26">
        <f t="shared" ref="H26:O26" si="38">H24-H25</f>
        <v>-38.813349051249702</v>
      </c>
      <c r="I26" s="26">
        <f t="shared" si="38"/>
        <v>12.672526885261892</v>
      </c>
      <c r="J26" s="26">
        <f t="shared" si="38"/>
        <v>90.126710180079968</v>
      </c>
      <c r="K26" s="26">
        <f t="shared" si="38"/>
        <v>233.79216914739811</v>
      </c>
      <c r="L26" s="26">
        <f t="shared" si="38"/>
        <v>428.26336883377166</v>
      </c>
      <c r="M26" s="26">
        <f t="shared" si="38"/>
        <v>688.01905747877254</v>
      </c>
      <c r="N26" s="26">
        <f t="shared" si="38"/>
        <v>1031.3834911753349</v>
      </c>
      <c r="O26" s="26">
        <f t="shared" si="38"/>
        <v>1481.5180389784111</v>
      </c>
      <c r="P26" s="26">
        <f t="shared" ref="P26:T26" si="39">P24-P25</f>
        <v>1713.0777809339725</v>
      </c>
      <c r="Q26" s="26">
        <f t="shared" si="39"/>
        <v>1970.8689940577372</v>
      </c>
      <c r="R26" s="26">
        <f t="shared" si="39"/>
        <v>2257.680046239801</v>
      </c>
      <c r="S26" s="26">
        <f t="shared" si="39"/>
        <v>2576.5859965941831</v>
      </c>
      <c r="T26" s="26">
        <f t="shared" si="39"/>
        <v>2930.9776624143906</v>
      </c>
      <c r="U26" s="26">
        <f t="shared" ref="U26:AZ26" si="40">T26*($F$2+1)</f>
        <v>2945.6325507264623</v>
      </c>
      <c r="V26" s="26">
        <f t="shared" si="40"/>
        <v>2960.3607134800945</v>
      </c>
      <c r="W26" s="26">
        <f t="shared" si="40"/>
        <v>2975.1625170474949</v>
      </c>
      <c r="X26" s="26">
        <f t="shared" si="40"/>
        <v>2990.0383296327323</v>
      </c>
      <c r="Y26" s="26">
        <f t="shared" si="40"/>
        <v>3004.9885212808954</v>
      </c>
      <c r="Z26" s="26">
        <f t="shared" si="40"/>
        <v>3020.0134638872996</v>
      </c>
      <c r="AA26" s="26">
        <f t="shared" si="40"/>
        <v>3035.1135312067358</v>
      </c>
      <c r="AB26" s="26">
        <f t="shared" si="40"/>
        <v>3050.2890988627692</v>
      </c>
      <c r="AC26" s="26">
        <f t="shared" si="40"/>
        <v>3065.5405443570826</v>
      </c>
      <c r="AD26" s="26">
        <f t="shared" si="40"/>
        <v>3080.8682470788676</v>
      </c>
      <c r="AE26" s="26">
        <f t="shared" si="40"/>
        <v>3096.2725883142616</v>
      </c>
      <c r="AF26" s="26">
        <f t="shared" si="40"/>
        <v>3111.7539512558324</v>
      </c>
      <c r="AG26" s="26">
        <f t="shared" si="40"/>
        <v>3127.3127210121111</v>
      </c>
      <c r="AH26" s="26">
        <f t="shared" si="40"/>
        <v>3142.9492846171711</v>
      </c>
      <c r="AI26" s="26">
        <f t="shared" si="40"/>
        <v>3158.6640310402568</v>
      </c>
      <c r="AJ26" s="26">
        <f t="shared" si="40"/>
        <v>3174.4573511954577</v>
      </c>
      <c r="AK26" s="26">
        <f t="shared" si="40"/>
        <v>3190.3296379514345</v>
      </c>
      <c r="AL26" s="26">
        <f t="shared" si="40"/>
        <v>3206.2812861411912</v>
      </c>
      <c r="AM26" s="26">
        <f t="shared" si="40"/>
        <v>3222.3126925718971</v>
      </c>
      <c r="AN26" s="26">
        <f t="shared" si="40"/>
        <v>3238.4242560347561</v>
      </c>
      <c r="AO26" s="26">
        <f t="shared" si="40"/>
        <v>3254.6163773149297</v>
      </c>
      <c r="AP26" s="26">
        <f t="shared" si="40"/>
        <v>3270.889459201504</v>
      </c>
      <c r="AQ26" s="26">
        <f t="shared" si="40"/>
        <v>3287.243906497511</v>
      </c>
      <c r="AR26" s="26">
        <f t="shared" si="40"/>
        <v>3303.6801260299981</v>
      </c>
      <c r="AS26" s="26">
        <f t="shared" si="40"/>
        <v>3320.1985266601478</v>
      </c>
      <c r="AT26" s="26">
        <f t="shared" si="40"/>
        <v>3336.7995192934482</v>
      </c>
      <c r="AU26" s="26">
        <f t="shared" si="40"/>
        <v>3353.4835168899149</v>
      </c>
      <c r="AV26" s="26">
        <f t="shared" si="40"/>
        <v>3370.2509344743639</v>
      </c>
      <c r="AW26" s="26">
        <f t="shared" si="40"/>
        <v>3387.1021891467353</v>
      </c>
      <c r="AX26" s="26">
        <f t="shared" si="40"/>
        <v>3404.0377000924686</v>
      </c>
      <c r="AY26" s="26">
        <f t="shared" si="40"/>
        <v>3421.0578885929308</v>
      </c>
      <c r="AZ26" s="26">
        <f t="shared" si="40"/>
        <v>3438.1631780358953</v>
      </c>
      <c r="BA26" s="26">
        <f t="shared" ref="BA26:CF26" si="41">AZ26*($F$2+1)</f>
        <v>3455.3539939260745</v>
      </c>
      <c r="BB26" s="26">
        <f t="shared" si="41"/>
        <v>3472.6307638957046</v>
      </c>
      <c r="BC26" s="26">
        <f t="shared" si="41"/>
        <v>3489.9939177151828</v>
      </c>
      <c r="BD26" s="26">
        <f t="shared" si="41"/>
        <v>3507.4438873037584</v>
      </c>
      <c r="BE26" s="26">
        <f t="shared" si="41"/>
        <v>3524.981106740277</v>
      </c>
      <c r="BF26" s="26">
        <f t="shared" si="41"/>
        <v>3542.6060122739782</v>
      </c>
      <c r="BG26" s="26">
        <f t="shared" si="41"/>
        <v>3560.3190423353476</v>
      </c>
      <c r="BH26" s="26">
        <f t="shared" si="41"/>
        <v>3578.1206375470238</v>
      </c>
      <c r="BI26" s="26">
        <f t="shared" si="41"/>
        <v>3596.0112407347583</v>
      </c>
      <c r="BJ26" s="26">
        <f t="shared" si="41"/>
        <v>3613.9912969384318</v>
      </c>
      <c r="BK26" s="26">
        <f t="shared" si="41"/>
        <v>3632.0612534231236</v>
      </c>
      <c r="BL26" s="26">
        <f t="shared" si="41"/>
        <v>3650.2215596902388</v>
      </c>
      <c r="BM26" s="26">
        <f t="shared" si="41"/>
        <v>3668.4726674886897</v>
      </c>
      <c r="BN26" s="26">
        <f t="shared" si="41"/>
        <v>3686.8150308261329</v>
      </c>
      <c r="BO26" s="26">
        <f t="shared" si="41"/>
        <v>3705.2491059802633</v>
      </c>
      <c r="BP26" s="26">
        <f t="shared" si="41"/>
        <v>3723.775351510164</v>
      </c>
      <c r="BQ26" s="26">
        <f t="shared" si="41"/>
        <v>3742.3942282677144</v>
      </c>
      <c r="BR26" s="26">
        <f t="shared" si="41"/>
        <v>3761.1061994090528</v>
      </c>
      <c r="BS26" s="26">
        <f t="shared" si="41"/>
        <v>3779.9117304060978</v>
      </c>
      <c r="BT26" s="26">
        <f t="shared" si="41"/>
        <v>3798.8112890581278</v>
      </c>
      <c r="BU26" s="26">
        <f t="shared" si="41"/>
        <v>3817.8053455034183</v>
      </c>
      <c r="BV26" s="26">
        <f t="shared" si="41"/>
        <v>3836.894372230935</v>
      </c>
      <c r="BW26" s="26">
        <f t="shared" si="41"/>
        <v>3856.0788440920892</v>
      </c>
      <c r="BX26" s="26">
        <f t="shared" si="41"/>
        <v>3875.3592383125492</v>
      </c>
      <c r="BY26" s="26">
        <f t="shared" si="41"/>
        <v>3894.7360345041116</v>
      </c>
      <c r="BZ26" s="26">
        <f t="shared" si="41"/>
        <v>3914.2097146766318</v>
      </c>
      <c r="CA26" s="26">
        <f t="shared" si="41"/>
        <v>3933.7807632500144</v>
      </c>
      <c r="CB26" s="26">
        <f t="shared" si="41"/>
        <v>3953.4496670662638</v>
      </c>
      <c r="CC26" s="26">
        <f t="shared" si="41"/>
        <v>3973.2169154015946</v>
      </c>
      <c r="CD26" s="26">
        <f t="shared" si="41"/>
        <v>3993.0829999786024</v>
      </c>
      <c r="CE26" s="26">
        <f t="shared" si="41"/>
        <v>4013.0484149784952</v>
      </c>
      <c r="CF26" s="26">
        <f t="shared" si="41"/>
        <v>4033.1136570533872</v>
      </c>
      <c r="CG26" s="26">
        <f t="shared" ref="CG26:DL26" si="42">CF26*($F$2+1)</f>
        <v>4053.2792253386538</v>
      </c>
      <c r="CH26" s="26">
        <f t="shared" si="42"/>
        <v>4073.5456214653468</v>
      </c>
      <c r="CI26" s="26">
        <f t="shared" si="42"/>
        <v>4093.9133495726733</v>
      </c>
      <c r="CJ26" s="26">
        <f t="shared" si="42"/>
        <v>4114.3829163205364</v>
      </c>
      <c r="CK26" s="26">
        <f t="shared" si="42"/>
        <v>4134.9548309021384</v>
      </c>
      <c r="CL26" s="26">
        <f t="shared" si="42"/>
        <v>4155.6296050566489</v>
      </c>
      <c r="CM26" s="26">
        <f t="shared" si="42"/>
        <v>4176.4077530819313</v>
      </c>
      <c r="CN26" s="26">
        <f t="shared" si="42"/>
        <v>4197.2897918473409</v>
      </c>
      <c r="CO26" s="26">
        <f t="shared" si="42"/>
        <v>4218.2762408065773</v>
      </c>
      <c r="CP26" s="26">
        <f t="shared" si="42"/>
        <v>4239.3676220106099</v>
      </c>
      <c r="CQ26" s="26">
        <f t="shared" si="42"/>
        <v>4260.5644601206623</v>
      </c>
      <c r="CR26" s="26">
        <f t="shared" si="42"/>
        <v>4281.8672824212654</v>
      </c>
      <c r="CS26" s="26">
        <f t="shared" si="42"/>
        <v>4303.2766188333717</v>
      </c>
      <c r="CT26" s="26">
        <f t="shared" si="42"/>
        <v>4324.7930019275382</v>
      </c>
      <c r="CU26" s="26">
        <f t="shared" si="42"/>
        <v>4346.4169669371749</v>
      </c>
      <c r="CV26" s="26">
        <f t="shared" si="42"/>
        <v>4368.1490517718603</v>
      </c>
      <c r="CW26" s="26">
        <f t="shared" si="42"/>
        <v>4389.9897970307193</v>
      </c>
      <c r="CX26" s="26">
        <f t="shared" si="42"/>
        <v>4411.9397460158725</v>
      </c>
      <c r="CY26" s="26">
        <f t="shared" si="42"/>
        <v>4433.9994447459512</v>
      </c>
      <c r="CZ26" s="26">
        <f t="shared" si="42"/>
        <v>4456.1694419696805</v>
      </c>
      <c r="DA26" s="26">
        <f t="shared" si="42"/>
        <v>4478.4502891795282</v>
      </c>
      <c r="DB26" s="26">
        <f t="shared" si="42"/>
        <v>4500.8425406254255</v>
      </c>
      <c r="DC26" s="26">
        <f t="shared" si="42"/>
        <v>4523.346753328552</v>
      </c>
      <c r="DD26" s="26">
        <f t="shared" si="42"/>
        <v>4545.9634870951941</v>
      </c>
      <c r="DE26" s="26">
        <f t="shared" si="42"/>
        <v>4568.6933045306696</v>
      </c>
      <c r="DF26" s="26">
        <f t="shared" si="42"/>
        <v>4591.5367710533228</v>
      </c>
      <c r="DG26" s="26">
        <f t="shared" si="42"/>
        <v>4614.4944549085885</v>
      </c>
      <c r="DH26" s="26">
        <f t="shared" si="42"/>
        <v>4637.5669271831312</v>
      </c>
      <c r="DI26" s="26">
        <f t="shared" si="42"/>
        <v>4660.7547618190465</v>
      </c>
      <c r="DJ26" s="26">
        <f t="shared" si="42"/>
        <v>4684.0585356281408</v>
      </c>
      <c r="DK26" s="26">
        <f t="shared" si="42"/>
        <v>4707.4788283062808</v>
      </c>
      <c r="DL26" s="26">
        <f t="shared" si="42"/>
        <v>4731.0162224478117</v>
      </c>
      <c r="DM26" s="26">
        <f t="shared" ref="DM26:ER26" si="43">DL26*($F$2+1)</f>
        <v>4754.6713035600505</v>
      </c>
      <c r="DN26" s="26">
        <f t="shared" si="43"/>
        <v>4778.4446600778501</v>
      </c>
      <c r="DO26" s="26">
        <f t="shared" si="43"/>
        <v>4802.3368833782388</v>
      </c>
      <c r="DP26" s="26">
        <f t="shared" si="43"/>
        <v>4826.3485677951294</v>
      </c>
      <c r="DQ26" s="26">
        <f t="shared" si="43"/>
        <v>4850.4803106341042</v>
      </c>
      <c r="DR26" s="26">
        <f t="shared" si="43"/>
        <v>4874.732712187274</v>
      </c>
      <c r="DS26" s="26">
        <f t="shared" si="43"/>
        <v>4899.1063757482098</v>
      </c>
      <c r="DT26" s="26">
        <f t="shared" si="43"/>
        <v>4923.6019076269504</v>
      </c>
      <c r="DU26" s="26">
        <f t="shared" si="43"/>
        <v>4948.2199171650846</v>
      </c>
      <c r="DV26" s="26">
        <f t="shared" si="43"/>
        <v>4972.961016750909</v>
      </c>
      <c r="DW26" s="26">
        <f t="shared" si="43"/>
        <v>4997.8258218346627</v>
      </c>
      <c r="DX26" s="26">
        <f t="shared" si="43"/>
        <v>5022.8149509438354</v>
      </c>
      <c r="DY26" s="26">
        <f t="shared" si="43"/>
        <v>5047.9290256985541</v>
      </c>
      <c r="DZ26" s="26">
        <f t="shared" si="43"/>
        <v>5073.1686708270463</v>
      </c>
      <c r="EA26" s="26">
        <f t="shared" si="43"/>
        <v>5098.5345141811813</v>
      </c>
      <c r="EB26" s="26">
        <f t="shared" si="43"/>
        <v>5124.0271867520869</v>
      </c>
      <c r="EC26" s="26">
        <f t="shared" si="43"/>
        <v>5149.647322685847</v>
      </c>
      <c r="ED26" s="26">
        <f t="shared" si="43"/>
        <v>5175.3955592992761</v>
      </c>
      <c r="EE26" s="26">
        <f t="shared" si="43"/>
        <v>5201.2725370957723</v>
      </c>
      <c r="EF26" s="26">
        <f t="shared" si="43"/>
        <v>5227.2788997812504</v>
      </c>
      <c r="EG26" s="26">
        <f t="shared" si="43"/>
        <v>5253.4152942801556</v>
      </c>
      <c r="EH26" s="26">
        <f t="shared" si="43"/>
        <v>5279.6823707515559</v>
      </c>
      <c r="EI26" s="26">
        <f t="shared" si="43"/>
        <v>5306.0807826053133</v>
      </c>
      <c r="EJ26" s="26">
        <f t="shared" si="43"/>
        <v>5332.6111865183393</v>
      </c>
      <c r="EK26" s="26">
        <f t="shared" si="43"/>
        <v>5359.2742424509306</v>
      </c>
      <c r="EL26" s="26">
        <f t="shared" si="43"/>
        <v>5386.0706136631843</v>
      </c>
      <c r="EM26" s="26">
        <f t="shared" si="43"/>
        <v>5413.0009667314998</v>
      </c>
      <c r="EN26" s="26">
        <f t="shared" si="43"/>
        <v>5440.0659715651564</v>
      </c>
      <c r="EO26" s="26">
        <f t="shared" si="43"/>
        <v>5467.266301422982</v>
      </c>
      <c r="EP26" s="26">
        <f t="shared" si="43"/>
        <v>5494.6026329300967</v>
      </c>
      <c r="EQ26" s="26">
        <f t="shared" si="43"/>
        <v>5522.0756460947468</v>
      </c>
      <c r="ER26" s="26">
        <f t="shared" si="43"/>
        <v>5549.6860243252204</v>
      </c>
      <c r="ES26" s="26">
        <f t="shared" ref="ES26:FX26" si="44">ER26*($F$2+1)</f>
        <v>5577.4344544468458</v>
      </c>
      <c r="ET26" s="26">
        <f t="shared" si="44"/>
        <v>5605.3216267190792</v>
      </c>
      <c r="EU26" s="26">
        <f t="shared" si="44"/>
        <v>5633.3482348526741</v>
      </c>
      <c r="EV26" s="26">
        <f t="shared" si="44"/>
        <v>5661.5149760269369</v>
      </c>
      <c r="EW26" s="26">
        <f t="shared" si="44"/>
        <v>5689.8225509070708</v>
      </c>
      <c r="EX26" s="26">
        <f t="shared" si="44"/>
        <v>5718.2716636616051</v>
      </c>
      <c r="EY26" s="26">
        <f t="shared" si="44"/>
        <v>5746.8630219799124</v>
      </c>
      <c r="EZ26" s="26">
        <f t="shared" si="44"/>
        <v>5775.5973370898118</v>
      </c>
      <c r="FA26" s="26">
        <f t="shared" si="44"/>
        <v>5804.4753237752602</v>
      </c>
      <c r="FB26" s="26">
        <f t="shared" si="44"/>
        <v>5833.4977003941358</v>
      </c>
      <c r="FC26" s="26">
        <f t="shared" si="44"/>
        <v>5862.665188896106</v>
      </c>
      <c r="FD26" s="26">
        <f t="shared" si="44"/>
        <v>5891.9785148405863</v>
      </c>
      <c r="FE26" s="26">
        <f t="shared" si="44"/>
        <v>5921.4384074147883</v>
      </c>
      <c r="FF26" s="26">
        <f t="shared" si="44"/>
        <v>5951.0455994518616</v>
      </c>
      <c r="FG26" s="26">
        <f t="shared" si="44"/>
        <v>5980.8008274491203</v>
      </c>
      <c r="FH26" s="26">
        <f t="shared" si="44"/>
        <v>6010.7048315863649</v>
      </c>
      <c r="FI26" s="26">
        <f t="shared" si="44"/>
        <v>6040.7583557442958</v>
      </c>
      <c r="FJ26" s="26">
        <f t="shared" si="44"/>
        <v>6070.9621475230169</v>
      </c>
      <c r="FK26" s="26">
        <f t="shared" si="44"/>
        <v>6101.3169582606315</v>
      </c>
      <c r="FL26" s="26">
        <f t="shared" si="44"/>
        <v>6131.8235430519344</v>
      </c>
      <c r="FM26" s="26">
        <f t="shared" si="44"/>
        <v>6162.482660767193</v>
      </c>
      <c r="FN26" s="26">
        <f t="shared" si="44"/>
        <v>6193.2950740710285</v>
      </c>
      <c r="FO26" s="26">
        <f t="shared" si="44"/>
        <v>6224.2615494413831</v>
      </c>
      <c r="FP26" s="26">
        <f t="shared" si="44"/>
        <v>6255.3828571885897</v>
      </c>
      <c r="FQ26" s="26">
        <f t="shared" si="44"/>
        <v>6286.6597714745321</v>
      </c>
      <c r="FR26" s="26">
        <f t="shared" si="44"/>
        <v>6318.0930703319045</v>
      </c>
      <c r="FS26" s="26">
        <f t="shared" si="44"/>
        <v>6349.6835356835636</v>
      </c>
      <c r="FT26" s="26">
        <f t="shared" si="44"/>
        <v>6381.431953361981</v>
      </c>
      <c r="FU26" s="26">
        <f t="shared" si="44"/>
        <v>6413.3391131287899</v>
      </c>
      <c r="FV26" s="26">
        <f t="shared" si="44"/>
        <v>6445.4058086944333</v>
      </c>
      <c r="FW26" s="26">
        <f t="shared" si="44"/>
        <v>6477.632837737905</v>
      </c>
      <c r="FX26" s="26">
        <f t="shared" si="44"/>
        <v>6510.0210019265942</v>
      </c>
      <c r="FY26" s="26">
        <f t="shared" ref="FY26:GQ26" si="45">FX26*($F$2+1)</f>
        <v>6542.5711069362269</v>
      </c>
      <c r="FZ26" s="26">
        <f t="shared" si="45"/>
        <v>6575.2839624709077</v>
      </c>
      <c r="GA26" s="26">
        <f t="shared" si="45"/>
        <v>6608.1603822832612</v>
      </c>
      <c r="GB26" s="26">
        <f t="shared" si="45"/>
        <v>6641.2011841946769</v>
      </c>
      <c r="GC26" s="26">
        <f t="shared" si="45"/>
        <v>6674.4071901156494</v>
      </c>
      <c r="GD26" s="26">
        <f t="shared" si="45"/>
        <v>6707.7792260662272</v>
      </c>
      <c r="GE26" s="26">
        <f t="shared" si="45"/>
        <v>6741.3181221965579</v>
      </c>
      <c r="GF26" s="26">
        <f t="shared" si="45"/>
        <v>6775.0247128075398</v>
      </c>
      <c r="GG26" s="26">
        <f t="shared" si="45"/>
        <v>6808.8998363715764</v>
      </c>
      <c r="GH26" s="26">
        <f t="shared" si="45"/>
        <v>6842.9443355534331</v>
      </c>
      <c r="GI26" s="26">
        <f t="shared" si="45"/>
        <v>6877.1590572311998</v>
      </c>
      <c r="GJ26" s="26">
        <f t="shared" si="45"/>
        <v>6911.5448525173551</v>
      </c>
      <c r="GK26" s="26">
        <f t="shared" si="45"/>
        <v>6946.102576779941</v>
      </c>
      <c r="GL26" s="26">
        <f t="shared" si="45"/>
        <v>6980.8330896638399</v>
      </c>
      <c r="GM26" s="26">
        <f t="shared" si="45"/>
        <v>7015.737255112158</v>
      </c>
      <c r="GN26" s="26">
        <f t="shared" si="45"/>
        <v>7050.8159413877183</v>
      </c>
      <c r="GO26" s="26">
        <f t="shared" si="45"/>
        <v>7086.0700210946561</v>
      </c>
      <c r="GP26" s="26">
        <f t="shared" si="45"/>
        <v>7121.5003712001289</v>
      </c>
      <c r="GQ26" s="26">
        <f t="shared" si="45"/>
        <v>7157.1078730561285</v>
      </c>
    </row>
    <row r="27" spans="1:199" x14ac:dyDescent="0.15">
      <c r="A27" s="3" t="s">
        <v>16</v>
      </c>
      <c r="B27" s="24"/>
      <c r="C27" s="24"/>
      <c r="D27" s="31">
        <f t="shared" ref="D27:F27" si="46">D26/D28</f>
        <v>-0.97982698716585126</v>
      </c>
      <c r="E27" s="31">
        <f t="shared" si="46"/>
        <v>-0.36875802430557902</v>
      </c>
      <c r="F27" s="51">
        <f t="shared" si="46"/>
        <v>-0.27320017797824864</v>
      </c>
      <c r="G27" s="51">
        <f t="shared" ref="G27" si="47">G26/G28</f>
        <v>-0.22993038723855161</v>
      </c>
      <c r="H27" s="51">
        <f t="shared" ref="H27:O27" si="48">H26/H28</f>
        <v>-0.13183076120091061</v>
      </c>
      <c r="I27" s="51">
        <f t="shared" si="48"/>
        <v>4.3042636269731781E-2</v>
      </c>
      <c r="J27" s="51">
        <f t="shared" si="48"/>
        <v>0.30611820669959028</v>
      </c>
      <c r="K27" s="51">
        <f t="shared" si="48"/>
        <v>0.79408245809494704</v>
      </c>
      <c r="L27" s="51">
        <f t="shared" si="48"/>
        <v>1.4546100062963938</v>
      </c>
      <c r="M27" s="51">
        <f t="shared" si="48"/>
        <v>2.3368783752310405</v>
      </c>
      <c r="N27" s="51">
        <f t="shared" si="48"/>
        <v>3.5031264772375836</v>
      </c>
      <c r="O27" s="51">
        <f t="shared" si="48"/>
        <v>5.0320226310158045</v>
      </c>
      <c r="P27" s="51">
        <f t="shared" ref="P27:T27" si="49">P26/P28</f>
        <v>5.8185225799168947</v>
      </c>
      <c r="Q27" s="51">
        <f t="shared" si="49"/>
        <v>6.6941185459371955</v>
      </c>
      <c r="R27" s="51">
        <f t="shared" si="49"/>
        <v>7.6682813083432428</v>
      </c>
      <c r="S27" s="51">
        <f t="shared" si="49"/>
        <v>8.7514554021635327</v>
      </c>
      <c r="T27" s="51">
        <f t="shared" si="49"/>
        <v>9.9551578450175953</v>
      </c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</row>
    <row r="28" spans="1:199" s="16" customFormat="1" x14ac:dyDescent="0.15">
      <c r="A28" s="16" t="s">
        <v>17</v>
      </c>
      <c r="B28" s="24"/>
      <c r="C28" s="24"/>
      <c r="D28" s="24">
        <f>Reports!I21</f>
        <v>84.617999999999995</v>
      </c>
      <c r="E28" s="24">
        <f>Reports!M21</f>
        <v>294.41800000000001</v>
      </c>
      <c r="F28" s="24">
        <f t="shared" ref="F28" si="50">E28</f>
        <v>294.41800000000001</v>
      </c>
      <c r="G28" s="24">
        <f t="shared" ref="G28" si="51">F28</f>
        <v>294.41800000000001</v>
      </c>
      <c r="H28" s="24">
        <f t="shared" ref="H28" si="52">G28</f>
        <v>294.41800000000001</v>
      </c>
      <c r="I28" s="24">
        <f t="shared" ref="I28" si="53">H28</f>
        <v>294.41800000000001</v>
      </c>
      <c r="J28" s="24">
        <f t="shared" ref="J28" si="54">I28</f>
        <v>294.41800000000001</v>
      </c>
      <c r="K28" s="24">
        <f t="shared" ref="K28" si="55">J28</f>
        <v>294.41800000000001</v>
      </c>
      <c r="L28" s="24">
        <f t="shared" ref="L28" si="56">K28</f>
        <v>294.41800000000001</v>
      </c>
      <c r="M28" s="24">
        <f t="shared" ref="M28" si="57">L28</f>
        <v>294.41800000000001</v>
      </c>
      <c r="N28" s="24">
        <f t="shared" ref="N28" si="58">M28</f>
        <v>294.41800000000001</v>
      </c>
      <c r="O28" s="24">
        <f t="shared" ref="O28:T28" si="59">N28</f>
        <v>294.41800000000001</v>
      </c>
      <c r="P28" s="24">
        <f t="shared" si="59"/>
        <v>294.41800000000001</v>
      </c>
      <c r="Q28" s="24">
        <f t="shared" si="59"/>
        <v>294.41800000000001</v>
      </c>
      <c r="R28" s="24">
        <f t="shared" si="59"/>
        <v>294.41800000000001</v>
      </c>
      <c r="S28" s="24">
        <f t="shared" si="59"/>
        <v>294.41800000000001</v>
      </c>
      <c r="T28" s="24">
        <f t="shared" si="59"/>
        <v>294.41800000000001</v>
      </c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</row>
    <row r="29" spans="1:199" x14ac:dyDescent="0.1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</row>
    <row r="30" spans="1:199" x14ac:dyDescent="0.15">
      <c r="A30" s="3" t="s">
        <v>19</v>
      </c>
      <c r="B30" s="37">
        <f t="shared" ref="B30:O30" si="60">IFERROR(B17/B15,0)</f>
        <v>0.71739925227913337</v>
      </c>
      <c r="C30" s="37">
        <f t="shared" si="60"/>
        <v>0.78597873764032411</v>
      </c>
      <c r="D30" s="37">
        <f>IFERROR(D17/D15,0)</f>
        <v>0.77428052890847809</v>
      </c>
      <c r="E30" s="37">
        <f t="shared" si="60"/>
        <v>0.77844555469615573</v>
      </c>
      <c r="F30" s="37">
        <f t="shared" si="60"/>
        <v>0.77844555469615573</v>
      </c>
      <c r="G30" s="37">
        <f>IFERROR(G17/G15,0)</f>
        <v>0.77844555469615573</v>
      </c>
      <c r="H30" s="37">
        <f t="shared" si="60"/>
        <v>0.77844555469615573</v>
      </c>
      <c r="I30" s="37">
        <f t="shared" si="60"/>
        <v>0.77844555469615573</v>
      </c>
      <c r="J30" s="37">
        <f t="shared" si="60"/>
        <v>0.77844555469615562</v>
      </c>
      <c r="K30" s="37">
        <f t="shared" si="60"/>
        <v>0.77844555469615562</v>
      </c>
      <c r="L30" s="37">
        <f t="shared" si="60"/>
        <v>0.77844555469615562</v>
      </c>
      <c r="M30" s="37">
        <f t="shared" si="60"/>
        <v>0.77844555469615562</v>
      </c>
      <c r="N30" s="37">
        <f t="shared" si="60"/>
        <v>0.77844555469615562</v>
      </c>
      <c r="O30" s="37">
        <f t="shared" si="60"/>
        <v>0.77844555469615562</v>
      </c>
      <c r="P30" s="37">
        <f t="shared" ref="P30:T30" si="61">IFERROR(P17/P15,0)</f>
        <v>0.77844555469615562</v>
      </c>
      <c r="Q30" s="37">
        <f t="shared" si="61"/>
        <v>0.77844555469615562</v>
      </c>
      <c r="R30" s="37">
        <f t="shared" si="61"/>
        <v>0.77844555469615562</v>
      </c>
      <c r="S30" s="37">
        <f t="shared" si="61"/>
        <v>0.77844555469615551</v>
      </c>
      <c r="T30" s="37">
        <f t="shared" si="61"/>
        <v>0.77844555469615551</v>
      </c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</row>
    <row r="31" spans="1:199" x14ac:dyDescent="0.15">
      <c r="A31" s="3" t="s">
        <v>20</v>
      </c>
      <c r="B31" s="39">
        <f t="shared" ref="B31:O31" si="62">IFERROR(B22/B15,0)</f>
        <v>-0.20250970032196822</v>
      </c>
      <c r="C31" s="39">
        <f t="shared" si="62"/>
        <v>-6.1541892796074686E-2</v>
      </c>
      <c r="D31" s="39">
        <f>IFERROR(D22/D15,0)</f>
        <v>-0.43909774436090232</v>
      </c>
      <c r="E31" s="39">
        <f t="shared" si="62"/>
        <v>-0.38174425653782618</v>
      </c>
      <c r="F31" s="39">
        <f>IFERROR(F22/F15,0)</f>
        <v>-0.22388059163553242</v>
      </c>
      <c r="G31" s="39">
        <f t="shared" si="62"/>
        <v>-0.13774911009737872</v>
      </c>
      <c r="H31" s="39">
        <f t="shared" si="62"/>
        <v>-6.1753970345042965E-2</v>
      </c>
      <c r="I31" s="39">
        <f t="shared" si="62"/>
        <v>5.460467155810435E-3</v>
      </c>
      <c r="J31" s="39">
        <f t="shared" si="62"/>
        <v>6.5054526348564845E-2</v>
      </c>
      <c r="K31" s="39">
        <f t="shared" si="62"/>
        <v>0.14196706565054604</v>
      </c>
      <c r="L31" s="39">
        <f t="shared" si="62"/>
        <v>0.20999087102809749</v>
      </c>
      <c r="M31" s="39">
        <f t="shared" si="62"/>
        <v>0.27022209367859351</v>
      </c>
      <c r="N31" s="39">
        <f t="shared" si="62"/>
        <v>0.32361390403924206</v>
      </c>
      <c r="O31" s="39">
        <f t="shared" si="62"/>
        <v>0.3709960180662415</v>
      </c>
      <c r="P31" s="39">
        <f t="shared" ref="P31:T31" si="63">IFERROR(P22/P15,0)</f>
        <v>0.3858873423410073</v>
      </c>
      <c r="Q31" s="39">
        <f t="shared" si="63"/>
        <v>0.3997799042178668</v>
      </c>
      <c r="R31" s="39">
        <f t="shared" si="63"/>
        <v>0.41275421660819162</v>
      </c>
      <c r="S31" s="39">
        <f t="shared" si="63"/>
        <v>0.424883302059685</v>
      </c>
      <c r="T31" s="39">
        <f t="shared" si="63"/>
        <v>0.4362334511204623</v>
      </c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</row>
    <row r="32" spans="1:199" x14ac:dyDescent="0.15">
      <c r="A32" s="3" t="s">
        <v>21</v>
      </c>
      <c r="B32" s="39">
        <f t="shared" ref="B32:O32" si="64">IFERROR(B25/B24,0)</f>
        <v>0</v>
      </c>
      <c r="C32" s="39">
        <f t="shared" si="64"/>
        <v>-0.12080212611741958</v>
      </c>
      <c r="D32" s="39">
        <f>IFERROR(D25/D24,0)</f>
        <v>0</v>
      </c>
      <c r="E32" s="39">
        <f t="shared" si="64"/>
        <v>-9.2963586163299864E-3</v>
      </c>
      <c r="F32" s="39">
        <f t="shared" si="64"/>
        <v>0</v>
      </c>
      <c r="G32" s="39">
        <f t="shared" si="64"/>
        <v>0</v>
      </c>
      <c r="H32" s="39">
        <f t="shared" si="64"/>
        <v>0</v>
      </c>
      <c r="I32" s="39">
        <f t="shared" si="64"/>
        <v>0.15</v>
      </c>
      <c r="J32" s="39">
        <f t="shared" si="64"/>
        <v>0.15</v>
      </c>
      <c r="K32" s="39">
        <f t="shared" si="64"/>
        <v>0.15</v>
      </c>
      <c r="L32" s="39">
        <f t="shared" si="64"/>
        <v>0.15</v>
      </c>
      <c r="M32" s="39">
        <f t="shared" si="64"/>
        <v>0.15</v>
      </c>
      <c r="N32" s="39">
        <f t="shared" si="64"/>
        <v>0.15</v>
      </c>
      <c r="O32" s="39">
        <f t="shared" si="64"/>
        <v>0.15</v>
      </c>
      <c r="P32" s="39">
        <f t="shared" ref="P32:T32" si="65">IFERROR(P25/P24,0)</f>
        <v>0.15</v>
      </c>
      <c r="Q32" s="39">
        <f t="shared" si="65"/>
        <v>0.15</v>
      </c>
      <c r="R32" s="39">
        <f t="shared" si="65"/>
        <v>0.15</v>
      </c>
      <c r="S32" s="39">
        <f t="shared" si="65"/>
        <v>0.15</v>
      </c>
      <c r="T32" s="39">
        <f t="shared" si="65"/>
        <v>0.15</v>
      </c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</row>
    <row r="33" spans="1:116" x14ac:dyDescent="0.15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</row>
    <row r="34" spans="1:116" x14ac:dyDescent="0.15">
      <c r="A34" s="2" t="s">
        <v>18</v>
      </c>
      <c r="B34" s="52"/>
      <c r="C34" s="52">
        <f t="shared" ref="C34:T34" si="66">C15/B15-1</f>
        <v>0.58637119505607904</v>
      </c>
      <c r="D34" s="52">
        <f t="shared" si="66"/>
        <v>0.43372239982157468</v>
      </c>
      <c r="E34" s="52">
        <f>E15/D15-1</f>
        <v>0.48831734508685543</v>
      </c>
      <c r="F34" s="52">
        <f t="shared" si="66"/>
        <v>0.44999999999999996</v>
      </c>
      <c r="G34" s="52">
        <f t="shared" si="66"/>
        <v>0.37500000000000022</v>
      </c>
      <c r="H34" s="52">
        <f t="shared" si="66"/>
        <v>0.37500000000000022</v>
      </c>
      <c r="I34" s="52">
        <f t="shared" si="66"/>
        <v>0.375</v>
      </c>
      <c r="J34" s="52">
        <f t="shared" si="66"/>
        <v>0.37500000000000022</v>
      </c>
      <c r="K34" s="52">
        <f t="shared" si="66"/>
        <v>0.25</v>
      </c>
      <c r="L34" s="52">
        <f t="shared" si="66"/>
        <v>0.25</v>
      </c>
      <c r="M34" s="52">
        <f t="shared" si="66"/>
        <v>0.25</v>
      </c>
      <c r="N34" s="52">
        <f t="shared" si="66"/>
        <v>0.25</v>
      </c>
      <c r="O34" s="52">
        <f t="shared" si="66"/>
        <v>0.25</v>
      </c>
      <c r="P34" s="52">
        <f t="shared" si="66"/>
        <v>0.10000000000000009</v>
      </c>
      <c r="Q34" s="52">
        <f t="shared" si="66"/>
        <v>0.10000000000000009</v>
      </c>
      <c r="R34" s="52">
        <f t="shared" si="66"/>
        <v>0.10000000000000009</v>
      </c>
      <c r="S34" s="52">
        <f t="shared" si="66"/>
        <v>0.10000000000000009</v>
      </c>
      <c r="T34" s="52">
        <f t="shared" si="66"/>
        <v>0.10000000000000009</v>
      </c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</row>
    <row r="35" spans="1:116" x14ac:dyDescent="0.15">
      <c r="A35" s="3" t="s">
        <v>34</v>
      </c>
      <c r="B35" s="39"/>
      <c r="C35" s="39">
        <f t="shared" ref="C35:T35" si="67">C18/B18-1</f>
        <v>0.33333333333333326</v>
      </c>
      <c r="D35" s="39">
        <f t="shared" si="67"/>
        <v>0.6875</v>
      </c>
      <c r="E35" s="39">
        <f t="shared" si="67"/>
        <v>0.68518518518518512</v>
      </c>
      <c r="F35" s="39">
        <f t="shared" si="67"/>
        <v>0.35000000000000009</v>
      </c>
      <c r="G35" s="39">
        <f t="shared" si="67"/>
        <v>0.35000000000000009</v>
      </c>
      <c r="H35" s="39">
        <f t="shared" si="67"/>
        <v>0.35000000000000009</v>
      </c>
      <c r="I35" s="39">
        <f t="shared" si="67"/>
        <v>0.35000000000000009</v>
      </c>
      <c r="J35" s="39">
        <f t="shared" si="67"/>
        <v>0.35000000000000009</v>
      </c>
      <c r="K35" s="39">
        <f t="shared" si="67"/>
        <v>0.10000000000000009</v>
      </c>
      <c r="L35" s="39">
        <f t="shared" si="67"/>
        <v>0.10000000000000009</v>
      </c>
      <c r="M35" s="39">
        <f t="shared" si="67"/>
        <v>0.10000000000000009</v>
      </c>
      <c r="N35" s="39">
        <f t="shared" si="67"/>
        <v>0.10000000000000009</v>
      </c>
      <c r="O35" s="39">
        <f t="shared" si="67"/>
        <v>0.10000000000000009</v>
      </c>
      <c r="P35" s="39">
        <f t="shared" si="67"/>
        <v>0.10000000000000009</v>
      </c>
      <c r="Q35" s="39">
        <f t="shared" si="67"/>
        <v>0.10000000000000009</v>
      </c>
      <c r="R35" s="39">
        <f t="shared" si="67"/>
        <v>0.10000000000000009</v>
      </c>
      <c r="S35" s="39">
        <f t="shared" si="67"/>
        <v>0.10000000000000009</v>
      </c>
      <c r="T35" s="39">
        <f t="shared" si="67"/>
        <v>0.10000000000000009</v>
      </c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</row>
    <row r="36" spans="1:116" x14ac:dyDescent="0.15">
      <c r="A36" s="3" t="s">
        <v>35</v>
      </c>
      <c r="B36" s="39"/>
      <c r="C36" s="39">
        <f t="shared" ref="C36:T36" si="68">C19/B19-1</f>
        <v>0.55000000000000004</v>
      </c>
      <c r="D36" s="39">
        <f t="shared" si="68"/>
        <v>0.5161290322580645</v>
      </c>
      <c r="E36" s="39">
        <f t="shared" si="68"/>
        <v>0.7021276595744681</v>
      </c>
      <c r="F36" s="39">
        <f t="shared" si="68"/>
        <v>0.25</v>
      </c>
      <c r="G36" s="39">
        <f t="shared" si="68"/>
        <v>0.25</v>
      </c>
      <c r="H36" s="39">
        <f t="shared" si="68"/>
        <v>0.25</v>
      </c>
      <c r="I36" s="39">
        <f t="shared" si="68"/>
        <v>0.25</v>
      </c>
      <c r="J36" s="39">
        <f t="shared" si="68"/>
        <v>0.25</v>
      </c>
      <c r="K36" s="39">
        <f t="shared" si="68"/>
        <v>0.14999999999999991</v>
      </c>
      <c r="L36" s="39">
        <f t="shared" si="68"/>
        <v>0.14999999999999991</v>
      </c>
      <c r="M36" s="39">
        <f t="shared" si="68"/>
        <v>0.14999999999999991</v>
      </c>
      <c r="N36" s="39">
        <f t="shared" si="68"/>
        <v>0.14999999999999991</v>
      </c>
      <c r="O36" s="39">
        <f t="shared" si="68"/>
        <v>0.14999999999999991</v>
      </c>
      <c r="P36" s="39">
        <f t="shared" si="68"/>
        <v>5.0000000000000044E-2</v>
      </c>
      <c r="Q36" s="39">
        <f t="shared" si="68"/>
        <v>5.0000000000000044E-2</v>
      </c>
      <c r="R36" s="39">
        <f t="shared" si="68"/>
        <v>5.0000000000000044E-2</v>
      </c>
      <c r="S36" s="39">
        <f t="shared" si="68"/>
        <v>5.0000000000000044E-2</v>
      </c>
      <c r="T36" s="39">
        <f t="shared" si="68"/>
        <v>5.0000000000000044E-2</v>
      </c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</row>
    <row r="37" spans="1:116" x14ac:dyDescent="0.15">
      <c r="A37" s="3" t="s">
        <v>36</v>
      </c>
      <c r="B37" s="39"/>
      <c r="C37" s="39">
        <f>C20/B20-1</f>
        <v>0.4285714285714286</v>
      </c>
      <c r="D37" s="39">
        <f t="shared" ref="D37:T37" si="69">D20/C20-1</f>
        <v>3.3</v>
      </c>
      <c r="E37" s="39">
        <f t="shared" si="69"/>
        <v>-4.6511627906976716E-2</v>
      </c>
      <c r="F37" s="39">
        <f t="shared" si="69"/>
        <v>0.14999999999999991</v>
      </c>
      <c r="G37" s="39">
        <f t="shared" si="69"/>
        <v>0.14999999999999991</v>
      </c>
      <c r="H37" s="39">
        <f t="shared" si="69"/>
        <v>0.14999999999999991</v>
      </c>
      <c r="I37" s="39">
        <f t="shared" si="69"/>
        <v>0.14999999999999991</v>
      </c>
      <c r="J37" s="39">
        <f t="shared" si="69"/>
        <v>0.14999999999999991</v>
      </c>
      <c r="K37" s="39">
        <f t="shared" si="69"/>
        <v>5.0000000000000044E-2</v>
      </c>
      <c r="L37" s="39">
        <f t="shared" si="69"/>
        <v>5.0000000000000044E-2</v>
      </c>
      <c r="M37" s="39">
        <f t="shared" si="69"/>
        <v>5.0000000000000044E-2</v>
      </c>
      <c r="N37" s="39">
        <f t="shared" si="69"/>
        <v>5.0000000000000044E-2</v>
      </c>
      <c r="O37" s="39">
        <f t="shared" si="69"/>
        <v>5.0000000000000044E-2</v>
      </c>
      <c r="P37" s="39">
        <f t="shared" si="69"/>
        <v>-2.0000000000000018E-2</v>
      </c>
      <c r="Q37" s="39">
        <f t="shared" si="69"/>
        <v>-2.0000000000000018E-2</v>
      </c>
      <c r="R37" s="39">
        <f t="shared" si="69"/>
        <v>-1.9999999999999907E-2</v>
      </c>
      <c r="S37" s="39">
        <f t="shared" si="69"/>
        <v>-2.0000000000000018E-2</v>
      </c>
      <c r="T37" s="39">
        <f t="shared" si="69"/>
        <v>-2.0000000000000018E-2</v>
      </c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</row>
    <row r="38" spans="1:116" x14ac:dyDescent="0.15">
      <c r="A38" s="6" t="s">
        <v>64</v>
      </c>
      <c r="B38" s="48"/>
      <c r="C38" s="48">
        <f>C21/B21-1</f>
        <v>0.46153846153846145</v>
      </c>
      <c r="D38" s="48">
        <f>D21/C21-1</f>
        <v>1.0526315789473686</v>
      </c>
      <c r="E38" s="48">
        <f t="shared" ref="E38:T38" si="70">E21/D21-1</f>
        <v>0.42307692307692313</v>
      </c>
      <c r="F38" s="48">
        <f t="shared" si="70"/>
        <v>0.2527027027027029</v>
      </c>
      <c r="G38" s="48">
        <f t="shared" si="70"/>
        <v>0.25684406088936829</v>
      </c>
      <c r="H38" s="48">
        <f t="shared" si="70"/>
        <v>0.26094856401722311</v>
      </c>
      <c r="I38" s="48">
        <f t="shared" si="70"/>
        <v>0.26500249487270122</v>
      </c>
      <c r="J38" s="48">
        <f t="shared" si="70"/>
        <v>0.26899299842798019</v>
      </c>
      <c r="K38" s="48">
        <f>K21/J21-1</f>
        <v>0.11523425399648679</v>
      </c>
      <c r="L38" s="48">
        <f t="shared" si="70"/>
        <v>0.1164059222968552</v>
      </c>
      <c r="M38" s="48">
        <f t="shared" si="70"/>
        <v>0.11755491602724799</v>
      </c>
      <c r="N38" s="48">
        <f t="shared" si="70"/>
        <v>0.11868027930630221</v>
      </c>
      <c r="O38" s="48">
        <f t="shared" si="70"/>
        <v>0.11978117629191631</v>
      </c>
      <c r="P38" s="48">
        <f t="shared" si="70"/>
        <v>5.9797581713485481E-2</v>
      </c>
      <c r="Q38" s="48">
        <f t="shared" si="70"/>
        <v>6.1071205279690233E-2</v>
      </c>
      <c r="R38" s="48">
        <f t="shared" si="70"/>
        <v>6.2310435046509127E-2</v>
      </c>
      <c r="S38" s="48">
        <f t="shared" si="70"/>
        <v>6.3515695869631239E-2</v>
      </c>
      <c r="T38" s="48">
        <f t="shared" si="70"/>
        <v>6.4687508709556196E-2</v>
      </c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</row>
    <row r="39" spans="1:116" x14ac:dyDescent="0.15"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</row>
    <row r="40" spans="1:116" x14ac:dyDescent="0.15">
      <c r="A40" s="2" t="s">
        <v>22</v>
      </c>
      <c r="B40" s="48"/>
      <c r="C40" s="48"/>
      <c r="D40" s="26">
        <f>D41-D42</f>
        <v>151</v>
      </c>
      <c r="E40" s="26">
        <f>E41-E42</f>
        <v>637</v>
      </c>
      <c r="F40" s="53">
        <f>E40+F26</f>
        <v>556.56494999999995</v>
      </c>
      <c r="G40" s="53">
        <f>F40+G26</f>
        <v>488.86930525000008</v>
      </c>
      <c r="H40" s="53">
        <f t="shared" ref="H40:T40" si="71">G40+H26</f>
        <v>450.05595619875038</v>
      </c>
      <c r="I40" s="53">
        <f t="shared" si="71"/>
        <v>462.72848308401228</v>
      </c>
      <c r="J40" s="53">
        <f t="shared" si="71"/>
        <v>552.85519326409224</v>
      </c>
      <c r="K40" s="53">
        <f t="shared" si="71"/>
        <v>786.64736241149035</v>
      </c>
      <c r="L40" s="53">
        <f t="shared" si="71"/>
        <v>1214.910731245262</v>
      </c>
      <c r="M40" s="53">
        <f t="shared" si="71"/>
        <v>1902.9297887240346</v>
      </c>
      <c r="N40" s="53">
        <f t="shared" si="71"/>
        <v>2934.3132798993693</v>
      </c>
      <c r="O40" s="53">
        <f t="shared" si="71"/>
        <v>4415.8313188777802</v>
      </c>
      <c r="P40" s="53">
        <f t="shared" si="71"/>
        <v>6128.9090998117526</v>
      </c>
      <c r="Q40" s="53">
        <f t="shared" si="71"/>
        <v>8099.7780938694896</v>
      </c>
      <c r="R40" s="53">
        <f t="shared" si="71"/>
        <v>10357.458140109291</v>
      </c>
      <c r="S40" s="53">
        <f t="shared" si="71"/>
        <v>12934.044136703475</v>
      </c>
      <c r="T40" s="53">
        <f t="shared" si="71"/>
        <v>15865.021799117865</v>
      </c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</row>
    <row r="41" spans="1:116" x14ac:dyDescent="0.15">
      <c r="A41" s="3" t="s">
        <v>23</v>
      </c>
      <c r="B41" s="48"/>
      <c r="C41" s="48"/>
      <c r="D41" s="54">
        <f>Reports!I34</f>
        <v>151</v>
      </c>
      <c r="E41" s="54">
        <f>Reports!M34</f>
        <v>637</v>
      </c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</row>
    <row r="42" spans="1:116" x14ac:dyDescent="0.15">
      <c r="A42" s="3" t="s">
        <v>24</v>
      </c>
      <c r="B42" s="48"/>
      <c r="C42" s="48"/>
      <c r="D42" s="54">
        <f>Reports!I35</f>
        <v>0</v>
      </c>
      <c r="E42" s="54">
        <f>Reports!M35</f>
        <v>0</v>
      </c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</row>
    <row r="43" spans="1:116" x14ac:dyDescent="0.15">
      <c r="B43" s="48"/>
      <c r="C43" s="48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</row>
    <row r="44" spans="1:116" x14ac:dyDescent="0.15">
      <c r="A44" s="3" t="s">
        <v>48</v>
      </c>
      <c r="B44" s="48"/>
      <c r="C44" s="48"/>
      <c r="D44" s="54">
        <f>Reports!I37</f>
        <v>4</v>
      </c>
      <c r="E44" s="54">
        <f>Reports!M37</f>
        <v>4</v>
      </c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  <c r="BL44" s="41"/>
      <c r="BM44" s="41"/>
      <c r="BN44" s="41"/>
      <c r="BO44" s="41"/>
      <c r="BP44" s="41"/>
      <c r="BQ44" s="41"/>
      <c r="BR44" s="41"/>
      <c r="BS44" s="41"/>
      <c r="BT44" s="41"/>
      <c r="BU44" s="41"/>
      <c r="BV44" s="41"/>
      <c r="BW44" s="41"/>
      <c r="BX44" s="41"/>
      <c r="BY44" s="41"/>
      <c r="BZ44" s="41"/>
      <c r="CA44" s="41"/>
      <c r="CB44" s="41"/>
      <c r="CC44" s="41"/>
      <c r="CD44" s="41"/>
      <c r="CE44" s="41"/>
      <c r="CF44" s="41"/>
      <c r="CG44" s="41"/>
      <c r="CH44" s="41"/>
      <c r="CI44" s="41"/>
      <c r="CJ44" s="41"/>
      <c r="CK44" s="41"/>
      <c r="CL44" s="41"/>
      <c r="CM44" s="41"/>
      <c r="CN44" s="41"/>
      <c r="CO44" s="41"/>
      <c r="CP44" s="41"/>
      <c r="CQ44" s="41"/>
      <c r="CR44" s="41"/>
      <c r="CS44" s="41"/>
      <c r="CT44" s="41"/>
      <c r="CU44" s="41"/>
      <c r="CV44" s="41"/>
      <c r="CW44" s="41"/>
      <c r="CX44" s="41"/>
      <c r="CY44" s="41"/>
      <c r="CZ44" s="41"/>
      <c r="DA44" s="41"/>
      <c r="DB44" s="41"/>
      <c r="DC44" s="41"/>
      <c r="DD44" s="41"/>
      <c r="DE44" s="41"/>
      <c r="DF44" s="41"/>
      <c r="DG44" s="41"/>
      <c r="DH44" s="41"/>
      <c r="DI44" s="41"/>
      <c r="DJ44" s="41"/>
      <c r="DK44" s="41"/>
      <c r="DL44" s="41"/>
    </row>
    <row r="45" spans="1:116" x14ac:dyDescent="0.15">
      <c r="A45" s="3" t="s">
        <v>49</v>
      </c>
      <c r="B45" s="48"/>
      <c r="C45" s="48"/>
      <c r="D45" s="54">
        <f>Reports!I38</f>
        <v>298</v>
      </c>
      <c r="E45" s="54">
        <f>Reports!M38</f>
        <v>831</v>
      </c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  <c r="AM45" s="41"/>
      <c r="AN45" s="41"/>
      <c r="AO45" s="41"/>
      <c r="AP45" s="41"/>
      <c r="AQ45" s="41"/>
      <c r="AR45" s="41"/>
      <c r="AS45" s="41"/>
      <c r="AT45" s="41"/>
      <c r="AU45" s="41"/>
      <c r="AV45" s="41"/>
      <c r="AW45" s="41"/>
      <c r="AX45" s="41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  <c r="BL45" s="41"/>
      <c r="BM45" s="41"/>
      <c r="BN45" s="41"/>
      <c r="BO45" s="41"/>
      <c r="BP45" s="41"/>
      <c r="BQ45" s="41"/>
      <c r="BR45" s="41"/>
      <c r="BS45" s="41"/>
      <c r="BT45" s="41"/>
      <c r="BU45" s="41"/>
      <c r="BV45" s="41"/>
      <c r="BW45" s="41"/>
      <c r="BX45" s="41"/>
      <c r="BY45" s="41"/>
      <c r="BZ45" s="41"/>
      <c r="CA45" s="41"/>
      <c r="CB45" s="41"/>
      <c r="CC45" s="41"/>
      <c r="CD45" s="41"/>
      <c r="CE45" s="41"/>
      <c r="CF45" s="41"/>
      <c r="CG45" s="41"/>
      <c r="CH45" s="41"/>
      <c r="CI45" s="41"/>
      <c r="CJ45" s="41"/>
      <c r="CK45" s="41"/>
      <c r="CL45" s="41"/>
      <c r="CM45" s="41"/>
      <c r="CN45" s="41"/>
      <c r="CO45" s="41"/>
      <c r="CP45" s="41"/>
      <c r="CQ45" s="41"/>
      <c r="CR45" s="41"/>
      <c r="CS45" s="41"/>
      <c r="CT45" s="41"/>
      <c r="CU45" s="41"/>
      <c r="CV45" s="41"/>
      <c r="CW45" s="41"/>
      <c r="CX45" s="41"/>
      <c r="CY45" s="41"/>
      <c r="CZ45" s="41"/>
      <c r="DA45" s="41"/>
      <c r="DB45" s="41"/>
      <c r="DC45" s="41"/>
      <c r="DD45" s="41"/>
      <c r="DE45" s="41"/>
      <c r="DF45" s="41"/>
      <c r="DG45" s="41"/>
      <c r="DH45" s="41"/>
      <c r="DI45" s="41"/>
      <c r="DJ45" s="41"/>
      <c r="DK45" s="41"/>
      <c r="DL45" s="41"/>
    </row>
    <row r="46" spans="1:116" x14ac:dyDescent="0.15">
      <c r="A46" s="3" t="s">
        <v>50</v>
      </c>
      <c r="B46" s="48"/>
      <c r="C46" s="48"/>
      <c r="D46" s="54">
        <f>Reports!I39</f>
        <v>80</v>
      </c>
      <c r="E46" s="54">
        <f>Reports!M39</f>
        <v>105</v>
      </c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  <c r="AM46" s="41"/>
      <c r="AN46" s="41"/>
      <c r="AO46" s="41"/>
      <c r="AP46" s="41"/>
      <c r="AQ46" s="41"/>
      <c r="AR46" s="41"/>
      <c r="AS46" s="41"/>
      <c r="AT46" s="41"/>
      <c r="AU46" s="41"/>
      <c r="AV46" s="41"/>
      <c r="AW46" s="41"/>
      <c r="AX46" s="41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  <c r="BL46" s="41"/>
      <c r="BM46" s="41"/>
      <c r="BN46" s="41"/>
      <c r="BO46" s="41"/>
      <c r="BP46" s="41"/>
      <c r="BQ46" s="41"/>
      <c r="BR46" s="41"/>
      <c r="BS46" s="41"/>
      <c r="BT46" s="41"/>
      <c r="BU46" s="41"/>
      <c r="BV46" s="41"/>
      <c r="BW46" s="41"/>
      <c r="BX46" s="41"/>
      <c r="BY46" s="41"/>
      <c r="BZ46" s="41"/>
      <c r="CA46" s="41"/>
      <c r="CB46" s="41"/>
      <c r="CC46" s="41"/>
      <c r="CD46" s="41"/>
      <c r="CE46" s="41"/>
      <c r="CF46" s="41"/>
      <c r="CG46" s="41"/>
      <c r="CH46" s="41"/>
      <c r="CI46" s="41"/>
      <c r="CJ46" s="41"/>
      <c r="CK46" s="41"/>
      <c r="CL46" s="41"/>
      <c r="CM46" s="41"/>
      <c r="CN46" s="41"/>
      <c r="CO46" s="41"/>
      <c r="CP46" s="41"/>
      <c r="CQ46" s="41"/>
      <c r="CR46" s="41"/>
      <c r="CS46" s="41"/>
      <c r="CT46" s="41"/>
      <c r="CU46" s="41"/>
      <c r="CV46" s="41"/>
      <c r="CW46" s="41"/>
      <c r="CX46" s="41"/>
      <c r="CY46" s="41"/>
      <c r="CZ46" s="41"/>
      <c r="DA46" s="41"/>
      <c r="DB46" s="41"/>
      <c r="DC46" s="41"/>
      <c r="DD46" s="41"/>
      <c r="DE46" s="41"/>
      <c r="DF46" s="41"/>
      <c r="DG46" s="41"/>
      <c r="DH46" s="41"/>
      <c r="DI46" s="41"/>
      <c r="DJ46" s="41"/>
      <c r="DK46" s="41"/>
      <c r="DL46" s="41"/>
    </row>
    <row r="47" spans="1:116" x14ac:dyDescent="0.15">
      <c r="B47" s="48"/>
      <c r="C47" s="48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</row>
    <row r="48" spans="1:116" x14ac:dyDescent="0.15">
      <c r="A48" s="3" t="s">
        <v>51</v>
      </c>
      <c r="B48" s="48"/>
      <c r="C48" s="48"/>
      <c r="D48" s="57">
        <f>D45-D44-D41</f>
        <v>143</v>
      </c>
      <c r="E48" s="57">
        <f>E45-E44-E41</f>
        <v>190</v>
      </c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  <c r="BL48" s="41"/>
      <c r="BM48" s="41"/>
      <c r="BN48" s="41"/>
      <c r="BO48" s="41"/>
      <c r="BP48" s="41"/>
      <c r="BQ48" s="41"/>
      <c r="BR48" s="41"/>
      <c r="BS48" s="41"/>
      <c r="BT48" s="41"/>
      <c r="BU48" s="41"/>
      <c r="BV48" s="41"/>
      <c r="BW48" s="41"/>
      <c r="BX48" s="41"/>
      <c r="BY48" s="41"/>
      <c r="BZ48" s="41"/>
      <c r="CA48" s="41"/>
      <c r="CB48" s="41"/>
      <c r="CC48" s="41"/>
      <c r="CD48" s="41"/>
      <c r="CE48" s="41"/>
      <c r="CF48" s="41"/>
      <c r="CG48" s="41"/>
      <c r="CH48" s="41"/>
      <c r="CI48" s="41"/>
      <c r="CJ48" s="41"/>
      <c r="CK48" s="41"/>
      <c r="CL48" s="41"/>
      <c r="CM48" s="41"/>
      <c r="CN48" s="41"/>
      <c r="CO48" s="41"/>
      <c r="CP48" s="41"/>
      <c r="CQ48" s="41"/>
      <c r="CR48" s="41"/>
      <c r="CS48" s="41"/>
      <c r="CT48" s="41"/>
      <c r="CU48" s="41"/>
      <c r="CV48" s="41"/>
      <c r="CW48" s="41"/>
      <c r="CX48" s="41"/>
      <c r="CY48" s="41"/>
      <c r="CZ48" s="41"/>
      <c r="DA48" s="41"/>
      <c r="DB48" s="41"/>
      <c r="DC48" s="41"/>
      <c r="DD48" s="41"/>
      <c r="DE48" s="41"/>
      <c r="DF48" s="41"/>
      <c r="DG48" s="41"/>
      <c r="DH48" s="41"/>
      <c r="DI48" s="41"/>
      <c r="DJ48" s="41"/>
      <c r="DK48" s="41"/>
      <c r="DL48" s="41"/>
    </row>
    <row r="49" spans="1:116" x14ac:dyDescent="0.15">
      <c r="A49" s="3" t="s">
        <v>52</v>
      </c>
      <c r="B49" s="48"/>
      <c r="C49" s="48"/>
      <c r="D49" s="57">
        <f>D45-D46</f>
        <v>218</v>
      </c>
      <c r="E49" s="57">
        <f>E45-E46</f>
        <v>726</v>
      </c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1"/>
      <c r="AZ49" s="41"/>
      <c r="BA49" s="41"/>
      <c r="BB49" s="41"/>
      <c r="BC49" s="41"/>
      <c r="BD49" s="41"/>
      <c r="BE49" s="41"/>
      <c r="BF49" s="41"/>
      <c r="BG49" s="41"/>
      <c r="BH49" s="41"/>
      <c r="BI49" s="41"/>
      <c r="BJ49" s="41"/>
      <c r="BK49" s="41"/>
      <c r="BL49" s="41"/>
      <c r="BM49" s="41"/>
      <c r="BN49" s="41"/>
      <c r="BO49" s="41"/>
      <c r="BP49" s="41"/>
      <c r="BQ49" s="41"/>
      <c r="BR49" s="41"/>
      <c r="BS49" s="41"/>
      <c r="BT49" s="41"/>
      <c r="BU49" s="41"/>
      <c r="BV49" s="41"/>
      <c r="BW49" s="41"/>
      <c r="BX49" s="41"/>
      <c r="BY49" s="41"/>
      <c r="BZ49" s="41"/>
      <c r="CA49" s="41"/>
      <c r="CB49" s="41"/>
      <c r="CC49" s="41"/>
      <c r="CD49" s="41"/>
      <c r="CE49" s="41"/>
      <c r="CF49" s="41"/>
      <c r="CG49" s="41"/>
      <c r="CH49" s="41"/>
      <c r="CI49" s="41"/>
      <c r="CJ49" s="41"/>
      <c r="CK49" s="41"/>
      <c r="CL49" s="41"/>
      <c r="CM49" s="41"/>
      <c r="CN49" s="41"/>
      <c r="CO49" s="41"/>
      <c r="CP49" s="41"/>
      <c r="CQ49" s="41"/>
      <c r="CR49" s="41"/>
      <c r="CS49" s="41"/>
      <c r="CT49" s="41"/>
      <c r="CU49" s="41"/>
      <c r="CV49" s="41"/>
      <c r="CW49" s="41"/>
      <c r="CX49" s="41"/>
      <c r="CY49" s="41"/>
      <c r="CZ49" s="41"/>
      <c r="DA49" s="41"/>
      <c r="DB49" s="41"/>
      <c r="DC49" s="41"/>
      <c r="DD49" s="41"/>
      <c r="DE49" s="41"/>
      <c r="DF49" s="41"/>
      <c r="DG49" s="41"/>
      <c r="DH49" s="41"/>
      <c r="DI49" s="41"/>
      <c r="DJ49" s="41"/>
      <c r="DK49" s="41"/>
      <c r="DL49" s="41"/>
    </row>
    <row r="50" spans="1:116" x14ac:dyDescent="0.15">
      <c r="B50" s="48"/>
      <c r="C50" s="48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</row>
    <row r="51" spans="1:116" x14ac:dyDescent="0.15">
      <c r="A51" s="19" t="s">
        <v>54</v>
      </c>
      <c r="B51" s="48"/>
      <c r="C51" s="48"/>
      <c r="D51" s="58">
        <f>D26/D49</f>
        <v>-0.38032568807339451</v>
      </c>
      <c r="E51" s="58">
        <f>E26/E49</f>
        <v>-0.14954407713498616</v>
      </c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</row>
    <row r="52" spans="1:116" x14ac:dyDescent="0.15">
      <c r="A52" s="19" t="s">
        <v>55</v>
      </c>
      <c r="B52" s="48"/>
      <c r="C52" s="48"/>
      <c r="D52" s="58">
        <f>D26/D45</f>
        <v>-0.27822483221476513</v>
      </c>
      <c r="E52" s="58">
        <f>E26/E45</f>
        <v>-0.13064861612515039</v>
      </c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</row>
    <row r="53" spans="1:116" x14ac:dyDescent="0.15">
      <c r="A53" s="19" t="s">
        <v>56</v>
      </c>
      <c r="B53" s="48"/>
      <c r="C53" s="48"/>
      <c r="D53" s="58">
        <f>D26/(D49-D44)</f>
        <v>-0.38743457943925236</v>
      </c>
      <c r="E53" s="58">
        <f>E26/(E49-E44)</f>
        <v>-0.15037257617728525</v>
      </c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</row>
    <row r="54" spans="1:116" x14ac:dyDescent="0.15">
      <c r="A54" s="19" t="s">
        <v>57</v>
      </c>
      <c r="B54" s="48"/>
      <c r="C54" s="48"/>
      <c r="D54" s="58">
        <f>D26/D48</f>
        <v>-0.57979720279720282</v>
      </c>
      <c r="E54" s="58">
        <f>E26/E48</f>
        <v>-0.57141578947368399</v>
      </c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</row>
    <row r="55" spans="1:116" x14ac:dyDescent="0.15">
      <c r="B55" s="48"/>
      <c r="C55" s="48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</row>
    <row r="56" spans="1:116" x14ac:dyDescent="0.15">
      <c r="A56" s="6" t="s">
        <v>63</v>
      </c>
      <c r="B56" s="58"/>
      <c r="C56" s="58">
        <f t="shared" ref="C56:J56" si="72">C10/B10-1</f>
        <v>0.58637119505607904</v>
      </c>
      <c r="D56" s="58">
        <f t="shared" si="72"/>
        <v>0.43372239982157468</v>
      </c>
      <c r="E56" s="58">
        <f t="shared" si="72"/>
        <v>0.48831734508685543</v>
      </c>
      <c r="F56" s="58">
        <f t="shared" si="72"/>
        <v>0.44999999999999996</v>
      </c>
      <c r="G56" s="58">
        <f t="shared" si="72"/>
        <v>0.44999999999999973</v>
      </c>
      <c r="H56" s="58">
        <f t="shared" si="72"/>
        <v>0.44999999999999996</v>
      </c>
      <c r="I56" s="58">
        <f t="shared" si="72"/>
        <v>0.44999999999999996</v>
      </c>
      <c r="J56" s="58">
        <f t="shared" si="72"/>
        <v>0.44999999999999996</v>
      </c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</row>
    <row r="57" spans="1:116" x14ac:dyDescent="0.15"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</row>
    <row r="58" spans="1:116" s="20" customFormat="1" x14ac:dyDescent="0.15">
      <c r="A58" s="20" t="s">
        <v>82</v>
      </c>
      <c r="B58" s="58"/>
      <c r="C58" s="58"/>
      <c r="D58" s="58"/>
      <c r="E58" s="58">
        <f>E12/D12-1</f>
        <v>0.22066598918982594</v>
      </c>
      <c r="F58" s="58">
        <f t="shared" ref="F58:J58" si="73">F12/E12-1</f>
        <v>0.25</v>
      </c>
      <c r="G58" s="58">
        <f t="shared" si="73"/>
        <v>0.25</v>
      </c>
      <c r="H58" s="58">
        <f t="shared" si="73"/>
        <v>0.25</v>
      </c>
      <c r="I58" s="58">
        <f t="shared" si="73"/>
        <v>0.25</v>
      </c>
      <c r="J58" s="58">
        <f t="shared" si="73"/>
        <v>0.25</v>
      </c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  <c r="CE58" s="58"/>
      <c r="CF58" s="58"/>
      <c r="CG58" s="58"/>
      <c r="CH58" s="58"/>
      <c r="CI58" s="58"/>
      <c r="CJ58" s="58"/>
      <c r="CK58" s="58"/>
      <c r="CL58" s="58"/>
      <c r="CM58" s="58"/>
      <c r="CN58" s="58"/>
      <c r="CO58" s="58"/>
      <c r="CP58" s="58"/>
      <c r="CQ58" s="58"/>
      <c r="CR58" s="58"/>
      <c r="CS58" s="58"/>
      <c r="CT58" s="58"/>
      <c r="CU58" s="58"/>
      <c r="CV58" s="58"/>
      <c r="CW58" s="58"/>
      <c r="CX58" s="58"/>
      <c r="CY58" s="58"/>
      <c r="CZ58" s="58"/>
      <c r="DA58" s="58"/>
      <c r="DB58" s="58"/>
      <c r="DC58" s="58"/>
      <c r="DD58" s="58"/>
      <c r="DE58" s="58"/>
      <c r="DF58" s="58"/>
      <c r="DG58" s="58"/>
      <c r="DH58" s="58"/>
      <c r="DI58" s="58"/>
      <c r="DJ58" s="58"/>
      <c r="DK58" s="58"/>
      <c r="DL58" s="58"/>
    </row>
    <row r="59" spans="1:116" s="20" customFormat="1" x14ac:dyDescent="0.15">
      <c r="A59" s="20" t="s">
        <v>61</v>
      </c>
      <c r="B59" s="58"/>
      <c r="C59" s="58"/>
      <c r="D59" s="58"/>
      <c r="E59" s="58">
        <f>E13/D13-1</f>
        <v>0.21926666120571903</v>
      </c>
      <c r="F59" s="58">
        <f t="shared" ref="F59:J59" si="74">F13/E13-1</f>
        <v>0.15999999999999992</v>
      </c>
      <c r="G59" s="58">
        <f t="shared" si="74"/>
        <v>0.10000000000000009</v>
      </c>
      <c r="H59" s="58">
        <f t="shared" si="74"/>
        <v>0.10000000000000009</v>
      </c>
      <c r="I59" s="58">
        <f t="shared" si="74"/>
        <v>0.10000000000000009</v>
      </c>
      <c r="J59" s="58">
        <f t="shared" si="74"/>
        <v>0.10000000000000009</v>
      </c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  <c r="CE59" s="58"/>
      <c r="CF59" s="58"/>
      <c r="CG59" s="58"/>
      <c r="CH59" s="58"/>
      <c r="CI59" s="58"/>
      <c r="CJ59" s="58"/>
      <c r="CK59" s="58"/>
      <c r="CL59" s="58"/>
      <c r="CM59" s="58"/>
      <c r="CN59" s="58"/>
      <c r="CO59" s="58"/>
      <c r="CP59" s="58"/>
      <c r="CQ59" s="58"/>
      <c r="CR59" s="58"/>
      <c r="CS59" s="58"/>
      <c r="CT59" s="58"/>
      <c r="CU59" s="58"/>
      <c r="CV59" s="58"/>
      <c r="CW59" s="58"/>
      <c r="CX59" s="58"/>
      <c r="CY59" s="58"/>
      <c r="CZ59" s="58"/>
      <c r="DA59" s="58"/>
      <c r="DB59" s="58"/>
      <c r="DC59" s="58"/>
      <c r="DD59" s="58"/>
      <c r="DE59" s="58"/>
      <c r="DF59" s="58"/>
      <c r="DG59" s="58"/>
      <c r="DH59" s="58"/>
      <c r="DI59" s="58"/>
      <c r="DJ59" s="58"/>
      <c r="DK59" s="58"/>
      <c r="DL59" s="58"/>
    </row>
  </sheetData>
  <hyperlinks>
    <hyperlink ref="A1" r:id="rId1" xr:uid="{00000000-0004-0000-0000-000000000000}"/>
    <hyperlink ref="L4" r:id="rId2" xr:uid="{CBCA994A-BC74-CB48-8009-AD2DE8254A02}"/>
    <hyperlink ref="A4" r:id="rId3" xr:uid="{A56A9D7B-6BD6-D44F-9673-748C22FE360B}"/>
    <hyperlink ref="A7" r:id="rId4" xr:uid="{37EAD5F7-5EDB-5B49-8C94-A612F5F134DD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3"/>
  <sheetViews>
    <sheetView zoomScale="110" zoomScaleNormal="110" workbookViewId="0">
      <pane xSplit="1" ySplit="2" topLeftCell="J3" activePane="bottomRight" state="frozen"/>
      <selection pane="topRight" activeCell="B1" sqref="B1"/>
      <selection pane="bottomLeft" activeCell="A3" sqref="A3"/>
      <selection pane="bottomRight" activeCell="R13" sqref="R13"/>
    </sheetView>
  </sheetViews>
  <sheetFormatPr baseColWidth="10" defaultRowHeight="13" x14ac:dyDescent="0.15"/>
  <cols>
    <col min="1" max="1" width="20.33203125" style="6" customWidth="1"/>
    <col min="2" max="2" width="10.83203125" style="22"/>
    <col min="3" max="5" width="10.83203125" style="21"/>
    <col min="6" max="6" width="10.83203125" style="22"/>
    <col min="7" max="9" width="10.83203125" style="21"/>
    <col min="10" max="10" width="10.83203125" style="22"/>
    <col min="11" max="13" width="10.83203125" style="21"/>
    <col min="14" max="14" width="10.83203125" style="22"/>
    <col min="15" max="17" width="10.83203125" style="21"/>
    <col min="18" max="16384" width="10.83203125" style="6"/>
  </cols>
  <sheetData>
    <row r="1" spans="1:17" x14ac:dyDescent="0.15">
      <c r="A1" s="61" t="s">
        <v>37</v>
      </c>
      <c r="B1" s="23" t="s">
        <v>0</v>
      </c>
      <c r="C1" s="24" t="s">
        <v>1</v>
      </c>
      <c r="D1" s="24" t="s">
        <v>2</v>
      </c>
      <c r="E1" s="24" t="s">
        <v>3</v>
      </c>
      <c r="F1" s="23" t="s">
        <v>30</v>
      </c>
      <c r="G1" s="24" t="s">
        <v>31</v>
      </c>
      <c r="H1" s="24" t="s">
        <v>32</v>
      </c>
      <c r="I1" s="24" t="s">
        <v>33</v>
      </c>
      <c r="J1" s="23" t="s">
        <v>44</v>
      </c>
      <c r="K1" s="24" t="s">
        <v>45</v>
      </c>
      <c r="L1" s="24" t="s">
        <v>46</v>
      </c>
      <c r="M1" s="24" t="s">
        <v>47</v>
      </c>
      <c r="N1" s="23" t="s">
        <v>65</v>
      </c>
      <c r="O1" s="24" t="s">
        <v>66</v>
      </c>
      <c r="P1" s="24" t="s">
        <v>67</v>
      </c>
      <c r="Q1" s="24" t="s">
        <v>68</v>
      </c>
    </row>
    <row r="2" spans="1:17" s="21" customFormat="1" x14ac:dyDescent="0.15">
      <c r="A2" s="1"/>
      <c r="B2" s="62">
        <v>42825</v>
      </c>
      <c r="C2" s="64">
        <v>42916</v>
      </c>
      <c r="D2" s="65" t="s">
        <v>75</v>
      </c>
      <c r="E2" s="64">
        <v>43100</v>
      </c>
      <c r="F2" s="62">
        <v>43190</v>
      </c>
      <c r="G2" s="64">
        <v>43281</v>
      </c>
      <c r="H2" s="65" t="s">
        <v>74</v>
      </c>
      <c r="I2" s="64">
        <v>43465</v>
      </c>
      <c r="J2" s="62">
        <v>43555</v>
      </c>
      <c r="K2" s="64">
        <v>43646</v>
      </c>
      <c r="L2" s="65" t="s">
        <v>73</v>
      </c>
      <c r="M2" s="64">
        <v>43830</v>
      </c>
      <c r="N2" s="62">
        <v>43921</v>
      </c>
      <c r="O2" s="64">
        <v>44012</v>
      </c>
      <c r="P2" s="64">
        <v>44104</v>
      </c>
    </row>
    <row r="3" spans="1:17" s="8" customFormat="1" x14ac:dyDescent="0.15">
      <c r="A3" s="63" t="s">
        <v>62</v>
      </c>
      <c r="B3" s="23">
        <v>25.036000000000001</v>
      </c>
      <c r="C3" s="24">
        <v>28.803999999999998</v>
      </c>
      <c r="D3" s="24">
        <v>42</v>
      </c>
      <c r="E3" s="24">
        <v>38.67</v>
      </c>
      <c r="F3" s="23">
        <v>42</v>
      </c>
      <c r="G3" s="24">
        <v>45.280999999999999</v>
      </c>
      <c r="H3" s="24">
        <v>50.07</v>
      </c>
      <c r="I3" s="24">
        <v>55.499000000000002</v>
      </c>
      <c r="J3" s="23">
        <v>61.726999999999997</v>
      </c>
      <c r="K3" s="24">
        <v>67.424000000000007</v>
      </c>
      <c r="L3" s="24">
        <v>73.941000000000003</v>
      </c>
      <c r="M3" s="24">
        <v>83.93</v>
      </c>
      <c r="N3" s="23">
        <v>91.25</v>
      </c>
      <c r="O3" s="24">
        <v>99.721000000000004</v>
      </c>
      <c r="P3" s="24">
        <v>114.16200000000001</v>
      </c>
      <c r="Q3" s="24">
        <v>118</v>
      </c>
    </row>
    <row r="4" spans="1:17" x14ac:dyDescent="0.15">
      <c r="B4" s="23"/>
      <c r="C4" s="24"/>
      <c r="D4" s="24"/>
      <c r="E4" s="24"/>
      <c r="F4" s="23"/>
      <c r="G4" s="24"/>
      <c r="H4" s="24"/>
      <c r="I4" s="24"/>
    </row>
    <row r="5" spans="1:17" s="75" customFormat="1" x14ac:dyDescent="0.15">
      <c r="A5" s="75" t="s">
        <v>81</v>
      </c>
      <c r="B5" s="76"/>
      <c r="C5" s="74"/>
      <c r="D5" s="74"/>
      <c r="E5" s="74"/>
      <c r="F5" s="76"/>
      <c r="G5" s="74"/>
      <c r="H5" s="74">
        <v>6.7642999999999995E-2</v>
      </c>
      <c r="I5" s="74">
        <v>6.7899000000000001E-2</v>
      </c>
      <c r="J5" s="76">
        <v>7.3554999999999995E-2</v>
      </c>
      <c r="K5" s="74">
        <v>7.7626000000000001E-2</v>
      </c>
      <c r="L5" s="74">
        <v>8.0986000000000002E-2</v>
      </c>
      <c r="M5" s="74">
        <v>8.2881999999999997E-2</v>
      </c>
      <c r="N5" s="76">
        <v>8.9222999999999997E-2</v>
      </c>
      <c r="O5" s="74">
        <v>9.6178E-2</v>
      </c>
      <c r="P5" s="74">
        <v>0.100968</v>
      </c>
      <c r="Q5" s="74">
        <f>M5*1.25</f>
        <v>0.1036025</v>
      </c>
    </row>
    <row r="6" spans="1:17" s="63" customFormat="1" x14ac:dyDescent="0.15">
      <c r="A6" s="63" t="s">
        <v>60</v>
      </c>
      <c r="B6" s="71"/>
      <c r="C6" s="70"/>
      <c r="D6" s="70"/>
      <c r="E6" s="70"/>
      <c r="F6" s="71"/>
      <c r="G6" s="70"/>
      <c r="H6" s="77">
        <f>SUM(H3)/H5</f>
        <v>740.20962996910259</v>
      </c>
      <c r="I6" s="77">
        <f>SUM(I3)/I5</f>
        <v>817.37580818568756</v>
      </c>
      <c r="J6" s="78">
        <f>SUM(J3)/J5</f>
        <v>839.19516008429071</v>
      </c>
      <c r="K6" s="77">
        <f>SUM(K3)/K5</f>
        <v>868.57496199726904</v>
      </c>
      <c r="L6" s="77">
        <f>SUM(L3)/L5</f>
        <v>913.00965598992423</v>
      </c>
      <c r="M6" s="77">
        <f>SUM(M3)/M5</f>
        <v>1012.6444825173139</v>
      </c>
      <c r="N6" s="78">
        <f>SUM(N3)/N5</f>
        <v>1022.7183573742196</v>
      </c>
      <c r="O6" s="77">
        <f>SUM(O3)/O5</f>
        <v>1036.8379463078875</v>
      </c>
      <c r="P6" s="77">
        <f>SUM(P3)/P5</f>
        <v>1130.675065367245</v>
      </c>
      <c r="Q6" s="77">
        <f>SUM(Q3)/Q5</f>
        <v>1138.9686542313168</v>
      </c>
    </row>
    <row r="7" spans="1:17" s="70" customFormat="1" x14ac:dyDescent="0.15">
      <c r="B7" s="71"/>
      <c r="F7" s="71"/>
      <c r="J7" s="71"/>
      <c r="N7" s="71">
        <v>87</v>
      </c>
      <c r="O7" s="70">
        <v>94</v>
      </c>
      <c r="P7" s="70">
        <v>102.5</v>
      </c>
      <c r="Q7" s="70">
        <v>117.5</v>
      </c>
    </row>
    <row r="8" spans="1:17" s="17" customFormat="1" x14ac:dyDescent="0.15">
      <c r="A8" s="17" t="s">
        <v>4</v>
      </c>
      <c r="B8" s="27">
        <f t="shared" ref="B8:P8" si="0">SUM(B3:B3)</f>
        <v>25.036000000000001</v>
      </c>
      <c r="C8" s="26">
        <f t="shared" si="0"/>
        <v>28.803999999999998</v>
      </c>
      <c r="D8" s="26">
        <f t="shared" si="0"/>
        <v>42</v>
      </c>
      <c r="E8" s="26">
        <f t="shared" si="0"/>
        <v>38.67</v>
      </c>
      <c r="F8" s="27">
        <f t="shared" si="0"/>
        <v>42</v>
      </c>
      <c r="G8" s="26">
        <f t="shared" si="0"/>
        <v>45.280999999999999</v>
      </c>
      <c r="H8" s="26">
        <f>H6*H5</f>
        <v>50.07</v>
      </c>
      <c r="I8" s="26">
        <f>I6*I5</f>
        <v>55.499000000000002</v>
      </c>
      <c r="J8" s="27">
        <f>J6*J5</f>
        <v>61.726999999999997</v>
      </c>
      <c r="K8" s="26">
        <f>K6*K5</f>
        <v>67.424000000000007</v>
      </c>
      <c r="L8" s="26">
        <f>L6*L5</f>
        <v>73.941000000000003</v>
      </c>
      <c r="M8" s="26">
        <f>M6*M5</f>
        <v>83.93</v>
      </c>
      <c r="N8" s="27">
        <f>N6*N5</f>
        <v>91.25</v>
      </c>
      <c r="O8" s="26">
        <f>O6*O5</f>
        <v>99.721000000000004</v>
      </c>
      <c r="P8" s="26">
        <f>P6*P5</f>
        <v>114.16199999999999</v>
      </c>
      <c r="Q8" s="26">
        <f>Q6*Q5</f>
        <v>118</v>
      </c>
    </row>
    <row r="9" spans="1:17" s="8" customFormat="1" x14ac:dyDescent="0.15">
      <c r="A9" s="8" t="s">
        <v>5</v>
      </c>
      <c r="B9" s="23">
        <v>6.3010000000000002</v>
      </c>
      <c r="C9" s="24">
        <v>6.7880000000000003</v>
      </c>
      <c r="D9" s="24">
        <v>7.2519999999999998</v>
      </c>
      <c r="E9" s="24">
        <v>8.4469999999999992</v>
      </c>
      <c r="F9" s="23">
        <v>9</v>
      </c>
      <c r="G9" s="24">
        <v>10.365</v>
      </c>
      <c r="H9" s="24">
        <v>11.209</v>
      </c>
      <c r="I9" s="24">
        <v>12.956</v>
      </c>
      <c r="J9" s="23">
        <v>14.36</v>
      </c>
      <c r="K9" s="24">
        <v>15</v>
      </c>
      <c r="L9" s="54">
        <v>16.033000000000001</v>
      </c>
      <c r="M9" s="54">
        <v>18.198</v>
      </c>
      <c r="N9" s="23">
        <v>20.821000000000002</v>
      </c>
      <c r="O9" s="54">
        <v>24.164000000000001</v>
      </c>
      <c r="P9" s="54">
        <v>27.004999999999999</v>
      </c>
      <c r="Q9" s="54"/>
    </row>
    <row r="10" spans="1:17" s="8" customFormat="1" x14ac:dyDescent="0.15">
      <c r="A10" s="8" t="s">
        <v>6</v>
      </c>
      <c r="B10" s="30">
        <f t="shared" ref="B10:D10" si="1">B8-B9</f>
        <v>18.734999999999999</v>
      </c>
      <c r="C10" s="29">
        <f t="shared" si="1"/>
        <v>22.015999999999998</v>
      </c>
      <c r="D10" s="29">
        <f t="shared" si="1"/>
        <v>34.747999999999998</v>
      </c>
      <c r="E10" s="29">
        <f t="shared" ref="E10" si="2">E8-E9</f>
        <v>30.223000000000003</v>
      </c>
      <c r="F10" s="30">
        <f>F8-F9</f>
        <v>33</v>
      </c>
      <c r="G10" s="29">
        <f>G8-G9</f>
        <v>34.915999999999997</v>
      </c>
      <c r="H10" s="29">
        <f t="shared" ref="H10:J10" si="3">H8-H9</f>
        <v>38.861000000000004</v>
      </c>
      <c r="I10" s="29">
        <f t="shared" si="3"/>
        <v>42.543000000000006</v>
      </c>
      <c r="J10" s="30">
        <f t="shared" si="3"/>
        <v>47.366999999999997</v>
      </c>
      <c r="K10" s="29">
        <f t="shared" ref="K10:P10" si="4">K8-K9</f>
        <v>52.424000000000007</v>
      </c>
      <c r="L10" s="29">
        <f t="shared" si="4"/>
        <v>57.908000000000001</v>
      </c>
      <c r="M10" s="29">
        <f t="shared" si="4"/>
        <v>65.731999999999999</v>
      </c>
      <c r="N10" s="30">
        <f t="shared" ref="N10" si="5">N8-N9</f>
        <v>70.429000000000002</v>
      </c>
      <c r="O10" s="29">
        <f t="shared" si="4"/>
        <v>75.557000000000002</v>
      </c>
      <c r="P10" s="29">
        <f t="shared" si="4"/>
        <v>87.156999999999996</v>
      </c>
      <c r="Q10" s="54"/>
    </row>
    <row r="11" spans="1:17" s="8" customFormat="1" x14ac:dyDescent="0.15">
      <c r="A11" s="8" t="s">
        <v>7</v>
      </c>
      <c r="B11" s="23">
        <v>7</v>
      </c>
      <c r="C11" s="24">
        <v>8</v>
      </c>
      <c r="D11" s="24">
        <v>8</v>
      </c>
      <c r="E11" s="24">
        <v>9</v>
      </c>
      <c r="F11" s="23">
        <v>11</v>
      </c>
      <c r="G11" s="24">
        <v>13</v>
      </c>
      <c r="H11" s="24">
        <v>15</v>
      </c>
      <c r="I11" s="24">
        <v>15</v>
      </c>
      <c r="J11" s="23">
        <v>18</v>
      </c>
      <c r="K11" s="24">
        <v>19</v>
      </c>
      <c r="L11" s="54">
        <v>28</v>
      </c>
      <c r="M11" s="54">
        <v>26</v>
      </c>
      <c r="N11" s="23">
        <v>33</v>
      </c>
      <c r="O11" s="54">
        <v>28</v>
      </c>
      <c r="P11" s="54">
        <v>31</v>
      </c>
      <c r="Q11" s="54"/>
    </row>
    <row r="12" spans="1:17" s="8" customFormat="1" x14ac:dyDescent="0.15">
      <c r="A12" s="8" t="s">
        <v>8</v>
      </c>
      <c r="B12" s="23">
        <v>13</v>
      </c>
      <c r="C12" s="24">
        <v>15</v>
      </c>
      <c r="D12" s="24">
        <v>17</v>
      </c>
      <c r="E12" s="24">
        <v>17</v>
      </c>
      <c r="F12" s="23">
        <v>19</v>
      </c>
      <c r="G12" s="24">
        <v>23</v>
      </c>
      <c r="H12" s="24">
        <v>24</v>
      </c>
      <c r="I12" s="24">
        <v>28</v>
      </c>
      <c r="J12" s="23">
        <v>31</v>
      </c>
      <c r="K12" s="24">
        <v>36</v>
      </c>
      <c r="L12" s="54">
        <v>46</v>
      </c>
      <c r="M12" s="54">
        <v>47</v>
      </c>
      <c r="N12" s="23">
        <v>47</v>
      </c>
      <c r="O12" s="54">
        <v>51</v>
      </c>
      <c r="P12" s="54">
        <v>56</v>
      </c>
      <c r="Q12" s="54"/>
    </row>
    <row r="13" spans="1:17" s="8" customFormat="1" x14ac:dyDescent="0.15">
      <c r="A13" s="8" t="s">
        <v>9</v>
      </c>
      <c r="B13" s="23">
        <v>4</v>
      </c>
      <c r="C13" s="24">
        <v>4</v>
      </c>
      <c r="D13" s="24">
        <v>5</v>
      </c>
      <c r="E13" s="24">
        <v>7</v>
      </c>
      <c r="F13" s="23">
        <v>14</v>
      </c>
      <c r="G13" s="24">
        <v>20</v>
      </c>
      <c r="H13" s="24">
        <v>36</v>
      </c>
      <c r="I13" s="24">
        <v>16</v>
      </c>
      <c r="J13" s="23">
        <v>16</v>
      </c>
      <c r="K13" s="24">
        <v>18</v>
      </c>
      <c r="L13" s="54">
        <v>26</v>
      </c>
      <c r="M13" s="54">
        <v>22</v>
      </c>
      <c r="N13" s="23">
        <v>26</v>
      </c>
      <c r="O13" s="54">
        <v>21</v>
      </c>
      <c r="P13" s="54">
        <v>22</v>
      </c>
      <c r="Q13" s="54"/>
    </row>
    <row r="14" spans="1:17" s="8" customFormat="1" x14ac:dyDescent="0.15">
      <c r="A14" s="8" t="s">
        <v>10</v>
      </c>
      <c r="B14" s="30">
        <f t="shared" ref="B14:D14" si="6">SUM(B11:B13)</f>
        <v>24</v>
      </c>
      <c r="C14" s="29">
        <f t="shared" si="6"/>
        <v>27</v>
      </c>
      <c r="D14" s="29">
        <f t="shared" si="6"/>
        <v>30</v>
      </c>
      <c r="E14" s="29">
        <f t="shared" ref="E14:F14" si="7">SUM(E11:E13)</f>
        <v>33</v>
      </c>
      <c r="F14" s="30">
        <f t="shared" si="7"/>
        <v>44</v>
      </c>
      <c r="G14" s="29">
        <f t="shared" ref="G14:H14" si="8">SUM(G11:G13)</f>
        <v>56</v>
      </c>
      <c r="H14" s="29">
        <f t="shared" si="8"/>
        <v>75</v>
      </c>
      <c r="I14" s="29">
        <f t="shared" ref="I14:K14" si="9">SUM(I11:I13)</f>
        <v>59</v>
      </c>
      <c r="J14" s="30">
        <f t="shared" si="9"/>
        <v>65</v>
      </c>
      <c r="K14" s="29">
        <f t="shared" si="9"/>
        <v>73</v>
      </c>
      <c r="L14" s="29">
        <f t="shared" ref="L14:M14" si="10">SUM(L11:L13)</f>
        <v>100</v>
      </c>
      <c r="M14" s="29">
        <f t="shared" si="10"/>
        <v>95</v>
      </c>
      <c r="N14" s="30">
        <f t="shared" ref="N14:O14" si="11">SUM(N11:N13)</f>
        <v>106</v>
      </c>
      <c r="O14" s="29">
        <f t="shared" si="11"/>
        <v>100</v>
      </c>
      <c r="P14" s="29">
        <f t="shared" ref="P14" si="12">SUM(P11:P13)</f>
        <v>109</v>
      </c>
      <c r="Q14" s="54"/>
    </row>
    <row r="15" spans="1:17" s="8" customFormat="1" x14ac:dyDescent="0.15">
      <c r="A15" s="8" t="s">
        <v>11</v>
      </c>
      <c r="B15" s="30">
        <f t="shared" ref="B15:H15" si="13">B10-B14</f>
        <v>-5.2650000000000006</v>
      </c>
      <c r="C15" s="29">
        <f t="shared" si="13"/>
        <v>-4.9840000000000018</v>
      </c>
      <c r="D15" s="29">
        <f t="shared" si="13"/>
        <v>4.7479999999999976</v>
      </c>
      <c r="E15" s="29">
        <f t="shared" si="13"/>
        <v>-2.7769999999999975</v>
      </c>
      <c r="F15" s="30">
        <f t="shared" si="13"/>
        <v>-11</v>
      </c>
      <c r="G15" s="29">
        <f t="shared" si="13"/>
        <v>-21.084000000000003</v>
      </c>
      <c r="H15" s="29">
        <f t="shared" si="13"/>
        <v>-36.138999999999996</v>
      </c>
      <c r="I15" s="29">
        <f t="shared" ref="I15:K15" si="14">I10-I14</f>
        <v>-16.456999999999994</v>
      </c>
      <c r="J15" s="30">
        <f t="shared" si="14"/>
        <v>-17.633000000000003</v>
      </c>
      <c r="K15" s="29">
        <f t="shared" si="14"/>
        <v>-20.575999999999993</v>
      </c>
      <c r="L15" s="29">
        <f t="shared" ref="L15:M15" si="15">L10-L14</f>
        <v>-42.091999999999999</v>
      </c>
      <c r="M15" s="29">
        <f t="shared" si="15"/>
        <v>-29.268000000000001</v>
      </c>
      <c r="N15" s="30">
        <f t="shared" ref="N15:O15" si="16">N10-N14</f>
        <v>-35.570999999999998</v>
      </c>
      <c r="O15" s="29">
        <f t="shared" si="16"/>
        <v>-24.442999999999998</v>
      </c>
      <c r="P15" s="29">
        <f t="shared" ref="P15" si="17">P10-P14</f>
        <v>-21.843000000000004</v>
      </c>
      <c r="Q15" s="54"/>
    </row>
    <row r="16" spans="1:17" s="8" customFormat="1" x14ac:dyDescent="0.15">
      <c r="A16" s="8" t="s">
        <v>12</v>
      </c>
      <c r="B16" s="23">
        <v>0</v>
      </c>
      <c r="C16" s="24">
        <v>0</v>
      </c>
      <c r="D16" s="24">
        <v>0</v>
      </c>
      <c r="E16" s="24">
        <v>0</v>
      </c>
      <c r="F16" s="23">
        <v>-0.23100000000000001</v>
      </c>
      <c r="G16" s="24">
        <v>0</v>
      </c>
      <c r="H16" s="24">
        <v>1</v>
      </c>
      <c r="I16" s="24">
        <v>1</v>
      </c>
      <c r="J16" s="23">
        <v>0</v>
      </c>
      <c r="K16" s="24">
        <v>0</v>
      </c>
      <c r="L16" s="54">
        <v>0</v>
      </c>
      <c r="M16" s="54">
        <v>2</v>
      </c>
      <c r="N16" s="23">
        <v>3</v>
      </c>
      <c r="O16" s="54">
        <f>2-5+0</f>
        <v>-3</v>
      </c>
      <c r="P16" s="54">
        <f>1-10+0</f>
        <v>-9</v>
      </c>
      <c r="Q16" s="54"/>
    </row>
    <row r="17" spans="1:17" s="8" customFormat="1" x14ac:dyDescent="0.15">
      <c r="A17" s="8" t="s">
        <v>13</v>
      </c>
      <c r="B17" s="30">
        <f t="shared" ref="B17:C17" si="18">B15+B16</f>
        <v>-5.2650000000000006</v>
      </c>
      <c r="C17" s="29">
        <f t="shared" si="18"/>
        <v>-4.9840000000000018</v>
      </c>
      <c r="D17" s="29">
        <f t="shared" ref="D17:F17" si="19">D15+D16</f>
        <v>4.7479999999999976</v>
      </c>
      <c r="E17" s="29">
        <f>E15+E16</f>
        <v>-2.7769999999999975</v>
      </c>
      <c r="F17" s="30">
        <f t="shared" si="19"/>
        <v>-11.231</v>
      </c>
      <c r="G17" s="29">
        <f t="shared" ref="G17" si="20">G15+G16</f>
        <v>-21.084000000000003</v>
      </c>
      <c r="H17" s="29">
        <f t="shared" ref="H17:L17" si="21">H15+H16</f>
        <v>-35.138999999999996</v>
      </c>
      <c r="I17" s="29">
        <f t="shared" si="21"/>
        <v>-15.456999999999994</v>
      </c>
      <c r="J17" s="30">
        <f t="shared" si="21"/>
        <v>-17.633000000000003</v>
      </c>
      <c r="K17" s="29">
        <f t="shared" si="21"/>
        <v>-20.575999999999993</v>
      </c>
      <c r="L17" s="29">
        <f t="shared" si="21"/>
        <v>-42.091999999999999</v>
      </c>
      <c r="M17" s="29">
        <f t="shared" ref="M17" si="22">M15+M16</f>
        <v>-27.268000000000001</v>
      </c>
      <c r="N17" s="30">
        <f t="shared" ref="N17:P17" si="23">N15+N16</f>
        <v>-32.570999999999998</v>
      </c>
      <c r="O17" s="29">
        <f t="shared" si="23"/>
        <v>-27.442999999999998</v>
      </c>
      <c r="P17" s="29">
        <f t="shared" si="23"/>
        <v>-30.843000000000004</v>
      </c>
      <c r="Q17" s="54"/>
    </row>
    <row r="18" spans="1:17" s="8" customFormat="1" x14ac:dyDescent="0.15">
      <c r="A18" s="8" t="s">
        <v>14</v>
      </c>
      <c r="B18" s="23">
        <v>1</v>
      </c>
      <c r="C18" s="24">
        <v>1</v>
      </c>
      <c r="D18" s="24">
        <v>-1</v>
      </c>
      <c r="E18" s="24">
        <v>0</v>
      </c>
      <c r="F18" s="23">
        <v>0</v>
      </c>
      <c r="G18" s="24">
        <v>0</v>
      </c>
      <c r="H18" s="24">
        <v>0</v>
      </c>
      <c r="I18" s="24">
        <v>0</v>
      </c>
      <c r="J18" s="23">
        <v>0</v>
      </c>
      <c r="K18" s="24">
        <v>0</v>
      </c>
      <c r="L18" s="24">
        <v>0</v>
      </c>
      <c r="M18" s="24">
        <v>1</v>
      </c>
      <c r="N18" s="23">
        <v>0</v>
      </c>
      <c r="O18" s="24">
        <v>-2</v>
      </c>
      <c r="P18" s="24">
        <v>-4</v>
      </c>
      <c r="Q18" s="24"/>
    </row>
    <row r="19" spans="1:17" s="17" customFormat="1" x14ac:dyDescent="0.15">
      <c r="A19" s="17" t="s">
        <v>15</v>
      </c>
      <c r="B19" s="27">
        <f t="shared" ref="B19:P19" si="24">B17-B18</f>
        <v>-6.2650000000000006</v>
      </c>
      <c r="C19" s="26">
        <f t="shared" si="24"/>
        <v>-5.9840000000000018</v>
      </c>
      <c r="D19" s="26">
        <f t="shared" si="24"/>
        <v>5.7479999999999976</v>
      </c>
      <c r="E19" s="26">
        <f t="shared" si="24"/>
        <v>-2.7769999999999975</v>
      </c>
      <c r="F19" s="27">
        <f t="shared" si="24"/>
        <v>-11.231</v>
      </c>
      <c r="G19" s="26">
        <f t="shared" si="24"/>
        <v>-21.084000000000003</v>
      </c>
      <c r="H19" s="26">
        <f t="shared" si="24"/>
        <v>-35.138999999999996</v>
      </c>
      <c r="I19" s="26">
        <f t="shared" si="24"/>
        <v>-15.456999999999994</v>
      </c>
      <c r="J19" s="27">
        <f t="shared" si="24"/>
        <v>-17.633000000000003</v>
      </c>
      <c r="K19" s="26">
        <f t="shared" si="24"/>
        <v>-20.575999999999993</v>
      </c>
      <c r="L19" s="26">
        <f t="shared" si="24"/>
        <v>-42.091999999999999</v>
      </c>
      <c r="M19" s="26">
        <f t="shared" si="24"/>
        <v>-28.268000000000001</v>
      </c>
      <c r="N19" s="27">
        <f t="shared" si="24"/>
        <v>-32.570999999999998</v>
      </c>
      <c r="O19" s="26">
        <f t="shared" si="24"/>
        <v>-25.442999999999998</v>
      </c>
      <c r="P19" s="26">
        <f t="shared" si="24"/>
        <v>-26.843000000000004</v>
      </c>
      <c r="Q19" s="53"/>
    </row>
    <row r="20" spans="1:17" x14ac:dyDescent="0.15">
      <c r="A20" s="6" t="s">
        <v>16</v>
      </c>
      <c r="B20" s="32">
        <f t="shared" ref="B20:D20" si="25">IFERROR(B19/B21,0)</f>
        <v>0</v>
      </c>
      <c r="C20" s="31">
        <f t="shared" si="25"/>
        <v>0</v>
      </c>
      <c r="D20" s="31">
        <f t="shared" si="25"/>
        <v>0</v>
      </c>
      <c r="E20" s="31">
        <f t="shared" ref="E20" si="26">IFERROR(E19/E21,0)</f>
        <v>0</v>
      </c>
      <c r="F20" s="32">
        <f t="shared" ref="F20:K20" si="27">IFERROR(F19/F21,0)</f>
        <v>0</v>
      </c>
      <c r="G20" s="31">
        <f t="shared" si="27"/>
        <v>0</v>
      </c>
      <c r="H20" s="31">
        <f t="shared" si="27"/>
        <v>-0.43073585113816054</v>
      </c>
      <c r="I20" s="31">
        <f t="shared" si="27"/>
        <v>-0.18266799026211911</v>
      </c>
      <c r="J20" s="32">
        <f t="shared" si="27"/>
        <v>-0.20725687016620045</v>
      </c>
      <c r="K20" s="31">
        <f t="shared" si="27"/>
        <v>0</v>
      </c>
      <c r="L20" s="31">
        <f t="shared" ref="L20:M20" si="28">IFERROR(L19/L21,0)</f>
        <v>-0.35654265772175914</v>
      </c>
      <c r="M20" s="31">
        <f t="shared" si="28"/>
        <v>-9.6013151369821137E-2</v>
      </c>
      <c r="N20" s="32">
        <f t="shared" ref="N20:P20" si="29">IFERROR(N19/N21,0)</f>
        <v>-0.1100085450744232</v>
      </c>
      <c r="O20" s="31">
        <f t="shared" si="29"/>
        <v>-8.5002388739847848E-2</v>
      </c>
      <c r="P20" s="31">
        <f t="shared" si="29"/>
        <v>-8.8975733288253797E-2</v>
      </c>
      <c r="Q20" s="59"/>
    </row>
    <row r="21" spans="1:17" s="8" customFormat="1" x14ac:dyDescent="0.15">
      <c r="A21" s="8" t="s">
        <v>17</v>
      </c>
      <c r="B21" s="23"/>
      <c r="C21" s="24"/>
      <c r="D21" s="24"/>
      <c r="E21" s="24"/>
      <c r="F21" s="23"/>
      <c r="G21" s="24"/>
      <c r="H21" s="24">
        <v>81.578999999999994</v>
      </c>
      <c r="I21" s="24">
        <v>84.617999999999995</v>
      </c>
      <c r="J21" s="23">
        <v>85.078000000000003</v>
      </c>
      <c r="K21" s="24"/>
      <c r="L21" s="54">
        <v>118.056</v>
      </c>
      <c r="M21" s="54">
        <v>294.41800000000001</v>
      </c>
      <c r="N21" s="23">
        <v>296.077</v>
      </c>
      <c r="O21" s="54">
        <v>299.32100000000003</v>
      </c>
      <c r="P21" s="54">
        <v>301.68900000000002</v>
      </c>
      <c r="Q21" s="54"/>
    </row>
    <row r="22" spans="1:17" s="45" customFormat="1" x14ac:dyDescent="0.15">
      <c r="B22" s="44"/>
      <c r="C22" s="43"/>
      <c r="D22" s="43"/>
      <c r="E22" s="43"/>
      <c r="F22" s="60"/>
      <c r="I22" s="43"/>
      <c r="J22" s="60"/>
      <c r="N22" s="60"/>
    </row>
    <row r="23" spans="1:17" x14ac:dyDescent="0.15">
      <c r="A23" s="6" t="s">
        <v>19</v>
      </c>
      <c r="B23" s="38">
        <f t="shared" ref="B23:N23" si="30">IFERROR(B10/B8,0)</f>
        <v>0.74832241572136116</v>
      </c>
      <c r="C23" s="37">
        <f t="shared" si="30"/>
        <v>0.76433828634911816</v>
      </c>
      <c r="D23" s="37">
        <f t="shared" si="30"/>
        <v>0.82733333333333325</v>
      </c>
      <c r="E23" s="37">
        <f t="shared" si="30"/>
        <v>0.78156193431600729</v>
      </c>
      <c r="F23" s="38">
        <f t="shared" si="30"/>
        <v>0.7857142857142857</v>
      </c>
      <c r="G23" s="37">
        <f t="shared" si="30"/>
        <v>0.77109604469865944</v>
      </c>
      <c r="H23" s="37">
        <f t="shared" si="30"/>
        <v>0.77613341322148999</v>
      </c>
      <c r="I23" s="37">
        <f t="shared" si="30"/>
        <v>0.76655435233067271</v>
      </c>
      <c r="J23" s="38">
        <f t="shared" si="30"/>
        <v>0.76736274239797819</v>
      </c>
      <c r="K23" s="37">
        <f t="shared" si="30"/>
        <v>0.77752728998576182</v>
      </c>
      <c r="L23" s="37">
        <f t="shared" si="30"/>
        <v>0.78316495584317225</v>
      </c>
      <c r="M23" s="37">
        <f t="shared" si="30"/>
        <v>0.78317645657095192</v>
      </c>
      <c r="N23" s="38">
        <f t="shared" si="30"/>
        <v>0.77182465753424656</v>
      </c>
      <c r="O23" s="37">
        <f t="shared" ref="O23:P23" si="31">IFERROR(O10/O8,0)</f>
        <v>0.7576839381875432</v>
      </c>
      <c r="P23" s="37">
        <f t="shared" si="31"/>
        <v>0.76345018482507321</v>
      </c>
      <c r="Q23" s="37"/>
    </row>
    <row r="24" spans="1:17" x14ac:dyDescent="0.15">
      <c r="A24" s="6" t="s">
        <v>20</v>
      </c>
      <c r="B24" s="40">
        <f t="shared" ref="B24:N24" si="32">IFERROR(B15/B8,0)</f>
        <v>-0.21029717207221602</v>
      </c>
      <c r="C24" s="39">
        <f t="shared" si="32"/>
        <v>-0.1730315233995279</v>
      </c>
      <c r="D24" s="39">
        <f t="shared" si="32"/>
        <v>0.11304761904761899</v>
      </c>
      <c r="E24" s="39">
        <f t="shared" si="32"/>
        <v>-7.1812774760796408E-2</v>
      </c>
      <c r="F24" s="40">
        <f t="shared" si="32"/>
        <v>-0.26190476190476192</v>
      </c>
      <c r="G24" s="39">
        <f t="shared" si="32"/>
        <v>-0.4656257591484288</v>
      </c>
      <c r="H24" s="39">
        <f t="shared" si="32"/>
        <v>-0.72176952266826433</v>
      </c>
      <c r="I24" s="39">
        <f t="shared" si="32"/>
        <v>-0.29652786536694342</v>
      </c>
      <c r="J24" s="40">
        <f t="shared" si="32"/>
        <v>-0.28566105593986429</v>
      </c>
      <c r="K24" s="39">
        <f t="shared" si="32"/>
        <v>-0.30517323208353098</v>
      </c>
      <c r="L24" s="39">
        <f t="shared" si="32"/>
        <v>-0.56926468400481456</v>
      </c>
      <c r="M24" s="39">
        <f t="shared" si="32"/>
        <v>-0.34871917073751935</v>
      </c>
      <c r="N24" s="40">
        <f t="shared" si="32"/>
        <v>-0.38981917808219174</v>
      </c>
      <c r="O24" s="39">
        <f t="shared" ref="O24:P24" si="33">IFERROR(O15/O8,0)</f>
        <v>-0.24511386769085747</v>
      </c>
      <c r="P24" s="39">
        <f t="shared" si="33"/>
        <v>-0.19133336837126194</v>
      </c>
      <c r="Q24" s="39"/>
    </row>
    <row r="25" spans="1:17" x14ac:dyDescent="0.15">
      <c r="A25" s="6" t="s">
        <v>21</v>
      </c>
      <c r="B25" s="40">
        <f t="shared" ref="B25:N25" si="34">IFERROR(B18/B17,0)</f>
        <v>-0.18993352326685659</v>
      </c>
      <c r="C25" s="39">
        <f t="shared" si="34"/>
        <v>-0.20064205457463877</v>
      </c>
      <c r="D25" s="39">
        <f t="shared" si="34"/>
        <v>-0.21061499578770018</v>
      </c>
      <c r="E25" s="39">
        <f t="shared" si="34"/>
        <v>0</v>
      </c>
      <c r="F25" s="40">
        <f t="shared" si="34"/>
        <v>0</v>
      </c>
      <c r="G25" s="39">
        <f t="shared" si="34"/>
        <v>0</v>
      </c>
      <c r="H25" s="39">
        <f t="shared" si="34"/>
        <v>0</v>
      </c>
      <c r="I25" s="39">
        <f t="shared" si="34"/>
        <v>0</v>
      </c>
      <c r="J25" s="40">
        <f t="shared" si="34"/>
        <v>0</v>
      </c>
      <c r="K25" s="39">
        <f t="shared" si="34"/>
        <v>0</v>
      </c>
      <c r="L25" s="39">
        <f t="shared" si="34"/>
        <v>0</v>
      </c>
      <c r="M25" s="39">
        <f t="shared" si="34"/>
        <v>-3.6673023324042833E-2</v>
      </c>
      <c r="N25" s="40">
        <f t="shared" si="34"/>
        <v>0</v>
      </c>
      <c r="O25" s="39">
        <f t="shared" ref="O25:P25" si="35">IFERROR(O18/O17,0)</f>
        <v>7.2878329628684915E-2</v>
      </c>
      <c r="P25" s="39">
        <f t="shared" si="35"/>
        <v>0.12968907045358752</v>
      </c>
      <c r="Q25" s="39"/>
    </row>
    <row r="26" spans="1:17" s="45" customFormat="1" x14ac:dyDescent="0.15">
      <c r="B26" s="44"/>
      <c r="C26" s="43"/>
      <c r="D26" s="43"/>
      <c r="E26" s="43"/>
      <c r="F26" s="60"/>
      <c r="I26" s="43"/>
      <c r="J26" s="60"/>
      <c r="N26" s="60"/>
    </row>
    <row r="27" spans="1:17" s="12" customFormat="1" x14ac:dyDescent="0.15">
      <c r="A27" s="12" t="s">
        <v>18</v>
      </c>
      <c r="B27" s="34"/>
      <c r="C27" s="33"/>
      <c r="D27" s="33"/>
      <c r="E27" s="33"/>
      <c r="F27" s="34">
        <f t="shared" ref="F27:Q27" si="36">IFERROR((F8/B8)-1,0)</f>
        <v>0.67758427863876003</v>
      </c>
      <c r="G27" s="33">
        <f t="shared" si="36"/>
        <v>0.57203860574920151</v>
      </c>
      <c r="H27" s="33">
        <f t="shared" si="36"/>
        <v>0.19214285714285717</v>
      </c>
      <c r="I27" s="33">
        <f t="shared" si="36"/>
        <v>0.43519524178950086</v>
      </c>
      <c r="J27" s="34">
        <f t="shared" si="36"/>
        <v>0.4696904761904761</v>
      </c>
      <c r="K27" s="33">
        <f t="shared" si="36"/>
        <v>0.48901305183189425</v>
      </c>
      <c r="L27" s="33">
        <f t="shared" si="36"/>
        <v>0.4767525464349911</v>
      </c>
      <c r="M27" s="33">
        <f t="shared" si="36"/>
        <v>0.51227950053154125</v>
      </c>
      <c r="N27" s="34">
        <f t="shared" si="36"/>
        <v>0.47828340920504808</v>
      </c>
      <c r="O27" s="33">
        <f t="shared" si="36"/>
        <v>0.47901340768865674</v>
      </c>
      <c r="P27" s="33">
        <f t="shared" si="36"/>
        <v>0.54396072544325857</v>
      </c>
      <c r="Q27" s="33">
        <f t="shared" si="36"/>
        <v>0.40593351602525907</v>
      </c>
    </row>
    <row r="28" spans="1:17" s="12" customFormat="1" x14ac:dyDescent="0.15">
      <c r="A28" s="6" t="s">
        <v>34</v>
      </c>
      <c r="B28" s="36"/>
      <c r="C28" s="35"/>
      <c r="D28" s="35"/>
      <c r="E28" s="35"/>
      <c r="F28" s="36">
        <f t="shared" ref="F28:P31" si="37">F11/B11-1</f>
        <v>0.5714285714285714</v>
      </c>
      <c r="G28" s="35">
        <f t="shared" si="37"/>
        <v>0.625</v>
      </c>
      <c r="H28" s="35">
        <f t="shared" si="37"/>
        <v>0.875</v>
      </c>
      <c r="I28" s="35">
        <f t="shared" si="37"/>
        <v>0.66666666666666674</v>
      </c>
      <c r="J28" s="36">
        <f t="shared" si="37"/>
        <v>0.63636363636363646</v>
      </c>
      <c r="K28" s="35">
        <f t="shared" si="37"/>
        <v>0.46153846153846145</v>
      </c>
      <c r="L28" s="35">
        <f t="shared" si="37"/>
        <v>0.8666666666666667</v>
      </c>
      <c r="M28" s="35">
        <f t="shared" si="37"/>
        <v>0.73333333333333339</v>
      </c>
      <c r="N28" s="36">
        <f t="shared" si="37"/>
        <v>0.83333333333333326</v>
      </c>
      <c r="O28" s="35">
        <f t="shared" si="37"/>
        <v>0.47368421052631571</v>
      </c>
      <c r="P28" s="35">
        <f t="shared" si="37"/>
        <v>0.10714285714285721</v>
      </c>
      <c r="Q28" s="35"/>
    </row>
    <row r="29" spans="1:17" s="12" customFormat="1" x14ac:dyDescent="0.15">
      <c r="A29" s="6" t="s">
        <v>35</v>
      </c>
      <c r="B29" s="36"/>
      <c r="C29" s="35"/>
      <c r="D29" s="35"/>
      <c r="E29" s="35"/>
      <c r="F29" s="36">
        <f t="shared" si="37"/>
        <v>0.46153846153846145</v>
      </c>
      <c r="G29" s="35">
        <f t="shared" si="37"/>
        <v>0.53333333333333344</v>
      </c>
      <c r="H29" s="35">
        <f t="shared" si="37"/>
        <v>0.41176470588235303</v>
      </c>
      <c r="I29" s="35">
        <f t="shared" si="37"/>
        <v>0.64705882352941169</v>
      </c>
      <c r="J29" s="36">
        <f t="shared" si="37"/>
        <v>0.63157894736842102</v>
      </c>
      <c r="K29" s="35">
        <f t="shared" si="37"/>
        <v>0.56521739130434789</v>
      </c>
      <c r="L29" s="35">
        <f t="shared" si="37"/>
        <v>0.91666666666666674</v>
      </c>
      <c r="M29" s="35">
        <f t="shared" si="37"/>
        <v>0.6785714285714286</v>
      </c>
      <c r="N29" s="36">
        <f t="shared" si="37"/>
        <v>0.5161290322580645</v>
      </c>
      <c r="O29" s="35">
        <f t="shared" si="37"/>
        <v>0.41666666666666674</v>
      </c>
      <c r="P29" s="35">
        <f t="shared" si="37"/>
        <v>0.21739130434782616</v>
      </c>
      <c r="Q29" s="35"/>
    </row>
    <row r="30" spans="1:17" s="12" customFormat="1" x14ac:dyDescent="0.15">
      <c r="A30" s="6" t="s">
        <v>36</v>
      </c>
      <c r="B30" s="36"/>
      <c r="C30" s="35"/>
      <c r="D30" s="35"/>
      <c r="E30" s="35"/>
      <c r="F30" s="36">
        <f t="shared" si="37"/>
        <v>2.5</v>
      </c>
      <c r="G30" s="35">
        <f t="shared" si="37"/>
        <v>4</v>
      </c>
      <c r="H30" s="35">
        <f t="shared" si="37"/>
        <v>6.2</v>
      </c>
      <c r="I30" s="35">
        <f t="shared" si="37"/>
        <v>1.2857142857142856</v>
      </c>
      <c r="J30" s="36">
        <f t="shared" si="37"/>
        <v>0.14285714285714279</v>
      </c>
      <c r="K30" s="35">
        <f t="shared" si="37"/>
        <v>-9.9999999999999978E-2</v>
      </c>
      <c r="L30" s="35">
        <f t="shared" si="37"/>
        <v>-0.27777777777777779</v>
      </c>
      <c r="M30" s="35">
        <f t="shared" si="37"/>
        <v>0.375</v>
      </c>
      <c r="N30" s="36">
        <f t="shared" si="37"/>
        <v>0.625</v>
      </c>
      <c r="O30" s="35">
        <f t="shared" si="37"/>
        <v>0.16666666666666674</v>
      </c>
      <c r="P30" s="35">
        <f t="shared" si="37"/>
        <v>-0.15384615384615385</v>
      </c>
      <c r="Q30" s="35"/>
    </row>
    <row r="31" spans="1:17" x14ac:dyDescent="0.15">
      <c r="A31" s="6" t="s">
        <v>64</v>
      </c>
      <c r="B31" s="38"/>
      <c r="C31" s="37"/>
      <c r="D31" s="37"/>
      <c r="E31" s="37"/>
      <c r="F31" s="38">
        <f t="shared" si="37"/>
        <v>0.83333333333333326</v>
      </c>
      <c r="G31" s="37">
        <f t="shared" si="37"/>
        <v>1.074074074074074</v>
      </c>
      <c r="H31" s="37">
        <f t="shared" si="37"/>
        <v>1.5</v>
      </c>
      <c r="I31" s="37">
        <f t="shared" si="37"/>
        <v>0.78787878787878785</v>
      </c>
      <c r="J31" s="38">
        <f t="shared" si="37"/>
        <v>0.47727272727272729</v>
      </c>
      <c r="K31" s="37">
        <f t="shared" si="37"/>
        <v>0.3035714285714286</v>
      </c>
      <c r="L31" s="37">
        <f t="shared" si="37"/>
        <v>0.33333333333333326</v>
      </c>
      <c r="M31" s="37">
        <f t="shared" si="37"/>
        <v>0.61016949152542366</v>
      </c>
      <c r="N31" s="38">
        <f t="shared" si="37"/>
        <v>0.63076923076923075</v>
      </c>
      <c r="O31" s="37">
        <f t="shared" si="37"/>
        <v>0.36986301369863006</v>
      </c>
      <c r="P31" s="37">
        <f t="shared" si="37"/>
        <v>9.000000000000008E-2</v>
      </c>
      <c r="Q31" s="37"/>
    </row>
    <row r="32" spans="1:17" x14ac:dyDescent="0.15">
      <c r="B32" s="49"/>
      <c r="C32" s="48"/>
      <c r="D32" s="48"/>
      <c r="E32" s="48"/>
      <c r="F32" s="49"/>
      <c r="G32" s="48"/>
      <c r="H32" s="48"/>
      <c r="I32" s="48"/>
      <c r="K32" s="48"/>
    </row>
    <row r="33" spans="1:17" s="12" customFormat="1" x14ac:dyDescent="0.15">
      <c r="A33" s="12" t="s">
        <v>22</v>
      </c>
      <c r="B33" s="23"/>
      <c r="C33" s="24"/>
      <c r="D33" s="24"/>
      <c r="E33" s="48"/>
      <c r="F33" s="49"/>
      <c r="G33" s="48"/>
      <c r="H33" s="48"/>
      <c r="I33" s="26">
        <f t="shared" ref="I33" si="38">I34-I35</f>
        <v>151</v>
      </c>
      <c r="J33" s="22"/>
      <c r="K33" s="48"/>
      <c r="L33" s="26">
        <f t="shared" ref="L33" si="39">L34-L35</f>
        <v>645</v>
      </c>
      <c r="M33" s="26">
        <f t="shared" ref="M33" si="40">M34-M35</f>
        <v>637</v>
      </c>
      <c r="N33" s="27">
        <f t="shared" ref="N33:P33" si="41">N34-N35</f>
        <v>588</v>
      </c>
      <c r="O33" s="26">
        <f t="shared" si="41"/>
        <v>694</v>
      </c>
      <c r="P33" s="26">
        <f t="shared" si="41"/>
        <v>676</v>
      </c>
      <c r="Q33" s="50"/>
    </row>
    <row r="34" spans="1:17" x14ac:dyDescent="0.15">
      <c r="A34" s="6" t="s">
        <v>23</v>
      </c>
      <c r="B34" s="23"/>
      <c r="C34" s="24"/>
      <c r="D34" s="24"/>
      <c r="E34" s="48"/>
      <c r="F34" s="49"/>
      <c r="G34" s="48"/>
      <c r="H34" s="48"/>
      <c r="I34" s="24">
        <f>25+126</f>
        <v>151</v>
      </c>
      <c r="K34" s="48"/>
      <c r="L34" s="24">
        <f>502+143</f>
        <v>645</v>
      </c>
      <c r="M34" s="24">
        <f>139+498</f>
        <v>637</v>
      </c>
      <c r="N34" s="23">
        <f>109+479</f>
        <v>588</v>
      </c>
      <c r="O34" s="24">
        <f>314+755</f>
        <v>1069</v>
      </c>
      <c r="P34" s="21">
        <f>112+939</f>
        <v>1051</v>
      </c>
    </row>
    <row r="35" spans="1:17" x14ac:dyDescent="0.15">
      <c r="A35" s="6" t="s">
        <v>24</v>
      </c>
      <c r="B35" s="23"/>
      <c r="C35" s="24"/>
      <c r="D35" s="24"/>
      <c r="E35" s="48"/>
      <c r="F35" s="49"/>
      <c r="G35" s="48"/>
      <c r="H35" s="48"/>
      <c r="I35" s="24">
        <v>0</v>
      </c>
      <c r="K35" s="48"/>
      <c r="L35" s="24">
        <v>0</v>
      </c>
      <c r="M35" s="24">
        <v>0</v>
      </c>
      <c r="N35" s="23">
        <v>0</v>
      </c>
      <c r="O35" s="24">
        <v>375</v>
      </c>
      <c r="P35" s="21">
        <v>375</v>
      </c>
    </row>
    <row r="36" spans="1:17" x14ac:dyDescent="0.15">
      <c r="B36" s="23"/>
      <c r="C36" s="24"/>
      <c r="D36" s="24"/>
      <c r="E36" s="48"/>
      <c r="F36" s="49"/>
      <c r="G36" s="48"/>
      <c r="H36" s="48"/>
      <c r="K36" s="48"/>
    </row>
    <row r="37" spans="1:17" x14ac:dyDescent="0.15">
      <c r="A37" s="19" t="s">
        <v>48</v>
      </c>
      <c r="B37" s="23"/>
      <c r="C37" s="24"/>
      <c r="D37" s="24"/>
      <c r="E37" s="48"/>
      <c r="F37" s="49"/>
      <c r="G37" s="48"/>
      <c r="H37" s="48"/>
      <c r="I37" s="24">
        <v>4</v>
      </c>
      <c r="K37" s="48"/>
      <c r="L37" s="24">
        <v>4</v>
      </c>
      <c r="M37" s="24">
        <v>4</v>
      </c>
      <c r="N37" s="23">
        <f>16+5</f>
        <v>21</v>
      </c>
      <c r="O37" s="24">
        <f>17+4</f>
        <v>21</v>
      </c>
      <c r="P37" s="21">
        <f>17+4</f>
        <v>21</v>
      </c>
    </row>
    <row r="38" spans="1:17" x14ac:dyDescent="0.15">
      <c r="A38" s="19" t="s">
        <v>49</v>
      </c>
      <c r="B38" s="23"/>
      <c r="C38" s="24"/>
      <c r="D38" s="24"/>
      <c r="E38" s="48"/>
      <c r="F38" s="49"/>
      <c r="G38" s="48"/>
      <c r="H38" s="48"/>
      <c r="I38" s="24">
        <v>298</v>
      </c>
      <c r="K38" s="48"/>
      <c r="L38" s="24">
        <v>840</v>
      </c>
      <c r="M38" s="24">
        <v>831</v>
      </c>
      <c r="N38" s="23">
        <v>859</v>
      </c>
      <c r="O38" s="24">
        <v>1364</v>
      </c>
      <c r="P38" s="21">
        <v>1371</v>
      </c>
    </row>
    <row r="39" spans="1:17" x14ac:dyDescent="0.15">
      <c r="A39" s="19" t="s">
        <v>50</v>
      </c>
      <c r="B39" s="23"/>
      <c r="C39" s="24"/>
      <c r="D39" s="24"/>
      <c r="E39" s="48"/>
      <c r="F39" s="49"/>
      <c r="G39" s="48"/>
      <c r="H39" s="48"/>
      <c r="I39" s="24">
        <v>80</v>
      </c>
      <c r="K39" s="48"/>
      <c r="L39" s="24">
        <v>99</v>
      </c>
      <c r="M39" s="24">
        <v>105</v>
      </c>
      <c r="N39" s="23">
        <v>152</v>
      </c>
      <c r="O39" s="24">
        <v>528</v>
      </c>
      <c r="P39" s="21">
        <v>545</v>
      </c>
    </row>
    <row r="40" spans="1:17" x14ac:dyDescent="0.15">
      <c r="B40" s="23"/>
      <c r="C40" s="24"/>
      <c r="D40" s="24"/>
      <c r="E40" s="48"/>
      <c r="F40" s="49"/>
      <c r="G40" s="48"/>
      <c r="H40" s="48"/>
      <c r="K40" s="48"/>
    </row>
    <row r="41" spans="1:17" x14ac:dyDescent="0.15">
      <c r="A41" s="19" t="s">
        <v>51</v>
      </c>
      <c r="B41" s="23"/>
      <c r="C41" s="24"/>
      <c r="D41" s="24"/>
      <c r="E41" s="48"/>
      <c r="F41" s="49"/>
      <c r="G41" s="48"/>
      <c r="H41" s="48"/>
      <c r="I41" s="29">
        <f t="shared" ref="I41:N41" si="42">I38-I34-I37</f>
        <v>143</v>
      </c>
      <c r="K41" s="48"/>
      <c r="L41" s="29">
        <f t="shared" si="42"/>
        <v>191</v>
      </c>
      <c r="M41" s="29">
        <f t="shared" si="42"/>
        <v>190</v>
      </c>
      <c r="N41" s="30">
        <f t="shared" si="42"/>
        <v>250</v>
      </c>
      <c r="O41" s="29">
        <f t="shared" ref="O41:P41" si="43">O38-O34-O37</f>
        <v>274</v>
      </c>
      <c r="P41" s="29">
        <f t="shared" si="43"/>
        <v>299</v>
      </c>
    </row>
    <row r="42" spans="1:17" x14ac:dyDescent="0.15">
      <c r="A42" s="19" t="s">
        <v>52</v>
      </c>
      <c r="B42" s="23"/>
      <c r="C42" s="24"/>
      <c r="D42" s="24"/>
      <c r="E42" s="48"/>
      <c r="F42" s="49"/>
      <c r="G42" s="48"/>
      <c r="H42" s="48"/>
      <c r="I42" s="29">
        <f t="shared" ref="I42" si="44">I38-I39</f>
        <v>218</v>
      </c>
      <c r="K42" s="48"/>
      <c r="L42" s="29">
        <f>L38-L39</f>
        <v>741</v>
      </c>
      <c r="M42" s="29">
        <f>M38-M39</f>
        <v>726</v>
      </c>
      <c r="N42" s="30">
        <f t="shared" ref="N42" si="45">N38-N39</f>
        <v>707</v>
      </c>
      <c r="O42" s="29">
        <f>O38-O39</f>
        <v>836</v>
      </c>
      <c r="P42" s="29">
        <f>P38-P39</f>
        <v>826</v>
      </c>
    </row>
    <row r="43" spans="1:17" x14ac:dyDescent="0.15">
      <c r="B43" s="23"/>
      <c r="C43" s="24"/>
      <c r="D43" s="24"/>
      <c r="E43" s="48"/>
      <c r="F43" s="49"/>
      <c r="G43" s="48"/>
      <c r="H43" s="48"/>
      <c r="K43" s="48"/>
    </row>
    <row r="44" spans="1:17" s="12" customFormat="1" x14ac:dyDescent="0.15">
      <c r="A44" s="25" t="s">
        <v>53</v>
      </c>
      <c r="B44" s="23"/>
      <c r="C44" s="24"/>
      <c r="D44" s="24"/>
      <c r="E44" s="48"/>
      <c r="F44" s="49"/>
      <c r="G44" s="48"/>
      <c r="H44" s="48"/>
      <c r="I44" s="26">
        <f t="shared" ref="I44:P44" si="46">SUM(F19:I19)</f>
        <v>-82.911000000000001</v>
      </c>
      <c r="J44" s="22"/>
      <c r="K44" s="48"/>
      <c r="L44" s="26">
        <f t="shared" si="46"/>
        <v>-95.757999999999981</v>
      </c>
      <c r="M44" s="26">
        <f t="shared" si="46"/>
        <v>-108.56899999999999</v>
      </c>
      <c r="N44" s="27">
        <f t="shared" ref="N44" si="47">SUM(K19:N19)</f>
        <v>-123.50699999999999</v>
      </c>
      <c r="O44" s="26">
        <f t="shared" si="46"/>
        <v>-128.374</v>
      </c>
      <c r="P44" s="26">
        <f t="shared" si="46"/>
        <v>-113.125</v>
      </c>
      <c r="Q44" s="28"/>
    </row>
    <row r="45" spans="1:17" x14ac:dyDescent="0.15">
      <c r="A45" s="19" t="s">
        <v>54</v>
      </c>
      <c r="B45" s="23"/>
      <c r="C45" s="24"/>
      <c r="D45" s="24"/>
      <c r="E45" s="48"/>
      <c r="F45" s="49"/>
      <c r="G45" s="48"/>
      <c r="H45" s="48"/>
      <c r="I45" s="37">
        <f t="shared" ref="I45:N45" si="48">I44/I42</f>
        <v>-0.38032568807339451</v>
      </c>
      <c r="K45" s="48"/>
      <c r="L45" s="37">
        <f t="shared" si="48"/>
        <v>-0.12922807017543858</v>
      </c>
      <c r="M45" s="37">
        <f t="shared" si="48"/>
        <v>-0.14954407713498621</v>
      </c>
      <c r="N45" s="38">
        <f t="shared" si="48"/>
        <v>-0.17469165487977367</v>
      </c>
      <c r="O45" s="37">
        <f t="shared" ref="O45:P45" si="49">O44/O42</f>
        <v>-0.15355741626794259</v>
      </c>
      <c r="P45" s="37">
        <f t="shared" si="49"/>
        <v>-0.13695520581113801</v>
      </c>
    </row>
    <row r="46" spans="1:17" x14ac:dyDescent="0.15">
      <c r="A46" s="19" t="s">
        <v>55</v>
      </c>
      <c r="B46" s="23"/>
      <c r="C46" s="24"/>
      <c r="D46" s="24"/>
      <c r="E46" s="48"/>
      <c r="F46" s="49"/>
      <c r="G46" s="48"/>
      <c r="H46" s="48"/>
      <c r="I46" s="37">
        <f t="shared" ref="I46:N46" si="50">I44/I38</f>
        <v>-0.27822483221476513</v>
      </c>
      <c r="K46" s="48"/>
      <c r="L46" s="37">
        <f t="shared" si="50"/>
        <v>-0.11399761904761903</v>
      </c>
      <c r="M46" s="37">
        <f t="shared" si="50"/>
        <v>-0.13064861612515041</v>
      </c>
      <c r="N46" s="38">
        <f t="shared" si="50"/>
        <v>-0.1437799767171129</v>
      </c>
      <c r="O46" s="37">
        <f t="shared" ref="O46:P46" si="51">O44/O38</f>
        <v>-9.4115835777126094E-2</v>
      </c>
      <c r="P46" s="37">
        <f t="shared" si="51"/>
        <v>-8.2512764405543393E-2</v>
      </c>
    </row>
    <row r="47" spans="1:17" x14ac:dyDescent="0.15">
      <c r="A47" s="19" t="s">
        <v>56</v>
      </c>
      <c r="B47" s="23"/>
      <c r="C47" s="24"/>
      <c r="D47" s="24"/>
      <c r="E47" s="48"/>
      <c r="F47" s="49"/>
      <c r="G47" s="48"/>
      <c r="H47" s="48"/>
      <c r="I47" s="37">
        <f t="shared" ref="I47:N47" si="52">I44/(I42-I37)</f>
        <v>-0.38743457943925236</v>
      </c>
      <c r="K47" s="48"/>
      <c r="L47" s="37">
        <f t="shared" si="52"/>
        <v>-0.12992944369063769</v>
      </c>
      <c r="M47" s="37">
        <f t="shared" si="52"/>
        <v>-0.15037257617728531</v>
      </c>
      <c r="N47" s="38">
        <f t="shared" si="52"/>
        <v>-0.18003935860058307</v>
      </c>
      <c r="O47" s="37">
        <f t="shared" ref="O47:P47" si="53">O44/(O42-O37)</f>
        <v>-0.15751411042944785</v>
      </c>
      <c r="P47" s="37">
        <f t="shared" si="53"/>
        <v>-0.14052795031055901</v>
      </c>
    </row>
    <row r="48" spans="1:17" x14ac:dyDescent="0.15">
      <c r="A48" s="19" t="s">
        <v>57</v>
      </c>
      <c r="B48" s="23"/>
      <c r="C48" s="24"/>
      <c r="D48" s="24"/>
      <c r="E48" s="48"/>
      <c r="F48" s="49"/>
      <c r="G48" s="48"/>
      <c r="H48" s="48"/>
      <c r="I48" s="37">
        <f t="shared" ref="I48:N48" si="54">I44/I41</f>
        <v>-0.57979720279720282</v>
      </c>
      <c r="K48" s="48"/>
      <c r="L48" s="37">
        <f t="shared" si="54"/>
        <v>-0.50135078534031408</v>
      </c>
      <c r="M48" s="37">
        <f t="shared" si="54"/>
        <v>-0.5714157894736841</v>
      </c>
      <c r="N48" s="38">
        <f t="shared" si="54"/>
        <v>-0.49402799999999997</v>
      </c>
      <c r="O48" s="37">
        <f t="shared" ref="O48:P48" si="55">O44/O41</f>
        <v>-0.46851824817518245</v>
      </c>
      <c r="P48" s="37">
        <f t="shared" si="55"/>
        <v>-0.37834448160535117</v>
      </c>
    </row>
    <row r="50" spans="1:17" x14ac:dyDescent="0.15">
      <c r="A50" s="6" t="s">
        <v>63</v>
      </c>
      <c r="B50" s="38"/>
      <c r="C50" s="37"/>
      <c r="D50" s="37"/>
      <c r="E50" s="37"/>
      <c r="F50" s="38">
        <f t="shared" ref="F50:Q50" si="56">F3/B3-1</f>
        <v>0.67758427863876003</v>
      </c>
      <c r="G50" s="37">
        <f t="shared" si="56"/>
        <v>0.57203860574920151</v>
      </c>
      <c r="H50" s="37">
        <f t="shared" si="56"/>
        <v>0.19214285714285717</v>
      </c>
      <c r="I50" s="37">
        <f t="shared" si="56"/>
        <v>0.43519524178950086</v>
      </c>
      <c r="J50" s="38">
        <f t="shared" si="56"/>
        <v>0.4696904761904761</v>
      </c>
      <c r="K50" s="37">
        <f t="shared" si="56"/>
        <v>0.48901305183189425</v>
      </c>
      <c r="L50" s="37">
        <f t="shared" si="56"/>
        <v>0.4767525464349911</v>
      </c>
      <c r="M50" s="37">
        <f t="shared" si="56"/>
        <v>0.51227950053154125</v>
      </c>
      <c r="N50" s="38">
        <f t="shared" si="56"/>
        <v>0.47828340920504808</v>
      </c>
      <c r="O50" s="37">
        <f t="shared" si="56"/>
        <v>0.47901340768865674</v>
      </c>
      <c r="P50" s="37">
        <f t="shared" si="56"/>
        <v>0.5439607254432588</v>
      </c>
      <c r="Q50" s="37">
        <f t="shared" si="56"/>
        <v>0.40593351602525907</v>
      </c>
    </row>
    <row r="52" spans="1:17" s="18" customFormat="1" x14ac:dyDescent="0.15">
      <c r="A52" s="18" t="s">
        <v>82</v>
      </c>
      <c r="B52" s="38"/>
      <c r="C52" s="37"/>
      <c r="D52" s="37"/>
      <c r="E52" s="37"/>
      <c r="F52" s="38"/>
      <c r="G52" s="37"/>
      <c r="H52" s="37"/>
      <c r="I52" s="37"/>
      <c r="J52" s="38"/>
      <c r="K52" s="37"/>
      <c r="L52" s="37">
        <f>L5/H5-1</f>
        <v>0.19725618319707894</v>
      </c>
      <c r="M52" s="37">
        <f>M5/I5-1</f>
        <v>0.22066598918982594</v>
      </c>
      <c r="N52" s="38">
        <f>N5/J5-1</f>
        <v>0.21301067228604453</v>
      </c>
      <c r="O52" s="37">
        <f>O5/K5-1</f>
        <v>0.23899209027903012</v>
      </c>
      <c r="P52" s="37">
        <f>P5/L5-1</f>
        <v>0.24673400340799634</v>
      </c>
      <c r="Q52" s="37">
        <f>Q5/M5-1</f>
        <v>0.25</v>
      </c>
    </row>
    <row r="53" spans="1:17" s="18" customFormat="1" x14ac:dyDescent="0.15">
      <c r="A53" s="18" t="s">
        <v>61</v>
      </c>
      <c r="B53" s="38"/>
      <c r="C53" s="37"/>
      <c r="D53" s="37"/>
      <c r="E53" s="37"/>
      <c r="F53" s="38"/>
      <c r="G53" s="37"/>
      <c r="H53" s="37"/>
      <c r="I53" s="37"/>
      <c r="J53" s="38"/>
      <c r="K53" s="37"/>
      <c r="L53" s="37">
        <f>L6/H6-1</f>
        <v>0.23344741681898218</v>
      </c>
      <c r="M53" s="37">
        <f>M6/I6-1</f>
        <v>0.23889705613512136</v>
      </c>
      <c r="N53" s="38">
        <f>N6/J6-1</f>
        <v>0.21868953256533974</v>
      </c>
      <c r="O53" s="37">
        <f>O6/K6-1</f>
        <v>0.19372304253820705</v>
      </c>
      <c r="P53" s="37">
        <f>P6/L6-1</f>
        <v>0.2384042796801733</v>
      </c>
      <c r="Q53" s="37">
        <f>Q6/M6-1</f>
        <v>0.12474681282020716</v>
      </c>
    </row>
  </sheetData>
  <hyperlinks>
    <hyperlink ref="A1" r:id="rId1" xr:uid="{00000000-0004-0000-0100-000000000000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D6"/>
  <sheetViews>
    <sheetView zoomScale="110" zoomScaleNormal="110" workbookViewId="0">
      <selection activeCell="C10" sqref="C10:C11"/>
    </sheetView>
  </sheetViews>
  <sheetFormatPr baseColWidth="10" defaultRowHeight="13" x14ac:dyDescent="0.15"/>
  <cols>
    <col min="1" max="1" width="10.83203125" style="3"/>
    <col min="2" max="2" width="14.6640625" style="3" customWidth="1"/>
    <col min="3" max="3" width="33.83203125" style="3" bestFit="1" customWidth="1"/>
    <col min="4" max="4" width="22.5" style="3" bestFit="1" customWidth="1"/>
    <col min="5" max="16384" width="10.83203125" style="3"/>
  </cols>
  <sheetData>
    <row r="4" spans="2:4" x14ac:dyDescent="0.15">
      <c r="B4" s="2" t="s">
        <v>72</v>
      </c>
    </row>
    <row r="6" spans="2:4" x14ac:dyDescent="0.15">
      <c r="B6" s="69" t="s">
        <v>78</v>
      </c>
      <c r="C6" s="69" t="s">
        <v>79</v>
      </c>
      <c r="D6" s="68" t="s">
        <v>80</v>
      </c>
    </row>
  </sheetData>
  <hyperlinks>
    <hyperlink ref="D6" r:id="rId1" xr:uid="{54214917-DB52-F64D-A790-E2C24013AC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Reports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Michael Sjoeberg</cp:lastModifiedBy>
  <dcterms:created xsi:type="dcterms:W3CDTF">2018-01-04T19:16:18Z</dcterms:created>
  <dcterms:modified xsi:type="dcterms:W3CDTF">2021-01-31T23:14:29Z</dcterms:modified>
</cp:coreProperties>
</file>