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67E512D-6E99-5D45-BE74-ADF98FD3C429}" xr6:coauthVersionLast="46" xr6:coauthVersionMax="46" xr10:uidLastSave="{00000000-0000-0000-0000-000000000000}"/>
  <bookViews>
    <workbookView xWindow="-55960" yWindow="-5940" windowWidth="25640" windowHeight="2690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3" i="2"/>
  <c r="L19" i="2"/>
  <c r="M19" i="2" s="1"/>
  <c r="N19" i="2" s="1"/>
  <c r="O19" i="2" s="1"/>
  <c r="P19" i="2" s="1"/>
  <c r="Q19" i="2" s="1"/>
  <c r="R19" i="2" s="1"/>
  <c r="S19" i="2" s="1"/>
  <c r="T19" i="2" s="1"/>
  <c r="K19" i="2"/>
  <c r="L18" i="2"/>
  <c r="M18" i="2" s="1"/>
  <c r="N18" i="2" s="1"/>
  <c r="O18" i="2" s="1"/>
  <c r="P18" i="2" s="1"/>
  <c r="Q18" i="2" s="1"/>
  <c r="R18" i="2" s="1"/>
  <c r="S18" i="2" s="1"/>
  <c r="T18" i="2" s="1"/>
  <c r="K18" i="2"/>
  <c r="T28" i="2"/>
  <c r="T20" i="2"/>
  <c r="T37" i="2" s="1"/>
  <c r="T15" i="2"/>
  <c r="T17" i="2" s="1"/>
  <c r="T9" i="2"/>
  <c r="S28" i="2"/>
  <c r="S20" i="2"/>
  <c r="S37" i="2" s="1"/>
  <c r="S15" i="2"/>
  <c r="S9" i="2"/>
  <c r="L15" i="2"/>
  <c r="M15" i="2" s="1"/>
  <c r="N15" i="2" s="1"/>
  <c r="O15" i="2" s="1"/>
  <c r="P15" i="2" s="1"/>
  <c r="Q15" i="2" s="1"/>
  <c r="R15" i="2" s="1"/>
  <c r="K15" i="2"/>
  <c r="G20" i="2"/>
  <c r="H20" i="2" s="1"/>
  <c r="I20" i="2" s="1"/>
  <c r="J20" i="2" s="1"/>
  <c r="F20" i="2"/>
  <c r="G19" i="2"/>
  <c r="H19" i="2" s="1"/>
  <c r="I19" i="2" s="1"/>
  <c r="J19" i="2" s="1"/>
  <c r="F19" i="2"/>
  <c r="G18" i="2"/>
  <c r="H18" i="2" s="1"/>
  <c r="I18" i="2" s="1"/>
  <c r="J18" i="2" s="1"/>
  <c r="F18" i="2"/>
  <c r="F15" i="2"/>
  <c r="J15" i="2"/>
  <c r="J59" i="2"/>
  <c r="J58" i="2"/>
  <c r="J57" i="2"/>
  <c r="J56" i="2"/>
  <c r="J13" i="2"/>
  <c r="I13" i="2"/>
  <c r="H13" i="2"/>
  <c r="G13" i="2"/>
  <c r="H12" i="2"/>
  <c r="I12" i="2" s="1"/>
  <c r="J12" i="2" s="1"/>
  <c r="G12" i="2"/>
  <c r="J11" i="2"/>
  <c r="I11" i="2"/>
  <c r="H11" i="2"/>
  <c r="G11" i="2"/>
  <c r="J10" i="2"/>
  <c r="I10" i="2"/>
  <c r="H10" i="2"/>
  <c r="G10" i="2"/>
  <c r="F13" i="2"/>
  <c r="F12" i="2"/>
  <c r="F11" i="2"/>
  <c r="F10" i="2"/>
  <c r="U22" i="1"/>
  <c r="T22" i="1"/>
  <c r="U20" i="1"/>
  <c r="T20" i="1"/>
  <c r="T21" i="1" s="1"/>
  <c r="U16" i="1"/>
  <c r="T16" i="1"/>
  <c r="T17" i="1" s="1"/>
  <c r="T18" i="1" s="1"/>
  <c r="U14" i="1"/>
  <c r="U15" i="1" s="1"/>
  <c r="U25" i="1" s="1"/>
  <c r="T14" i="1"/>
  <c r="T15" i="1" s="1"/>
  <c r="T25" i="1" s="1"/>
  <c r="U13" i="1"/>
  <c r="T13" i="1"/>
  <c r="U12" i="1"/>
  <c r="U30" i="1" s="1"/>
  <c r="T12" i="1"/>
  <c r="T30" i="1" s="1"/>
  <c r="U32" i="1"/>
  <c r="U31" i="1"/>
  <c r="U29" i="1"/>
  <c r="U28" i="1"/>
  <c r="U24" i="1"/>
  <c r="T32" i="1"/>
  <c r="T31" i="1"/>
  <c r="T29" i="1"/>
  <c r="T28" i="1"/>
  <c r="T24" i="1"/>
  <c r="U11" i="1"/>
  <c r="T11" i="1"/>
  <c r="U9" i="1"/>
  <c r="U10" i="1"/>
  <c r="T9" i="1"/>
  <c r="T10" i="1"/>
  <c r="U8" i="1"/>
  <c r="T8" i="1"/>
  <c r="U6" i="1"/>
  <c r="T6" i="1"/>
  <c r="T54" i="1" s="1"/>
  <c r="U5" i="1"/>
  <c r="T5" i="1"/>
  <c r="T53" i="1" s="1"/>
  <c r="U54" i="1"/>
  <c r="U53" i="1"/>
  <c r="U52" i="1"/>
  <c r="U51" i="1"/>
  <c r="T52" i="1"/>
  <c r="T51" i="1"/>
  <c r="U4" i="1"/>
  <c r="T4" i="1"/>
  <c r="U3" i="1"/>
  <c r="T3" i="1"/>
  <c r="E53" i="2"/>
  <c r="E52" i="2"/>
  <c r="E49" i="2"/>
  <c r="E51" i="2" s="1"/>
  <c r="E48" i="2"/>
  <c r="E54" i="2" s="1"/>
  <c r="E46" i="2"/>
  <c r="E45" i="2"/>
  <c r="E44" i="2"/>
  <c r="E42" i="2"/>
  <c r="E41" i="2"/>
  <c r="E40" i="2" s="1"/>
  <c r="E15" i="2"/>
  <c r="E17" i="2" s="1"/>
  <c r="E21" i="2"/>
  <c r="E28" i="2"/>
  <c r="E25" i="2"/>
  <c r="E23" i="2"/>
  <c r="E20" i="2"/>
  <c r="E19" i="2"/>
  <c r="E18" i="2"/>
  <c r="E16" i="2"/>
  <c r="E13" i="2"/>
  <c r="E12" i="2"/>
  <c r="E11" i="2"/>
  <c r="E10" i="2"/>
  <c r="D28" i="2"/>
  <c r="D25" i="2"/>
  <c r="D23" i="2"/>
  <c r="D20" i="2"/>
  <c r="D19" i="2"/>
  <c r="D18" i="2"/>
  <c r="D16" i="2"/>
  <c r="D13" i="2"/>
  <c r="D12" i="2"/>
  <c r="D11" i="2"/>
  <c r="D10" i="2"/>
  <c r="B25" i="2"/>
  <c r="B23" i="2"/>
  <c r="B20" i="2"/>
  <c r="B19" i="2"/>
  <c r="B18" i="2"/>
  <c r="B17" i="2"/>
  <c r="B16" i="2"/>
  <c r="B49" i="2"/>
  <c r="B46" i="2"/>
  <c r="B45" i="2"/>
  <c r="B44" i="2"/>
  <c r="B42" i="2"/>
  <c r="B40" i="2" s="1"/>
  <c r="B41" i="2"/>
  <c r="C28" i="2"/>
  <c r="C25" i="2"/>
  <c r="C23" i="2"/>
  <c r="C20" i="2"/>
  <c r="C19" i="2"/>
  <c r="C18" i="2"/>
  <c r="C16" i="2"/>
  <c r="C13" i="2"/>
  <c r="C12" i="2"/>
  <c r="C11" i="2"/>
  <c r="C10" i="2"/>
  <c r="B28" i="2"/>
  <c r="B15" i="2"/>
  <c r="B13" i="2"/>
  <c r="B12" i="2"/>
  <c r="B11" i="2"/>
  <c r="B10" i="2"/>
  <c r="B16" i="1"/>
  <c r="B13" i="1"/>
  <c r="B9" i="1"/>
  <c r="B3" i="1"/>
  <c r="C16" i="1"/>
  <c r="C13" i="1"/>
  <c r="C9" i="1"/>
  <c r="C3" i="1"/>
  <c r="H18" i="1"/>
  <c r="D16" i="1"/>
  <c r="D13" i="1"/>
  <c r="D9" i="1"/>
  <c r="H19" i="1"/>
  <c r="H16" i="1"/>
  <c r="H13" i="1"/>
  <c r="H9" i="1"/>
  <c r="D3" i="1"/>
  <c r="H3" i="1"/>
  <c r="E40" i="1"/>
  <c r="E38" i="1"/>
  <c r="E36" i="1"/>
  <c r="E35" i="1"/>
  <c r="E34" i="1" s="1"/>
  <c r="E43" i="1"/>
  <c r="I54" i="1"/>
  <c r="H54" i="1"/>
  <c r="G54" i="1"/>
  <c r="F54" i="1"/>
  <c r="E16" i="1"/>
  <c r="E13" i="1"/>
  <c r="E9" i="1"/>
  <c r="I16" i="1"/>
  <c r="I13" i="1"/>
  <c r="I9" i="1"/>
  <c r="F16" i="1"/>
  <c r="F13" i="1"/>
  <c r="F9" i="1"/>
  <c r="J16" i="1"/>
  <c r="J13" i="1"/>
  <c r="J9" i="1"/>
  <c r="I40" i="1"/>
  <c r="I38" i="1"/>
  <c r="I36" i="1"/>
  <c r="I35" i="1"/>
  <c r="G16" i="1"/>
  <c r="G13" i="1"/>
  <c r="G9" i="1"/>
  <c r="K16" i="1"/>
  <c r="K13" i="1"/>
  <c r="K9" i="1"/>
  <c r="L16" i="1"/>
  <c r="L13" i="1"/>
  <c r="L9" i="1"/>
  <c r="P16" i="1"/>
  <c r="P13" i="1"/>
  <c r="P9" i="1"/>
  <c r="M40" i="1"/>
  <c r="M38" i="1"/>
  <c r="M36" i="1"/>
  <c r="M35" i="1"/>
  <c r="M16" i="1"/>
  <c r="M13" i="1"/>
  <c r="M9" i="1"/>
  <c r="Q54" i="1"/>
  <c r="Q53" i="1"/>
  <c r="Q52" i="1"/>
  <c r="Q51" i="1"/>
  <c r="Q31" i="1"/>
  <c r="Q30" i="1"/>
  <c r="Q29" i="1"/>
  <c r="Q28" i="1"/>
  <c r="Q26" i="1"/>
  <c r="Q25" i="1"/>
  <c r="Q24" i="1"/>
  <c r="Q20" i="1"/>
  <c r="Q21" i="1" s="1"/>
  <c r="Q17" i="1"/>
  <c r="Q16" i="1"/>
  <c r="Q14" i="1"/>
  <c r="Q15" i="1" s="1"/>
  <c r="Q13" i="1"/>
  <c r="Q10" i="1"/>
  <c r="Q9" i="1"/>
  <c r="Q8" i="1"/>
  <c r="R32" i="1"/>
  <c r="R31" i="1"/>
  <c r="R30" i="1"/>
  <c r="R29" i="1"/>
  <c r="R28" i="1"/>
  <c r="R26" i="1"/>
  <c r="R25" i="1"/>
  <c r="R24" i="1"/>
  <c r="R54" i="1"/>
  <c r="R53" i="1"/>
  <c r="R52" i="1"/>
  <c r="R51" i="1"/>
  <c r="R43" i="1"/>
  <c r="R42" i="1"/>
  <c r="R40" i="1"/>
  <c r="R38" i="1"/>
  <c r="R36" i="1"/>
  <c r="R34" i="1" s="1"/>
  <c r="R35" i="1"/>
  <c r="N16" i="1"/>
  <c r="N13" i="1"/>
  <c r="N9" i="1"/>
  <c r="R20" i="1"/>
  <c r="R21" i="1" s="1"/>
  <c r="R17" i="1"/>
  <c r="R16" i="1"/>
  <c r="R14" i="1"/>
  <c r="R15" i="1" s="1"/>
  <c r="R13" i="1"/>
  <c r="R10" i="1"/>
  <c r="R9" i="1"/>
  <c r="R8" i="1"/>
  <c r="Q40" i="1"/>
  <c r="Q38" i="1"/>
  <c r="Q42" i="1" s="1"/>
  <c r="Q36" i="1"/>
  <c r="Q34" i="1" s="1"/>
  <c r="Q35" i="1"/>
  <c r="Q43" i="1"/>
  <c r="S54" i="1"/>
  <c r="S53" i="1"/>
  <c r="S52" i="1"/>
  <c r="S51" i="1"/>
  <c r="S43" i="1"/>
  <c r="S42" i="1"/>
  <c r="S40" i="1"/>
  <c r="S38" i="1"/>
  <c r="S36" i="1"/>
  <c r="S35" i="1"/>
  <c r="S34" i="1"/>
  <c r="S32" i="1"/>
  <c r="S31" i="1"/>
  <c r="S30" i="1"/>
  <c r="S29" i="1"/>
  <c r="S28" i="1"/>
  <c r="S26" i="1"/>
  <c r="S25" i="1"/>
  <c r="S24" i="1"/>
  <c r="O16" i="1"/>
  <c r="O13" i="1"/>
  <c r="O14" i="1" s="1"/>
  <c r="O9" i="1"/>
  <c r="S20" i="1"/>
  <c r="S21" i="1" s="1"/>
  <c r="S17" i="1"/>
  <c r="S16" i="1"/>
  <c r="S14" i="1"/>
  <c r="S15" i="1" s="1"/>
  <c r="S13" i="1"/>
  <c r="S10" i="1"/>
  <c r="S9" i="1"/>
  <c r="O8" i="1"/>
  <c r="S8" i="1"/>
  <c r="O54" i="1"/>
  <c r="O53" i="1"/>
  <c r="O52" i="1"/>
  <c r="O51" i="1"/>
  <c r="O30" i="1"/>
  <c r="O29" i="1"/>
  <c r="P54" i="1"/>
  <c r="P53" i="1"/>
  <c r="P52" i="1"/>
  <c r="P51" i="1"/>
  <c r="P30" i="1"/>
  <c r="P29" i="1"/>
  <c r="P8" i="1"/>
  <c r="P10" i="1" s="1"/>
  <c r="T30" i="2" l="1"/>
  <c r="T16" i="2"/>
  <c r="T34" i="2"/>
  <c r="S34" i="2"/>
  <c r="S17" i="2"/>
  <c r="U21" i="1"/>
  <c r="U17" i="1"/>
  <c r="T26" i="1"/>
  <c r="U18" i="1" s="1"/>
  <c r="U26" i="1" s="1"/>
  <c r="E22" i="2"/>
  <c r="E24" i="2" s="1"/>
  <c r="B48" i="2"/>
  <c r="E42" i="1"/>
  <c r="P14" i="1"/>
  <c r="P15" i="1" s="1"/>
  <c r="P24" i="1"/>
  <c r="O10" i="1"/>
  <c r="O24" i="1" s="1"/>
  <c r="N54" i="1"/>
  <c r="N53" i="1"/>
  <c r="N52" i="1"/>
  <c r="N51" i="1"/>
  <c r="N30" i="1"/>
  <c r="N29" i="1"/>
  <c r="N14" i="1"/>
  <c r="N8" i="1"/>
  <c r="M8" i="1"/>
  <c r="S30" i="2" l="1"/>
  <c r="S16" i="2"/>
  <c r="M14" i="1"/>
  <c r="Q32" i="1" s="1"/>
  <c r="N10" i="1"/>
  <c r="N24" i="1" s="1"/>
  <c r="M10" i="1"/>
  <c r="M15" i="1" s="1"/>
  <c r="M17" i="1" s="1"/>
  <c r="P17" i="1"/>
  <c r="P25" i="1"/>
  <c r="O15" i="1"/>
  <c r="D46" i="2"/>
  <c r="D45" i="2"/>
  <c r="D42" i="2"/>
  <c r="P36" i="2"/>
  <c r="C46" i="2"/>
  <c r="C45" i="2"/>
  <c r="C42" i="2"/>
  <c r="M30" i="1"/>
  <c r="M29" i="1"/>
  <c r="M54" i="1"/>
  <c r="M51" i="1"/>
  <c r="M53" i="1"/>
  <c r="M52" i="1"/>
  <c r="M43" i="1"/>
  <c r="M34" i="1"/>
  <c r="I53" i="1"/>
  <c r="I52" i="1"/>
  <c r="H53" i="1"/>
  <c r="H52" i="1"/>
  <c r="G53" i="1"/>
  <c r="G52" i="1"/>
  <c r="F53" i="1"/>
  <c r="F52" i="1"/>
  <c r="I51" i="1"/>
  <c r="B8" i="1"/>
  <c r="C8" i="1"/>
  <c r="D8" i="1"/>
  <c r="E8" i="1"/>
  <c r="E14" i="1"/>
  <c r="I8" i="1"/>
  <c r="N15" i="1" l="1"/>
  <c r="O25" i="1"/>
  <c r="O17" i="1"/>
  <c r="C57" i="2"/>
  <c r="P26" i="1"/>
  <c r="P20" i="1"/>
  <c r="D15" i="2"/>
  <c r="D49" i="2"/>
  <c r="D57" i="2"/>
  <c r="D58" i="2"/>
  <c r="M42" i="1"/>
  <c r="C56" i="2"/>
  <c r="D41" i="2"/>
  <c r="D40" i="2" s="1"/>
  <c r="C58" i="2"/>
  <c r="D44" i="2"/>
  <c r="E59" i="2"/>
  <c r="G59" i="2"/>
  <c r="D59" i="2"/>
  <c r="C15" i="2"/>
  <c r="D56" i="2"/>
  <c r="E10" i="1"/>
  <c r="F8" i="1"/>
  <c r="N31" i="1"/>
  <c r="J54" i="1"/>
  <c r="J53" i="1"/>
  <c r="J52" i="1"/>
  <c r="J51" i="1"/>
  <c r="J31" i="1"/>
  <c r="J30" i="1"/>
  <c r="J29" i="1"/>
  <c r="J8" i="1"/>
  <c r="G8" i="1"/>
  <c r="K54" i="1"/>
  <c r="K53" i="1"/>
  <c r="K52" i="1"/>
  <c r="K51" i="1"/>
  <c r="K30" i="1"/>
  <c r="K29" i="1"/>
  <c r="K8" i="1"/>
  <c r="L54" i="1"/>
  <c r="L53" i="1"/>
  <c r="C44" i="2"/>
  <c r="C41" i="2"/>
  <c r="H8" i="1"/>
  <c r="L8" i="1"/>
  <c r="L52" i="1"/>
  <c r="L51" i="1"/>
  <c r="L30" i="1"/>
  <c r="L29" i="1"/>
  <c r="R36" i="2" l="1"/>
  <c r="S21" i="2"/>
  <c r="S35" i="2"/>
  <c r="P21" i="1"/>
  <c r="S45" i="1"/>
  <c r="R45" i="1"/>
  <c r="M31" i="1"/>
  <c r="P31" i="1"/>
  <c r="N25" i="1"/>
  <c r="N17" i="1"/>
  <c r="N28" i="1"/>
  <c r="P28" i="1"/>
  <c r="K31" i="1"/>
  <c r="O31" i="1"/>
  <c r="K10" i="1"/>
  <c r="K24" i="1" s="1"/>
  <c r="O28" i="1"/>
  <c r="Q36" i="2"/>
  <c r="O20" i="1"/>
  <c r="O26" i="1"/>
  <c r="E56" i="2"/>
  <c r="D48" i="2"/>
  <c r="F59" i="2"/>
  <c r="E57" i="2"/>
  <c r="M28" i="1"/>
  <c r="L31" i="1"/>
  <c r="J14" i="1"/>
  <c r="E58" i="2"/>
  <c r="L14" i="1"/>
  <c r="K14" i="1"/>
  <c r="E24" i="1"/>
  <c r="E15" i="1"/>
  <c r="J10" i="1"/>
  <c r="H14" i="1"/>
  <c r="I14" i="1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I42" i="1"/>
  <c r="I43" i="1"/>
  <c r="I34" i="1"/>
  <c r="I31" i="1"/>
  <c r="F51" i="1"/>
  <c r="J28" i="1"/>
  <c r="F14" i="1"/>
  <c r="F32" i="1" s="1"/>
  <c r="F31" i="1"/>
  <c r="F30" i="1"/>
  <c r="F29" i="1"/>
  <c r="G51" i="1"/>
  <c r="G14" i="1"/>
  <c r="G31" i="1"/>
  <c r="G30" i="1"/>
  <c r="G29" i="1"/>
  <c r="K28" i="1"/>
  <c r="C10" i="1"/>
  <c r="B14" i="1"/>
  <c r="C14" i="1"/>
  <c r="D14" i="1"/>
  <c r="I29" i="1"/>
  <c r="I30" i="1"/>
  <c r="H51" i="1"/>
  <c r="H31" i="1"/>
  <c r="H30" i="1"/>
  <c r="H29" i="1"/>
  <c r="C4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S36" i="2" l="1"/>
  <c r="T36" i="2"/>
  <c r="T35" i="2"/>
  <c r="T21" i="2"/>
  <c r="S22" i="2"/>
  <c r="R48" i="1"/>
  <c r="R49" i="1"/>
  <c r="R47" i="1"/>
  <c r="R46" i="1"/>
  <c r="S46" i="1"/>
  <c r="S47" i="1"/>
  <c r="S48" i="1"/>
  <c r="S49" i="1"/>
  <c r="H32" i="1"/>
  <c r="G32" i="1"/>
  <c r="E34" i="2"/>
  <c r="L32" i="1"/>
  <c r="P32" i="1"/>
  <c r="J32" i="1"/>
  <c r="N32" i="1"/>
  <c r="I32" i="1"/>
  <c r="M32" i="1"/>
  <c r="N26" i="1"/>
  <c r="N20" i="1"/>
  <c r="K15" i="1"/>
  <c r="K25" i="1" s="1"/>
  <c r="K32" i="1"/>
  <c r="O32" i="1"/>
  <c r="O21" i="1"/>
  <c r="F34" i="2"/>
  <c r="H59" i="2"/>
  <c r="P9" i="2"/>
  <c r="Q9" i="2" s="1"/>
  <c r="R9" i="2" s="1"/>
  <c r="P35" i="2"/>
  <c r="F56" i="2"/>
  <c r="F57" i="2"/>
  <c r="G57" i="2"/>
  <c r="K20" i="2"/>
  <c r="L20" i="2" s="1"/>
  <c r="M20" i="2" s="1"/>
  <c r="N20" i="2" s="1"/>
  <c r="O20" i="2" s="1"/>
  <c r="P20" i="2" s="1"/>
  <c r="Q20" i="2" s="1"/>
  <c r="R20" i="2" s="1"/>
  <c r="D21" i="2"/>
  <c r="D37" i="2"/>
  <c r="F58" i="2"/>
  <c r="G56" i="2"/>
  <c r="I59" i="2"/>
  <c r="C40" i="2"/>
  <c r="C49" i="2"/>
  <c r="E25" i="1"/>
  <c r="E17" i="1"/>
  <c r="J24" i="1"/>
  <c r="J15" i="1"/>
  <c r="H28" i="1"/>
  <c r="C21" i="2"/>
  <c r="L28" i="1"/>
  <c r="L10" i="1"/>
  <c r="C6" i="2"/>
  <c r="C7" i="2" s="1"/>
  <c r="D35" i="2"/>
  <c r="D36" i="2"/>
  <c r="I10" i="1"/>
  <c r="C15" i="1"/>
  <c r="C24" i="1"/>
  <c r="F10" i="1"/>
  <c r="F28" i="1"/>
  <c r="G10" i="1"/>
  <c r="G28" i="1"/>
  <c r="B10" i="1"/>
  <c r="I28" i="1"/>
  <c r="D10" i="1"/>
  <c r="H10" i="1"/>
  <c r="C37" i="2"/>
  <c r="C48" i="2"/>
  <c r="S31" i="2" l="1"/>
  <c r="T38" i="2"/>
  <c r="T22" i="2"/>
  <c r="N21" i="1"/>
  <c r="Q45" i="1"/>
  <c r="K17" i="1"/>
  <c r="K20" i="1" s="1"/>
  <c r="G15" i="2"/>
  <c r="Q35" i="2"/>
  <c r="G58" i="2"/>
  <c r="D38" i="2"/>
  <c r="I21" i="2"/>
  <c r="H56" i="2"/>
  <c r="E20" i="1"/>
  <c r="E21" i="1" s="1"/>
  <c r="E26" i="1"/>
  <c r="J25" i="1"/>
  <c r="J17" i="1"/>
  <c r="L24" i="1"/>
  <c r="L15" i="1"/>
  <c r="C36" i="2"/>
  <c r="E37" i="2"/>
  <c r="B15" i="1"/>
  <c r="B24" i="1"/>
  <c r="G15" i="1"/>
  <c r="G24" i="1"/>
  <c r="C17" i="1"/>
  <c r="C25" i="1"/>
  <c r="I15" i="1"/>
  <c r="I24" i="1"/>
  <c r="B21" i="2"/>
  <c r="C38" i="2" s="1"/>
  <c r="C35" i="2"/>
  <c r="E36" i="2"/>
  <c r="D24" i="1"/>
  <c r="D15" i="1"/>
  <c r="E38" i="2"/>
  <c r="E35" i="2"/>
  <c r="F15" i="1"/>
  <c r="F24" i="1"/>
  <c r="H15" i="1"/>
  <c r="H24" i="1"/>
  <c r="T31" i="2" l="1"/>
  <c r="Q49" i="1"/>
  <c r="Q47" i="1"/>
  <c r="Q48" i="1"/>
  <c r="Q46" i="1"/>
  <c r="K26" i="1"/>
  <c r="H57" i="2"/>
  <c r="H15" i="2"/>
  <c r="P37" i="2"/>
  <c r="P21" i="2"/>
  <c r="R35" i="2"/>
  <c r="D17" i="2"/>
  <c r="D22" i="2" s="1"/>
  <c r="D24" i="2" s="1"/>
  <c r="M24" i="1"/>
  <c r="I58" i="2"/>
  <c r="H58" i="2"/>
  <c r="I56" i="2"/>
  <c r="C34" i="2"/>
  <c r="J20" i="1"/>
  <c r="J26" i="1"/>
  <c r="K21" i="1"/>
  <c r="L25" i="1"/>
  <c r="L17" i="1"/>
  <c r="I17" i="1"/>
  <c r="I25" i="1"/>
  <c r="C20" i="1"/>
  <c r="C26" i="1"/>
  <c r="H17" i="1"/>
  <c r="H25" i="1"/>
  <c r="G25" i="1"/>
  <c r="G17" i="1"/>
  <c r="F25" i="1"/>
  <c r="F17" i="1"/>
  <c r="F37" i="2"/>
  <c r="D25" i="1"/>
  <c r="D17" i="1"/>
  <c r="F36" i="2"/>
  <c r="C17" i="2"/>
  <c r="B17" i="1"/>
  <c r="B25" i="1"/>
  <c r="F35" i="2"/>
  <c r="F21" i="2"/>
  <c r="F38" i="2" s="1"/>
  <c r="I57" i="2" l="1"/>
  <c r="I15" i="2"/>
  <c r="Q37" i="2"/>
  <c r="Q21" i="2"/>
  <c r="Q38" i="2" s="1"/>
  <c r="M25" i="1"/>
  <c r="B30" i="2"/>
  <c r="J21" i="1"/>
  <c r="L26" i="1"/>
  <c r="L20" i="1"/>
  <c r="G21" i="2"/>
  <c r="G38" i="2" s="1"/>
  <c r="G35" i="2"/>
  <c r="C22" i="2"/>
  <c r="C30" i="2"/>
  <c r="D34" i="2"/>
  <c r="H20" i="1"/>
  <c r="H21" i="1" s="1"/>
  <c r="H26" i="1"/>
  <c r="C21" i="1"/>
  <c r="I26" i="1"/>
  <c r="I20" i="1"/>
  <c r="I21" i="1" s="1"/>
  <c r="D26" i="1"/>
  <c r="D20" i="1"/>
  <c r="F26" i="1"/>
  <c r="F20" i="1"/>
  <c r="G20" i="1"/>
  <c r="G21" i="1" s="1"/>
  <c r="G26" i="1"/>
  <c r="G36" i="2"/>
  <c r="B26" i="1"/>
  <c r="B20" i="1"/>
  <c r="G37" i="2"/>
  <c r="E45" i="1" l="1"/>
  <c r="E48" i="1" s="1"/>
  <c r="R37" i="2"/>
  <c r="R21" i="2"/>
  <c r="M26" i="1"/>
  <c r="M20" i="1"/>
  <c r="B22" i="2"/>
  <c r="B24" i="2" s="1"/>
  <c r="B26" i="2" s="1"/>
  <c r="L21" i="1"/>
  <c r="I45" i="1"/>
  <c r="F21" i="1"/>
  <c r="H21" i="2"/>
  <c r="H38" i="2" s="1"/>
  <c r="H35" i="2"/>
  <c r="H37" i="2"/>
  <c r="H36" i="2"/>
  <c r="D21" i="1"/>
  <c r="C31" i="2"/>
  <c r="C24" i="2"/>
  <c r="B21" i="1"/>
  <c r="R38" i="2" l="1"/>
  <c r="S38" i="2"/>
  <c r="B52" i="2"/>
  <c r="B54" i="2"/>
  <c r="B51" i="2"/>
  <c r="B53" i="2"/>
  <c r="E49" i="1"/>
  <c r="E47" i="1"/>
  <c r="E46" i="1"/>
  <c r="P34" i="2"/>
  <c r="M21" i="1"/>
  <c r="Q34" i="2"/>
  <c r="M45" i="1"/>
  <c r="B31" i="2"/>
  <c r="D30" i="2"/>
  <c r="I36" i="2"/>
  <c r="I49" i="1"/>
  <c r="I48" i="1"/>
  <c r="I47" i="1"/>
  <c r="I46" i="1"/>
  <c r="I37" i="2"/>
  <c r="C26" i="2"/>
  <c r="C32" i="2"/>
  <c r="I35" i="2"/>
  <c r="I38" i="2"/>
  <c r="B32" i="2"/>
  <c r="D31" i="2"/>
  <c r="R34" i="2" l="1"/>
  <c r="M48" i="1"/>
  <c r="M47" i="1"/>
  <c r="M49" i="1"/>
  <c r="M46" i="1"/>
  <c r="C54" i="2"/>
  <c r="C53" i="2"/>
  <c r="C52" i="2"/>
  <c r="C51" i="2"/>
  <c r="C27" i="2"/>
  <c r="J37" i="2"/>
  <c r="J36" i="2"/>
  <c r="J21" i="2"/>
  <c r="J38" i="2" s="1"/>
  <c r="J35" i="2"/>
  <c r="D32" i="2"/>
  <c r="G34" i="2"/>
  <c r="B27" i="2"/>
  <c r="E30" i="2" l="1"/>
  <c r="F17" i="2" s="1"/>
  <c r="F16" i="2" s="1"/>
  <c r="E31" i="2"/>
  <c r="D26" i="2"/>
  <c r="D27" i="2" s="1"/>
  <c r="K36" i="2"/>
  <c r="K37" i="2"/>
  <c r="H34" i="2"/>
  <c r="K35" i="2"/>
  <c r="K21" i="2"/>
  <c r="K38" i="2" s="1"/>
  <c r="F22" i="2" l="1"/>
  <c r="F31" i="2" s="1"/>
  <c r="F30" i="2"/>
  <c r="G17" i="2" s="1"/>
  <c r="G22" i="2" s="1"/>
  <c r="G31" i="2" s="1"/>
  <c r="D52" i="2"/>
  <c r="D53" i="2"/>
  <c r="D54" i="2"/>
  <c r="D51" i="2"/>
  <c r="L37" i="2"/>
  <c r="L21" i="2"/>
  <c r="L38" i="2" s="1"/>
  <c r="L35" i="2"/>
  <c r="I34" i="2"/>
  <c r="L36" i="2"/>
  <c r="G16" i="2" l="1"/>
  <c r="G30" i="2"/>
  <c r="H17" i="2" s="1"/>
  <c r="H16" i="2" s="1"/>
  <c r="E32" i="2"/>
  <c r="J34" i="2"/>
  <c r="M35" i="2"/>
  <c r="M21" i="2"/>
  <c r="M38" i="2" s="1"/>
  <c r="M36" i="2"/>
  <c r="M37" i="2"/>
  <c r="H30" i="2" l="1"/>
  <c r="I17" i="2" s="1"/>
  <c r="I22" i="2" s="1"/>
  <c r="I31" i="2" s="1"/>
  <c r="H22" i="2"/>
  <c r="H31" i="2" s="1"/>
  <c r="E26" i="2"/>
  <c r="N36" i="2"/>
  <c r="O36" i="2"/>
  <c r="N35" i="2"/>
  <c r="N21" i="2"/>
  <c r="N38" i="2" s="1"/>
  <c r="K34" i="2"/>
  <c r="N37" i="2"/>
  <c r="O37" i="2"/>
  <c r="F23" i="2" l="1"/>
  <c r="F24" i="2" s="1"/>
  <c r="E27" i="2"/>
  <c r="I30" i="2"/>
  <c r="J17" i="2" s="1"/>
  <c r="I16" i="2"/>
  <c r="L34" i="2"/>
  <c r="O35" i="2"/>
  <c r="O21" i="2"/>
  <c r="O38" i="2" l="1"/>
  <c r="P38" i="2"/>
  <c r="J16" i="2"/>
  <c r="J30" i="2"/>
  <c r="K17" i="2" s="1"/>
  <c r="J22" i="2"/>
  <c r="J31" i="2" s="1"/>
  <c r="M34" i="2"/>
  <c r="F25" i="2"/>
  <c r="F32" i="2" s="1"/>
  <c r="K16" i="2" l="1"/>
  <c r="K22" i="2"/>
  <c r="K31" i="2" s="1"/>
  <c r="K30" i="2"/>
  <c r="L17" i="2" s="1"/>
  <c r="F26" i="2"/>
  <c r="N34" i="2"/>
  <c r="L16" i="2" l="1"/>
  <c r="L30" i="2"/>
  <c r="M17" i="2" s="1"/>
  <c r="L22" i="2"/>
  <c r="L31" i="2" s="1"/>
  <c r="F27" i="2"/>
  <c r="F40" i="2"/>
  <c r="G23" i="2" s="1"/>
  <c r="G24" i="2" s="1"/>
  <c r="O34" i="2"/>
  <c r="M30" i="2" l="1"/>
  <c r="N17" i="2" s="1"/>
  <c r="M22" i="2"/>
  <c r="M31" i="2" s="1"/>
  <c r="M16" i="2"/>
  <c r="G25" i="2"/>
  <c r="G32" i="2" s="1"/>
  <c r="N16" i="2" l="1"/>
  <c r="N22" i="2"/>
  <c r="N31" i="2" s="1"/>
  <c r="N30" i="2"/>
  <c r="O17" i="2" s="1"/>
  <c r="G26" i="2"/>
  <c r="O16" i="2" l="1"/>
  <c r="O30" i="2"/>
  <c r="P17" i="2" s="1"/>
  <c r="O22" i="2"/>
  <c r="O31" i="2" s="1"/>
  <c r="G27" i="2"/>
  <c r="G40" i="2"/>
  <c r="H23" i="2" s="1"/>
  <c r="H24" i="2" s="1"/>
  <c r="P22" i="2" l="1"/>
  <c r="P30" i="2"/>
  <c r="Q17" i="2" s="1"/>
  <c r="P16" i="2"/>
  <c r="H25" i="2"/>
  <c r="H32" i="2" s="1"/>
  <c r="Q22" i="2" l="1"/>
  <c r="Q30" i="2"/>
  <c r="R17" i="2" s="1"/>
  <c r="Q16" i="2"/>
  <c r="P31" i="2"/>
  <c r="H26" i="2"/>
  <c r="R30" i="2" l="1"/>
  <c r="R22" i="2"/>
  <c r="R16" i="2"/>
  <c r="Q31" i="2"/>
  <c r="H27" i="2"/>
  <c r="H40" i="2"/>
  <c r="I23" i="2" s="1"/>
  <c r="I24" i="2" s="1"/>
  <c r="R31" i="2" l="1"/>
  <c r="I25" i="2"/>
  <c r="I32" i="2" s="1"/>
  <c r="I26" i="2" l="1"/>
  <c r="I27" i="2" l="1"/>
  <c r="I40" i="2"/>
  <c r="J23" i="2" s="1"/>
  <c r="J24" i="2" s="1"/>
  <c r="J25" i="2" l="1"/>
  <c r="J32" i="2" s="1"/>
  <c r="J26" i="2" l="1"/>
  <c r="J27" i="2" l="1"/>
  <c r="J40" i="2"/>
  <c r="K23" i="2" l="1"/>
  <c r="K24" i="2" s="1"/>
  <c r="K25" i="2" l="1"/>
  <c r="K32" i="2" s="1"/>
  <c r="K26" i="2" l="1"/>
  <c r="K27" i="2" s="1"/>
  <c r="K40" i="2" l="1"/>
  <c r="L23" i="2" s="1"/>
  <c r="L24" i="2" s="1"/>
  <c r="L25" i="2" l="1"/>
  <c r="L32" i="2" s="1"/>
  <c r="L26" i="2" l="1"/>
  <c r="L27" i="2" s="1"/>
  <c r="L40" i="2" l="1"/>
  <c r="M23" i="2" s="1"/>
  <c r="M24" i="2" s="1"/>
  <c r="M25" i="2" l="1"/>
  <c r="M32" i="2" s="1"/>
  <c r="M26" i="2"/>
  <c r="M27" i="2" l="1"/>
  <c r="M40" i="2"/>
  <c r="N23" i="2" l="1"/>
  <c r="N24" i="2" s="1"/>
  <c r="N25" i="2" l="1"/>
  <c r="N32" i="2" s="1"/>
  <c r="N26" i="2" l="1"/>
  <c r="N27" i="2" s="1"/>
  <c r="N40" i="2" l="1"/>
  <c r="O23" i="2" s="1"/>
  <c r="O24" i="2" s="1"/>
  <c r="O25" i="2" l="1"/>
  <c r="O32" i="2" s="1"/>
  <c r="O26" i="2" l="1"/>
  <c r="O27" i="2" s="1"/>
  <c r="O40" i="2" l="1"/>
  <c r="P23" i="2"/>
  <c r="P24" i="2" s="1"/>
  <c r="P25" i="2" l="1"/>
  <c r="P32" i="2" s="1"/>
  <c r="P26" i="2" l="1"/>
  <c r="P27" i="2" s="1"/>
  <c r="P40" i="2"/>
  <c r="Q23" i="2" l="1"/>
  <c r="Q24" i="2" s="1"/>
  <c r="Q25" i="2" l="1"/>
  <c r="Q32" i="2" s="1"/>
  <c r="Q26" i="2" l="1"/>
  <c r="Q27" i="2" s="1"/>
  <c r="Q40" i="2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 l="1"/>
  <c r="S27" i="2" l="1"/>
  <c r="S40" i="2"/>
  <c r="T23" i="2" l="1"/>
  <c r="T24" i="2" s="1"/>
  <c r="T25" i="2" l="1"/>
  <c r="T32" i="2" s="1"/>
  <c r="T26" i="2" l="1"/>
  <c r="T27" i="2" l="1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IB26" i="2" s="1"/>
  <c r="IC26" i="2" s="1"/>
  <c r="ID26" i="2" s="1"/>
  <c r="IE26" i="2" s="1"/>
  <c r="IF26" i="2" s="1"/>
  <c r="IG26" i="2" s="1"/>
  <c r="IH26" i="2" s="1"/>
  <c r="II26" i="2" s="1"/>
  <c r="T40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<sst xmlns="http://schemas.openxmlformats.org/spreadsheetml/2006/main" count="140" uniqueCount="93">
  <si>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</si>
  <si>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</si>
  <si>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</si>
  <si>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</si>
  <si>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</si>
  <si>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</si>
  <si>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</si>
  <si>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</si>
  <si>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</si>
  <si>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</si>
  <si>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</si>
  <si>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</si>
  <si>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</si>
  <si>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</si>
  <si>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</si>
  <si>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</si>
  <si>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</si>
  <si>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</si>
  <si>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</si>
  <si>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</si>
  <si>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</si>
  <si>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</si>
  <si>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</si>
  <si>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</si>
  <si>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</si>
  <si>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</si>
  <si>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</si>
  <si>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</si>
  <si>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</si>
  <si>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</si>
  <si>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</si>
  <si>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</si>
  <si>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</si>
  <si>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</si>
  <si>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</si>
  <si>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</si>
  <si>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</si>
  <si>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</si>
  <si>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Investor Relations</t>
  </si>
  <si>
    <t>CEO</t>
  </si>
  <si>
    <t>Founder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</si>
  <si>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</si>
  <si>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</si>
  <si>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</si>
  <si>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</si>
  <si>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</si>
  <si>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</si>
  <si>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</si>
  <si>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</si>
  <si>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</si>
  <si>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</si>
  <si>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</si>
  <si>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</si>
  <si>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</si>
  <si>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</si>
  <si>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Q119</t>
  </si>
  <si>
    <t>Q219</t>
  </si>
  <si>
    <t>Q319</t>
  </si>
  <si>
    <t>Q419</t>
  </si>
  <si>
    <t>Hardware</t>
  </si>
  <si>
    <t>Hardware y/y</t>
  </si>
  <si>
    <t>OE y/y</t>
  </si>
  <si>
    <t>Square Reader</t>
  </si>
  <si>
    <t>Mobile payment card reader</t>
  </si>
  <si>
    <t>Square Stand</t>
  </si>
  <si>
    <t>Point of sale system</t>
  </si>
  <si>
    <t>Cash App</t>
  </si>
  <si>
    <t>Caviar</t>
  </si>
  <si>
    <t>Food delivery service (aquired by DoorDash)</t>
  </si>
  <si>
    <t>Square Capital</t>
  </si>
  <si>
    <t>Credit lending to companies</t>
  </si>
  <si>
    <t>Q120</t>
  </si>
  <si>
    <t>Q220</t>
  </si>
  <si>
    <t>Q320</t>
  </si>
  <si>
    <t>Q420</t>
  </si>
  <si>
    <t>PRODUCTS</t>
  </si>
  <si>
    <t>OTHER</t>
  </si>
  <si>
    <t>P2P for bitcoin, cash card, direct deposits, stocks</t>
  </si>
  <si>
    <t>Safra Catz</t>
  </si>
  <si>
    <t>Larry Ellison</t>
  </si>
  <si>
    <t>Bob Miner</t>
  </si>
  <si>
    <t>Cloud services</t>
  </si>
  <si>
    <t>Cloud license</t>
  </si>
  <si>
    <t>Other services</t>
  </si>
  <si>
    <t>Q121</t>
  </si>
  <si>
    <t>Q221</t>
  </si>
  <si>
    <t>Q321</t>
  </si>
  <si>
    <t>Q421</t>
  </si>
  <si>
    <t>Cloud services y/y</t>
  </si>
  <si>
    <t>Cloud license y/y</t>
  </si>
  <si>
    <t>Other services y/y</t>
  </si>
  <si>
    <t>Tax anomaly</t>
  </si>
  <si>
    <t>Oracle Corporation (ORCL)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</si>
</sst>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3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/>
    <xf numFmtId="14" fontId="8" fillId="0" borderId="0" xfId="0" applyNumberFormat="1" applyFont="1"/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0" fontId="7" fillId="0" borderId="0" xfId="4"/>
    <xf numFmtId="14" fontId="8" fillId="0" borderId="0" xfId="0" applyNumberFormat="1" applyFont="1" applyFill="1" applyAlignment="1">
      <alignment horizontal="right"/>
    </xf>
    <xf numFmtId="14" fontId="8" fillId="0" borderId="0" xfId="0" applyNumberFormat="1" applyFont="1" applyAlignment="1">
      <alignment horizontal="right"/>
    </xf>
    <xf numFmtId="14" fontId="8" fillId="0" borderId="1" xfId="0" applyNumberFormat="1" applyFont="1" applyBorder="1" applyAlignment="1">
      <alignment horizontal="right"/>
    </xf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1" xfId="0" applyNumberFormat="1" applyFont="1" applyBorder="1"/>
    <xf numFmtId="3" fontId="12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137746</xdr:colOff>
      <xdr:row>8</xdr:row>
      <xdr:rowOff>0</xdr:rowOff>
    </xdr:from>
    <xdr:to>
      <xdr:col>5</xdr:col>
      <xdr:colOff>137746</xdr:colOff>
      <xdr:row>60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10284" y="1328615"/>
          <a:ext cx="0" cy="8636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274516</xdr:colOff>
      <xdr:row>1</xdr:row>
      <xdr:rowOff>12700</xdr:rowOff>
    </xdr:from>
    <xdr:to>
      <xdr:col>19</xdr:col>
      <xdr:colOff>274516</xdr:colOff>
      <xdr:row>59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7087362" y="178777"/>
          <a:ext cx="0" cy="960999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larryellison" TargetMode="External"/><Relationship Id="rId2" Type="http://schemas.openxmlformats.org/officeDocument/2006/relationships/hyperlink" Target="https://en.wikipedia.org/wiki/Safra_Catz" TargetMode="External"/><Relationship Id="rId1" Type="http://schemas.openxmlformats.org/officeDocument/2006/relationships/hyperlink" Target="https://investor.oracle.com/home/default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Bob_Min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34143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59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3" sqref="H3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0" x14ac:dyDescent="0.15">
      <c r="A1" s="82" t="s">
        <v>38</v>
      </c>
      <c r="B1" s="15" t="s">
        <v>92</v>
      </c>
    </row>
    <row r="2" spans="1:20" x14ac:dyDescent="0.15">
      <c r="B2" s="1" t="s">
        <v>41</v>
      </c>
      <c r="C2" s="2">
        <v>62.09</v>
      </c>
      <c r="D2" s="69">
        <v>44244</v>
      </c>
      <c r="E2" s="3" t="s">
        <v>25</v>
      </c>
      <c r="F2" s="4">
        <v>-5.0000000000000001E-3</v>
      </c>
      <c r="I2" s="16"/>
    </row>
    <row r="3" spans="1:20" x14ac:dyDescent="0.15">
      <c r="A3" s="15" t="s">
        <v>39</v>
      </c>
      <c r="B3" s="1" t="s">
        <v>17</v>
      </c>
      <c r="C3" s="5">
        <f>Reports!S22</f>
        <v>3046</v>
      </c>
      <c r="D3" s="70" t="s">
        <v>85</v>
      </c>
      <c r="E3" s="3" t="s">
        <v>26</v>
      </c>
      <c r="F3" s="4">
        <v>0.02</v>
      </c>
      <c r="G3" s="6"/>
      <c r="I3" s="16"/>
    </row>
    <row r="4" spans="1:20" x14ac:dyDescent="0.15">
      <c r="A4" s="82" t="s">
        <v>78</v>
      </c>
      <c r="B4" s="1" t="s">
        <v>42</v>
      </c>
      <c r="C4" s="7">
        <f>C2*C3</f>
        <v>189126.14</v>
      </c>
      <c r="D4" s="71"/>
      <c r="E4" s="3" t="s">
        <v>27</v>
      </c>
      <c r="F4" s="4">
        <v>0.05</v>
      </c>
      <c r="G4" s="6"/>
      <c r="I4" s="14"/>
    </row>
    <row r="5" spans="1:20" x14ac:dyDescent="0.15">
      <c r="B5" s="1" t="s">
        <v>22</v>
      </c>
      <c r="C5" s="5">
        <f>Reports!S34</f>
        <v>-32189</v>
      </c>
      <c r="D5" s="70" t="s">
        <v>85</v>
      </c>
      <c r="E5" s="3" t="s">
        <v>28</v>
      </c>
      <c r="F5" s="8">
        <f>NPV(F4,E26:DP26)</f>
        <v>271144.19081399252</v>
      </c>
      <c r="G5" s="6"/>
      <c r="I5" s="14"/>
    </row>
    <row r="6" spans="1:20" x14ac:dyDescent="0.15">
      <c r="A6" s="15" t="s">
        <v>40</v>
      </c>
      <c r="B6" s="1" t="s">
        <v>43</v>
      </c>
      <c r="C6" s="7">
        <f>C4-C5</f>
        <v>221315.14</v>
      </c>
      <c r="D6" s="71"/>
      <c r="E6" s="9" t="s">
        <v>29</v>
      </c>
      <c r="F6" s="10">
        <f>F5+C5</f>
        <v>238955.19081399252</v>
      </c>
      <c r="I6" s="14"/>
    </row>
    <row r="7" spans="1:20" x14ac:dyDescent="0.15">
      <c r="A7" s="82" t="s">
        <v>79</v>
      </c>
      <c r="B7" s="6" t="s">
        <v>44</v>
      </c>
      <c r="C7" s="11">
        <f>C6/C3</f>
        <v>72.657629678266588</v>
      </c>
      <c r="D7" s="71"/>
      <c r="E7" s="12" t="s">
        <v>44</v>
      </c>
      <c r="F7" s="13">
        <f>F6/C3</f>
        <v>78.448847936307459</v>
      </c>
      <c r="G7" s="14">
        <f>F7/C2-1</f>
        <v>0.2634699297198817</v>
      </c>
    </row>
    <row r="8" spans="1:20" x14ac:dyDescent="0.15">
      <c r="A8" s="82" t="s">
        <v>80</v>
      </c>
    </row>
    <row r="9" spans="1:20" x14ac:dyDescent="0.15">
      <c r="B9" s="1">
        <v>2017</v>
      </c>
      <c r="C9" s="1">
        <f>B9+1</f>
        <v>2018</v>
      </c>
      <c r="D9" s="1">
        <f t="shared" ref="D9:T9" si="0">C9+1</f>
        <v>2019</v>
      </c>
      <c r="E9" s="1">
        <f t="shared" si="0"/>
        <v>2020</v>
      </c>
      <c r="F9" s="1">
        <f t="shared" si="0"/>
        <v>2021</v>
      </c>
      <c r="G9" s="1">
        <f t="shared" si="0"/>
        <v>2022</v>
      </c>
      <c r="H9" s="1">
        <f t="shared" si="0"/>
        <v>2023</v>
      </c>
      <c r="I9" s="1">
        <f t="shared" si="0"/>
        <v>2024</v>
      </c>
      <c r="J9" s="1">
        <f t="shared" si="0"/>
        <v>2025</v>
      </c>
      <c r="K9" s="1">
        <f t="shared" si="0"/>
        <v>2026</v>
      </c>
      <c r="L9" s="1">
        <f t="shared" si="0"/>
        <v>2027</v>
      </c>
      <c r="M9" s="1">
        <f t="shared" si="0"/>
        <v>2028</v>
      </c>
      <c r="N9" s="1">
        <f t="shared" si="0"/>
        <v>2029</v>
      </c>
      <c r="O9" s="1">
        <f t="shared" si="0"/>
        <v>2030</v>
      </c>
      <c r="P9" s="1">
        <f t="shared" si="0"/>
        <v>2031</v>
      </c>
      <c r="Q9" s="1">
        <f t="shared" si="0"/>
        <v>2032</v>
      </c>
      <c r="R9" s="1">
        <f t="shared" si="0"/>
        <v>2033</v>
      </c>
      <c r="S9" s="1">
        <f t="shared" si="0"/>
        <v>2034</v>
      </c>
      <c r="T9" s="1">
        <f t="shared" si="0"/>
        <v>2035</v>
      </c>
    </row>
    <row r="10" spans="1:20" x14ac:dyDescent="0.15">
      <c r="A10" s="73" t="s">
        <v>81</v>
      </c>
      <c r="B10" s="16">
        <f>SUM(Reports!B3:E3)</f>
        <v>23800</v>
      </c>
      <c r="C10" s="16">
        <f>SUM(Reports!F3:I3)</f>
        <v>26231</v>
      </c>
      <c r="D10" s="16">
        <f>SUM(Reports!J3:M3)</f>
        <v>26707</v>
      </c>
      <c r="E10" s="16">
        <f>SUM(Reports!N3:Q3)</f>
        <v>27391</v>
      </c>
      <c r="F10" s="16">
        <f>SUM(Reports!R3:U3)</f>
        <v>28109.5</v>
      </c>
      <c r="G10" s="16">
        <f>F10*1.02</f>
        <v>28671.69</v>
      </c>
      <c r="H10" s="16">
        <f t="shared" ref="H10:J10" si="1">G10*1.02</f>
        <v>29245.123799999998</v>
      </c>
      <c r="I10" s="16">
        <f t="shared" si="1"/>
        <v>29830.026275999997</v>
      </c>
      <c r="J10" s="16">
        <f t="shared" si="1"/>
        <v>30426.626801519997</v>
      </c>
    </row>
    <row r="11" spans="1:20" x14ac:dyDescent="0.15">
      <c r="A11" s="73" t="s">
        <v>82</v>
      </c>
      <c r="B11" s="16">
        <f>SUM(Reports!B4:E4)</f>
        <v>6417</v>
      </c>
      <c r="C11" s="16">
        <f>SUM(Reports!F4:I4)</f>
        <v>6096</v>
      </c>
      <c r="D11" s="16">
        <f>SUM(Reports!J4:M4)</f>
        <v>5855</v>
      </c>
      <c r="E11" s="16">
        <f>SUM(Reports!N4:Q4)</f>
        <v>5128</v>
      </c>
      <c r="F11" s="16">
        <f>SUM(Reports!R4:U4)</f>
        <v>5008.5</v>
      </c>
      <c r="G11" s="16">
        <f>F11*0.95</f>
        <v>4758.0749999999998</v>
      </c>
      <c r="H11" s="16">
        <f t="shared" ref="H11:J11" si="2">G11*0.95</f>
        <v>4520.1712499999994</v>
      </c>
      <c r="I11" s="16">
        <f t="shared" si="2"/>
        <v>4294.1626874999993</v>
      </c>
      <c r="J11" s="16">
        <f t="shared" si="2"/>
        <v>4079.4545531249992</v>
      </c>
    </row>
    <row r="12" spans="1:20" x14ac:dyDescent="0.15">
      <c r="A12" s="73" t="s">
        <v>59</v>
      </c>
      <c r="B12" s="16">
        <f>SUM(Reports!B5:E5)</f>
        <v>4152</v>
      </c>
      <c r="C12" s="16">
        <f>SUM(Reports!F5:I5)</f>
        <v>3993</v>
      </c>
      <c r="D12" s="16">
        <f>SUM(Reports!J5:M5)</f>
        <v>3704</v>
      </c>
      <c r="E12" s="16">
        <f>SUM(Reports!N5:Q5)</f>
        <v>3444</v>
      </c>
      <c r="F12" s="16">
        <f>SUM(Reports!R5:U5)</f>
        <v>3328.1</v>
      </c>
      <c r="G12" s="16">
        <f>F12*0.95</f>
        <v>3161.6949999999997</v>
      </c>
      <c r="H12" s="16">
        <f t="shared" ref="H12:J12" si="3">G12*0.95</f>
        <v>3003.6102499999997</v>
      </c>
      <c r="I12" s="16">
        <f t="shared" si="3"/>
        <v>2853.4297374999996</v>
      </c>
      <c r="J12" s="16">
        <f t="shared" si="3"/>
        <v>2710.7582506249996</v>
      </c>
    </row>
    <row r="13" spans="1:20" x14ac:dyDescent="0.15">
      <c r="A13" s="73" t="s">
        <v>83</v>
      </c>
      <c r="B13" s="16">
        <f>SUM(Reports!B6:E6)</f>
        <v>3358</v>
      </c>
      <c r="C13" s="16">
        <f>SUM(Reports!F6:I6)</f>
        <v>3395</v>
      </c>
      <c r="D13" s="16">
        <f>SUM(Reports!J6:M6)</f>
        <v>3239</v>
      </c>
      <c r="E13" s="16">
        <f>SUM(Reports!N6:Q6)</f>
        <v>3105</v>
      </c>
      <c r="F13" s="16">
        <f>SUM(Reports!R6:U6)</f>
        <v>2833.7</v>
      </c>
      <c r="G13" s="16">
        <f>F13*0.9</f>
        <v>2550.33</v>
      </c>
      <c r="H13" s="16">
        <f t="shared" ref="H13:J13" si="4">G13*0.9</f>
        <v>2295.297</v>
      </c>
      <c r="I13" s="16">
        <f t="shared" si="4"/>
        <v>2065.7673</v>
      </c>
      <c r="J13" s="16">
        <f t="shared" si="4"/>
        <v>1859.19057</v>
      </c>
    </row>
    <row r="14" spans="1:20" x14ac:dyDescent="0.15">
      <c r="B14" s="16"/>
      <c r="C14" s="16"/>
      <c r="D14" s="16"/>
      <c r="E14" s="16"/>
      <c r="F14" s="16"/>
      <c r="G14" s="16"/>
    </row>
    <row r="15" spans="1:20" x14ac:dyDescent="0.15">
      <c r="A15" s="15" t="s">
        <v>4</v>
      </c>
      <c r="B15" s="22">
        <f>SUM(B10:B13)</f>
        <v>37727</v>
      </c>
      <c r="C15" s="22">
        <f t="shared" ref="B15:J15" si="5">SUM(C10:C13)</f>
        <v>39715</v>
      </c>
      <c r="D15" s="22">
        <f t="shared" si="5"/>
        <v>39505</v>
      </c>
      <c r="E15" s="22">
        <f>SUM(E10:E13)</f>
        <v>39068</v>
      </c>
      <c r="F15" s="17">
        <f>SUM(F10:F13)</f>
        <v>39279.799999999996</v>
      </c>
      <c r="G15" s="17">
        <f t="shared" si="5"/>
        <v>39141.79</v>
      </c>
      <c r="H15" s="17">
        <f t="shared" si="5"/>
        <v>39064.202299999997</v>
      </c>
      <c r="I15" s="17">
        <f t="shared" si="5"/>
        <v>39043.386000999999</v>
      </c>
      <c r="J15" s="17">
        <f t="shared" si="5"/>
        <v>39076.030175269989</v>
      </c>
      <c r="K15" s="17">
        <f>J15*0.98</f>
        <v>38294.509571764589</v>
      </c>
      <c r="L15" s="17">
        <f t="shared" ref="L15:R15" si="6">K15*0.98</f>
        <v>37528.619380329299</v>
      </c>
      <c r="M15" s="17">
        <f t="shared" si="6"/>
        <v>36778.04699272271</v>
      </c>
      <c r="N15" s="17">
        <f t="shared" si="6"/>
        <v>36042.486052868255</v>
      </c>
      <c r="O15" s="17">
        <f t="shared" si="6"/>
        <v>35321.636331810892</v>
      </c>
      <c r="P15" s="17">
        <f t="shared" si="6"/>
        <v>34615.203605174676</v>
      </c>
      <c r="Q15" s="17">
        <f t="shared" si="6"/>
        <v>33922.899533071184</v>
      </c>
      <c r="R15" s="17">
        <f t="shared" si="6"/>
        <v>33244.441542409761</v>
      </c>
      <c r="S15" s="17">
        <f t="shared" ref="S15:T15" si="7">R15*0.98</f>
        <v>32579.552711561566</v>
      </c>
      <c r="T15" s="17">
        <f t="shared" si="7"/>
        <v>31927.961657330336</v>
      </c>
    </row>
    <row r="16" spans="1:20" x14ac:dyDescent="0.15">
      <c r="A16" s="1" t="s">
        <v>5</v>
      </c>
      <c r="B16" s="91">
        <f>SUM(Reports!B9:E9)</f>
        <v>7468</v>
      </c>
      <c r="C16" s="16">
        <f>SUM(Reports!F9:I9)</f>
        <v>8069</v>
      </c>
      <c r="D16" s="16">
        <f>SUM(Reports!J9:M9)</f>
        <v>7993</v>
      </c>
      <c r="E16" s="16">
        <f>SUM(Reports!N9:Q9)</f>
        <v>7938</v>
      </c>
      <c r="F16" s="5">
        <f t="shared" ref="E16:F16" si="8">F15-F17</f>
        <v>7981.0344117948189</v>
      </c>
      <c r="G16" s="5">
        <f t="shared" ref="G16:O16" si="9">G15-G17</f>
        <v>7952.9929615030196</v>
      </c>
      <c r="H16" s="5">
        <f t="shared" si="9"/>
        <v>7937.2283673953098</v>
      </c>
      <c r="I16" s="5">
        <f t="shared" si="9"/>
        <v>7932.9988245095228</v>
      </c>
      <c r="J16" s="5">
        <f t="shared" si="9"/>
        <v>7939.631604671169</v>
      </c>
      <c r="K16" s="5">
        <f t="shared" si="9"/>
        <v>7780.8389725777452</v>
      </c>
      <c r="L16" s="5">
        <f t="shared" si="9"/>
        <v>7625.222193126192</v>
      </c>
      <c r="M16" s="5">
        <f t="shared" si="9"/>
        <v>7472.7177492636656</v>
      </c>
      <c r="N16" s="5">
        <f t="shared" si="9"/>
        <v>7323.2633942783941</v>
      </c>
      <c r="O16" s="5">
        <f t="shared" si="9"/>
        <v>7176.7981263928268</v>
      </c>
      <c r="P16" s="5">
        <f t="shared" ref="P16:R16" si="10">P15-P17</f>
        <v>7033.2621638649689</v>
      </c>
      <c r="Q16" s="5">
        <f t="shared" si="10"/>
        <v>6892.5969205876681</v>
      </c>
      <c r="R16" s="5">
        <f t="shared" si="10"/>
        <v>6754.7449821759183</v>
      </c>
      <c r="S16" s="5">
        <f t="shared" ref="S16:T16" si="11">S15-S17</f>
        <v>6619.6500825323965</v>
      </c>
      <c r="T16" s="5">
        <f t="shared" si="11"/>
        <v>6487.2570808817472</v>
      </c>
    </row>
    <row r="17" spans="1:243" x14ac:dyDescent="0.15">
      <c r="A17" s="1" t="s">
        <v>6</v>
      </c>
      <c r="B17" s="7">
        <f>B15-B16</f>
        <v>30259</v>
      </c>
      <c r="C17" s="7">
        <f>C15-C16</f>
        <v>31646</v>
      </c>
      <c r="D17" s="7">
        <f>D15-D16</f>
        <v>31512</v>
      </c>
      <c r="E17" s="7">
        <f>E15-E16</f>
        <v>31130</v>
      </c>
      <c r="F17" s="5">
        <f t="shared" ref="F17:T17" si="12">F15*E30</f>
        <v>31298.765588205177</v>
      </c>
      <c r="G17" s="5">
        <f t="shared" si="12"/>
        <v>31188.797038496981</v>
      </c>
      <c r="H17" s="5">
        <f t="shared" si="12"/>
        <v>31126.973932604687</v>
      </c>
      <c r="I17" s="5">
        <f t="shared" si="12"/>
        <v>31110.387176490476</v>
      </c>
      <c r="J17" s="5">
        <f t="shared" si="12"/>
        <v>31136.39857059882</v>
      </c>
      <c r="K17" s="5">
        <f t="shared" si="12"/>
        <v>30513.670599186844</v>
      </c>
      <c r="L17" s="5">
        <f t="shared" si="12"/>
        <v>29903.397187203107</v>
      </c>
      <c r="M17" s="5">
        <f t="shared" si="12"/>
        <v>29305.329243459044</v>
      </c>
      <c r="N17" s="5">
        <f t="shared" si="12"/>
        <v>28719.222658589861</v>
      </c>
      <c r="O17" s="5">
        <f t="shared" si="12"/>
        <v>28144.838205418066</v>
      </c>
      <c r="P17" s="5">
        <f t="shared" si="12"/>
        <v>27581.941441309707</v>
      </c>
      <c r="Q17" s="5">
        <f t="shared" si="12"/>
        <v>27030.302612483516</v>
      </c>
      <c r="R17" s="5">
        <f t="shared" si="12"/>
        <v>26489.696560233842</v>
      </c>
      <c r="S17" s="5">
        <f t="shared" si="12"/>
        <v>25959.902629029169</v>
      </c>
      <c r="T17" s="5">
        <f t="shared" si="12"/>
        <v>25440.704576448588</v>
      </c>
    </row>
    <row r="18" spans="1:243" x14ac:dyDescent="0.15">
      <c r="A18" s="1" t="s">
        <v>7</v>
      </c>
      <c r="B18" s="91">
        <f>SUM(Reports!B11:E11)</f>
        <v>6160</v>
      </c>
      <c r="C18" s="16">
        <f>SUM(Reports!F11:I11)</f>
        <v>6087</v>
      </c>
      <c r="D18" s="16">
        <f>SUM(Reports!J11:M11)</f>
        <v>6027</v>
      </c>
      <c r="E18" s="16">
        <f>SUM(Reports!N11:Q11)</f>
        <v>6067</v>
      </c>
      <c r="F18" s="5">
        <f>E18*1.02</f>
        <v>6188.34</v>
      </c>
      <c r="G18" s="5">
        <f t="shared" ref="G18:J18" si="13">F18*1.02</f>
        <v>6312.1068000000005</v>
      </c>
      <c r="H18" s="5">
        <f t="shared" si="13"/>
        <v>6438.3489360000003</v>
      </c>
      <c r="I18" s="5">
        <f t="shared" si="13"/>
        <v>6567.1159147200005</v>
      </c>
      <c r="J18" s="5">
        <f t="shared" si="13"/>
        <v>6698.4582330144003</v>
      </c>
      <c r="K18" s="5">
        <f>J18*0.95</f>
        <v>6363.5353213636799</v>
      </c>
      <c r="L18" s="5">
        <f t="shared" ref="L18:T18" si="14">K18*0.95</f>
        <v>6045.3585552954955</v>
      </c>
      <c r="M18" s="5">
        <f t="shared" si="14"/>
        <v>5743.0906275307207</v>
      </c>
      <c r="N18" s="5">
        <f t="shared" si="14"/>
        <v>5455.9360961541843</v>
      </c>
      <c r="O18" s="5">
        <f t="shared" si="14"/>
        <v>5183.1392913464751</v>
      </c>
      <c r="P18" s="5">
        <f t="shared" si="14"/>
        <v>4923.9823267791508</v>
      </c>
      <c r="Q18" s="5">
        <f t="shared" si="14"/>
        <v>4677.7832104401932</v>
      </c>
      <c r="R18" s="5">
        <f t="shared" si="14"/>
        <v>4443.8940499181836</v>
      </c>
      <c r="S18" s="5">
        <f t="shared" si="14"/>
        <v>4221.6993474222745</v>
      </c>
      <c r="T18" s="5">
        <f t="shared" si="14"/>
        <v>4010.6143800511604</v>
      </c>
    </row>
    <row r="19" spans="1:243" x14ac:dyDescent="0.15">
      <c r="A19" s="1" t="s">
        <v>8</v>
      </c>
      <c r="B19" s="91">
        <f>SUM(Reports!B12:E12)</f>
        <v>8196</v>
      </c>
      <c r="C19" s="16">
        <f>SUM(Reports!F12:I12)</f>
        <v>8434</v>
      </c>
      <c r="D19" s="16">
        <f>SUM(Reports!J12:M12)</f>
        <v>8509</v>
      </c>
      <c r="E19" s="16">
        <f>SUM(Reports!N12:Q12)</f>
        <v>8094</v>
      </c>
      <c r="F19" s="5">
        <f>E19*0.98</f>
        <v>7932.12</v>
      </c>
      <c r="G19" s="5">
        <f t="shared" ref="G19:J19" si="15">F19*0.98</f>
        <v>7773.4776000000002</v>
      </c>
      <c r="H19" s="5">
        <f t="shared" si="15"/>
        <v>7618.0080479999997</v>
      </c>
      <c r="I19" s="5">
        <f t="shared" si="15"/>
        <v>7465.6478870399997</v>
      </c>
      <c r="J19" s="5">
        <f t="shared" si="15"/>
        <v>7316.3349292991998</v>
      </c>
      <c r="K19" s="5">
        <f>J19*0.95</f>
        <v>6950.5181828342393</v>
      </c>
      <c r="L19" s="5">
        <f t="shared" ref="L19:T19" si="16">K19*0.95</f>
        <v>6602.9922736925273</v>
      </c>
      <c r="M19" s="5">
        <f t="shared" si="16"/>
        <v>6272.842660007901</v>
      </c>
      <c r="N19" s="5">
        <f t="shared" si="16"/>
        <v>5959.200527007506</v>
      </c>
      <c r="O19" s="5">
        <f t="shared" si="16"/>
        <v>5661.2405006571307</v>
      </c>
      <c r="P19" s="5">
        <f t="shared" si="16"/>
        <v>5378.1784756242741</v>
      </c>
      <c r="Q19" s="5">
        <f t="shared" si="16"/>
        <v>5109.2695518430601</v>
      </c>
      <c r="R19" s="5">
        <f t="shared" si="16"/>
        <v>4853.8060742509069</v>
      </c>
      <c r="S19" s="5">
        <f t="shared" si="16"/>
        <v>4611.1157705383612</v>
      </c>
      <c r="T19" s="5">
        <f t="shared" si="16"/>
        <v>4380.559982011443</v>
      </c>
    </row>
    <row r="20" spans="1:243" x14ac:dyDescent="0.15">
      <c r="A20" s="1" t="s">
        <v>9</v>
      </c>
      <c r="B20" s="91">
        <f>SUM(Reports!B13:E13)</f>
        <v>3193</v>
      </c>
      <c r="C20" s="16">
        <f>SUM(Reports!F13:I13)</f>
        <v>3547</v>
      </c>
      <c r="D20" s="16">
        <f>SUM(Reports!J13:M13)</f>
        <v>3441</v>
      </c>
      <c r="E20" s="16">
        <f>SUM(Reports!N13:Q13)</f>
        <v>3072</v>
      </c>
      <c r="F20" s="5">
        <f>E20*0.95</f>
        <v>2918.3999999999996</v>
      </c>
      <c r="G20" s="5">
        <f t="shared" ref="G20:J20" si="17">F20*0.95</f>
        <v>2772.4799999999996</v>
      </c>
      <c r="H20" s="5">
        <f t="shared" si="17"/>
        <v>2633.8559999999993</v>
      </c>
      <c r="I20" s="5">
        <f t="shared" si="17"/>
        <v>2502.1631999999991</v>
      </c>
      <c r="J20" s="5">
        <f t="shared" si="17"/>
        <v>2377.0550399999988</v>
      </c>
      <c r="K20" s="5">
        <f t="shared" ref="K20" si="18">J20*0.98</f>
        <v>2329.5139391999987</v>
      </c>
      <c r="L20" s="5">
        <f t="shared" ref="L20:T20" si="19">K20*0.98</f>
        <v>2282.9236604159987</v>
      </c>
      <c r="M20" s="5">
        <f t="shared" si="19"/>
        <v>2237.2651872076785</v>
      </c>
      <c r="N20" s="5">
        <f t="shared" si="19"/>
        <v>2192.5198834635248</v>
      </c>
      <c r="O20" s="5">
        <f t="shared" si="19"/>
        <v>2148.6694857942543</v>
      </c>
      <c r="P20" s="5">
        <f t="shared" si="19"/>
        <v>2105.696096078369</v>
      </c>
      <c r="Q20" s="5">
        <f t="shared" si="19"/>
        <v>2063.5821741568016</v>
      </c>
      <c r="R20" s="5">
        <f t="shared" si="19"/>
        <v>2022.3105306736654</v>
      </c>
      <c r="S20" s="5">
        <f t="shared" si="19"/>
        <v>1981.8643200601921</v>
      </c>
      <c r="T20" s="5">
        <f t="shared" si="19"/>
        <v>1942.2270336589881</v>
      </c>
    </row>
    <row r="21" spans="1:243" x14ac:dyDescent="0.15">
      <c r="A21" s="1" t="s">
        <v>10</v>
      </c>
      <c r="B21" s="7">
        <f>SUM(B18:B20)</f>
        <v>17549</v>
      </c>
      <c r="C21" s="7">
        <f>SUM(C18:C20)</f>
        <v>18068</v>
      </c>
      <c r="D21" s="7">
        <f>SUM(D18:D20)</f>
        <v>17977</v>
      </c>
      <c r="E21" s="7">
        <f>SUM(E18:E20)</f>
        <v>17233</v>
      </c>
      <c r="F21" s="5">
        <f t="shared" ref="E21:F21" si="20">SUM(F18:F20)</f>
        <v>17038.86</v>
      </c>
      <c r="G21" s="5">
        <f t="shared" ref="G21:O21" si="21">SUM(G18:G20)</f>
        <v>16858.064399999999</v>
      </c>
      <c r="H21" s="5">
        <f t="shared" si="21"/>
        <v>16690.212983999998</v>
      </c>
      <c r="I21" s="5">
        <f>SUM(I18:I20)</f>
        <v>16534.927001759999</v>
      </c>
      <c r="J21" s="5">
        <f t="shared" si="21"/>
        <v>16391.848202313598</v>
      </c>
      <c r="K21" s="5">
        <f t="shared" si="21"/>
        <v>15643.567443397918</v>
      </c>
      <c r="L21" s="5">
        <f t="shared" si="21"/>
        <v>14931.274489404022</v>
      </c>
      <c r="M21" s="5">
        <f t="shared" si="21"/>
        <v>14253.198474746299</v>
      </c>
      <c r="N21" s="5">
        <f t="shared" si="21"/>
        <v>13607.656506625215</v>
      </c>
      <c r="O21" s="5">
        <f t="shared" si="21"/>
        <v>12993.04927779786</v>
      </c>
      <c r="P21" s="5">
        <f t="shared" ref="P21:R21" si="22">SUM(P18:P20)</f>
        <v>12407.856898481794</v>
      </c>
      <c r="Q21" s="5">
        <f t="shared" si="22"/>
        <v>11850.634936440054</v>
      </c>
      <c r="R21" s="5">
        <f t="shared" si="22"/>
        <v>11320.010654842756</v>
      </c>
      <c r="S21" s="5">
        <f t="shared" ref="S21:T21" si="23">SUM(S18:S20)</f>
        <v>10814.679438020828</v>
      </c>
      <c r="T21" s="5">
        <f t="shared" si="23"/>
        <v>10333.401395721592</v>
      </c>
    </row>
    <row r="22" spans="1:243" x14ac:dyDescent="0.15">
      <c r="A22" s="1" t="s">
        <v>11</v>
      </c>
      <c r="B22" s="7">
        <f>B17-B21</f>
        <v>12710</v>
      </c>
      <c r="C22" s="7">
        <f>C17-C21</f>
        <v>13578</v>
      </c>
      <c r="D22" s="7">
        <f>D17-D21</f>
        <v>13535</v>
      </c>
      <c r="E22" s="7">
        <f>E17-E21</f>
        <v>13897</v>
      </c>
      <c r="F22" s="5">
        <f t="shared" ref="E22:F22" si="24">F17-F21</f>
        <v>14259.905588205176</v>
      </c>
      <c r="G22" s="5">
        <f t="shared" ref="G22:O22" si="25">G17-G21</f>
        <v>14330.732638496982</v>
      </c>
      <c r="H22" s="5">
        <f t="shared" si="25"/>
        <v>14436.760948604689</v>
      </c>
      <c r="I22" s="5">
        <f>I17-I21</f>
        <v>14575.460174730477</v>
      </c>
      <c r="J22" s="5">
        <f t="shared" si="25"/>
        <v>14744.550368285221</v>
      </c>
      <c r="K22" s="5">
        <f t="shared" si="25"/>
        <v>14870.103155788926</v>
      </c>
      <c r="L22" s="5">
        <f t="shared" si="25"/>
        <v>14972.122697799085</v>
      </c>
      <c r="M22" s="5">
        <f t="shared" si="25"/>
        <v>15052.130768712745</v>
      </c>
      <c r="N22" s="5">
        <f t="shared" si="25"/>
        <v>15111.566151964646</v>
      </c>
      <c r="O22" s="5">
        <f t="shared" si="25"/>
        <v>15151.788927620206</v>
      </c>
      <c r="P22" s="5">
        <f t="shared" ref="P22:R22" si="26">P17-P21</f>
        <v>15174.084542827914</v>
      </c>
      <c r="Q22" s="5">
        <f t="shared" si="26"/>
        <v>15179.667676043462</v>
      </c>
      <c r="R22" s="5">
        <f t="shared" si="26"/>
        <v>15169.685905391087</v>
      </c>
      <c r="S22" s="5">
        <f t="shared" ref="S22:T22" si="27">S17-S21</f>
        <v>15145.223191008341</v>
      </c>
      <c r="T22" s="5">
        <f t="shared" si="27"/>
        <v>15107.303180726996</v>
      </c>
    </row>
    <row r="23" spans="1:243" x14ac:dyDescent="0.15">
      <c r="A23" s="1" t="s">
        <v>12</v>
      </c>
      <c r="B23" s="91">
        <f>SUM(Reports!B16:E16)</f>
        <v>-1194</v>
      </c>
      <c r="C23" s="16">
        <f>SUM(Reports!F16:I16)</f>
        <v>-811</v>
      </c>
      <c r="D23" s="16">
        <f>SUM(Reports!J16:M16)</f>
        <v>-1267</v>
      </c>
      <c r="E23" s="16">
        <f>SUM(Reports!N16:Q16)</f>
        <v>-1833</v>
      </c>
      <c r="F23" s="5">
        <f t="shared" ref="E23:T23" si="28">E40*$F$3</f>
        <v>-570.80000000000007</v>
      </c>
      <c r="G23" s="5">
        <f t="shared" si="28"/>
        <v>-338.08520500051202</v>
      </c>
      <c r="H23" s="5">
        <f t="shared" si="28"/>
        <v>-100.21019863107202</v>
      </c>
      <c r="I23" s="5">
        <f t="shared" si="28"/>
        <v>143.51116411847946</v>
      </c>
      <c r="J23" s="5">
        <f t="shared" si="28"/>
        <v>393.73367687891175</v>
      </c>
      <c r="K23" s="5">
        <f t="shared" si="28"/>
        <v>651.08450564670204</v>
      </c>
      <c r="L23" s="5">
        <f t="shared" si="28"/>
        <v>914.9446958911077</v>
      </c>
      <c r="M23" s="5">
        <f t="shared" si="28"/>
        <v>1185.024841583841</v>
      </c>
      <c r="N23" s="5">
        <f t="shared" si="28"/>
        <v>1461.0564869588829</v>
      </c>
      <c r="O23" s="5">
        <f t="shared" si="28"/>
        <v>1742.7910718205828</v>
      </c>
      <c r="P23" s="5">
        <f t="shared" si="28"/>
        <v>2029.9989318110763</v>
      </c>
      <c r="Q23" s="5">
        <f t="shared" si="28"/>
        <v>2322.468350879939</v>
      </c>
      <c r="R23" s="5">
        <f t="shared" si="28"/>
        <v>2620.0046633376369</v>
      </c>
      <c r="S23" s="5">
        <f t="shared" si="28"/>
        <v>2922.4294030060255</v>
      </c>
      <c r="T23" s="5">
        <f t="shared" si="28"/>
        <v>3229.5794971042696</v>
      </c>
    </row>
    <row r="24" spans="1:243" x14ac:dyDescent="0.15">
      <c r="A24" s="1" t="s">
        <v>13</v>
      </c>
      <c r="B24" s="7">
        <f>B22+B23</f>
        <v>11516</v>
      </c>
      <c r="C24" s="7">
        <f>C22+C23</f>
        <v>12767</v>
      </c>
      <c r="D24" s="7">
        <f>D22+D23</f>
        <v>12268</v>
      </c>
      <c r="E24" s="7">
        <f>E22+E23</f>
        <v>12064</v>
      </c>
      <c r="F24" s="5">
        <f t="shared" ref="E24:F24" si="29">F22+F23</f>
        <v>13689.105588205177</v>
      </c>
      <c r="G24" s="5">
        <f t="shared" ref="G24:O24" si="30">G22+G23</f>
        <v>13992.64743349647</v>
      </c>
      <c r="H24" s="5">
        <f t="shared" si="30"/>
        <v>14336.550749973618</v>
      </c>
      <c r="I24" s="5">
        <f t="shared" si="30"/>
        <v>14718.971338848956</v>
      </c>
      <c r="J24" s="5">
        <f t="shared" si="30"/>
        <v>15138.284045164133</v>
      </c>
      <c r="K24" s="5">
        <f t="shared" si="30"/>
        <v>15521.187661435628</v>
      </c>
      <c r="L24" s="5">
        <f t="shared" si="30"/>
        <v>15887.067393690193</v>
      </c>
      <c r="M24" s="5">
        <f t="shared" si="30"/>
        <v>16237.155610296586</v>
      </c>
      <c r="N24" s="5">
        <f t="shared" si="30"/>
        <v>16572.622638923527</v>
      </c>
      <c r="O24" s="5">
        <f t="shared" si="30"/>
        <v>16894.57999944079</v>
      </c>
      <c r="P24" s="5">
        <f t="shared" ref="P24:R24" si="31">P22+P23</f>
        <v>17204.083474638988</v>
      </c>
      <c r="Q24" s="5">
        <f t="shared" si="31"/>
        <v>17502.136026923399</v>
      </c>
      <c r="R24" s="5">
        <f t="shared" si="31"/>
        <v>17789.690568728722</v>
      </c>
      <c r="S24" s="5">
        <f t="shared" ref="S24:T24" si="32">S22+S23</f>
        <v>18067.652594014366</v>
      </c>
      <c r="T24" s="5">
        <f t="shared" si="32"/>
        <v>18336.882677831265</v>
      </c>
    </row>
    <row r="25" spans="1:243" x14ac:dyDescent="0.15">
      <c r="A25" s="1" t="s">
        <v>14</v>
      </c>
      <c r="B25" s="91">
        <f>SUM(Reports!B18:E18)</f>
        <v>2182</v>
      </c>
      <c r="C25" s="16">
        <f>SUM(Reports!F18:I18)</f>
        <v>2262.4158636026687</v>
      </c>
      <c r="D25" s="16">
        <f>SUM(Reports!J18:M18)</f>
        <v>1185</v>
      </c>
      <c r="E25" s="16">
        <f>SUM(Reports!N18:Q18)</f>
        <v>1929</v>
      </c>
      <c r="F25" s="5">
        <f t="shared" ref="F25:O25" si="33">F24*0.15</f>
        <v>2053.3658382307763</v>
      </c>
      <c r="G25" s="5">
        <f t="shared" si="33"/>
        <v>2098.8971150244702</v>
      </c>
      <c r="H25" s="5">
        <f t="shared" si="33"/>
        <v>2150.4826124960427</v>
      </c>
      <c r="I25" s="5">
        <f t="shared" si="33"/>
        <v>2207.8457008273435</v>
      </c>
      <c r="J25" s="5">
        <f t="shared" si="33"/>
        <v>2270.7426067746201</v>
      </c>
      <c r="K25" s="5">
        <f t="shared" si="33"/>
        <v>2328.1781492153441</v>
      </c>
      <c r="L25" s="5">
        <f t="shared" si="33"/>
        <v>2383.0601090535288</v>
      </c>
      <c r="M25" s="5">
        <f t="shared" si="33"/>
        <v>2435.5733415444879</v>
      </c>
      <c r="N25" s="5">
        <f t="shared" si="33"/>
        <v>2485.8933958385292</v>
      </c>
      <c r="O25" s="5">
        <f t="shared" si="33"/>
        <v>2534.1869999161186</v>
      </c>
      <c r="P25" s="5">
        <f t="shared" ref="P25:R25" si="34">P24*0.15</f>
        <v>2580.6125211958483</v>
      </c>
      <c r="Q25" s="5">
        <f t="shared" si="34"/>
        <v>2625.3204040385099</v>
      </c>
      <c r="R25" s="5">
        <f t="shared" si="34"/>
        <v>2668.453585309308</v>
      </c>
      <c r="S25" s="5">
        <f t="shared" ref="S25:T25" si="35">S24*0.15</f>
        <v>2710.1478891021547</v>
      </c>
      <c r="T25" s="5">
        <f t="shared" si="35"/>
        <v>2750.5324016746895</v>
      </c>
    </row>
    <row r="26" spans="1:243" s="15" customFormat="1" x14ac:dyDescent="0.15">
      <c r="A26" s="15" t="s">
        <v>15</v>
      </c>
      <c r="B26" s="22">
        <f>B24-B25</f>
        <v>9334</v>
      </c>
      <c r="C26" s="22">
        <f>C24-C25</f>
        <v>10504.58413639733</v>
      </c>
      <c r="D26" s="22">
        <f t="shared" ref="D26:F26" si="36">D24-D25</f>
        <v>11083</v>
      </c>
      <c r="E26" s="22">
        <f t="shared" si="36"/>
        <v>10135</v>
      </c>
      <c r="F26" s="22">
        <f t="shared" si="36"/>
        <v>11635.7397499744</v>
      </c>
      <c r="G26" s="22">
        <f t="shared" ref="G26" si="37">G24-G25</f>
        <v>11893.750318471999</v>
      </c>
      <c r="H26" s="22">
        <f t="shared" ref="H26" si="38">H24-H25</f>
        <v>12186.068137477574</v>
      </c>
      <c r="I26" s="22">
        <f t="shared" ref="I26" si="39">I24-I25</f>
        <v>12511.125638021613</v>
      </c>
      <c r="J26" s="22">
        <f t="shared" ref="J26" si="40">J24-J25</f>
        <v>12867.541438389513</v>
      </c>
      <c r="K26" s="22">
        <f t="shared" ref="K26" si="41">K24-K25</f>
        <v>13193.009512220284</v>
      </c>
      <c r="L26" s="22">
        <f t="shared" ref="L26" si="42">L24-L25</f>
        <v>13504.007284636664</v>
      </c>
      <c r="M26" s="22">
        <f t="shared" ref="M26" si="43">M24-M25</f>
        <v>13801.582268752098</v>
      </c>
      <c r="N26" s="22">
        <f t="shared" ref="N26" si="44">N24-N25</f>
        <v>14086.729243084998</v>
      </c>
      <c r="O26" s="22">
        <f t="shared" ref="O26:P26" si="45">O24-O25</f>
        <v>14360.392999524671</v>
      </c>
      <c r="P26" s="22">
        <f t="shared" si="45"/>
        <v>14623.47095344314</v>
      </c>
      <c r="Q26" s="22">
        <f t="shared" ref="Q26:R26" si="46">Q24-Q25</f>
        <v>14876.815622884889</v>
      </c>
      <c r="R26" s="22">
        <f t="shared" si="46"/>
        <v>15121.236983419414</v>
      </c>
      <c r="S26" s="22">
        <f t="shared" ref="S26:T26" si="47">S24-S25</f>
        <v>15357.504704912211</v>
      </c>
      <c r="T26" s="22">
        <f t="shared" si="47"/>
        <v>15586.350276156576</v>
      </c>
      <c r="U26" s="22">
        <f t="shared" ref="S26:AU26" si="48">T26*($F$2+1)</f>
        <v>15508.418524775792</v>
      </c>
      <c r="V26" s="22">
        <f t="shared" si="48"/>
        <v>15430.876432151914</v>
      </c>
      <c r="W26" s="22">
        <f t="shared" si="48"/>
        <v>15353.722049991155</v>
      </c>
      <c r="X26" s="22">
        <f t="shared" si="48"/>
        <v>15276.953439741199</v>
      </c>
      <c r="Y26" s="22">
        <f t="shared" si="48"/>
        <v>15200.568672542493</v>
      </c>
      <c r="Z26" s="22">
        <f t="shared" si="48"/>
        <v>15124.565829179781</v>
      </c>
      <c r="AA26" s="22">
        <f t="shared" si="48"/>
        <v>15048.943000033882</v>
      </c>
      <c r="AB26" s="22">
        <f t="shared" si="48"/>
        <v>14973.698285033712</v>
      </c>
      <c r="AC26" s="22">
        <f t="shared" si="48"/>
        <v>14898.829793608544</v>
      </c>
      <c r="AD26" s="22">
        <f t="shared" si="48"/>
        <v>14824.335644640501</v>
      </c>
      <c r="AE26" s="22">
        <f t="shared" si="48"/>
        <v>14750.213966417299</v>
      </c>
      <c r="AF26" s="22">
        <f t="shared" si="48"/>
        <v>14676.462896585213</v>
      </c>
      <c r="AG26" s="22">
        <f t="shared" si="48"/>
        <v>14603.080582102288</v>
      </c>
      <c r="AH26" s="22">
        <f t="shared" si="48"/>
        <v>14530.065179191777</v>
      </c>
      <c r="AI26" s="22">
        <f t="shared" si="48"/>
        <v>14457.414853295819</v>
      </c>
      <c r="AJ26" s="22">
        <f t="shared" si="48"/>
        <v>14385.127779029339</v>
      </c>
      <c r="AK26" s="22">
        <f t="shared" si="48"/>
        <v>14313.202140134192</v>
      </c>
      <c r="AL26" s="22">
        <f t="shared" si="48"/>
        <v>14241.63612943352</v>
      </c>
      <c r="AM26" s="22">
        <f t="shared" si="48"/>
        <v>14170.427948786353</v>
      </c>
      <c r="AN26" s="22">
        <f t="shared" si="48"/>
        <v>14099.575809042421</v>
      </c>
      <c r="AO26" s="22">
        <f t="shared" si="48"/>
        <v>14029.077929997209</v>
      </c>
      <c r="AP26" s="22">
        <f t="shared" si="48"/>
        <v>13958.932540347223</v>
      </c>
      <c r="AQ26" s="22">
        <f t="shared" si="48"/>
        <v>13889.137877645488</v>
      </c>
      <c r="AR26" s="22">
        <f t="shared" si="48"/>
        <v>13819.692188257261</v>
      </c>
      <c r="AS26" s="22">
        <f t="shared" si="48"/>
        <v>13750.593727315974</v>
      </c>
      <c r="AT26" s="22">
        <f t="shared" si="48"/>
        <v>13681.840758679395</v>
      </c>
      <c r="AU26" s="22">
        <f t="shared" si="48"/>
        <v>13613.431554885998</v>
      </c>
      <c r="AV26" s="22">
        <f t="shared" ref="AV26:CA26" si="49">AU26*($F$2+1)</f>
        <v>13545.364397111567</v>
      </c>
      <c r="AW26" s="22">
        <f t="shared" si="49"/>
        <v>13477.637575126009</v>
      </c>
      <c r="AX26" s="22">
        <f t="shared" si="49"/>
        <v>13410.24938725038</v>
      </c>
      <c r="AY26" s="22">
        <f t="shared" si="49"/>
        <v>13343.198140314129</v>
      </c>
      <c r="AZ26" s="22">
        <f t="shared" si="49"/>
        <v>13276.482149612559</v>
      </c>
      <c r="BA26" s="22">
        <f t="shared" si="49"/>
        <v>13210.099738864496</v>
      </c>
      <c r="BB26" s="22">
        <f t="shared" si="49"/>
        <v>13144.049240170172</v>
      </c>
      <c r="BC26" s="22">
        <f t="shared" si="49"/>
        <v>13078.32899396932</v>
      </c>
      <c r="BD26" s="22">
        <f t="shared" si="49"/>
        <v>13012.937348999474</v>
      </c>
      <c r="BE26" s="22">
        <f t="shared" si="49"/>
        <v>12947.872662254476</v>
      </c>
      <c r="BF26" s="22">
        <f t="shared" si="49"/>
        <v>12883.133298943203</v>
      </c>
      <c r="BG26" s="22">
        <f t="shared" si="49"/>
        <v>12818.717632448486</v>
      </c>
      <c r="BH26" s="22">
        <f t="shared" si="49"/>
        <v>12754.624044286244</v>
      </c>
      <c r="BI26" s="22">
        <f t="shared" si="49"/>
        <v>12690.850924064813</v>
      </c>
      <c r="BJ26" s="22">
        <f t="shared" si="49"/>
        <v>12627.396669444488</v>
      </c>
      <c r="BK26" s="22">
        <f t="shared" si="49"/>
        <v>12564.259686097266</v>
      </c>
      <c r="BL26" s="22">
        <f t="shared" si="49"/>
        <v>12501.43838766678</v>
      </c>
      <c r="BM26" s="22">
        <f t="shared" si="49"/>
        <v>12438.931195728446</v>
      </c>
      <c r="BN26" s="22">
        <f t="shared" si="49"/>
        <v>12376.736539749803</v>
      </c>
      <c r="BO26" s="22">
        <f t="shared" si="49"/>
        <v>12314.852857051053</v>
      </c>
      <c r="BP26" s="22">
        <f t="shared" si="49"/>
        <v>12253.278592765799</v>
      </c>
      <c r="BQ26" s="22">
        <f t="shared" si="49"/>
        <v>12192.012199801969</v>
      </c>
      <c r="BR26" s="22">
        <f t="shared" si="49"/>
        <v>12131.052138802959</v>
      </c>
      <c r="BS26" s="22">
        <f t="shared" si="49"/>
        <v>12070.396878108944</v>
      </c>
      <c r="BT26" s="22">
        <f t="shared" si="49"/>
        <v>12010.044893718399</v>
      </c>
      <c r="BU26" s="22">
        <f t="shared" si="49"/>
        <v>11949.994669249807</v>
      </c>
      <c r="BV26" s="22">
        <f t="shared" si="49"/>
        <v>11890.244695903559</v>
      </c>
      <c r="BW26" s="22">
        <f t="shared" si="49"/>
        <v>11830.79347242404</v>
      </c>
      <c r="BX26" s="22">
        <f t="shared" si="49"/>
        <v>11771.639505061919</v>
      </c>
      <c r="BY26" s="22">
        <f t="shared" si="49"/>
        <v>11712.78130753661</v>
      </c>
      <c r="BZ26" s="22">
        <f t="shared" si="49"/>
        <v>11654.217400998927</v>
      </c>
      <c r="CA26" s="22">
        <f t="shared" si="49"/>
        <v>11595.946313993933</v>
      </c>
      <c r="CB26" s="22">
        <f t="shared" ref="CB26:DG26" si="50">CA26*($F$2+1)</f>
        <v>11537.966582423964</v>
      </c>
      <c r="CC26" s="22">
        <f t="shared" si="50"/>
        <v>11480.276749511844</v>
      </c>
      <c r="CD26" s="22">
        <f t="shared" si="50"/>
        <v>11422.875365764285</v>
      </c>
      <c r="CE26" s="22">
        <f t="shared" si="50"/>
        <v>11365.760988935463</v>
      </c>
      <c r="CF26" s="22">
        <f t="shared" si="50"/>
        <v>11308.932183990784</v>
      </c>
      <c r="CG26" s="22">
        <f t="shared" si="50"/>
        <v>11252.387523070831</v>
      </c>
      <c r="CH26" s="22">
        <f t="shared" si="50"/>
        <v>11196.125585455477</v>
      </c>
      <c r="CI26" s="22">
        <f t="shared" si="50"/>
        <v>11140.144957528199</v>
      </c>
      <c r="CJ26" s="22">
        <f t="shared" si="50"/>
        <v>11084.444232740558</v>
      </c>
      <c r="CK26" s="22">
        <f t="shared" si="50"/>
        <v>11029.022011576855</v>
      </c>
      <c r="CL26" s="22">
        <f t="shared" si="50"/>
        <v>10973.87690151897</v>
      </c>
      <c r="CM26" s="22">
        <f t="shared" si="50"/>
        <v>10919.007517011376</v>
      </c>
      <c r="CN26" s="22">
        <f t="shared" si="50"/>
        <v>10864.412479426319</v>
      </c>
      <c r="CO26" s="22">
        <f t="shared" si="50"/>
        <v>10810.090417029187</v>
      </c>
      <c r="CP26" s="22">
        <f t="shared" si="50"/>
        <v>10756.039964944041</v>
      </c>
      <c r="CQ26" s="22">
        <f t="shared" si="50"/>
        <v>10702.259765119321</v>
      </c>
      <c r="CR26" s="22">
        <f t="shared" si="50"/>
        <v>10648.748466293724</v>
      </c>
      <c r="CS26" s="22">
        <f t="shared" si="50"/>
        <v>10595.504723962255</v>
      </c>
      <c r="CT26" s="22">
        <f t="shared" si="50"/>
        <v>10542.527200342443</v>
      </c>
      <c r="CU26" s="22">
        <f t="shared" si="50"/>
        <v>10489.814564340732</v>
      </c>
      <c r="CV26" s="22">
        <f t="shared" si="50"/>
        <v>10437.365491519027</v>
      </c>
      <c r="CW26" s="22">
        <f t="shared" si="50"/>
        <v>10385.178664061432</v>
      </c>
      <c r="CX26" s="22">
        <f t="shared" si="50"/>
        <v>10333.252770741125</v>
      </c>
      <c r="CY26" s="22">
        <f t="shared" si="50"/>
        <v>10281.586506887419</v>
      </c>
      <c r="CZ26" s="22">
        <f t="shared" si="50"/>
        <v>10230.178574352982</v>
      </c>
      <c r="DA26" s="22">
        <f t="shared" si="50"/>
        <v>10179.027681481217</v>
      </c>
      <c r="DB26" s="22">
        <f t="shared" si="50"/>
        <v>10128.132543073811</v>
      </c>
      <c r="DC26" s="22">
        <f t="shared" si="50"/>
        <v>10077.491880358442</v>
      </c>
      <c r="DD26" s="22">
        <f t="shared" si="50"/>
        <v>10027.10442095665</v>
      </c>
      <c r="DE26" s="22">
        <f t="shared" si="50"/>
        <v>9976.9688988518665</v>
      </c>
      <c r="DF26" s="22">
        <f t="shared" si="50"/>
        <v>9927.0840543576069</v>
      </c>
      <c r="DG26" s="22">
        <f t="shared" si="50"/>
        <v>9877.4486340858184</v>
      </c>
      <c r="DH26" s="22">
        <f t="shared" ref="DH26:DP26" si="51">DG26*($F$2+1)</f>
        <v>9828.061390915389</v>
      </c>
      <c r="DI26" s="22">
        <f t="shared" si="51"/>
        <v>9778.9210839608113</v>
      </c>
      <c r="DJ26" s="22">
        <f t="shared" si="51"/>
        <v>9730.0264785410072</v>
      </c>
      <c r="DK26" s="22">
        <f t="shared" si="51"/>
        <v>9681.3763461483013</v>
      </c>
      <c r="DL26" s="22">
        <f t="shared" si="51"/>
        <v>9632.9694644175597</v>
      </c>
      <c r="DM26" s="22">
        <f t="shared" si="51"/>
        <v>9584.8046170954713</v>
      </c>
      <c r="DN26" s="22">
        <f t="shared" si="51"/>
        <v>9536.8805940099937</v>
      </c>
      <c r="DO26" s="22">
        <f t="shared" si="51"/>
        <v>9489.1961910399441</v>
      </c>
      <c r="DP26" s="22">
        <f t="shared" si="51"/>
        <v>9441.750210084745</v>
      </c>
      <c r="DQ26" s="22">
        <f t="shared" ref="DQ26" si="52">DP26*($F$2+1)</f>
        <v>9394.5414590343207</v>
      </c>
      <c r="DR26" s="22">
        <f t="shared" ref="DR26" si="53">DQ26*($F$2+1)</f>
        <v>9347.5687517391489</v>
      </c>
      <c r="DS26" s="22">
        <f t="shared" ref="DS26" si="54">DR26*($F$2+1)</f>
        <v>9300.830907980453</v>
      </c>
      <c r="DT26" s="22">
        <f t="shared" ref="DT26" si="55">DS26*($F$2+1)</f>
        <v>9254.3267534405513</v>
      </c>
      <c r="DU26" s="22">
        <f t="shared" ref="DU26" si="56">DT26*($F$2+1)</f>
        <v>9208.0551196733486</v>
      </c>
      <c r="DV26" s="22">
        <f t="shared" ref="DV26" si="57">DU26*($F$2+1)</f>
        <v>9162.0148440749817</v>
      </c>
      <c r="DW26" s="22">
        <f t="shared" ref="DW26" si="58">DV26*($F$2+1)</f>
        <v>9116.2047698546066</v>
      </c>
      <c r="DX26" s="22">
        <f t="shared" ref="DX26" si="59">DW26*($F$2+1)</f>
        <v>9070.6237460053344</v>
      </c>
      <c r="DY26" s="22">
        <f t="shared" ref="DY26" si="60">DX26*($F$2+1)</f>
        <v>9025.2706272753076</v>
      </c>
      <c r="DZ26" s="22">
        <f t="shared" ref="DZ26" si="61">DY26*($F$2+1)</f>
        <v>8980.144274138931</v>
      </c>
      <c r="EA26" s="22">
        <f t="shared" ref="EA26" si="62">DZ26*($F$2+1)</f>
        <v>8935.2435527682355</v>
      </c>
      <c r="EB26" s="22">
        <f t="shared" ref="EB26" si="63">EA26*($F$2+1)</f>
        <v>8890.5673350043944</v>
      </c>
      <c r="EC26" s="22">
        <f t="shared" ref="EC26" si="64">EB26*($F$2+1)</f>
        <v>8846.1144983293725</v>
      </c>
      <c r="ED26" s="22">
        <f t="shared" ref="ED26" si="65">EC26*($F$2+1)</f>
        <v>8801.8839258377247</v>
      </c>
      <c r="EE26" s="22">
        <f t="shared" ref="EE26" si="66">ED26*($F$2+1)</f>
        <v>8757.8745062085363</v>
      </c>
      <c r="EF26" s="22">
        <f t="shared" ref="EF26" si="67">EE26*($F$2+1)</f>
        <v>8714.085133677494</v>
      </c>
      <c r="EG26" s="22">
        <f t="shared" ref="EG26" si="68">EF26*($F$2+1)</f>
        <v>8670.5147080091065</v>
      </c>
      <c r="EH26" s="22">
        <f t="shared" ref="EH26" si="69">EG26*($F$2+1)</f>
        <v>8627.1621344690611</v>
      </c>
      <c r="EI26" s="22">
        <f t="shared" ref="EI26" si="70">EH26*($F$2+1)</f>
        <v>8584.0263237967156</v>
      </c>
      <c r="EJ26" s="22">
        <f t="shared" ref="EJ26" si="71">EI26*($F$2+1)</f>
        <v>8541.1061921777327</v>
      </c>
      <c r="EK26" s="22">
        <f t="shared" ref="EK26" si="72">EJ26*($F$2+1)</f>
        <v>8498.4006612168432</v>
      </c>
      <c r="EL26" s="22">
        <f t="shared" ref="EL26" si="73">EK26*($F$2+1)</f>
        <v>8455.9086579107588</v>
      </c>
      <c r="EM26" s="22">
        <f t="shared" ref="EM26" si="74">EL26*($F$2+1)</f>
        <v>8413.6291146212043</v>
      </c>
      <c r="EN26" s="22">
        <f t="shared" ref="EN26" si="75">EM26*($F$2+1)</f>
        <v>8371.5609690480978</v>
      </c>
      <c r="EO26" s="22">
        <f t="shared" ref="EO26" si="76">EN26*($F$2+1)</f>
        <v>8329.7031642028578</v>
      </c>
      <c r="EP26" s="22">
        <f t="shared" ref="EP26" si="77">EO26*($F$2+1)</f>
        <v>8288.0546483818434</v>
      </c>
      <c r="EQ26" s="22">
        <f t="shared" ref="EQ26" si="78">EP26*($F$2+1)</f>
        <v>8246.6143751399341</v>
      </c>
      <c r="ER26" s="22">
        <f t="shared" ref="ER26" si="79">EQ26*($F$2+1)</f>
        <v>8205.3813032642338</v>
      </c>
      <c r="ES26" s="22">
        <f t="shared" ref="ES26" si="80">ER26*($F$2+1)</f>
        <v>8164.3543967479127</v>
      </c>
      <c r="ET26" s="22">
        <f t="shared" ref="ET26" si="81">ES26*($F$2+1)</f>
        <v>8123.5326247641733</v>
      </c>
      <c r="EU26" s="22">
        <f t="shared" ref="EU26" si="82">ET26*($F$2+1)</f>
        <v>8082.914961640352</v>
      </c>
      <c r="EV26" s="22">
        <f t="shared" ref="EV26" si="83">EU26*($F$2+1)</f>
        <v>8042.5003868321501</v>
      </c>
      <c r="EW26" s="22">
        <f t="shared" ref="EW26" si="84">EV26*($F$2+1)</f>
        <v>8002.287884897989</v>
      </c>
      <c r="EX26" s="22">
        <f t="shared" ref="EX26" si="85">EW26*($F$2+1)</f>
        <v>7962.2764454734988</v>
      </c>
      <c r="EY26" s="22">
        <f t="shared" ref="EY26" si="86">EX26*($F$2+1)</f>
        <v>7922.4650632461316</v>
      </c>
      <c r="EZ26" s="22">
        <f t="shared" ref="EZ26" si="87">EY26*($F$2+1)</f>
        <v>7882.8527379299012</v>
      </c>
      <c r="FA26" s="22">
        <f t="shared" ref="FA26" si="88">EZ26*($F$2+1)</f>
        <v>7843.4384742402517</v>
      </c>
      <c r="FB26" s="22">
        <f t="shared" ref="FB26" si="89">FA26*($F$2+1)</f>
        <v>7804.2212818690505</v>
      </c>
      <c r="FC26" s="22">
        <f t="shared" ref="FC26" si="90">FB26*($F$2+1)</f>
        <v>7765.200175459705</v>
      </c>
      <c r="FD26" s="22">
        <f t="shared" ref="FD26" si="91">FC26*($F$2+1)</f>
        <v>7726.3741745824063</v>
      </c>
      <c r="FE26" s="22">
        <f t="shared" ref="FE26" si="92">FD26*($F$2+1)</f>
        <v>7687.7423037094941</v>
      </c>
      <c r="FF26" s="22">
        <f t="shared" ref="FF26" si="93">FE26*($F$2+1)</f>
        <v>7649.3035921909468</v>
      </c>
      <c r="FG26" s="22">
        <f t="shared" ref="FG26" si="94">FF26*($F$2+1)</f>
        <v>7611.0570742299924</v>
      </c>
      <c r="FH26" s="22">
        <f t="shared" ref="FH26" si="95">FG26*($F$2+1)</f>
        <v>7573.0017888588427</v>
      </c>
      <c r="FI26" s="22">
        <f t="shared" ref="FI26" si="96">FH26*($F$2+1)</f>
        <v>7535.1367799145482</v>
      </c>
      <c r="FJ26" s="22">
        <f t="shared" ref="FJ26" si="97">FI26*($F$2+1)</f>
        <v>7497.4610960149757</v>
      </c>
      <c r="FK26" s="22">
        <f t="shared" ref="FK26" si="98">FJ26*($F$2+1)</f>
        <v>7459.9737905349011</v>
      </c>
      <c r="FL26" s="22">
        <f t="shared" ref="FL26" si="99">FK26*($F$2+1)</f>
        <v>7422.6739215822263</v>
      </c>
      <c r="FM26" s="22">
        <f t="shared" ref="FM26" si="100">FL26*($F$2+1)</f>
        <v>7385.5605519743149</v>
      </c>
      <c r="FN26" s="22">
        <f t="shared" ref="FN26" si="101">FM26*($F$2+1)</f>
        <v>7348.6327492144437</v>
      </c>
      <c r="FO26" s="22">
        <f t="shared" ref="FO26" si="102">FN26*($F$2+1)</f>
        <v>7311.8895854683715</v>
      </c>
      <c r="FP26" s="22">
        <f t="shared" ref="FP26" si="103">FO26*($F$2+1)</f>
        <v>7275.3301375410292</v>
      </c>
      <c r="FQ26" s="22">
        <f t="shared" ref="FQ26" si="104">FP26*($F$2+1)</f>
        <v>7238.9534868533237</v>
      </c>
      <c r="FR26" s="22">
        <f t="shared" ref="FR26" si="105">FQ26*($F$2+1)</f>
        <v>7202.7587194190573</v>
      </c>
      <c r="FS26" s="22">
        <f t="shared" ref="FS26" si="106">FR26*($F$2+1)</f>
        <v>7166.7449258219622</v>
      </c>
      <c r="FT26" s="22">
        <f t="shared" ref="FT26" si="107">FS26*($F$2+1)</f>
        <v>7130.9112011928519</v>
      </c>
      <c r="FU26" s="22">
        <f t="shared" ref="FU26" si="108">FT26*($F$2+1)</f>
        <v>7095.2566451868879</v>
      </c>
      <c r="FV26" s="22">
        <f t="shared" ref="FV26" si="109">FU26*($F$2+1)</f>
        <v>7059.7803619609531</v>
      </c>
      <c r="FW26" s="22">
        <f t="shared" ref="FW26" si="110">FV26*($F$2+1)</f>
        <v>7024.481460151148</v>
      </c>
      <c r="FX26" s="22">
        <f t="shared" ref="FX26" si="111">FW26*($F$2+1)</f>
        <v>6989.3590528503919</v>
      </c>
      <c r="FY26" s="22">
        <f t="shared" ref="FY26" si="112">FX26*($F$2+1)</f>
        <v>6954.4122575861402</v>
      </c>
      <c r="FZ26" s="22">
        <f t="shared" ref="FZ26" si="113">FY26*($F$2+1)</f>
        <v>6919.640196298209</v>
      </c>
      <c r="GA26" s="22">
        <f t="shared" ref="GA26" si="114">FZ26*($F$2+1)</f>
        <v>6885.0419953167184</v>
      </c>
      <c r="GB26" s="22">
        <f t="shared" ref="GB26" si="115">GA26*($F$2+1)</f>
        <v>6850.6167853401348</v>
      </c>
      <c r="GC26" s="22">
        <f t="shared" ref="GC26" si="116">GB26*($F$2+1)</f>
        <v>6816.3637014134338</v>
      </c>
      <c r="GD26" s="22">
        <f t="shared" ref="GD26" si="117">GC26*($F$2+1)</f>
        <v>6782.2818829063663</v>
      </c>
      <c r="GE26" s="22">
        <f t="shared" ref="GE26" si="118">GD26*($F$2+1)</f>
        <v>6748.3704734918347</v>
      </c>
      <c r="GF26" s="22">
        <f t="shared" ref="GF26" si="119">GE26*($F$2+1)</f>
        <v>6714.6286211243751</v>
      </c>
      <c r="GG26" s="22">
        <f t="shared" ref="GG26" si="120">GF26*($F$2+1)</f>
        <v>6681.0554780187531</v>
      </c>
      <c r="GH26" s="22">
        <f t="shared" ref="GH26" si="121">GG26*($F$2+1)</f>
        <v>6647.6502006286591</v>
      </c>
      <c r="GI26" s="22">
        <f t="shared" ref="GI26" si="122">GH26*($F$2+1)</f>
        <v>6614.4119496255162</v>
      </c>
      <c r="GJ26" s="22">
        <f t="shared" ref="GJ26" si="123">GI26*($F$2+1)</f>
        <v>6581.3398898773885</v>
      </c>
      <c r="GK26" s="22">
        <f t="shared" ref="GK26" si="124">GJ26*($F$2+1)</f>
        <v>6548.4331904280016</v>
      </c>
      <c r="GL26" s="22">
        <f t="shared" ref="GL26" si="125">GK26*($F$2+1)</f>
        <v>6515.6910244758619</v>
      </c>
      <c r="GM26" s="22">
        <f t="shared" ref="GM26" si="126">GL26*($F$2+1)</f>
        <v>6483.1125693534823</v>
      </c>
      <c r="GN26" s="22">
        <f t="shared" ref="GN26" si="127">GM26*($F$2+1)</f>
        <v>6450.6970065067153</v>
      </c>
      <c r="GO26" s="22">
        <f t="shared" ref="GO26" si="128">GN26*($F$2+1)</f>
        <v>6418.4435214741816</v>
      </c>
      <c r="GP26" s="22">
        <f t="shared" ref="GP26" si="129">GO26*($F$2+1)</f>
        <v>6386.3513038668107</v>
      </c>
      <c r="GQ26" s="22">
        <f t="shared" ref="GQ26" si="130">GP26*($F$2+1)</f>
        <v>6354.4195473474765</v>
      </c>
      <c r="GR26" s="22">
        <f t="shared" ref="GR26" si="131">GQ26*($F$2+1)</f>
        <v>6322.6474496107394</v>
      </c>
      <c r="GS26" s="22">
        <f t="shared" ref="GS26" si="132">GR26*($F$2+1)</f>
        <v>6291.034212362686</v>
      </c>
      <c r="GT26" s="22">
        <f t="shared" ref="GT26" si="133">GS26*($F$2+1)</f>
        <v>6259.5790413008726</v>
      </c>
      <c r="GU26" s="22">
        <f t="shared" ref="GU26" si="134">GT26*($F$2+1)</f>
        <v>6228.2811460943685</v>
      </c>
      <c r="GV26" s="22">
        <f t="shared" ref="GV26" si="135">GU26*($F$2+1)</f>
        <v>6197.1397403638966</v>
      </c>
      <c r="GW26" s="22">
        <f t="shared" ref="GW26" si="136">GV26*($F$2+1)</f>
        <v>6166.1540416620774</v>
      </c>
      <c r="GX26" s="22">
        <f t="shared" ref="GX26" si="137">GW26*($F$2+1)</f>
        <v>6135.3232714537671</v>
      </c>
      <c r="GY26" s="22">
        <f t="shared" ref="GY26" si="138">GX26*($F$2+1)</f>
        <v>6104.6466550964979</v>
      </c>
      <c r="GZ26" s="22">
        <f t="shared" ref="GZ26" si="139">GY26*($F$2+1)</f>
        <v>6074.1234218210157</v>
      </c>
      <c r="HA26" s="22">
        <f t="shared" ref="HA26" si="140">GZ26*($F$2+1)</f>
        <v>6043.7528047119104</v>
      </c>
      <c r="HB26" s="22">
        <f t="shared" ref="HB26" si="141">HA26*($F$2+1)</f>
        <v>6013.5340406883506</v>
      </c>
      <c r="HC26" s="22">
        <f t="shared" ref="HC26" si="142">HB26*($F$2+1)</f>
        <v>5983.466370484909</v>
      </c>
      <c r="HD26" s="22">
        <f t="shared" ref="HD26" si="143">HC26*($F$2+1)</f>
        <v>5953.5490386324846</v>
      </c>
      <c r="HE26" s="22">
        <f t="shared" ref="HE26" si="144">HD26*($F$2+1)</f>
        <v>5923.7812934393223</v>
      </c>
      <c r="HF26" s="22">
        <f t="shared" ref="HF26" si="145">HE26*($F$2+1)</f>
        <v>5894.1623869721261</v>
      </c>
      <c r="HG26" s="22">
        <f t="shared" ref="HG26" si="146">HF26*($F$2+1)</f>
        <v>5864.6915750372655</v>
      </c>
      <c r="HH26" s="22">
        <f t="shared" ref="HH26" si="147">HG26*($F$2+1)</f>
        <v>5835.3681171620792</v>
      </c>
      <c r="HI26" s="22">
        <f t="shared" ref="HI26" si="148">HH26*($F$2+1)</f>
        <v>5806.191276576269</v>
      </c>
      <c r="HJ26" s="22">
        <f t="shared" ref="HJ26" si="149">HI26*($F$2+1)</f>
        <v>5777.1603201933876</v>
      </c>
      <c r="HK26" s="22">
        <f t="shared" ref="HK26" si="150">HJ26*($F$2+1)</f>
        <v>5748.2745185924205</v>
      </c>
      <c r="HL26" s="22">
        <f t="shared" ref="HL26" si="151">HK26*($F$2+1)</f>
        <v>5719.5331459994586</v>
      </c>
      <c r="HM26" s="22">
        <f t="shared" ref="HM26" si="152">HL26*($F$2+1)</f>
        <v>5690.9354802694616</v>
      </c>
      <c r="HN26" s="22">
        <f t="shared" ref="HN26" si="153">HM26*($F$2+1)</f>
        <v>5662.4808028681146</v>
      </c>
      <c r="HO26" s="22">
        <f t="shared" ref="HO26" si="154">HN26*($F$2+1)</f>
        <v>5634.1683988537743</v>
      </c>
      <c r="HP26" s="22">
        <f t="shared" ref="HP26" si="155">HO26*($F$2+1)</f>
        <v>5605.9975568595055</v>
      </c>
      <c r="HQ26" s="22">
        <f t="shared" ref="HQ26" si="156">HP26*($F$2+1)</f>
        <v>5577.9675690752083</v>
      </c>
      <c r="HR26" s="22">
        <f t="shared" ref="HR26" si="157">HQ26*($F$2+1)</f>
        <v>5550.0777312298324</v>
      </c>
      <c r="HS26" s="22">
        <f t="shared" ref="HS26" si="158">HR26*($F$2+1)</f>
        <v>5522.3273425736834</v>
      </c>
      <c r="HT26" s="22">
        <f t="shared" ref="HT26" si="159">HS26*($F$2+1)</f>
        <v>5494.7157058608145</v>
      </c>
      <c r="HU26" s="22">
        <f t="shared" ref="HU26" si="160">HT26*($F$2+1)</f>
        <v>5467.2421273315103</v>
      </c>
      <c r="HV26" s="22">
        <f t="shared" ref="HV26" si="161">HU26*($F$2+1)</f>
        <v>5439.9059166948527</v>
      </c>
      <c r="HW26" s="22">
        <f t="shared" ref="HW26" si="162">HV26*($F$2+1)</f>
        <v>5412.7063871113787</v>
      </c>
      <c r="HX26" s="22">
        <f t="shared" ref="HX26" si="163">HW26*($F$2+1)</f>
        <v>5385.6428551758218</v>
      </c>
      <c r="HY26" s="22">
        <f t="shared" ref="HY26" si="164">HX26*($F$2+1)</f>
        <v>5358.7146408999424</v>
      </c>
      <c r="HZ26" s="22">
        <f t="shared" ref="HZ26" si="165">HY26*($F$2+1)</f>
        <v>5331.9210676954426</v>
      </c>
      <c r="IA26" s="22">
        <f t="shared" ref="IA26" si="166">HZ26*($F$2+1)</f>
        <v>5305.2614623569652</v>
      </c>
      <c r="IB26" s="22">
        <f t="shared" ref="IB26" si="167">IA26*($F$2+1)</f>
        <v>5278.7351550451804</v>
      </c>
      <c r="IC26" s="22">
        <f t="shared" ref="IC26" si="168">IB26*($F$2+1)</f>
        <v>5252.3414792699541</v>
      </c>
      <c r="ID26" s="22">
        <f t="shared" ref="ID26" si="169">IC26*($F$2+1)</f>
        <v>5226.0797718736039</v>
      </c>
      <c r="IE26" s="22">
        <f t="shared" ref="IE26" si="170">ID26*($F$2+1)</f>
        <v>5199.9493730142358</v>
      </c>
      <c r="IF26" s="22">
        <f t="shared" ref="IF26" si="171">IE26*($F$2+1)</f>
        <v>5173.9496261491649</v>
      </c>
      <c r="IG26" s="22">
        <f t="shared" ref="IG26" si="172">IF26*($F$2+1)</f>
        <v>5148.0798780184186</v>
      </c>
      <c r="IH26" s="22">
        <f t="shared" ref="IH26" si="173">IG26*($F$2+1)</f>
        <v>5122.3394786283261</v>
      </c>
      <c r="II26" s="22">
        <f t="shared" ref="II26" si="174">IH26*($F$2+1)</f>
        <v>5096.727781235184</v>
      </c>
    </row>
    <row r="27" spans="1:243" x14ac:dyDescent="0.15">
      <c r="A27" s="1" t="s">
        <v>16</v>
      </c>
      <c r="B27" s="23">
        <f>B26/B28</f>
        <v>2.1972693032015065</v>
      </c>
      <c r="C27" s="23">
        <f>C26/C28</f>
        <v>2.5318351738725791</v>
      </c>
      <c r="D27" s="23">
        <f>D26/D28</f>
        <v>3.171101573676681</v>
      </c>
      <c r="E27" s="23">
        <f>E26/E28</f>
        <v>3.2052498418722326</v>
      </c>
      <c r="F27" s="18">
        <f t="shared" ref="E27:F27" si="175">F26/F28</f>
        <v>3.679867093603542</v>
      </c>
      <c r="G27" s="18">
        <f t="shared" ref="G27:O27" si="176">G26/G28</f>
        <v>3.7614643638431371</v>
      </c>
      <c r="H27" s="18">
        <f t="shared" si="176"/>
        <v>3.8539114919283914</v>
      </c>
      <c r="I27" s="18">
        <f t="shared" si="176"/>
        <v>3.9567127254970313</v>
      </c>
      <c r="J27" s="18">
        <f t="shared" si="176"/>
        <v>4.0694311949365947</v>
      </c>
      <c r="K27" s="18">
        <f t="shared" si="176"/>
        <v>4.17236227457947</v>
      </c>
      <c r="L27" s="18">
        <f t="shared" si="176"/>
        <v>4.2707170413145681</v>
      </c>
      <c r="M27" s="18">
        <f t="shared" si="176"/>
        <v>4.3648267769614479</v>
      </c>
      <c r="N27" s="18">
        <f t="shared" si="176"/>
        <v>4.4550060857321307</v>
      </c>
      <c r="O27" s="18">
        <f t="shared" si="176"/>
        <v>4.5415537632905352</v>
      </c>
      <c r="P27" s="18">
        <f t="shared" ref="P27:R27" si="177">P26/P28</f>
        <v>4.624753622214782</v>
      </c>
      <c r="Q27" s="18">
        <f t="shared" si="177"/>
        <v>4.7048752760546773</v>
      </c>
      <c r="R27" s="18">
        <f t="shared" si="177"/>
        <v>4.782174884066861</v>
      </c>
      <c r="S27" s="18">
        <f t="shared" ref="S27:T27" si="178">S26/S28</f>
        <v>4.8568958586060127</v>
      </c>
      <c r="T27" s="18">
        <f t="shared" si="178"/>
        <v>4.9292695370514155</v>
      </c>
    </row>
    <row r="28" spans="1:243" x14ac:dyDescent="0.15">
      <c r="A28" s="1" t="s">
        <v>17</v>
      </c>
      <c r="B28" s="5">
        <f>Reports!E22</f>
        <v>4248</v>
      </c>
      <c r="C28" s="5">
        <f>Reports!I22</f>
        <v>4149</v>
      </c>
      <c r="D28" s="5">
        <f>Reports!M22</f>
        <v>3495</v>
      </c>
      <c r="E28" s="5">
        <f>Reports!Q22</f>
        <v>3162</v>
      </c>
      <c r="F28" s="5">
        <f t="shared" ref="F28" si="179">E28</f>
        <v>3162</v>
      </c>
      <c r="G28" s="5">
        <f t="shared" ref="G28" si="180">F28</f>
        <v>3162</v>
      </c>
      <c r="H28" s="5">
        <f t="shared" ref="H28" si="181">G28</f>
        <v>3162</v>
      </c>
      <c r="I28" s="5">
        <f t="shared" ref="I28" si="182">H28</f>
        <v>3162</v>
      </c>
      <c r="J28" s="5">
        <f t="shared" ref="J28" si="183">I28</f>
        <v>3162</v>
      </c>
      <c r="K28" s="5">
        <f t="shared" ref="K28" si="184">J28</f>
        <v>3162</v>
      </c>
      <c r="L28" s="5">
        <f t="shared" ref="L28" si="185">K28</f>
        <v>3162</v>
      </c>
      <c r="M28" s="5">
        <f t="shared" ref="M28" si="186">L28</f>
        <v>3162</v>
      </c>
      <c r="N28" s="5">
        <f t="shared" ref="N28" si="187">M28</f>
        <v>3162</v>
      </c>
      <c r="O28" s="5">
        <f t="shared" ref="O28:T28" si="188">N28</f>
        <v>3162</v>
      </c>
      <c r="P28" s="5">
        <f t="shared" si="188"/>
        <v>3162</v>
      </c>
      <c r="Q28" s="5">
        <f t="shared" si="188"/>
        <v>3162</v>
      </c>
      <c r="R28" s="5">
        <f t="shared" si="188"/>
        <v>3162</v>
      </c>
      <c r="S28" s="5">
        <f t="shared" si="188"/>
        <v>3162</v>
      </c>
      <c r="T28" s="5">
        <f t="shared" si="188"/>
        <v>3162</v>
      </c>
    </row>
    <row r="29" spans="1:243" x14ac:dyDescent="0.1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43" x14ac:dyDescent="0.15">
      <c r="A30" s="1" t="s">
        <v>19</v>
      </c>
      <c r="B30" s="21">
        <f t="shared" ref="B30:O30" si="189">IFERROR(B17/B15,0)</f>
        <v>0.80205158109576691</v>
      </c>
      <c r="C30" s="21">
        <f t="shared" si="189"/>
        <v>0.79682739519073398</v>
      </c>
      <c r="D30" s="21">
        <f t="shared" si="189"/>
        <v>0.79767118086318189</v>
      </c>
      <c r="E30" s="21">
        <f t="shared" si="189"/>
        <v>0.79681580833418653</v>
      </c>
      <c r="F30" s="21">
        <f t="shared" si="189"/>
        <v>0.79681580833418653</v>
      </c>
      <c r="G30" s="21">
        <f t="shared" si="189"/>
        <v>0.79681580833418653</v>
      </c>
      <c r="H30" s="21">
        <f t="shared" si="189"/>
        <v>0.79681580833418653</v>
      </c>
      <c r="I30" s="21">
        <f t="shared" si="189"/>
        <v>0.79681580833418653</v>
      </c>
      <c r="J30" s="21">
        <f t="shared" si="189"/>
        <v>0.79681580833418653</v>
      </c>
      <c r="K30" s="21">
        <f t="shared" si="189"/>
        <v>0.79681580833418653</v>
      </c>
      <c r="L30" s="21">
        <f t="shared" si="189"/>
        <v>0.79681580833418653</v>
      </c>
      <c r="M30" s="21">
        <f t="shared" si="189"/>
        <v>0.79681580833418653</v>
      </c>
      <c r="N30" s="21">
        <f t="shared" si="189"/>
        <v>0.79681580833418653</v>
      </c>
      <c r="O30" s="21">
        <f t="shared" si="189"/>
        <v>0.79681580833418653</v>
      </c>
      <c r="P30" s="21">
        <f t="shared" ref="P30:R30" si="190">IFERROR(P17/P15,0)</f>
        <v>0.79681580833418653</v>
      </c>
      <c r="Q30" s="21">
        <f t="shared" si="190"/>
        <v>0.79681580833418653</v>
      </c>
      <c r="R30" s="21">
        <f t="shared" si="190"/>
        <v>0.79681580833418653</v>
      </c>
      <c r="S30" s="21">
        <f t="shared" ref="S30:T30" si="191">IFERROR(S17/S15,0)</f>
        <v>0.79681580833418664</v>
      </c>
      <c r="T30" s="21">
        <f t="shared" si="191"/>
        <v>0.79681580833418664</v>
      </c>
    </row>
    <row r="31" spans="1:243" x14ac:dyDescent="0.15">
      <c r="A31" s="1" t="s">
        <v>20</v>
      </c>
      <c r="B31" s="20">
        <f t="shared" ref="B31:O31" si="192">IFERROR(B22/B15,0)</f>
        <v>0.3368940016433854</v>
      </c>
      <c r="C31" s="20">
        <f t="shared" si="192"/>
        <v>0.34188593730328593</v>
      </c>
      <c r="D31" s="20">
        <f t="shared" si="192"/>
        <v>0.34261485887862297</v>
      </c>
      <c r="E31" s="20">
        <f t="shared" si="192"/>
        <v>0.35571311559332447</v>
      </c>
      <c r="F31" s="20">
        <f t="shared" si="192"/>
        <v>0.36303406810129324</v>
      </c>
      <c r="G31" s="20">
        <f t="shared" si="192"/>
        <v>0.36612358909740667</v>
      </c>
      <c r="H31" s="20">
        <f t="shared" si="192"/>
        <v>0.36956497505657987</v>
      </c>
      <c r="I31" s="20">
        <f t="shared" si="192"/>
        <v>0.37331445009295972</v>
      </c>
      <c r="J31" s="20">
        <f t="shared" si="192"/>
        <v>0.37732979276939427</v>
      </c>
      <c r="K31" s="20">
        <f t="shared" si="192"/>
        <v>0.38830901145037749</v>
      </c>
      <c r="L31" s="20">
        <f t="shared" si="192"/>
        <v>0.39895213160031018</v>
      </c>
      <c r="M31" s="20">
        <f t="shared" si="192"/>
        <v>0.4092694419497348</v>
      </c>
      <c r="N31" s="20">
        <f t="shared" si="192"/>
        <v>0.41927091626805441</v>
      </c>
      <c r="O31" s="20">
        <f t="shared" si="192"/>
        <v>0.42896622300520115</v>
      </c>
      <c r="P31" s="20">
        <f t="shared" ref="P31:R31" si="193">IFERROR(P22/P15,0)</f>
        <v>0.43836473463814951</v>
      </c>
      <c r="Q31" s="20">
        <f t="shared" si="193"/>
        <v>0.44747553673131379</v>
      </c>
      <c r="R31" s="20">
        <f t="shared" si="193"/>
        <v>0.45630743671958507</v>
      </c>
      <c r="S31" s="20">
        <f t="shared" ref="S31:T31" si="194">IFERROR(S22/S15,0)</f>
        <v>0.4648689724225013</v>
      </c>
      <c r="T31" s="20">
        <f t="shared" si="194"/>
        <v>0.47316842029777723</v>
      </c>
    </row>
    <row r="32" spans="1:243" x14ac:dyDescent="0.15">
      <c r="A32" s="1" t="s">
        <v>21</v>
      </c>
      <c r="B32" s="20">
        <f t="shared" ref="B32:O32" si="195">IFERROR(B25/B24,0)</f>
        <v>0.18947551233067036</v>
      </c>
      <c r="C32" s="20">
        <f t="shared" si="195"/>
        <v>0.17720810398705011</v>
      </c>
      <c r="D32" s="20">
        <f t="shared" si="195"/>
        <v>9.6592761656341702E-2</v>
      </c>
      <c r="E32" s="20">
        <f t="shared" si="195"/>
        <v>0.1598972148541114</v>
      </c>
      <c r="F32" s="20">
        <f t="shared" si="195"/>
        <v>0.14999999999999997</v>
      </c>
      <c r="G32" s="20">
        <f t="shared" si="195"/>
        <v>0.14999999999999997</v>
      </c>
      <c r="H32" s="20">
        <f t="shared" si="195"/>
        <v>0.15</v>
      </c>
      <c r="I32" s="20">
        <f t="shared" si="195"/>
        <v>0.15</v>
      </c>
      <c r="J32" s="20">
        <f t="shared" si="195"/>
        <v>0.15</v>
      </c>
      <c r="K32" s="20">
        <f t="shared" si="195"/>
        <v>0.15</v>
      </c>
      <c r="L32" s="20">
        <f t="shared" si="195"/>
        <v>0.15</v>
      </c>
      <c r="M32" s="20">
        <f t="shared" si="195"/>
        <v>0.15</v>
      </c>
      <c r="N32" s="20">
        <f t="shared" si="195"/>
        <v>0.15</v>
      </c>
      <c r="O32" s="20">
        <f t="shared" si="195"/>
        <v>0.15</v>
      </c>
      <c r="P32" s="20">
        <f t="shared" ref="P32:R32" si="196">IFERROR(P25/P24,0)</f>
        <v>0.15</v>
      </c>
      <c r="Q32" s="20">
        <f t="shared" si="196"/>
        <v>0.15</v>
      </c>
      <c r="R32" s="20">
        <f t="shared" si="196"/>
        <v>0.15</v>
      </c>
      <c r="S32" s="20">
        <f t="shared" ref="S32:T32" si="197">IFERROR(S25/S24,0)</f>
        <v>0.15</v>
      </c>
      <c r="T32" s="20">
        <f t="shared" si="197"/>
        <v>0.15</v>
      </c>
    </row>
    <row r="33" spans="1:20" x14ac:dyDescent="0.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15">
      <c r="A34" s="15" t="s">
        <v>18</v>
      </c>
      <c r="B34" s="19"/>
      <c r="C34" s="19">
        <f>C15/B15-1</f>
        <v>5.2694356826675781E-2</v>
      </c>
      <c r="D34" s="19">
        <f t="shared" ref="D34:T34" si="198">D15/C15-1</f>
        <v>-5.2876746821099996E-3</v>
      </c>
      <c r="E34" s="19">
        <f>E15/D15-1</f>
        <v>-1.1061890899886073E-2</v>
      </c>
      <c r="F34" s="19">
        <f>F15/E15-1</f>
        <v>5.4213166786114542E-3</v>
      </c>
      <c r="G34" s="19">
        <f t="shared" si="198"/>
        <v>-3.5135107612562777E-3</v>
      </c>
      <c r="H34" s="19">
        <f t="shared" si="198"/>
        <v>-1.982221559106101E-3</v>
      </c>
      <c r="I34" s="19">
        <f t="shared" si="198"/>
        <v>-5.3287403234647535E-4</v>
      </c>
      <c r="J34" s="19">
        <f t="shared" si="198"/>
        <v>8.3609998039491096E-4</v>
      </c>
      <c r="K34" s="19">
        <f t="shared" si="198"/>
        <v>-2.0000000000000018E-2</v>
      </c>
      <c r="L34" s="19">
        <f t="shared" si="198"/>
        <v>-1.9999999999999907E-2</v>
      </c>
      <c r="M34" s="19">
        <f t="shared" si="198"/>
        <v>-2.0000000000000129E-2</v>
      </c>
      <c r="N34" s="19">
        <f t="shared" si="198"/>
        <v>-2.0000000000000018E-2</v>
      </c>
      <c r="O34" s="19">
        <f t="shared" si="198"/>
        <v>-1.9999999999999907E-2</v>
      </c>
      <c r="P34" s="19">
        <f t="shared" si="198"/>
        <v>-1.9999999999999907E-2</v>
      </c>
      <c r="Q34" s="19">
        <f t="shared" si="198"/>
        <v>-1.9999999999999907E-2</v>
      </c>
      <c r="R34" s="19">
        <f t="shared" si="198"/>
        <v>-2.0000000000000018E-2</v>
      </c>
      <c r="S34" s="19">
        <f t="shared" si="198"/>
        <v>-2.0000000000000018E-2</v>
      </c>
      <c r="T34" s="19">
        <f t="shared" si="198"/>
        <v>-2.0000000000000018E-2</v>
      </c>
    </row>
    <row r="35" spans="1:20" x14ac:dyDescent="0.15">
      <c r="A35" s="1" t="s">
        <v>34</v>
      </c>
      <c r="B35" s="20"/>
      <c r="C35" s="20">
        <f t="shared" ref="C35:T35" si="199">C18/B18-1</f>
        <v>-1.1850649350649389E-2</v>
      </c>
      <c r="D35" s="20">
        <f t="shared" si="199"/>
        <v>-9.857072449482529E-3</v>
      </c>
      <c r="E35" s="20">
        <f t="shared" si="199"/>
        <v>6.6368010618882423E-3</v>
      </c>
      <c r="F35" s="20">
        <f t="shared" si="199"/>
        <v>2.0000000000000018E-2</v>
      </c>
      <c r="G35" s="20">
        <f t="shared" si="199"/>
        <v>2.0000000000000018E-2</v>
      </c>
      <c r="H35" s="20">
        <f t="shared" si="199"/>
        <v>2.0000000000000018E-2</v>
      </c>
      <c r="I35" s="20">
        <f t="shared" si="199"/>
        <v>2.0000000000000018E-2</v>
      </c>
      <c r="J35" s="20">
        <f t="shared" si="199"/>
        <v>2.0000000000000018E-2</v>
      </c>
      <c r="K35" s="20">
        <f t="shared" si="199"/>
        <v>-5.0000000000000044E-2</v>
      </c>
      <c r="L35" s="20">
        <f t="shared" si="199"/>
        <v>-5.0000000000000044E-2</v>
      </c>
      <c r="M35" s="20">
        <f t="shared" si="199"/>
        <v>-5.0000000000000044E-2</v>
      </c>
      <c r="N35" s="20">
        <f t="shared" si="199"/>
        <v>-5.0000000000000044E-2</v>
      </c>
      <c r="O35" s="20">
        <f t="shared" si="199"/>
        <v>-4.9999999999999933E-2</v>
      </c>
      <c r="P35" s="20">
        <f t="shared" si="199"/>
        <v>-5.0000000000000155E-2</v>
      </c>
      <c r="Q35" s="20">
        <f t="shared" si="199"/>
        <v>-5.0000000000000044E-2</v>
      </c>
      <c r="R35" s="20">
        <f t="shared" si="199"/>
        <v>-5.0000000000000044E-2</v>
      </c>
      <c r="S35" s="20">
        <f t="shared" si="199"/>
        <v>-4.9999999999999933E-2</v>
      </c>
      <c r="T35" s="20">
        <f t="shared" si="199"/>
        <v>-5.0000000000000044E-2</v>
      </c>
    </row>
    <row r="36" spans="1:20" x14ac:dyDescent="0.15">
      <c r="A36" s="1" t="s">
        <v>35</v>
      </c>
      <c r="B36" s="20"/>
      <c r="C36" s="20">
        <f t="shared" ref="C36:T36" si="200">C19/B19-1</f>
        <v>2.9038555392874477E-2</v>
      </c>
      <c r="D36" s="20">
        <f t="shared" si="200"/>
        <v>8.8925776618449248E-3</v>
      </c>
      <c r="E36" s="20">
        <f t="shared" si="200"/>
        <v>-4.8771888588553303E-2</v>
      </c>
      <c r="F36" s="20">
        <f t="shared" si="200"/>
        <v>-2.0000000000000018E-2</v>
      </c>
      <c r="G36" s="20">
        <f t="shared" si="200"/>
        <v>-2.0000000000000018E-2</v>
      </c>
      <c r="H36" s="20">
        <f t="shared" si="200"/>
        <v>-2.0000000000000018E-2</v>
      </c>
      <c r="I36" s="20">
        <f t="shared" si="200"/>
        <v>-2.0000000000000018E-2</v>
      </c>
      <c r="J36" s="20">
        <f t="shared" si="200"/>
        <v>-2.0000000000000018E-2</v>
      </c>
      <c r="K36" s="20">
        <f t="shared" si="200"/>
        <v>-5.0000000000000044E-2</v>
      </c>
      <c r="L36" s="20">
        <f t="shared" si="200"/>
        <v>-5.0000000000000044E-2</v>
      </c>
      <c r="M36" s="20">
        <f t="shared" si="200"/>
        <v>-4.9999999999999933E-2</v>
      </c>
      <c r="N36" s="20">
        <f t="shared" si="200"/>
        <v>-5.0000000000000044E-2</v>
      </c>
      <c r="O36" s="20">
        <f t="shared" si="200"/>
        <v>-5.0000000000000044E-2</v>
      </c>
      <c r="P36" s="20">
        <f t="shared" si="200"/>
        <v>-5.0000000000000044E-2</v>
      </c>
      <c r="Q36" s="20">
        <f t="shared" si="200"/>
        <v>-5.0000000000000044E-2</v>
      </c>
      <c r="R36" s="20">
        <f t="shared" si="200"/>
        <v>-5.0000000000000044E-2</v>
      </c>
      <c r="S36" s="20">
        <f t="shared" si="200"/>
        <v>-5.0000000000000044E-2</v>
      </c>
      <c r="T36" s="20">
        <f t="shared" si="200"/>
        <v>-5.0000000000000044E-2</v>
      </c>
    </row>
    <row r="37" spans="1:20" x14ac:dyDescent="0.15">
      <c r="A37" s="1" t="s">
        <v>36</v>
      </c>
      <c r="B37" s="20"/>
      <c r="C37" s="20">
        <f t="shared" ref="C37:T37" si="201">C20/B20-1</f>
        <v>0.11086752270591926</v>
      </c>
      <c r="D37" s="20">
        <f t="shared" si="201"/>
        <v>-2.9884409360022568E-2</v>
      </c>
      <c r="E37" s="20">
        <f t="shared" si="201"/>
        <v>-0.10723626852659107</v>
      </c>
      <c r="F37" s="20">
        <f t="shared" si="201"/>
        <v>-5.0000000000000155E-2</v>
      </c>
      <c r="G37" s="20">
        <f t="shared" si="201"/>
        <v>-5.0000000000000044E-2</v>
      </c>
      <c r="H37" s="20">
        <f t="shared" si="201"/>
        <v>-5.0000000000000044E-2</v>
      </c>
      <c r="I37" s="20">
        <f t="shared" si="201"/>
        <v>-5.0000000000000155E-2</v>
      </c>
      <c r="J37" s="20">
        <f t="shared" si="201"/>
        <v>-5.0000000000000155E-2</v>
      </c>
      <c r="K37" s="20">
        <f t="shared" si="201"/>
        <v>-2.0000000000000018E-2</v>
      </c>
      <c r="L37" s="20">
        <f t="shared" si="201"/>
        <v>-2.0000000000000018E-2</v>
      </c>
      <c r="M37" s="20">
        <f t="shared" si="201"/>
        <v>-2.0000000000000129E-2</v>
      </c>
      <c r="N37" s="20">
        <f t="shared" si="201"/>
        <v>-2.0000000000000018E-2</v>
      </c>
      <c r="O37" s="20">
        <f t="shared" si="201"/>
        <v>-2.0000000000000018E-2</v>
      </c>
      <c r="P37" s="20">
        <f t="shared" si="201"/>
        <v>-2.0000000000000129E-2</v>
      </c>
      <c r="Q37" s="20">
        <f t="shared" si="201"/>
        <v>-2.0000000000000018E-2</v>
      </c>
      <c r="R37" s="20">
        <f t="shared" si="201"/>
        <v>-2.0000000000000018E-2</v>
      </c>
      <c r="S37" s="20">
        <f t="shared" si="201"/>
        <v>-2.0000000000000018E-2</v>
      </c>
      <c r="T37" s="20">
        <f t="shared" si="201"/>
        <v>-2.0000000000000018E-2</v>
      </c>
    </row>
    <row r="38" spans="1:20" s="65" customFormat="1" x14ac:dyDescent="0.15">
      <c r="A38" s="65" t="s">
        <v>61</v>
      </c>
      <c r="B38" s="20"/>
      <c r="C38" s="20">
        <f>C21/B21-1</f>
        <v>2.9574334719927098E-2</v>
      </c>
      <c r="D38" s="20">
        <f t="shared" ref="D38:T38" si="202">D21/C21-1</f>
        <v>-5.0365286694709077E-3</v>
      </c>
      <c r="E38" s="20">
        <f t="shared" si="202"/>
        <v>-4.1386215720086827E-2</v>
      </c>
      <c r="F38" s="20">
        <f t="shared" si="202"/>
        <v>-1.1265595079208435E-2</v>
      </c>
      <c r="G38" s="20">
        <f t="shared" si="202"/>
        <v>-1.061078029868201E-2</v>
      </c>
      <c r="H38" s="20">
        <f t="shared" si="202"/>
        <v>-9.9567430766251963E-3</v>
      </c>
      <c r="I38" s="20">
        <f t="shared" si="202"/>
        <v>-9.3040144178425654E-3</v>
      </c>
      <c r="J38" s="20">
        <f t="shared" si="202"/>
        <v>-8.6531255584721967E-3</v>
      </c>
      <c r="K38" s="20">
        <f t="shared" si="202"/>
        <v>-4.5649566155088306E-2</v>
      </c>
      <c r="L38" s="20">
        <f t="shared" si="202"/>
        <v>-4.5532641871564028E-2</v>
      </c>
      <c r="M38" s="20">
        <f t="shared" si="202"/>
        <v>-4.5413137045931307E-2</v>
      </c>
      <c r="N38" s="20">
        <f t="shared" si="202"/>
        <v>-4.5291024976944705E-2</v>
      </c>
      <c r="O38" s="20">
        <f t="shared" si="202"/>
        <v>-4.5166280360480759E-2</v>
      </c>
      <c r="P38" s="20">
        <f t="shared" si="202"/>
        <v>-4.5038879388845654E-2</v>
      </c>
      <c r="Q38" s="20">
        <f t="shared" si="202"/>
        <v>-4.4908799851642422E-2</v>
      </c>
      <c r="R38" s="20">
        <f t="shared" si="202"/>
        <v>-4.4776021237955543E-2</v>
      </c>
      <c r="S38" s="20">
        <f t="shared" si="202"/>
        <v>-4.4640524839589579E-2</v>
      </c>
      <c r="T38" s="20">
        <f t="shared" si="202"/>
        <v>-4.4502293855074648E-2</v>
      </c>
    </row>
    <row r="39" spans="1:20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15">
      <c r="A40" s="15" t="s">
        <v>22</v>
      </c>
      <c r="B40" s="22">
        <f>B41-B42</f>
        <v>8169</v>
      </c>
      <c r="C40" s="22">
        <f>C41-C42</f>
        <v>6642</v>
      </c>
      <c r="D40" s="22">
        <f>D41-D42</f>
        <v>-18340</v>
      </c>
      <c r="E40" s="22">
        <f>E41-E42</f>
        <v>-28540</v>
      </c>
      <c r="F40" s="17">
        <f t="shared" ref="F40:T40" si="203">E40+F26</f>
        <v>-16904.2602500256</v>
      </c>
      <c r="G40" s="17">
        <f t="shared" si="203"/>
        <v>-5010.5099315536008</v>
      </c>
      <c r="H40" s="17">
        <f t="shared" si="203"/>
        <v>7175.5582059239732</v>
      </c>
      <c r="I40" s="17">
        <f t="shared" si="203"/>
        <v>19686.683843945586</v>
      </c>
      <c r="J40" s="17">
        <f t="shared" si="203"/>
        <v>32554.225282335101</v>
      </c>
      <c r="K40" s="17">
        <f t="shared" si="203"/>
        <v>45747.234794555385</v>
      </c>
      <c r="L40" s="17">
        <f t="shared" si="203"/>
        <v>59251.242079192045</v>
      </c>
      <c r="M40" s="17">
        <f t="shared" si="203"/>
        <v>73052.824347944144</v>
      </c>
      <c r="N40" s="17">
        <f t="shared" si="203"/>
        <v>87139.553591029136</v>
      </c>
      <c r="O40" s="17">
        <f t="shared" si="203"/>
        <v>101499.94659055381</v>
      </c>
      <c r="P40" s="17">
        <f t="shared" si="203"/>
        <v>116123.41754399695</v>
      </c>
      <c r="Q40" s="17">
        <f t="shared" si="203"/>
        <v>131000.23316688184</v>
      </c>
      <c r="R40" s="17">
        <f t="shared" si="203"/>
        <v>146121.47015030126</v>
      </c>
      <c r="S40" s="17">
        <f t="shared" si="203"/>
        <v>161478.97485521348</v>
      </c>
      <c r="T40" s="17">
        <f t="shared" si="203"/>
        <v>177065.32513137005</v>
      </c>
    </row>
    <row r="41" spans="1:20" x14ac:dyDescent="0.15">
      <c r="A41" s="1" t="s">
        <v>23</v>
      </c>
      <c r="B41" s="16">
        <f>Reports!E35</f>
        <v>66078</v>
      </c>
      <c r="C41" s="16">
        <f>Reports!I35</f>
        <v>67261</v>
      </c>
      <c r="D41" s="16">
        <f>Reports!M35</f>
        <v>37827</v>
      </c>
      <c r="E41" s="16">
        <f>Reports!Q35</f>
        <v>43057</v>
      </c>
    </row>
    <row r="42" spans="1:20" x14ac:dyDescent="0.15">
      <c r="A42" s="1" t="s">
        <v>24</v>
      </c>
      <c r="B42" s="16">
        <f>Reports!E36</f>
        <v>57909</v>
      </c>
      <c r="C42" s="16">
        <f>Reports!I36</f>
        <v>60619</v>
      </c>
      <c r="D42" s="16">
        <f>Reports!M36</f>
        <v>56167</v>
      </c>
      <c r="E42" s="16">
        <f>Reports!Q36</f>
        <v>71597</v>
      </c>
    </row>
    <row r="44" spans="1:20" x14ac:dyDescent="0.15">
      <c r="A44" s="1" t="s">
        <v>45</v>
      </c>
      <c r="B44" s="16">
        <f>Reports!E38</f>
        <v>50724</v>
      </c>
      <c r="C44" s="16">
        <f>Reports!I38</f>
        <v>50425</v>
      </c>
      <c r="D44" s="16">
        <f>Reports!M38</f>
        <v>49058</v>
      </c>
      <c r="E44" s="16">
        <f>Reports!Q38</f>
        <v>47507</v>
      </c>
    </row>
    <row r="45" spans="1:20" x14ac:dyDescent="0.15">
      <c r="A45" s="1" t="s">
        <v>46</v>
      </c>
      <c r="B45" s="16">
        <f>Reports!E39</f>
        <v>134991</v>
      </c>
      <c r="C45" s="16">
        <f>Reports!I39</f>
        <v>137851</v>
      </c>
      <c r="D45" s="16">
        <f>Reports!M39</f>
        <v>108709</v>
      </c>
      <c r="E45" s="16">
        <f>Reports!Q39</f>
        <v>115438</v>
      </c>
    </row>
    <row r="46" spans="1:20" x14ac:dyDescent="0.15">
      <c r="A46" s="1" t="s">
        <v>47</v>
      </c>
      <c r="B46" s="16">
        <f>Reports!E40</f>
        <v>80424</v>
      </c>
      <c r="C46" s="16">
        <f>Reports!I40</f>
        <v>90978</v>
      </c>
      <c r="D46" s="16">
        <f>Reports!M40</f>
        <v>86346</v>
      </c>
      <c r="E46" s="16">
        <f>Reports!Q40</f>
        <v>102721</v>
      </c>
    </row>
    <row r="48" spans="1:20" x14ac:dyDescent="0.15">
      <c r="A48" s="1" t="s">
        <v>48</v>
      </c>
      <c r="B48" s="24">
        <f>B45-B44-B41</f>
        <v>18189</v>
      </c>
      <c r="C48" s="24">
        <f>C45-C44-C41</f>
        <v>20165</v>
      </c>
      <c r="D48" s="24">
        <f>D45-D44-D41</f>
        <v>21824</v>
      </c>
      <c r="E48" s="24">
        <f>E45-E44-E41</f>
        <v>24874</v>
      </c>
    </row>
    <row r="49" spans="1:10" x14ac:dyDescent="0.15">
      <c r="A49" s="1" t="s">
        <v>49</v>
      </c>
      <c r="B49" s="24">
        <f>B45-B46</f>
        <v>54567</v>
      </c>
      <c r="C49" s="24">
        <f>C45-C46</f>
        <v>46873</v>
      </c>
      <c r="D49" s="24">
        <f>D45-D46</f>
        <v>22363</v>
      </c>
      <c r="E49" s="24">
        <f>E45-E46</f>
        <v>12717</v>
      </c>
    </row>
    <row r="51" spans="1:10" x14ac:dyDescent="0.15">
      <c r="A51" s="1" t="s">
        <v>50</v>
      </c>
      <c r="B51" s="14">
        <f>B26/B49</f>
        <v>0.17105576630564259</v>
      </c>
      <c r="C51" s="14">
        <f>C26/C49</f>
        <v>0.22410735682370087</v>
      </c>
      <c r="D51" s="14">
        <f>D26/D49</f>
        <v>0.49559540312122702</v>
      </c>
      <c r="E51" s="14">
        <f>E26/E49</f>
        <v>0.7969646929307227</v>
      </c>
    </row>
    <row r="52" spans="1:10" x14ac:dyDescent="0.15">
      <c r="A52" s="1" t="s">
        <v>51</v>
      </c>
      <c r="B52" s="14">
        <f>B26/B45</f>
        <v>6.9145350430769456E-2</v>
      </c>
      <c r="C52" s="14">
        <f>C26/C45</f>
        <v>7.6202451461341095E-2</v>
      </c>
      <c r="D52" s="14">
        <f>D26/D45</f>
        <v>0.10195108040732598</v>
      </c>
      <c r="E52" s="14">
        <f>E26/E45</f>
        <v>8.779604636254959E-2</v>
      </c>
    </row>
    <row r="53" spans="1:10" x14ac:dyDescent="0.15">
      <c r="A53" s="1" t="s">
        <v>52</v>
      </c>
      <c r="B53" s="14">
        <f>B26/(B49-B44)</f>
        <v>2.4288316419463962</v>
      </c>
      <c r="C53" s="14">
        <f>C26/(C49-C44)</f>
        <v>-2.9573716600217708</v>
      </c>
      <c r="D53" s="14">
        <f>D26/(D49-D44)</f>
        <v>-0.41517138040831614</v>
      </c>
      <c r="E53" s="14">
        <f>E26/(E49-E44)</f>
        <v>-0.29131934463926418</v>
      </c>
    </row>
    <row r="54" spans="1:10" x14ac:dyDescent="0.15">
      <c r="A54" s="1" t="s">
        <v>53</v>
      </c>
      <c r="B54" s="14">
        <f>B26/B48</f>
        <v>0.51316729891692781</v>
      </c>
      <c r="C54" s="14">
        <f>C26/C48</f>
        <v>0.52093152176530277</v>
      </c>
      <c r="D54" s="14">
        <f>D26/D48</f>
        <v>0.50783541055718473</v>
      </c>
      <c r="E54" s="14">
        <f>E26/E48</f>
        <v>0.40745356597250143</v>
      </c>
    </row>
    <row r="56" spans="1:10" x14ac:dyDescent="0.15">
      <c r="A56" s="73" t="s">
        <v>88</v>
      </c>
      <c r="C56" s="14">
        <f t="shared" ref="C56:D58" si="204">C10/B10-1</f>
        <v>0.10214285714285709</v>
      </c>
      <c r="D56" s="14">
        <f t="shared" si="204"/>
        <v>1.8146467919637033E-2</v>
      </c>
      <c r="E56" s="14">
        <f t="shared" ref="E56:J56" si="205">E10/D10-1</f>
        <v>2.5611262964765791E-2</v>
      </c>
      <c r="F56" s="14">
        <f t="shared" si="205"/>
        <v>2.6231243839217155E-2</v>
      </c>
      <c r="G56" s="14">
        <f t="shared" si="205"/>
        <v>2.0000000000000018E-2</v>
      </c>
      <c r="H56" s="14">
        <f t="shared" si="205"/>
        <v>2.0000000000000018E-2</v>
      </c>
      <c r="I56" s="14">
        <f t="shared" si="205"/>
        <v>2.0000000000000018E-2</v>
      </c>
      <c r="J56" s="14">
        <f t="shared" si="205"/>
        <v>2.0000000000000018E-2</v>
      </c>
    </row>
    <row r="57" spans="1:10" x14ac:dyDescent="0.15">
      <c r="A57" s="73" t="s">
        <v>89</v>
      </c>
      <c r="C57" s="14">
        <f t="shared" si="204"/>
        <v>-5.0023375409069648E-2</v>
      </c>
      <c r="D57" s="14">
        <f t="shared" si="204"/>
        <v>-3.953412073490814E-2</v>
      </c>
      <c r="E57" s="14">
        <f t="shared" ref="E57:J57" si="206">E11/D11-1</f>
        <v>-0.12416737830913749</v>
      </c>
      <c r="F57" s="14">
        <f t="shared" si="206"/>
        <v>-2.3303432137285474E-2</v>
      </c>
      <c r="G57" s="14">
        <f t="shared" si="206"/>
        <v>-5.0000000000000044E-2</v>
      </c>
      <c r="H57" s="14">
        <f t="shared" si="206"/>
        <v>-5.0000000000000044E-2</v>
      </c>
      <c r="I57" s="14">
        <f t="shared" si="206"/>
        <v>-5.0000000000000044E-2</v>
      </c>
      <c r="J57" s="14">
        <f t="shared" si="206"/>
        <v>-5.0000000000000044E-2</v>
      </c>
    </row>
    <row r="58" spans="1:10" x14ac:dyDescent="0.15">
      <c r="A58" s="73" t="s">
        <v>60</v>
      </c>
      <c r="B58" s="14"/>
      <c r="C58" s="14">
        <f t="shared" si="204"/>
        <v>-3.8294797687861259E-2</v>
      </c>
      <c r="D58" s="14">
        <f t="shared" si="204"/>
        <v>-7.2376659153518652E-2</v>
      </c>
      <c r="E58" s="14">
        <f t="shared" ref="E58:J58" si="207">E12/D12-1</f>
        <v>-7.0194384449244085E-2</v>
      </c>
      <c r="F58" s="14">
        <f t="shared" si="207"/>
        <v>-3.3652729384436753E-2</v>
      </c>
      <c r="G58" s="14">
        <f t="shared" si="207"/>
        <v>-5.0000000000000044E-2</v>
      </c>
      <c r="H58" s="14">
        <f t="shared" si="207"/>
        <v>-5.0000000000000044E-2</v>
      </c>
      <c r="I58" s="14">
        <f t="shared" si="207"/>
        <v>-5.0000000000000044E-2</v>
      </c>
      <c r="J58" s="14">
        <f t="shared" si="207"/>
        <v>-5.0000000000000044E-2</v>
      </c>
    </row>
    <row r="59" spans="1:10" x14ac:dyDescent="0.15">
      <c r="A59" s="73" t="s">
        <v>90</v>
      </c>
      <c r="B59" s="14"/>
      <c r="C59" s="14"/>
      <c r="D59" s="14">
        <f>D13/C13-1</f>
        <v>-4.5949926362297444E-2</v>
      </c>
      <c r="E59" s="14">
        <f t="shared" ref="E59:J59" si="208">E13/D13-1</f>
        <v>-4.1370793454770016E-2</v>
      </c>
      <c r="F59" s="14">
        <f t="shared" si="208"/>
        <v>-8.737520128824483E-2</v>
      </c>
      <c r="G59" s="14">
        <f t="shared" si="208"/>
        <v>-9.9999999999999978E-2</v>
      </c>
      <c r="H59" s="14">
        <f t="shared" si="208"/>
        <v>-9.9999999999999978E-2</v>
      </c>
      <c r="I59" s="14">
        <f t="shared" si="208"/>
        <v>-9.9999999999999978E-2</v>
      </c>
      <c r="J59" s="14">
        <f t="shared" si="208"/>
        <v>-9.9999999999999978E-2</v>
      </c>
    </row>
  </sheetData>
  <hyperlinks>
    <hyperlink ref="A1" r:id="rId1" xr:uid="{00000000-0004-0000-0000-000005000000}"/>
    <hyperlink ref="A4" r:id="rId2" xr:uid="{77513507-6C55-1448-87DF-485D90E50877}"/>
    <hyperlink ref="A7" r:id="rId3" xr:uid="{E60AFAFE-1041-9646-B883-EC9D2C4B96A5}"/>
    <hyperlink ref="A8" r:id="rId4" xr:uid="{05C01668-AA3F-834F-9348-ECD64E5AB12E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zoomScale="130" zoomScaleNormal="13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V41" sqref="V41"/>
    </sheetView>
  </sheetViews>
  <sheetFormatPr baseColWidth="10" defaultRowHeight="13" x14ac:dyDescent="0.15"/>
  <cols>
    <col min="1" max="1" width="24.5" style="31" customWidth="1"/>
    <col min="2" max="2" width="10.83203125" style="26"/>
    <col min="3" max="5" width="10.83203125" style="25"/>
    <col min="6" max="6" width="10.83203125" style="26"/>
    <col min="7" max="8" width="10.83203125" style="25"/>
    <col min="9" max="9" width="10.83203125" style="33"/>
    <col min="10" max="10" width="10.83203125" style="30"/>
    <col min="11" max="13" width="10.83203125" style="31"/>
    <col min="14" max="14" width="10.83203125" style="30"/>
    <col min="15" max="17" width="10.83203125" style="31"/>
    <col min="18" max="18" width="10.83203125" style="30"/>
    <col min="19" max="16384" width="10.83203125" style="31"/>
  </cols>
  <sheetData>
    <row r="1" spans="1:21" x14ac:dyDescent="0.15">
      <c r="A1" s="82" t="s">
        <v>37</v>
      </c>
      <c r="B1" s="27" t="s">
        <v>0</v>
      </c>
      <c r="C1" s="28" t="s">
        <v>1</v>
      </c>
      <c r="D1" s="28" t="s">
        <v>2</v>
      </c>
      <c r="E1" s="28" t="s">
        <v>3</v>
      </c>
      <c r="F1" s="27" t="s">
        <v>30</v>
      </c>
      <c r="G1" s="28" t="s">
        <v>31</v>
      </c>
      <c r="H1" s="28" t="s">
        <v>32</v>
      </c>
      <c r="I1" s="29" t="s">
        <v>33</v>
      </c>
      <c r="J1" s="27" t="s">
        <v>55</v>
      </c>
      <c r="K1" s="28" t="s">
        <v>56</v>
      </c>
      <c r="L1" s="28" t="s">
        <v>57</v>
      </c>
      <c r="M1" s="29" t="s">
        <v>58</v>
      </c>
      <c r="N1" s="66" t="s">
        <v>71</v>
      </c>
      <c r="O1" s="72" t="s">
        <v>72</v>
      </c>
      <c r="P1" s="72" t="s">
        <v>73</v>
      </c>
      <c r="Q1" s="72" t="s">
        <v>74</v>
      </c>
      <c r="R1" s="66" t="s">
        <v>84</v>
      </c>
      <c r="S1" s="72" t="s">
        <v>85</v>
      </c>
      <c r="T1" s="72" t="s">
        <v>86</v>
      </c>
      <c r="U1" s="72" t="s">
        <v>87</v>
      </c>
    </row>
    <row r="2" spans="1:21" x14ac:dyDescent="0.15">
      <c r="A2" s="32"/>
      <c r="B2" s="85">
        <v>42613</v>
      </c>
      <c r="C2" s="84">
        <v>42704</v>
      </c>
      <c r="D2" s="84">
        <v>42794</v>
      </c>
      <c r="E2" s="84">
        <v>42886</v>
      </c>
      <c r="F2" s="85">
        <v>42978</v>
      </c>
      <c r="G2" s="84">
        <v>43069</v>
      </c>
      <c r="H2" s="84">
        <v>43159</v>
      </c>
      <c r="I2" s="83">
        <v>43251</v>
      </c>
      <c r="J2" s="85">
        <v>43343</v>
      </c>
      <c r="K2" s="84">
        <v>43434</v>
      </c>
      <c r="L2" s="84">
        <v>43524</v>
      </c>
      <c r="M2" s="83">
        <v>43616</v>
      </c>
      <c r="N2" s="67">
        <v>43708</v>
      </c>
      <c r="O2" s="77">
        <v>43799</v>
      </c>
      <c r="P2" s="77">
        <v>43890</v>
      </c>
      <c r="Q2" s="77">
        <v>43982</v>
      </c>
      <c r="R2" s="67">
        <v>44074</v>
      </c>
      <c r="S2" s="77">
        <v>44165</v>
      </c>
    </row>
    <row r="3" spans="1:21" s="34" customFormat="1" x14ac:dyDescent="0.15">
      <c r="A3" s="73" t="s">
        <v>81</v>
      </c>
      <c r="B3" s="27">
        <f>969+4792</f>
        <v>5761</v>
      </c>
      <c r="C3" s="35">
        <f>1053+4777</f>
        <v>5830</v>
      </c>
      <c r="D3" s="35">
        <f>1189+4762</f>
        <v>5951</v>
      </c>
      <c r="E3" s="35">
        <v>6258</v>
      </c>
      <c r="F3" s="27">
        <v>6407</v>
      </c>
      <c r="G3" s="35">
        <v>6461</v>
      </c>
      <c r="H3" s="35">
        <f>1566+5027</f>
        <v>6593</v>
      </c>
      <c r="I3" s="36">
        <v>6770</v>
      </c>
      <c r="J3" s="27">
        <v>6609</v>
      </c>
      <c r="K3" s="35">
        <v>6637</v>
      </c>
      <c r="L3" s="35">
        <v>6662</v>
      </c>
      <c r="M3" s="35">
        <v>6799</v>
      </c>
      <c r="N3" s="68">
        <v>6805</v>
      </c>
      <c r="O3" s="34">
        <v>6811</v>
      </c>
      <c r="P3" s="34">
        <v>6930</v>
      </c>
      <c r="Q3" s="34">
        <v>6845</v>
      </c>
      <c r="R3" s="68">
        <v>6947</v>
      </c>
      <c r="S3" s="34">
        <v>7112</v>
      </c>
      <c r="T3" s="34">
        <f>P3*1.02</f>
        <v>7068.6</v>
      </c>
      <c r="U3" s="34">
        <f t="shared" ref="U3" si="0">Q3*1.02</f>
        <v>6981.9000000000005</v>
      </c>
    </row>
    <row r="4" spans="1:21" s="34" customFormat="1" x14ac:dyDescent="0.15">
      <c r="A4" s="73" t="s">
        <v>82</v>
      </c>
      <c r="B4" s="27">
        <v>1030</v>
      </c>
      <c r="C4" s="35">
        <v>1347</v>
      </c>
      <c r="D4" s="35">
        <v>1414</v>
      </c>
      <c r="E4" s="35">
        <v>2626</v>
      </c>
      <c r="F4" s="27">
        <v>894</v>
      </c>
      <c r="G4" s="35">
        <v>1331</v>
      </c>
      <c r="H4" s="35">
        <v>1388</v>
      </c>
      <c r="I4" s="36">
        <v>2483</v>
      </c>
      <c r="J4" s="27">
        <v>867</v>
      </c>
      <c r="K4" s="35">
        <v>1217</v>
      </c>
      <c r="L4" s="35">
        <v>1251</v>
      </c>
      <c r="M4" s="35">
        <v>2520</v>
      </c>
      <c r="N4" s="68">
        <v>812</v>
      </c>
      <c r="O4" s="34">
        <v>1126</v>
      </c>
      <c r="P4" s="34">
        <v>1231</v>
      </c>
      <c r="Q4" s="34">
        <v>1959</v>
      </c>
      <c r="R4" s="68">
        <v>886</v>
      </c>
      <c r="S4" s="34">
        <v>1092</v>
      </c>
      <c r="T4" s="34">
        <f>P4*0.95</f>
        <v>1169.45</v>
      </c>
      <c r="U4" s="34">
        <f t="shared" ref="U4:U5" si="1">Q4*0.95</f>
        <v>1861.05</v>
      </c>
    </row>
    <row r="5" spans="1:21" s="34" customFormat="1" x14ac:dyDescent="0.15">
      <c r="A5" s="73" t="s">
        <v>59</v>
      </c>
      <c r="B5" s="27">
        <v>996</v>
      </c>
      <c r="C5" s="35">
        <v>1014</v>
      </c>
      <c r="D5" s="35">
        <v>1028</v>
      </c>
      <c r="E5" s="35">
        <v>1114</v>
      </c>
      <c r="F5" s="27">
        <v>943</v>
      </c>
      <c r="G5" s="35">
        <v>941</v>
      </c>
      <c r="H5" s="35">
        <v>994</v>
      </c>
      <c r="I5" s="36">
        <v>1115</v>
      </c>
      <c r="J5" s="27">
        <v>904</v>
      </c>
      <c r="K5" s="35">
        <v>891</v>
      </c>
      <c r="L5" s="35">
        <v>915</v>
      </c>
      <c r="M5" s="35">
        <v>994</v>
      </c>
      <c r="N5" s="68">
        <v>815</v>
      </c>
      <c r="O5" s="34">
        <v>871</v>
      </c>
      <c r="P5" s="34">
        <v>857</v>
      </c>
      <c r="Q5" s="34">
        <v>901</v>
      </c>
      <c r="R5" s="68">
        <v>814</v>
      </c>
      <c r="S5" s="34">
        <v>844</v>
      </c>
      <c r="T5" s="34">
        <f>P5*0.95</f>
        <v>814.15</v>
      </c>
      <c r="U5" s="34">
        <f t="shared" si="1"/>
        <v>855.94999999999993</v>
      </c>
    </row>
    <row r="6" spans="1:21" s="34" customFormat="1" x14ac:dyDescent="0.15">
      <c r="A6" s="73" t="s">
        <v>83</v>
      </c>
      <c r="B6" s="27">
        <v>808</v>
      </c>
      <c r="C6" s="35">
        <v>844</v>
      </c>
      <c r="D6" s="35">
        <v>812</v>
      </c>
      <c r="E6" s="35">
        <v>894</v>
      </c>
      <c r="F6" s="27">
        <v>860</v>
      </c>
      <c r="G6" s="35">
        <v>856</v>
      </c>
      <c r="H6" s="35">
        <v>796</v>
      </c>
      <c r="I6" s="36">
        <v>883</v>
      </c>
      <c r="J6" s="27">
        <v>813</v>
      </c>
      <c r="K6" s="35">
        <v>817</v>
      </c>
      <c r="L6" s="35">
        <v>786</v>
      </c>
      <c r="M6" s="35">
        <v>823</v>
      </c>
      <c r="N6" s="68">
        <v>786</v>
      </c>
      <c r="O6" s="34">
        <v>806</v>
      </c>
      <c r="P6" s="34">
        <v>778</v>
      </c>
      <c r="Q6" s="34">
        <v>735</v>
      </c>
      <c r="R6" s="68">
        <v>720</v>
      </c>
      <c r="S6" s="34">
        <v>752</v>
      </c>
      <c r="T6" s="34">
        <f>P6*0.9</f>
        <v>700.2</v>
      </c>
      <c r="U6" s="34">
        <f t="shared" ref="U6" si="2">Q6*0.9</f>
        <v>661.5</v>
      </c>
    </row>
    <row r="7" spans="1:21" s="73" customFormat="1" x14ac:dyDescent="0.15">
      <c r="B7" s="74"/>
      <c r="C7" s="75"/>
      <c r="D7" s="75"/>
      <c r="E7" s="75"/>
      <c r="F7" s="74"/>
      <c r="G7" s="75"/>
      <c r="H7" s="75"/>
      <c r="I7" s="72"/>
      <c r="J7" s="74"/>
      <c r="K7" s="75"/>
      <c r="L7" s="75"/>
      <c r="M7" s="75"/>
      <c r="N7" s="76"/>
      <c r="R7" s="76"/>
    </row>
    <row r="8" spans="1:21" s="79" customFormat="1" x14ac:dyDescent="0.15">
      <c r="A8" s="79" t="s">
        <v>4</v>
      </c>
      <c r="B8" s="80">
        <f t="shared" ref="B8:P8" si="3">SUM(B3:B6)</f>
        <v>8595</v>
      </c>
      <c r="C8" s="81">
        <f t="shared" si="3"/>
        <v>9035</v>
      </c>
      <c r="D8" s="81">
        <f t="shared" si="3"/>
        <v>9205</v>
      </c>
      <c r="E8" s="81">
        <f t="shared" si="3"/>
        <v>10892</v>
      </c>
      <c r="F8" s="80">
        <f t="shared" si="3"/>
        <v>9104</v>
      </c>
      <c r="G8" s="81">
        <f t="shared" si="3"/>
        <v>9589</v>
      </c>
      <c r="H8" s="81">
        <f t="shared" si="3"/>
        <v>9771</v>
      </c>
      <c r="I8" s="81">
        <f t="shared" si="3"/>
        <v>11251</v>
      </c>
      <c r="J8" s="80">
        <f t="shared" si="3"/>
        <v>9193</v>
      </c>
      <c r="K8" s="81">
        <f t="shared" si="3"/>
        <v>9562</v>
      </c>
      <c r="L8" s="81">
        <f t="shared" si="3"/>
        <v>9614</v>
      </c>
      <c r="M8" s="81">
        <f t="shared" si="3"/>
        <v>11136</v>
      </c>
      <c r="N8" s="80">
        <f t="shared" si="3"/>
        <v>9218</v>
      </c>
      <c r="O8" s="81">
        <f>SUM(O3:O6)</f>
        <v>9614</v>
      </c>
      <c r="P8" s="81">
        <f t="shared" si="3"/>
        <v>9796</v>
      </c>
      <c r="Q8" s="81">
        <f>SUM(Q3:Q6)</f>
        <v>10440</v>
      </c>
      <c r="R8" s="80">
        <f>SUM(R3:R6)</f>
        <v>9367</v>
      </c>
      <c r="S8" s="81">
        <f>SUM(S3:S6)</f>
        <v>9800</v>
      </c>
      <c r="T8" s="81">
        <f>SUM(T3:T6)</f>
        <v>9752.4000000000015</v>
      </c>
      <c r="U8" s="81">
        <f>SUM(U3:U6)</f>
        <v>10360.400000000001</v>
      </c>
    </row>
    <row r="9" spans="1:21" s="34" customFormat="1" x14ac:dyDescent="0.15">
      <c r="A9" s="34" t="s">
        <v>5</v>
      </c>
      <c r="B9" s="27">
        <f>283+132+275+391+695</f>
        <v>1776</v>
      </c>
      <c r="C9" s="35">
        <f>316+156+242+386+697</f>
        <v>1797</v>
      </c>
      <c r="D9" s="35">
        <f>330+175+270+437+680</f>
        <v>1892</v>
      </c>
      <c r="E9" s="35">
        <f>835+440+728</f>
        <v>2003</v>
      </c>
      <c r="F9" s="27">
        <f>857+372+699</f>
        <v>1928</v>
      </c>
      <c r="G9" s="35">
        <f>893+350+717</f>
        <v>1960</v>
      </c>
      <c r="H9" s="35">
        <f>398+275+223+394+712</f>
        <v>2002</v>
      </c>
      <c r="I9" s="36">
        <f>962+462+755</f>
        <v>2179</v>
      </c>
      <c r="J9" s="27">
        <f>913+326+714</f>
        <v>1953</v>
      </c>
      <c r="K9" s="35">
        <f>956+332+713</f>
        <v>2001</v>
      </c>
      <c r="L9" s="35">
        <f>937+339+700</f>
        <v>1976</v>
      </c>
      <c r="M9" s="35">
        <f>975+362+726</f>
        <v>2063</v>
      </c>
      <c r="N9" s="68">
        <f>982+272+703</f>
        <v>1957</v>
      </c>
      <c r="O9" s="34">
        <f>1022+285+741</f>
        <v>2048</v>
      </c>
      <c r="P9" s="34">
        <f>991+271+702</f>
        <v>1964</v>
      </c>
      <c r="Q9" s="73">
        <f>1012+288+669</f>
        <v>1969</v>
      </c>
      <c r="R9" s="68">
        <f>1011+246+623</f>
        <v>1880</v>
      </c>
      <c r="S9" s="34">
        <f>1064+244+631</f>
        <v>1939</v>
      </c>
      <c r="T9" s="34">
        <f>T8-T10</f>
        <v>1955.2586361780322</v>
      </c>
      <c r="U9" s="34">
        <f>U8-U10</f>
        <v>1953.9873180076629</v>
      </c>
    </row>
    <row r="10" spans="1:21" s="34" customFormat="1" x14ac:dyDescent="0.15">
      <c r="A10" s="34" t="s">
        <v>6</v>
      </c>
      <c r="B10" s="41">
        <f t="shared" ref="B10:D10" si="4">B8-B9</f>
        <v>6819</v>
      </c>
      <c r="C10" s="40">
        <f t="shared" si="4"/>
        <v>7238</v>
      </c>
      <c r="D10" s="40">
        <f t="shared" si="4"/>
        <v>7313</v>
      </c>
      <c r="E10" s="40">
        <f t="shared" ref="E10:G10" si="5">E8-E9</f>
        <v>8889</v>
      </c>
      <c r="F10" s="41">
        <f t="shared" ref="F10" si="6">F8-F9</f>
        <v>7176</v>
      </c>
      <c r="G10" s="40">
        <f t="shared" si="5"/>
        <v>7629</v>
      </c>
      <c r="H10" s="40">
        <f t="shared" ref="H10:P10" si="7">H8-H9</f>
        <v>7769</v>
      </c>
      <c r="I10" s="40">
        <f t="shared" si="7"/>
        <v>9072</v>
      </c>
      <c r="J10" s="41">
        <f t="shared" si="7"/>
        <v>7240</v>
      </c>
      <c r="K10" s="40">
        <f t="shared" si="7"/>
        <v>7561</v>
      </c>
      <c r="L10" s="40">
        <f t="shared" si="7"/>
        <v>7638</v>
      </c>
      <c r="M10" s="40">
        <f t="shared" si="7"/>
        <v>9073</v>
      </c>
      <c r="N10" s="41">
        <f t="shared" si="7"/>
        <v>7261</v>
      </c>
      <c r="O10" s="40">
        <f t="shared" si="7"/>
        <v>7566</v>
      </c>
      <c r="P10" s="40">
        <f t="shared" si="7"/>
        <v>7832</v>
      </c>
      <c r="Q10" s="40">
        <f t="shared" ref="Q10:S10" si="8">Q8-Q9</f>
        <v>8471</v>
      </c>
      <c r="R10" s="41">
        <f t="shared" si="8"/>
        <v>7487</v>
      </c>
      <c r="S10" s="40">
        <f t="shared" si="8"/>
        <v>7861</v>
      </c>
      <c r="T10" s="34">
        <f>T8*P24</f>
        <v>7797.1413638219692</v>
      </c>
      <c r="U10" s="34">
        <f>U8*Q24</f>
        <v>8406.4126819923385</v>
      </c>
    </row>
    <row r="11" spans="1:21" s="34" customFormat="1" x14ac:dyDescent="0.15">
      <c r="A11" s="34" t="s">
        <v>7</v>
      </c>
      <c r="B11" s="27">
        <v>1520</v>
      </c>
      <c r="C11" s="35">
        <v>1510</v>
      </c>
      <c r="D11" s="35">
        <v>1521</v>
      </c>
      <c r="E11" s="35">
        <v>1609</v>
      </c>
      <c r="F11" s="27">
        <v>1572</v>
      </c>
      <c r="G11" s="35">
        <v>1473</v>
      </c>
      <c r="H11" s="35">
        <v>1498</v>
      </c>
      <c r="I11" s="36">
        <v>1544</v>
      </c>
      <c r="J11" s="27">
        <v>1564</v>
      </c>
      <c r="K11" s="35">
        <v>1475</v>
      </c>
      <c r="L11" s="35">
        <v>1426</v>
      </c>
      <c r="M11" s="35">
        <v>1562</v>
      </c>
      <c r="N11" s="68">
        <v>1557</v>
      </c>
      <c r="O11" s="34">
        <v>1531</v>
      </c>
      <c r="P11" s="34">
        <v>1500</v>
      </c>
      <c r="Q11" s="73">
        <v>1479</v>
      </c>
      <c r="R11" s="68">
        <v>1589</v>
      </c>
      <c r="S11" s="34">
        <v>1601</v>
      </c>
      <c r="T11" s="34">
        <f>P11*1.05</f>
        <v>1575</v>
      </c>
      <c r="U11" s="34">
        <f t="shared" ref="U11" si="9">Q11*1.05</f>
        <v>1552.95</v>
      </c>
    </row>
    <row r="12" spans="1:21" s="34" customFormat="1" x14ac:dyDescent="0.15">
      <c r="A12" s="34" t="s">
        <v>8</v>
      </c>
      <c r="B12" s="27">
        <v>1919</v>
      </c>
      <c r="C12" s="35">
        <v>1960</v>
      </c>
      <c r="D12" s="35">
        <v>2004</v>
      </c>
      <c r="E12" s="35">
        <v>2313</v>
      </c>
      <c r="F12" s="27">
        <v>1989</v>
      </c>
      <c r="G12" s="35">
        <v>2088</v>
      </c>
      <c r="H12" s="35">
        <v>2033</v>
      </c>
      <c r="I12" s="36">
        <v>2324</v>
      </c>
      <c r="J12" s="27">
        <v>2039</v>
      </c>
      <c r="K12" s="35">
        <v>2101</v>
      </c>
      <c r="L12" s="35">
        <v>2051</v>
      </c>
      <c r="M12" s="35">
        <v>2318</v>
      </c>
      <c r="N12" s="68">
        <v>2018</v>
      </c>
      <c r="O12" s="34">
        <v>2068</v>
      </c>
      <c r="P12" s="34">
        <v>2049</v>
      </c>
      <c r="Q12" s="73">
        <v>1959</v>
      </c>
      <c r="R12" s="68">
        <v>1854</v>
      </c>
      <c r="S12" s="34">
        <v>1836</v>
      </c>
      <c r="T12" s="34">
        <f>P12*0.9</f>
        <v>1844.1000000000001</v>
      </c>
      <c r="U12" s="34">
        <f>Q12*0.9</f>
        <v>1763.1000000000001</v>
      </c>
    </row>
    <row r="13" spans="1:21" s="34" customFormat="1" x14ac:dyDescent="0.15">
      <c r="A13" s="34" t="s">
        <v>9</v>
      </c>
      <c r="B13" s="27">
        <f>315+311+14+99</f>
        <v>739</v>
      </c>
      <c r="C13" s="35">
        <f>303+302+40+86</f>
        <v>731</v>
      </c>
      <c r="D13" s="35">
        <f>241+397+30+161</f>
        <v>829</v>
      </c>
      <c r="E13" s="35">
        <f>317+441+18+118</f>
        <v>894</v>
      </c>
      <c r="F13" s="27">
        <f>319+411+12+124</f>
        <v>866</v>
      </c>
      <c r="G13" s="35">
        <f>320+400+17+292</f>
        <v>1029</v>
      </c>
      <c r="H13" s="35">
        <f>340+394+3+91</f>
        <v>828</v>
      </c>
      <c r="I13" s="36">
        <f>308+415+20+81</f>
        <v>824</v>
      </c>
      <c r="J13" s="27">
        <f>321+434+14+90</f>
        <v>859</v>
      </c>
      <c r="K13" s="35">
        <f>299+424+18+143</f>
        <v>884</v>
      </c>
      <c r="L13" s="35">
        <f>316+407-4+43</f>
        <v>762</v>
      </c>
      <c r="M13" s="35">
        <f>329+424+15+168</f>
        <v>936</v>
      </c>
      <c r="N13" s="68">
        <f>292+414+25+78</f>
        <v>809</v>
      </c>
      <c r="O13" s="34">
        <f>323+407+12+42</f>
        <v>784</v>
      </c>
      <c r="P13" s="34">
        <f>288+400+7+60</f>
        <v>755</v>
      </c>
      <c r="Q13" s="73">
        <f>278+366+11+69</f>
        <v>724</v>
      </c>
      <c r="R13" s="68">
        <f>295+345+19+174</f>
        <v>833</v>
      </c>
      <c r="S13" s="34">
        <f>324+345+76+96</f>
        <v>841</v>
      </c>
      <c r="T13" s="34">
        <f>P13*0.95</f>
        <v>717.25</v>
      </c>
      <c r="U13" s="34">
        <f t="shared" ref="U13" si="10">Q13*0.95</f>
        <v>687.8</v>
      </c>
    </row>
    <row r="14" spans="1:21" s="34" customFormat="1" x14ac:dyDescent="0.15">
      <c r="A14" s="34" t="s">
        <v>10</v>
      </c>
      <c r="B14" s="41">
        <f t="shared" ref="B14:D14" si="11">SUM(B11:B13)</f>
        <v>4178</v>
      </c>
      <c r="C14" s="40">
        <f t="shared" si="11"/>
        <v>4201</v>
      </c>
      <c r="D14" s="40">
        <f t="shared" si="11"/>
        <v>4354</v>
      </c>
      <c r="E14" s="40">
        <f t="shared" ref="E14:G14" si="12">SUM(E11:E13)</f>
        <v>4816</v>
      </c>
      <c r="F14" s="41">
        <f t="shared" ref="F14" si="13">SUM(F11:F13)</f>
        <v>4427</v>
      </c>
      <c r="G14" s="40">
        <f t="shared" si="12"/>
        <v>4590</v>
      </c>
      <c r="H14" s="40">
        <f t="shared" ref="H14:L14" si="14">SUM(H11:H13)</f>
        <v>4359</v>
      </c>
      <c r="I14" s="40">
        <f t="shared" si="14"/>
        <v>4692</v>
      </c>
      <c r="J14" s="41">
        <f t="shared" si="14"/>
        <v>4462</v>
      </c>
      <c r="K14" s="40">
        <f t="shared" si="14"/>
        <v>4460</v>
      </c>
      <c r="L14" s="40">
        <f t="shared" si="14"/>
        <v>4239</v>
      </c>
      <c r="M14" s="40">
        <f t="shared" ref="M14:N14" si="15">SUM(M11:M13)</f>
        <v>4816</v>
      </c>
      <c r="N14" s="41">
        <f t="shared" si="15"/>
        <v>4384</v>
      </c>
      <c r="O14" s="40">
        <f t="shared" ref="O14:R14" si="16">SUM(O11:O13)</f>
        <v>4383</v>
      </c>
      <c r="P14" s="40">
        <f t="shared" si="16"/>
        <v>4304</v>
      </c>
      <c r="Q14" s="40">
        <f t="shared" si="16"/>
        <v>4162</v>
      </c>
      <c r="R14" s="41">
        <f t="shared" ref="R14:S14" si="17">SUM(R11:R13)</f>
        <v>4276</v>
      </c>
      <c r="S14" s="40">
        <f t="shared" si="17"/>
        <v>4278</v>
      </c>
      <c r="T14" s="40">
        <f t="shared" ref="T14:U14" si="18">SUM(T11:T13)</f>
        <v>4136.3500000000004</v>
      </c>
      <c r="U14" s="40">
        <f t="shared" si="18"/>
        <v>4003.8500000000004</v>
      </c>
    </row>
    <row r="15" spans="1:21" s="34" customFormat="1" x14ac:dyDescent="0.15">
      <c r="A15" s="34" t="s">
        <v>11</v>
      </c>
      <c r="B15" s="41">
        <f t="shared" ref="B15:H15" si="19">B10-B14</f>
        <v>2641</v>
      </c>
      <c r="C15" s="40">
        <f t="shared" si="19"/>
        <v>3037</v>
      </c>
      <c r="D15" s="40">
        <f t="shared" si="19"/>
        <v>2959</v>
      </c>
      <c r="E15" s="40">
        <f t="shared" ref="E15" si="20">E10-E14</f>
        <v>4073</v>
      </c>
      <c r="F15" s="41">
        <f t="shared" si="19"/>
        <v>2749</v>
      </c>
      <c r="G15" s="40">
        <f t="shared" si="19"/>
        <v>3039</v>
      </c>
      <c r="H15" s="40">
        <f t="shared" si="19"/>
        <v>3410</v>
      </c>
      <c r="I15" s="40">
        <f>I10-I14</f>
        <v>4380</v>
      </c>
      <c r="J15" s="41">
        <f t="shared" ref="J15" si="21">J10-J14</f>
        <v>2778</v>
      </c>
      <c r="K15" s="40">
        <f t="shared" ref="K15:L15" si="22">K10-K14</f>
        <v>3101</v>
      </c>
      <c r="L15" s="40">
        <f t="shared" si="22"/>
        <v>3399</v>
      </c>
      <c r="M15" s="40">
        <f t="shared" ref="M15:N15" si="23">M10-M14</f>
        <v>4257</v>
      </c>
      <c r="N15" s="41">
        <f t="shared" si="23"/>
        <v>2877</v>
      </c>
      <c r="O15" s="40">
        <f t="shared" ref="O15:Q15" si="24">O10-O14</f>
        <v>3183</v>
      </c>
      <c r="P15" s="40">
        <f t="shared" si="24"/>
        <v>3528</v>
      </c>
      <c r="Q15" s="40">
        <f t="shared" si="24"/>
        <v>4309</v>
      </c>
      <c r="R15" s="41">
        <f t="shared" ref="R15:S15" si="25">R10-R14</f>
        <v>3211</v>
      </c>
      <c r="S15" s="40">
        <f t="shared" si="25"/>
        <v>3583</v>
      </c>
      <c r="T15" s="40">
        <f t="shared" ref="T15:U15" si="26">T10-T14</f>
        <v>3660.7913638219688</v>
      </c>
      <c r="U15" s="40">
        <f t="shared" si="26"/>
        <v>4402.5626819923382</v>
      </c>
    </row>
    <row r="16" spans="1:21" s="34" customFormat="1" x14ac:dyDescent="0.15">
      <c r="A16" s="34" t="s">
        <v>12</v>
      </c>
      <c r="B16" s="27">
        <f>-416+148</f>
        <v>-268</v>
      </c>
      <c r="C16" s="35">
        <f>-451+99</f>
        <v>-352</v>
      </c>
      <c r="D16" s="35">
        <f>-450+189</f>
        <v>-261</v>
      </c>
      <c r="E16" s="35">
        <f>-481+168</f>
        <v>-313</v>
      </c>
      <c r="F16" s="27">
        <f>-469+220</f>
        <v>-249</v>
      </c>
      <c r="G16" s="35">
        <f>-475+262</f>
        <v>-213</v>
      </c>
      <c r="H16" s="35">
        <f>-533+423</f>
        <v>-110</v>
      </c>
      <c r="I16" s="36">
        <f>-547+308</f>
        <v>-239</v>
      </c>
      <c r="J16" s="27">
        <f>-529+291</f>
        <v>-238</v>
      </c>
      <c r="K16" s="35">
        <f>-519+192</f>
        <v>-327</v>
      </c>
      <c r="L16" s="35">
        <f>-509+198</f>
        <v>-311</v>
      </c>
      <c r="M16" s="35">
        <f>-525+134</f>
        <v>-391</v>
      </c>
      <c r="N16" s="68">
        <f>-494+99</f>
        <v>-395</v>
      </c>
      <c r="O16" s="34">
        <f>-465+92</f>
        <v>-373</v>
      </c>
      <c r="P16" s="34">
        <f>-456+4</f>
        <v>-452</v>
      </c>
      <c r="Q16" s="73">
        <f>-580-33</f>
        <v>-613</v>
      </c>
      <c r="R16" s="68">
        <f>-614-2</f>
        <v>-616</v>
      </c>
      <c r="S16" s="34">
        <f>-600-11</f>
        <v>-611</v>
      </c>
      <c r="T16" s="34">
        <f>S16</f>
        <v>-611</v>
      </c>
      <c r="U16" s="34">
        <f>T16</f>
        <v>-611</v>
      </c>
    </row>
    <row r="17" spans="1:21" s="34" customFormat="1" x14ac:dyDescent="0.15">
      <c r="A17" s="34" t="s">
        <v>13</v>
      </c>
      <c r="B17" s="41">
        <f>B15+B16</f>
        <v>2373</v>
      </c>
      <c r="C17" s="40">
        <f t="shared" ref="C17" si="27">C15+C16</f>
        <v>2685</v>
      </c>
      <c r="D17" s="40">
        <f t="shared" ref="D17:E17" si="28">D15+D16</f>
        <v>2698</v>
      </c>
      <c r="E17" s="40">
        <f t="shared" si="28"/>
        <v>3760</v>
      </c>
      <c r="F17" s="41">
        <f t="shared" ref="F17" si="29">F15+F16</f>
        <v>2500</v>
      </c>
      <c r="G17" s="40">
        <f t="shared" ref="G17:H17" si="30">G15+G16</f>
        <v>2826</v>
      </c>
      <c r="H17" s="40">
        <f t="shared" si="30"/>
        <v>3300</v>
      </c>
      <c r="I17" s="40">
        <f>I15+I16</f>
        <v>4141</v>
      </c>
      <c r="J17" s="41">
        <f t="shared" ref="J17" si="31">J15+J16</f>
        <v>2540</v>
      </c>
      <c r="K17" s="40">
        <f t="shared" ref="K17:P17" si="32">K15+K16</f>
        <v>2774</v>
      </c>
      <c r="L17" s="40">
        <f t="shared" si="32"/>
        <v>3088</v>
      </c>
      <c r="M17" s="40">
        <f t="shared" si="32"/>
        <v>3866</v>
      </c>
      <c r="N17" s="41">
        <f t="shared" si="32"/>
        <v>2482</v>
      </c>
      <c r="O17" s="40">
        <f t="shared" si="32"/>
        <v>2810</v>
      </c>
      <c r="P17" s="40">
        <f t="shared" si="32"/>
        <v>3076</v>
      </c>
      <c r="Q17" s="40">
        <f t="shared" ref="Q17:U17" si="33">Q15+Q16</f>
        <v>3696</v>
      </c>
      <c r="R17" s="41">
        <f t="shared" si="33"/>
        <v>2595</v>
      </c>
      <c r="S17" s="40">
        <f t="shared" si="33"/>
        <v>2972</v>
      </c>
      <c r="T17" s="40">
        <f t="shared" si="33"/>
        <v>3049.7913638219688</v>
      </c>
      <c r="U17" s="40">
        <f t="shared" si="33"/>
        <v>3791.5626819923382</v>
      </c>
    </row>
    <row r="18" spans="1:21" s="34" customFormat="1" x14ac:dyDescent="0.15">
      <c r="A18" s="34" t="s">
        <v>14</v>
      </c>
      <c r="B18" s="27">
        <v>541</v>
      </c>
      <c r="C18" s="35">
        <v>653</v>
      </c>
      <c r="D18" s="35">
        <v>459</v>
      </c>
      <c r="E18" s="35">
        <v>529</v>
      </c>
      <c r="F18" s="27">
        <v>356</v>
      </c>
      <c r="G18" s="35">
        <v>612</v>
      </c>
      <c r="H18" s="35">
        <f>H17*D26</f>
        <v>561.41586360266865</v>
      </c>
      <c r="I18" s="36">
        <v>733</v>
      </c>
      <c r="J18" s="27">
        <v>275</v>
      </c>
      <c r="K18" s="35">
        <v>441</v>
      </c>
      <c r="L18" s="35">
        <v>343</v>
      </c>
      <c r="M18" s="35">
        <v>126</v>
      </c>
      <c r="N18" s="68">
        <v>345</v>
      </c>
      <c r="O18" s="34">
        <v>499</v>
      </c>
      <c r="P18" s="34">
        <v>505</v>
      </c>
      <c r="Q18" s="73">
        <v>580</v>
      </c>
      <c r="R18" s="68">
        <v>344</v>
      </c>
      <c r="S18" s="34">
        <v>530</v>
      </c>
      <c r="T18" s="34">
        <f>T17*S26</f>
        <v>543.87261871656915</v>
      </c>
      <c r="U18" s="34">
        <f>U17*T26</f>
        <v>676.15350654641293</v>
      </c>
    </row>
    <row r="19" spans="1:21" s="86" customFormat="1" x14ac:dyDescent="0.15">
      <c r="A19" s="86" t="s">
        <v>91</v>
      </c>
      <c r="B19" s="87"/>
      <c r="C19" s="88"/>
      <c r="D19" s="88"/>
      <c r="E19" s="88"/>
      <c r="F19" s="87"/>
      <c r="G19" s="88"/>
      <c r="H19" s="88">
        <f>7324-H18</f>
        <v>6762.5841363973313</v>
      </c>
      <c r="I19" s="89"/>
      <c r="J19" s="87"/>
      <c r="K19" s="88"/>
      <c r="L19" s="88"/>
      <c r="M19" s="88"/>
      <c r="N19" s="90"/>
      <c r="R19" s="90"/>
    </row>
    <row r="20" spans="1:21" s="37" customFormat="1" x14ac:dyDescent="0.15">
      <c r="A20" s="37" t="s">
        <v>15</v>
      </c>
      <c r="B20" s="39">
        <f t="shared" ref="B20:F20" si="34">B17-B18</f>
        <v>1832</v>
      </c>
      <c r="C20" s="38">
        <f t="shared" si="34"/>
        <v>2032</v>
      </c>
      <c r="D20" s="38">
        <f t="shared" si="34"/>
        <v>2239</v>
      </c>
      <c r="E20" s="38">
        <f t="shared" si="34"/>
        <v>3231</v>
      </c>
      <c r="F20" s="39">
        <f t="shared" si="34"/>
        <v>2144</v>
      </c>
      <c r="G20" s="38">
        <f t="shared" ref="G20:H20" si="35">G17-G18</f>
        <v>2214</v>
      </c>
      <c r="H20" s="38">
        <f t="shared" si="35"/>
        <v>2738.5841363973313</v>
      </c>
      <c r="I20" s="38">
        <f t="shared" ref="I20:J20" si="36">I17-I18</f>
        <v>3408</v>
      </c>
      <c r="J20" s="39">
        <f t="shared" si="36"/>
        <v>2265</v>
      </c>
      <c r="K20" s="38">
        <f t="shared" ref="K20:L20" si="37">K17-K18</f>
        <v>2333</v>
      </c>
      <c r="L20" s="38">
        <f t="shared" si="37"/>
        <v>2745</v>
      </c>
      <c r="M20" s="38">
        <f t="shared" ref="M20:N20" si="38">M17-M18</f>
        <v>3740</v>
      </c>
      <c r="N20" s="39">
        <f t="shared" si="38"/>
        <v>2137</v>
      </c>
      <c r="O20" s="38">
        <f t="shared" ref="O20:Q20" si="39">O17-O18</f>
        <v>2311</v>
      </c>
      <c r="P20" s="38">
        <f t="shared" si="39"/>
        <v>2571</v>
      </c>
      <c r="Q20" s="38">
        <f t="shared" si="39"/>
        <v>3116</v>
      </c>
      <c r="R20" s="39">
        <f t="shared" ref="R20:S20" si="40">R17-R18</f>
        <v>2251</v>
      </c>
      <c r="S20" s="38">
        <f t="shared" si="40"/>
        <v>2442</v>
      </c>
      <c r="T20" s="38">
        <f t="shared" ref="T20:U20" si="41">T17-T18</f>
        <v>2505.9187451053995</v>
      </c>
      <c r="U20" s="38">
        <f t="shared" si="41"/>
        <v>3115.409175445925</v>
      </c>
    </row>
    <row r="21" spans="1:21" x14ac:dyDescent="0.15">
      <c r="A21" s="31" t="s">
        <v>16</v>
      </c>
      <c r="B21" s="43">
        <f t="shared" ref="B21:C21" si="42">IFERROR(B20/B22,0)</f>
        <v>0.4340203743188818</v>
      </c>
      <c r="C21" s="42">
        <f t="shared" si="42"/>
        <v>0.48438617401668654</v>
      </c>
      <c r="D21" s="42">
        <f t="shared" ref="D21:E21" si="43">IFERROR(D20/D22,0)</f>
        <v>0.5325880114176974</v>
      </c>
      <c r="E21" s="42">
        <f t="shared" si="43"/>
        <v>0.76059322033898302</v>
      </c>
      <c r="F21" s="43">
        <f t="shared" ref="F21" si="44">IFERROR(F20/F22,0)</f>
        <v>0.50046685340802988</v>
      </c>
      <c r="G21" s="42">
        <f t="shared" ref="G21:H21" si="45">IFERROR(G20/G22,0)</f>
        <v>0.51692738734531873</v>
      </c>
      <c r="H21" s="42">
        <f t="shared" si="45"/>
        <v>0.66438237176063353</v>
      </c>
      <c r="I21" s="42">
        <f t="shared" ref="I21:J21" si="46">IFERROR(I20/I22,0)</f>
        <v>0.82140274765003618</v>
      </c>
      <c r="J21" s="43">
        <f t="shared" si="46"/>
        <v>0.56639159789947491</v>
      </c>
      <c r="K21" s="42">
        <f t="shared" ref="K21:L21" si="47">IFERROR(K20/K22,0)</f>
        <v>0.61121299449829714</v>
      </c>
      <c r="L21" s="42">
        <f t="shared" si="47"/>
        <v>0.75891622891899368</v>
      </c>
      <c r="M21" s="42">
        <f t="shared" ref="M21:N21" si="48">IFERROR(M20/M22,0)</f>
        <v>1.0701001430615165</v>
      </c>
      <c r="N21" s="43">
        <f t="shared" si="48"/>
        <v>0.62668621700879767</v>
      </c>
      <c r="O21" s="42">
        <f t="shared" ref="O21:Q21" si="49">IFERROR(O20/O22,0)</f>
        <v>0.6937856499549685</v>
      </c>
      <c r="P21" s="42">
        <f t="shared" si="49"/>
        <v>0.78599816569856318</v>
      </c>
      <c r="Q21" s="42">
        <f t="shared" si="49"/>
        <v>0.98545224541429477</v>
      </c>
      <c r="R21" s="43">
        <f t="shared" ref="R21:S21" si="50">IFERROR(R20/R22,0)</f>
        <v>0.72449308014161573</v>
      </c>
      <c r="S21" s="42">
        <f t="shared" si="50"/>
        <v>0.80170715692711758</v>
      </c>
      <c r="T21" s="42">
        <f t="shared" ref="T21:U21" si="51">IFERROR(T20/T22,0)</f>
        <v>0.82269164317314492</v>
      </c>
      <c r="U21" s="42">
        <f t="shared" si="51"/>
        <v>1.0227869912823129</v>
      </c>
    </row>
    <row r="22" spans="1:21" x14ac:dyDescent="0.15">
      <c r="A22" s="31" t="s">
        <v>17</v>
      </c>
      <c r="B22" s="27">
        <v>4221</v>
      </c>
      <c r="C22" s="35">
        <v>4195</v>
      </c>
      <c r="D22" s="35">
        <v>4204</v>
      </c>
      <c r="E22" s="35">
        <v>4248</v>
      </c>
      <c r="F22" s="27">
        <v>4284</v>
      </c>
      <c r="G22" s="35">
        <v>4283</v>
      </c>
      <c r="H22" s="35">
        <v>4122</v>
      </c>
      <c r="I22" s="36">
        <v>4149</v>
      </c>
      <c r="J22" s="27">
        <v>3999</v>
      </c>
      <c r="K22" s="35">
        <v>3817</v>
      </c>
      <c r="L22" s="35">
        <v>3617</v>
      </c>
      <c r="M22" s="35">
        <v>3495</v>
      </c>
      <c r="N22" s="66">
        <v>3410</v>
      </c>
      <c r="O22" s="72">
        <v>3331</v>
      </c>
      <c r="P22" s="35">
        <v>3271</v>
      </c>
      <c r="Q22" s="73">
        <v>3162</v>
      </c>
      <c r="R22" s="30">
        <v>3107</v>
      </c>
      <c r="S22" s="72">
        <v>3046</v>
      </c>
      <c r="T22" s="72">
        <f>S22</f>
        <v>3046</v>
      </c>
      <c r="U22" s="72">
        <f>T22</f>
        <v>3046</v>
      </c>
    </row>
    <row r="23" spans="1:21" x14ac:dyDescent="0.15">
      <c r="B23" s="27"/>
      <c r="C23" s="35"/>
      <c r="D23" s="35"/>
      <c r="E23" s="35"/>
      <c r="F23" s="27"/>
      <c r="G23" s="35"/>
      <c r="H23" s="35"/>
      <c r="I23" s="36"/>
      <c r="J23" s="27"/>
      <c r="K23" s="35"/>
      <c r="L23" s="35"/>
      <c r="M23" s="35"/>
      <c r="Q23" s="73"/>
    </row>
    <row r="24" spans="1:21" x14ac:dyDescent="0.15">
      <c r="A24" s="31" t="s">
        <v>19</v>
      </c>
      <c r="B24" s="45">
        <f t="shared" ref="B24:J24" si="52">IFERROR(B10/B8,0)</f>
        <v>0.79336823734729489</v>
      </c>
      <c r="C24" s="44">
        <f t="shared" si="52"/>
        <v>0.80110680686220259</v>
      </c>
      <c r="D24" s="44">
        <f t="shared" si="52"/>
        <v>0.79445953286257465</v>
      </c>
      <c r="E24" s="44">
        <f t="shared" ref="E24" si="53">IFERROR(E10/E8,0)</f>
        <v>0.81610356224752112</v>
      </c>
      <c r="F24" s="45">
        <f t="shared" si="52"/>
        <v>0.78822495606326892</v>
      </c>
      <c r="G24" s="44">
        <f t="shared" si="52"/>
        <v>0.79559912399624566</v>
      </c>
      <c r="H24" s="44">
        <f t="shared" si="52"/>
        <v>0.79510797257189647</v>
      </c>
      <c r="I24" s="46">
        <f t="shared" si="52"/>
        <v>0.80632832637098928</v>
      </c>
      <c r="J24" s="45">
        <f t="shared" si="52"/>
        <v>0.78755574893941038</v>
      </c>
      <c r="K24" s="44">
        <f t="shared" ref="K24:L24" si="54">IFERROR(K10/K8,0)</f>
        <v>0.79073415603430242</v>
      </c>
      <c r="L24" s="44">
        <f t="shared" si="54"/>
        <v>0.7944664031620553</v>
      </c>
      <c r="M24" s="44">
        <f t="shared" ref="M24:N24" si="55">IFERROR(M10/M8,0)</f>
        <v>0.81474497126436785</v>
      </c>
      <c r="N24" s="45">
        <f t="shared" si="55"/>
        <v>0.78769798220872211</v>
      </c>
      <c r="O24" s="44">
        <f t="shared" ref="O24:Q24" si="56">IFERROR(O10/O8,0)</f>
        <v>0.78697732473476179</v>
      </c>
      <c r="P24" s="44">
        <f t="shared" si="56"/>
        <v>0.79951000408329931</v>
      </c>
      <c r="Q24" s="44">
        <f t="shared" si="56"/>
        <v>0.81139846743295019</v>
      </c>
      <c r="R24" s="45">
        <f t="shared" ref="R24:S24" si="57">IFERROR(R10/R8,0)</f>
        <v>0.79929539874025834</v>
      </c>
      <c r="S24" s="44">
        <f t="shared" si="57"/>
        <v>0.80214285714285716</v>
      </c>
      <c r="T24" s="44">
        <f t="shared" ref="T24:U24" si="58">IFERROR(T10/T8,0)</f>
        <v>0.79951000408329931</v>
      </c>
      <c r="U24" s="44">
        <f t="shared" si="58"/>
        <v>0.81139846743295019</v>
      </c>
    </row>
    <row r="25" spans="1:21" x14ac:dyDescent="0.15">
      <c r="A25" s="31" t="s">
        <v>20</v>
      </c>
      <c r="B25" s="48">
        <f t="shared" ref="B25:J25" si="59">IFERROR(B15/B8,0)</f>
        <v>0.30727166957533447</v>
      </c>
      <c r="C25" s="47">
        <f t="shared" si="59"/>
        <v>0.33613724405091311</v>
      </c>
      <c r="D25" s="47">
        <f t="shared" si="59"/>
        <v>0.32145573058120586</v>
      </c>
      <c r="E25" s="47">
        <f t="shared" ref="E25" si="60">IFERROR(E15/E8,0)</f>
        <v>0.37394417921410211</v>
      </c>
      <c r="F25" s="48">
        <f t="shared" si="59"/>
        <v>0.30195518453427067</v>
      </c>
      <c r="G25" s="47">
        <f t="shared" si="59"/>
        <v>0.31692564396704559</v>
      </c>
      <c r="H25" s="47">
        <f t="shared" si="59"/>
        <v>0.34899191485006653</v>
      </c>
      <c r="I25" s="49">
        <f t="shared" si="59"/>
        <v>0.38929872900186652</v>
      </c>
      <c r="J25" s="48">
        <f t="shared" si="59"/>
        <v>0.30218644620907215</v>
      </c>
      <c r="K25" s="47">
        <f t="shared" ref="K25:L25" si="61">IFERROR(K15/K8,0)</f>
        <v>0.32430453879941434</v>
      </c>
      <c r="L25" s="47">
        <f t="shared" si="61"/>
        <v>0.35354691075514877</v>
      </c>
      <c r="M25" s="47">
        <f t="shared" ref="M25:N25" si="62">IFERROR(M15/M8,0)</f>
        <v>0.38227370689655171</v>
      </c>
      <c r="N25" s="48">
        <f t="shared" si="62"/>
        <v>0.31210674766760688</v>
      </c>
      <c r="O25" s="47">
        <f t="shared" ref="O25:Q25" si="63">IFERROR(O15/O8,0)</f>
        <v>0.33107967547326816</v>
      </c>
      <c r="P25" s="47">
        <f t="shared" si="63"/>
        <v>0.36014699877501022</v>
      </c>
      <c r="Q25" s="47">
        <f t="shared" si="63"/>
        <v>0.41273946360153257</v>
      </c>
      <c r="R25" s="48">
        <f t="shared" ref="R25:S25" si="64">IFERROR(R15/R8,0)</f>
        <v>0.34279918864097364</v>
      </c>
      <c r="S25" s="47">
        <f t="shared" si="64"/>
        <v>0.36561224489795918</v>
      </c>
      <c r="T25" s="47">
        <f t="shared" ref="T25:U25" si="65">IFERROR(T15/T8,0)</f>
        <v>0.3753733813032657</v>
      </c>
      <c r="U25" s="47">
        <f t="shared" si="65"/>
        <v>0.4249413808339772</v>
      </c>
    </row>
    <row r="26" spans="1:21" x14ac:dyDescent="0.15">
      <c r="A26" s="31" t="s">
        <v>21</v>
      </c>
      <c r="B26" s="48">
        <f t="shared" ref="B26:J26" si="66">IFERROR(B18/B17,0)</f>
        <v>0.22798145806995365</v>
      </c>
      <c r="C26" s="47">
        <f t="shared" si="66"/>
        <v>0.24320297951582867</v>
      </c>
      <c r="D26" s="47">
        <f t="shared" si="66"/>
        <v>0.17012601927353596</v>
      </c>
      <c r="E26" s="47">
        <f t="shared" ref="E26" si="67">IFERROR(E18/E17,0)</f>
        <v>0.14069148936170212</v>
      </c>
      <c r="F26" s="48">
        <f t="shared" si="66"/>
        <v>0.1424</v>
      </c>
      <c r="G26" s="47">
        <f t="shared" si="66"/>
        <v>0.21656050955414013</v>
      </c>
      <c r="H26" s="47">
        <f t="shared" si="66"/>
        <v>0.17012601927353596</v>
      </c>
      <c r="I26" s="49">
        <f t="shared" si="66"/>
        <v>0.17701038396522578</v>
      </c>
      <c r="J26" s="48">
        <f t="shared" si="66"/>
        <v>0.10826771653543307</v>
      </c>
      <c r="K26" s="47">
        <f t="shared" ref="K26:L26" si="68">IFERROR(K18/K17,0)</f>
        <v>0.15897620764239365</v>
      </c>
      <c r="L26" s="47">
        <f t="shared" si="68"/>
        <v>0.11107512953367876</v>
      </c>
      <c r="M26" s="47">
        <f t="shared" ref="M26:N26" si="69">IFERROR(M18/M17,0)</f>
        <v>3.2591826176927054E-2</v>
      </c>
      <c r="N26" s="48">
        <f t="shared" si="69"/>
        <v>0.13900080580177276</v>
      </c>
      <c r="O26" s="47">
        <f t="shared" ref="O26:Q26" si="70">IFERROR(O18/O17,0)</f>
        <v>0.17758007117437721</v>
      </c>
      <c r="P26" s="47">
        <f t="shared" si="70"/>
        <v>0.16417425227568269</v>
      </c>
      <c r="Q26" s="47">
        <f t="shared" si="70"/>
        <v>0.15692640692640691</v>
      </c>
      <c r="R26" s="48">
        <f t="shared" ref="R26:S26" si="71">IFERROR(R18/R17,0)</f>
        <v>0.13256262042389211</v>
      </c>
      <c r="S26" s="47">
        <f t="shared" si="71"/>
        <v>0.17833109017496634</v>
      </c>
      <c r="T26" s="47">
        <f t="shared" ref="T26:U26" si="72">IFERROR(T18/T17,0)</f>
        <v>0.17833109017496634</v>
      </c>
      <c r="U26" s="47">
        <f t="shared" si="72"/>
        <v>0.17833109017496634</v>
      </c>
    </row>
    <row r="27" spans="1:21" x14ac:dyDescent="0.15">
      <c r="B27" s="27"/>
      <c r="C27" s="35"/>
      <c r="D27" s="35"/>
      <c r="E27" s="35"/>
      <c r="F27" s="27"/>
      <c r="G27" s="35"/>
      <c r="H27" s="35"/>
      <c r="I27" s="36"/>
      <c r="J27" s="27"/>
      <c r="K27" s="35"/>
      <c r="L27" s="35"/>
      <c r="M27" s="35"/>
      <c r="N27" s="27"/>
      <c r="O27" s="35"/>
      <c r="P27" s="35"/>
      <c r="Q27" s="35"/>
      <c r="R27" s="27"/>
      <c r="S27" s="35"/>
      <c r="T27" s="35"/>
      <c r="U27" s="35"/>
    </row>
    <row r="28" spans="1:21" s="50" customFormat="1" x14ac:dyDescent="0.15">
      <c r="A28" s="50" t="s">
        <v>18</v>
      </c>
      <c r="B28" s="52"/>
      <c r="C28" s="51"/>
      <c r="D28" s="51"/>
      <c r="E28" s="51"/>
      <c r="F28" s="52">
        <f t="shared" ref="F28:I28" si="73">IFERROR((F8/B8)-1,0)</f>
        <v>5.9220477021524109E-2</v>
      </c>
      <c r="G28" s="51">
        <f t="shared" si="73"/>
        <v>6.1317100166021099E-2</v>
      </c>
      <c r="H28" s="51">
        <f t="shared" si="73"/>
        <v>6.1488321564367121E-2</v>
      </c>
      <c r="I28" s="53">
        <f t="shared" si="73"/>
        <v>3.2959970620638934E-2</v>
      </c>
      <c r="J28" s="52">
        <f t="shared" ref="J28:P28" si="74">IFERROR((J8/F8)-1,0)</f>
        <v>9.7759226713531877E-3</v>
      </c>
      <c r="K28" s="51">
        <f t="shared" si="74"/>
        <v>-2.8157263531128907E-3</v>
      </c>
      <c r="L28" s="51">
        <f t="shared" si="74"/>
        <v>-1.6067956196909261E-2</v>
      </c>
      <c r="M28" s="51">
        <f t="shared" si="74"/>
        <v>-1.0221313661007869E-2</v>
      </c>
      <c r="N28" s="52">
        <f>IFERROR((N8/J8)-1,0)</f>
        <v>2.7194604590450311E-3</v>
      </c>
      <c r="O28" s="51">
        <f t="shared" si="74"/>
        <v>5.4381928466848972E-3</v>
      </c>
      <c r="P28" s="51">
        <f t="shared" si="74"/>
        <v>1.8930726024547484E-2</v>
      </c>
      <c r="Q28" s="51">
        <f t="shared" ref="Q28:U28" si="75">IFERROR((Q8/M8)-1,0)</f>
        <v>-6.25E-2</v>
      </c>
      <c r="R28" s="52">
        <f t="shared" si="75"/>
        <v>1.6164026903883633E-2</v>
      </c>
      <c r="S28" s="51">
        <f t="shared" si="75"/>
        <v>1.9346785937174982E-2</v>
      </c>
      <c r="T28" s="51">
        <f t="shared" si="75"/>
        <v>-4.4507962433645298E-3</v>
      </c>
      <c r="U28" s="51">
        <f t="shared" si="75"/>
        <v>-7.6245210727967638E-3</v>
      </c>
    </row>
    <row r="29" spans="1:21" x14ac:dyDescent="0.15">
      <c r="A29" s="31" t="s">
        <v>34</v>
      </c>
      <c r="B29" s="55"/>
      <c r="C29" s="54"/>
      <c r="D29" s="54"/>
      <c r="E29" s="54"/>
      <c r="F29" s="55">
        <f>F11/B11-1</f>
        <v>3.4210526315789469E-2</v>
      </c>
      <c r="G29" s="54">
        <f>G11/C11-1</f>
        <v>-2.4503311258278093E-2</v>
      </c>
      <c r="H29" s="54">
        <f>H11/D11-1</f>
        <v>-1.5121630506245931E-2</v>
      </c>
      <c r="I29" s="56">
        <f>I11/E11-1</f>
        <v>-4.0397762585456798E-2</v>
      </c>
      <c r="J29" s="55">
        <f>J11/F11-1</f>
        <v>-5.0890585241730735E-3</v>
      </c>
      <c r="K29" s="54">
        <f>K11/G11-1</f>
        <v>1.3577732518670338E-3</v>
      </c>
      <c r="L29" s="54">
        <f>L11/H11-1</f>
        <v>-4.8064085447263039E-2</v>
      </c>
      <c r="M29" s="54">
        <f>M11/I11-1</f>
        <v>1.1658031088082943E-2</v>
      </c>
      <c r="N29" s="55">
        <f>N11/J11-1</f>
        <v>-4.4757033248081779E-3</v>
      </c>
      <c r="O29" s="54">
        <f>O11/K11-1</f>
        <v>3.7966101694915322E-2</v>
      </c>
      <c r="P29" s="54">
        <f>P11/L11-1</f>
        <v>5.1893408134642272E-2</v>
      </c>
      <c r="Q29" s="54">
        <f>Q11/M11-1</f>
        <v>-5.3137003841229213E-2</v>
      </c>
      <c r="R29" s="55">
        <f>R11/N11-1</f>
        <v>2.0552344251766108E-2</v>
      </c>
      <c r="S29" s="54">
        <f>S11/O11-1</f>
        <v>4.5721750489875923E-2</v>
      </c>
      <c r="T29" s="54">
        <f>T11/P11-1</f>
        <v>5.0000000000000044E-2</v>
      </c>
      <c r="U29" s="54">
        <f>U11/Q11-1</f>
        <v>5.0000000000000044E-2</v>
      </c>
    </row>
    <row r="30" spans="1:21" x14ac:dyDescent="0.15">
      <c r="A30" s="31" t="s">
        <v>35</v>
      </c>
      <c r="B30" s="55"/>
      <c r="C30" s="54"/>
      <c r="D30" s="54"/>
      <c r="E30" s="54"/>
      <c r="F30" s="55">
        <f>F12/B12-1</f>
        <v>3.6477331943720603E-2</v>
      </c>
      <c r="G30" s="54">
        <f>G12/C12-1</f>
        <v>6.5306122448979487E-2</v>
      </c>
      <c r="H30" s="54">
        <f>H12/D12-1</f>
        <v>1.4471057884231531E-2</v>
      </c>
      <c r="I30" s="56">
        <f>I12/E12-1</f>
        <v>4.7557284911370346E-3</v>
      </c>
      <c r="J30" s="55">
        <f>J12/F12-1</f>
        <v>2.513826043237799E-2</v>
      </c>
      <c r="K30" s="54">
        <f>K12/G12-1</f>
        <v>6.2260536398468513E-3</v>
      </c>
      <c r="L30" s="54">
        <f>L12/H12-1</f>
        <v>8.853910477127469E-3</v>
      </c>
      <c r="M30" s="54">
        <f>M12/I12-1</f>
        <v>-2.5817555938038028E-3</v>
      </c>
      <c r="N30" s="55">
        <f>N12/J12-1</f>
        <v>-1.0299166257969561E-2</v>
      </c>
      <c r="O30" s="54">
        <f>O12/K12-1</f>
        <v>-1.5706806282722474E-2</v>
      </c>
      <c r="P30" s="54">
        <f>P12/L12-1</f>
        <v>-9.7513408093607978E-4</v>
      </c>
      <c r="Q30" s="54">
        <f>Q12/M12-1</f>
        <v>-0.15487489214840378</v>
      </c>
      <c r="R30" s="55">
        <f>R12/N12-1</f>
        <v>-8.1268582755203211E-2</v>
      </c>
      <c r="S30" s="54">
        <f>S12/O12-1</f>
        <v>-0.11218568665377171</v>
      </c>
      <c r="T30" s="54">
        <f>T12/P12-1</f>
        <v>-9.9999999999999978E-2</v>
      </c>
      <c r="U30" s="54">
        <f>U12/Q12-1</f>
        <v>-9.9999999999999978E-2</v>
      </c>
    </row>
    <row r="31" spans="1:21" x14ac:dyDescent="0.15">
      <c r="A31" s="31" t="s">
        <v>36</v>
      </c>
      <c r="B31" s="55"/>
      <c r="C31" s="54"/>
      <c r="D31" s="54"/>
      <c r="E31" s="54"/>
      <c r="F31" s="55">
        <f>F13/B13-1</f>
        <v>0.17185385656292285</v>
      </c>
      <c r="G31" s="54">
        <f>G13/C13-1</f>
        <v>0.40766073871409025</v>
      </c>
      <c r="H31" s="54">
        <f>H13/D13-1</f>
        <v>-1.2062726176115257E-3</v>
      </c>
      <c r="I31" s="56">
        <f>I13/E13-1</f>
        <v>-7.8299776286353429E-2</v>
      </c>
      <c r="J31" s="55">
        <f>J13/F13-1</f>
        <v>-8.083140877598205E-3</v>
      </c>
      <c r="K31" s="54">
        <f>K13/G13-1</f>
        <v>-0.14091350826044702</v>
      </c>
      <c r="L31" s="54">
        <f>L13/H13-1</f>
        <v>-7.9710144927536253E-2</v>
      </c>
      <c r="M31" s="54">
        <f>M13/I13-1</f>
        <v>0.13592233009708732</v>
      </c>
      <c r="N31" s="55">
        <f>N13/J13-1</f>
        <v>-5.8207217694994151E-2</v>
      </c>
      <c r="O31" s="54">
        <f>O13/K13-1</f>
        <v>-0.1131221719457014</v>
      </c>
      <c r="P31" s="54">
        <f>P13/L13-1</f>
        <v>-9.1863517060367661E-3</v>
      </c>
      <c r="Q31" s="54">
        <f>Q13/M13-1</f>
        <v>-0.22649572649572647</v>
      </c>
      <c r="R31" s="55">
        <f>R13/N13-1</f>
        <v>2.9666254635352329E-2</v>
      </c>
      <c r="S31" s="54">
        <f>S13/O13-1</f>
        <v>7.2704081632652962E-2</v>
      </c>
      <c r="T31" s="54">
        <f>T13/P13-1</f>
        <v>-5.0000000000000044E-2</v>
      </c>
      <c r="U31" s="54">
        <f>U13/Q13-1</f>
        <v>-5.0000000000000044E-2</v>
      </c>
    </row>
    <row r="32" spans="1:21" x14ac:dyDescent="0.15">
      <c r="A32" s="65" t="s">
        <v>61</v>
      </c>
      <c r="B32" s="55"/>
      <c r="C32" s="54"/>
      <c r="D32" s="54"/>
      <c r="E32" s="54"/>
      <c r="F32" s="55">
        <f t="shared" ref="F32:U32" si="76">F14/B14-1</f>
        <v>5.9597893729056883E-2</v>
      </c>
      <c r="G32" s="54">
        <f t="shared" si="76"/>
        <v>9.2597000714115696E-2</v>
      </c>
      <c r="H32" s="54">
        <f t="shared" si="76"/>
        <v>1.1483693155718289E-3</v>
      </c>
      <c r="I32" s="54">
        <f t="shared" si="76"/>
        <v>-2.574750830564787E-2</v>
      </c>
      <c r="J32" s="55">
        <f t="shared" si="76"/>
        <v>7.9060311723515575E-3</v>
      </c>
      <c r="K32" s="54">
        <f t="shared" si="76"/>
        <v>-2.8322440087146017E-2</v>
      </c>
      <c r="L32" s="54">
        <f t="shared" si="76"/>
        <v>-2.7529249827942137E-2</v>
      </c>
      <c r="M32" s="54">
        <f t="shared" si="76"/>
        <v>2.6427962489343537E-2</v>
      </c>
      <c r="N32" s="55">
        <f t="shared" si="76"/>
        <v>-1.7480950246526183E-2</v>
      </c>
      <c r="O32" s="54">
        <f t="shared" si="76"/>
        <v>-1.7264573991031429E-2</v>
      </c>
      <c r="P32" s="54">
        <f t="shared" si="76"/>
        <v>1.5333805142722312E-2</v>
      </c>
      <c r="Q32" s="54">
        <f t="shared" si="76"/>
        <v>-0.13579734219269102</v>
      </c>
      <c r="R32" s="55">
        <f t="shared" si="76"/>
        <v>-2.4635036496350349E-2</v>
      </c>
      <c r="S32" s="54">
        <f t="shared" si="76"/>
        <v>-2.3956194387405927E-2</v>
      </c>
      <c r="T32" s="54">
        <f t="shared" si="76"/>
        <v>-3.8952137546468313E-2</v>
      </c>
      <c r="U32" s="54">
        <f t="shared" si="76"/>
        <v>-3.7998558385391568E-2</v>
      </c>
    </row>
    <row r="33" spans="1:19" x14ac:dyDescent="0.15">
      <c r="C33" s="57"/>
      <c r="D33" s="57"/>
      <c r="G33" s="57"/>
      <c r="H33" s="57"/>
      <c r="I33" s="58"/>
      <c r="J33" s="26"/>
      <c r="K33" s="57"/>
      <c r="L33" s="57"/>
      <c r="M33" s="57"/>
      <c r="N33" s="26"/>
      <c r="P33" s="57"/>
      <c r="Q33" s="73"/>
    </row>
    <row r="34" spans="1:19" s="37" customFormat="1" x14ac:dyDescent="0.15">
      <c r="A34" s="37" t="s">
        <v>22</v>
      </c>
      <c r="B34" s="27"/>
      <c r="C34" s="35"/>
      <c r="D34" s="35"/>
      <c r="E34" s="38">
        <f t="shared" ref="E34" si="77">E35-E36</f>
        <v>8169</v>
      </c>
      <c r="F34" s="27"/>
      <c r="G34" s="35"/>
      <c r="H34" s="35"/>
      <c r="I34" s="38">
        <f t="shared" ref="I34:N34" si="78">I35-I36</f>
        <v>6642</v>
      </c>
      <c r="J34" s="27"/>
      <c r="K34" s="35"/>
      <c r="L34" s="35"/>
      <c r="M34" s="38">
        <f t="shared" si="78"/>
        <v>-18340</v>
      </c>
      <c r="N34" s="27"/>
      <c r="O34" s="35"/>
      <c r="P34" s="35"/>
      <c r="Q34" s="38">
        <f t="shared" ref="Q34:S34" si="79">Q35-Q36</f>
        <v>-28540</v>
      </c>
      <c r="R34" s="39">
        <f t="shared" si="79"/>
        <v>-28487</v>
      </c>
      <c r="S34" s="38">
        <f t="shared" si="79"/>
        <v>-32189</v>
      </c>
    </row>
    <row r="35" spans="1:19" s="34" customFormat="1" x14ac:dyDescent="0.15">
      <c r="A35" s="34" t="s">
        <v>23</v>
      </c>
      <c r="B35" s="27"/>
      <c r="C35" s="35"/>
      <c r="D35" s="35"/>
      <c r="E35" s="35">
        <f>21784+44294</f>
        <v>66078</v>
      </c>
      <c r="F35" s="27"/>
      <c r="G35" s="35"/>
      <c r="H35" s="35"/>
      <c r="I35" s="35">
        <f>21620+45641</f>
        <v>67261</v>
      </c>
      <c r="J35" s="27"/>
      <c r="K35" s="35"/>
      <c r="L35" s="35"/>
      <c r="M35" s="35">
        <f>20514+17313</f>
        <v>37827</v>
      </c>
      <c r="N35" s="27"/>
      <c r="O35" s="35"/>
      <c r="P35" s="35"/>
      <c r="Q35" s="34">
        <f>37239+5818</f>
        <v>43057</v>
      </c>
      <c r="R35" s="68">
        <f>27276+15003</f>
        <v>42279</v>
      </c>
      <c r="S35" s="34">
        <f>28001+10592</f>
        <v>38593</v>
      </c>
    </row>
    <row r="36" spans="1:19" s="34" customFormat="1" x14ac:dyDescent="0.15">
      <c r="A36" s="34" t="s">
        <v>24</v>
      </c>
      <c r="B36" s="27"/>
      <c r="C36" s="35"/>
      <c r="D36" s="35"/>
      <c r="E36" s="35">
        <f>9797+48112</f>
        <v>57909</v>
      </c>
      <c r="F36" s="27"/>
      <c r="G36" s="35"/>
      <c r="H36" s="35"/>
      <c r="I36" s="35">
        <f>4491+56128</f>
        <v>60619</v>
      </c>
      <c r="J36" s="27"/>
      <c r="K36" s="35"/>
      <c r="L36" s="35"/>
      <c r="M36" s="35">
        <f>4494+51673</f>
        <v>56167</v>
      </c>
      <c r="N36" s="27"/>
      <c r="O36" s="35"/>
      <c r="P36" s="35"/>
      <c r="Q36" s="34">
        <f>2371+69226</f>
        <v>71597</v>
      </c>
      <c r="R36" s="68">
        <f>2997+67769</f>
        <v>70766</v>
      </c>
      <c r="S36" s="34">
        <f>7251+63531</f>
        <v>70782</v>
      </c>
    </row>
    <row r="37" spans="1:19" s="34" customFormat="1" x14ac:dyDescent="0.15">
      <c r="B37" s="27"/>
      <c r="C37" s="35"/>
      <c r="D37" s="35"/>
      <c r="E37" s="35"/>
      <c r="F37" s="27"/>
      <c r="G37" s="35"/>
      <c r="H37" s="35"/>
      <c r="I37" s="35"/>
      <c r="J37" s="27"/>
      <c r="K37" s="35"/>
      <c r="L37" s="35"/>
      <c r="M37" s="35"/>
      <c r="N37" s="27"/>
      <c r="P37" s="35"/>
      <c r="R37" s="68"/>
    </row>
    <row r="38" spans="1:19" s="34" customFormat="1" x14ac:dyDescent="0.15">
      <c r="A38" s="34" t="s">
        <v>45</v>
      </c>
      <c r="B38" s="27"/>
      <c r="C38" s="35"/>
      <c r="D38" s="35"/>
      <c r="E38" s="35">
        <f>7679+43045</f>
        <v>50724</v>
      </c>
      <c r="F38" s="27"/>
      <c r="G38" s="35"/>
      <c r="H38" s="35"/>
      <c r="I38" s="35">
        <f>6670+43755</f>
        <v>50425</v>
      </c>
      <c r="J38" s="27"/>
      <c r="K38" s="35"/>
      <c r="L38" s="35"/>
      <c r="M38" s="35">
        <f>5279+43779</f>
        <v>49058</v>
      </c>
      <c r="N38" s="27"/>
      <c r="P38" s="35"/>
      <c r="Q38" s="34">
        <f>3738+43769</f>
        <v>47507</v>
      </c>
      <c r="R38" s="68">
        <f>3405+43867</f>
        <v>47272</v>
      </c>
      <c r="S38" s="34">
        <f>3061+43877</f>
        <v>46938</v>
      </c>
    </row>
    <row r="39" spans="1:19" s="34" customFormat="1" x14ac:dyDescent="0.15">
      <c r="A39" s="34" t="s">
        <v>46</v>
      </c>
      <c r="B39" s="27"/>
      <c r="C39" s="35"/>
      <c r="D39" s="35"/>
      <c r="E39" s="35">
        <v>134991</v>
      </c>
      <c r="F39" s="27"/>
      <c r="G39" s="35"/>
      <c r="H39" s="35"/>
      <c r="I39" s="35">
        <v>137851</v>
      </c>
      <c r="J39" s="27"/>
      <c r="K39" s="35"/>
      <c r="L39" s="35"/>
      <c r="M39" s="35">
        <v>108709</v>
      </c>
      <c r="N39" s="27"/>
      <c r="O39" s="72"/>
      <c r="P39" s="35"/>
      <c r="Q39" s="34">
        <v>115438</v>
      </c>
      <c r="R39" s="68">
        <v>113546</v>
      </c>
      <c r="S39" s="34">
        <v>110014</v>
      </c>
    </row>
    <row r="40" spans="1:19" s="34" customFormat="1" x14ac:dyDescent="0.15">
      <c r="A40" s="34" t="s">
        <v>47</v>
      </c>
      <c r="B40" s="27"/>
      <c r="C40" s="35"/>
      <c r="D40" s="35"/>
      <c r="E40" s="35">
        <f>24178+56246</f>
        <v>80424</v>
      </c>
      <c r="F40" s="27"/>
      <c r="G40" s="35"/>
      <c r="H40" s="35"/>
      <c r="I40" s="35">
        <f>19124+71854</f>
        <v>90978</v>
      </c>
      <c r="J40" s="27"/>
      <c r="K40" s="35"/>
      <c r="L40" s="35"/>
      <c r="M40" s="35">
        <f>18630+67716</f>
        <v>86346</v>
      </c>
      <c r="N40" s="27"/>
      <c r="O40" s="72"/>
      <c r="P40" s="35"/>
      <c r="Q40" s="34">
        <f>17200+85521</f>
        <v>102721</v>
      </c>
      <c r="R40" s="68">
        <f>18748+84658</f>
        <v>103406</v>
      </c>
      <c r="S40" s="34">
        <f>21347+80051</f>
        <v>101398</v>
      </c>
    </row>
    <row r="41" spans="1:19" s="34" customFormat="1" x14ac:dyDescent="0.15">
      <c r="B41" s="27"/>
      <c r="C41" s="35"/>
      <c r="D41" s="35"/>
      <c r="E41" s="35"/>
      <c r="F41" s="27"/>
      <c r="G41" s="35"/>
      <c r="H41" s="35"/>
      <c r="I41" s="35"/>
      <c r="J41" s="27"/>
      <c r="K41" s="35"/>
      <c r="L41" s="35"/>
      <c r="M41" s="35"/>
      <c r="N41" s="27"/>
      <c r="P41" s="35"/>
      <c r="R41" s="68"/>
    </row>
    <row r="42" spans="1:19" s="34" customFormat="1" x14ac:dyDescent="0.15">
      <c r="A42" s="34" t="s">
        <v>48</v>
      </c>
      <c r="B42" s="27"/>
      <c r="C42" s="35"/>
      <c r="D42" s="35"/>
      <c r="E42" s="40">
        <f t="shared" ref="E42" si="80">E39-E38-E35</f>
        <v>18189</v>
      </c>
      <c r="F42" s="27"/>
      <c r="G42" s="35"/>
      <c r="H42" s="35"/>
      <c r="I42" s="40">
        <f t="shared" ref="I42:N42" si="81">I39-I38-I35</f>
        <v>20165</v>
      </c>
      <c r="J42" s="27"/>
      <c r="K42" s="35"/>
      <c r="L42" s="35"/>
      <c r="M42" s="40">
        <f t="shared" si="81"/>
        <v>21824</v>
      </c>
      <c r="N42" s="27"/>
      <c r="O42" s="35"/>
      <c r="P42" s="35"/>
      <c r="Q42" s="40">
        <f t="shared" ref="Q42:S42" si="82">Q39-Q38-Q35</f>
        <v>24874</v>
      </c>
      <c r="R42" s="41">
        <f t="shared" ref="R42" si="83">R39-R38-R35</f>
        <v>23995</v>
      </c>
      <c r="S42" s="40">
        <f t="shared" si="82"/>
        <v>24483</v>
      </c>
    </row>
    <row r="43" spans="1:19" s="34" customFormat="1" x14ac:dyDescent="0.15">
      <c r="A43" s="34" t="s">
        <v>49</v>
      </c>
      <c r="B43" s="27"/>
      <c r="C43" s="35"/>
      <c r="D43" s="35"/>
      <c r="E43" s="40">
        <f t="shared" ref="E43" si="84">E39-E40</f>
        <v>54567</v>
      </c>
      <c r="F43" s="27"/>
      <c r="G43" s="35"/>
      <c r="H43" s="35"/>
      <c r="I43" s="40">
        <f t="shared" ref="I43:N43" si="85">I39-I40</f>
        <v>46873</v>
      </c>
      <c r="J43" s="27"/>
      <c r="K43" s="35"/>
      <c r="L43" s="35"/>
      <c r="M43" s="40">
        <f t="shared" si="85"/>
        <v>22363</v>
      </c>
      <c r="N43" s="27"/>
      <c r="O43" s="35"/>
      <c r="P43" s="35"/>
      <c r="Q43" s="40">
        <f t="shared" ref="Q43:S43" si="86">Q39-Q40</f>
        <v>12717</v>
      </c>
      <c r="R43" s="41">
        <f t="shared" ref="R43" si="87">R39-R40</f>
        <v>10140</v>
      </c>
      <c r="S43" s="40">
        <f t="shared" si="86"/>
        <v>8616</v>
      </c>
    </row>
    <row r="44" spans="1:19" s="34" customFormat="1" x14ac:dyDescent="0.15">
      <c r="B44" s="27"/>
      <c r="C44" s="35"/>
      <c r="D44" s="35"/>
      <c r="E44" s="35"/>
      <c r="F44" s="27"/>
      <c r="G44" s="35"/>
      <c r="H44" s="35"/>
      <c r="I44" s="35"/>
      <c r="J44" s="27"/>
      <c r="K44" s="35"/>
      <c r="L44" s="35"/>
      <c r="M44" s="35"/>
      <c r="N44" s="27"/>
      <c r="P44" s="35"/>
      <c r="Q44" s="73"/>
      <c r="R44" s="68"/>
      <c r="S44" s="35"/>
    </row>
    <row r="45" spans="1:19" s="37" customFormat="1" x14ac:dyDescent="0.15">
      <c r="A45" s="37" t="s">
        <v>54</v>
      </c>
      <c r="B45" s="60"/>
      <c r="C45" s="59"/>
      <c r="D45" s="59"/>
      <c r="E45" s="38">
        <f t="shared" ref="E45" si="88">SUM(B20:E20)</f>
        <v>9334</v>
      </c>
      <c r="F45" s="27"/>
      <c r="G45" s="35"/>
      <c r="H45" s="35"/>
      <c r="I45" s="38">
        <f t="shared" ref="I45:O45" si="89">SUM(F20:I20)</f>
        <v>10504.58413639733</v>
      </c>
      <c r="J45" s="27"/>
      <c r="K45" s="35"/>
      <c r="L45" s="35"/>
      <c r="M45" s="38">
        <f t="shared" si="89"/>
        <v>11083</v>
      </c>
      <c r="N45" s="27"/>
      <c r="O45" s="35"/>
      <c r="P45" s="35"/>
      <c r="Q45" s="38">
        <f>SUM(N20:Q20)</f>
        <v>10135</v>
      </c>
      <c r="R45" s="39">
        <f>SUM(O20:R20)</f>
        <v>10249</v>
      </c>
      <c r="S45" s="38">
        <f>SUM(P20:S20)</f>
        <v>10380</v>
      </c>
    </row>
    <row r="46" spans="1:19" s="63" customFormat="1" x14ac:dyDescent="0.15">
      <c r="A46" s="61" t="s">
        <v>50</v>
      </c>
      <c r="B46" s="45"/>
      <c r="C46" s="44"/>
      <c r="D46" s="44"/>
      <c r="E46" s="44">
        <f t="shared" ref="E46" si="90">E45/E43</f>
        <v>0.17105576630564259</v>
      </c>
      <c r="F46" s="26"/>
      <c r="G46" s="57"/>
      <c r="H46" s="57"/>
      <c r="I46" s="44">
        <f t="shared" ref="I46:N46" si="91">I45/I43</f>
        <v>0.22410735682370087</v>
      </c>
      <c r="J46" s="27"/>
      <c r="K46" s="35"/>
      <c r="L46" s="35"/>
      <c r="M46" s="44">
        <f t="shared" si="91"/>
        <v>0.49559540312122702</v>
      </c>
      <c r="N46" s="27"/>
      <c r="O46" s="35"/>
      <c r="P46" s="35"/>
      <c r="Q46" s="44">
        <f t="shared" ref="Q46:S46" si="92">Q45/Q43</f>
        <v>0.7969646929307227</v>
      </c>
      <c r="R46" s="45">
        <f t="shared" ref="R46" si="93">R45/R43</f>
        <v>1.010749506903353</v>
      </c>
      <c r="S46" s="44">
        <f t="shared" si="92"/>
        <v>1.2047353760445683</v>
      </c>
    </row>
    <row r="47" spans="1:19" s="63" customFormat="1" x14ac:dyDescent="0.15">
      <c r="A47" s="61" t="s">
        <v>51</v>
      </c>
      <c r="B47" s="45"/>
      <c r="C47" s="44"/>
      <c r="D47" s="44"/>
      <c r="E47" s="44">
        <f t="shared" ref="E47" si="94">E45/E39</f>
        <v>6.9145350430769456E-2</v>
      </c>
      <c r="F47" s="26"/>
      <c r="G47" s="57"/>
      <c r="H47" s="57"/>
      <c r="I47" s="44">
        <f t="shared" ref="I47:N47" si="95">I45/I39</f>
        <v>7.6202451461341095E-2</v>
      </c>
      <c r="J47" s="27"/>
      <c r="K47" s="35"/>
      <c r="L47" s="35"/>
      <c r="M47" s="44">
        <f t="shared" si="95"/>
        <v>0.10195108040732598</v>
      </c>
      <c r="N47" s="27"/>
      <c r="O47" s="35"/>
      <c r="P47" s="35"/>
      <c r="Q47" s="44">
        <f t="shared" ref="Q47:S47" si="96">Q45/Q39</f>
        <v>8.779604636254959E-2</v>
      </c>
      <c r="R47" s="45">
        <f t="shared" ref="R47" si="97">R45/R39</f>
        <v>9.0262977119405355E-2</v>
      </c>
      <c r="S47" s="44">
        <f t="shared" si="96"/>
        <v>9.4351627974621419E-2</v>
      </c>
    </row>
    <row r="48" spans="1:19" s="63" customFormat="1" x14ac:dyDescent="0.15">
      <c r="A48" s="61" t="s">
        <v>52</v>
      </c>
      <c r="B48" s="45"/>
      <c r="C48" s="44"/>
      <c r="D48" s="44"/>
      <c r="E48" s="44">
        <f t="shared" ref="E48" si="98">E45/(E43-E38)</f>
        <v>2.4288316419463962</v>
      </c>
      <c r="F48" s="26"/>
      <c r="G48" s="57"/>
      <c r="H48" s="57"/>
      <c r="I48" s="44">
        <f t="shared" ref="I48:N48" si="99">I45/(I43-I38)</f>
        <v>-2.9573716600217708</v>
      </c>
      <c r="J48" s="27"/>
      <c r="K48" s="35"/>
      <c r="L48" s="35"/>
      <c r="M48" s="44">
        <f t="shared" si="99"/>
        <v>-0.41517138040831614</v>
      </c>
      <c r="N48" s="27"/>
      <c r="O48" s="35"/>
      <c r="P48" s="35"/>
      <c r="Q48" s="44">
        <f t="shared" ref="Q48:S48" si="100">Q45/(Q43-Q38)</f>
        <v>-0.29131934463926418</v>
      </c>
      <c r="R48" s="45">
        <f t="shared" ref="R48" si="101">R45/(R43-R38)</f>
        <v>-0.27601529677905851</v>
      </c>
      <c r="S48" s="44">
        <f t="shared" si="100"/>
        <v>-0.2708626898387349</v>
      </c>
    </row>
    <row r="49" spans="1:21" s="63" customFormat="1" x14ac:dyDescent="0.15">
      <c r="A49" s="61" t="s">
        <v>53</v>
      </c>
      <c r="B49" s="45"/>
      <c r="C49" s="44"/>
      <c r="D49" s="44"/>
      <c r="E49" s="44">
        <f t="shared" ref="E49" si="102">E45/E42</f>
        <v>0.51316729891692781</v>
      </c>
      <c r="F49" s="26"/>
      <c r="G49" s="57"/>
      <c r="H49" s="57"/>
      <c r="I49" s="44">
        <f t="shared" ref="I49:N49" si="103">I45/I42</f>
        <v>0.52093152176530277</v>
      </c>
      <c r="J49" s="27"/>
      <c r="K49" s="35"/>
      <c r="L49" s="35"/>
      <c r="M49" s="44">
        <f t="shared" si="103"/>
        <v>0.50783541055718473</v>
      </c>
      <c r="N49" s="27"/>
      <c r="O49" s="35"/>
      <c r="P49" s="35"/>
      <c r="Q49" s="44">
        <f t="shared" ref="Q49:S49" si="104">Q45/Q42</f>
        <v>0.40745356597250143</v>
      </c>
      <c r="R49" s="45">
        <f t="shared" ref="R49" si="105">R45/R42</f>
        <v>0.42713065221921231</v>
      </c>
      <c r="S49" s="44">
        <f t="shared" si="104"/>
        <v>0.42396765102315892</v>
      </c>
    </row>
    <row r="50" spans="1:21" x14ac:dyDescent="0.15">
      <c r="B50" s="27"/>
      <c r="C50" s="35"/>
      <c r="D50" s="35"/>
      <c r="F50" s="27"/>
      <c r="G50" s="35"/>
      <c r="H50" s="35"/>
      <c r="I50" s="35"/>
      <c r="J50" s="27"/>
      <c r="K50" s="35"/>
      <c r="L50" s="35"/>
      <c r="M50" s="35"/>
      <c r="N50" s="27"/>
      <c r="O50" s="35"/>
      <c r="P50" s="35"/>
      <c r="Q50" s="73"/>
      <c r="S50" s="35"/>
    </row>
    <row r="51" spans="1:21" x14ac:dyDescent="0.15">
      <c r="A51" s="73" t="s">
        <v>88</v>
      </c>
      <c r="B51" s="27"/>
      <c r="C51" s="35"/>
      <c r="D51" s="35"/>
      <c r="F51" s="45">
        <f t="shared" ref="F51:P54" si="106">F3/B3-1</f>
        <v>0.11213331018920325</v>
      </c>
      <c r="G51" s="44">
        <f t="shared" si="106"/>
        <v>0.10823327615780443</v>
      </c>
      <c r="H51" s="44">
        <f t="shared" si="106"/>
        <v>0.10788102839858849</v>
      </c>
      <c r="I51" s="44">
        <f t="shared" si="106"/>
        <v>8.1815276446148832E-2</v>
      </c>
      <c r="J51" s="45">
        <f t="shared" si="106"/>
        <v>3.1528016232245992E-2</v>
      </c>
      <c r="K51" s="44">
        <f t="shared" si="106"/>
        <v>2.7240365268534239E-2</v>
      </c>
      <c r="L51" s="44">
        <f t="shared" si="106"/>
        <v>1.0465645381465105E-2</v>
      </c>
      <c r="M51" s="44">
        <f t="shared" si="106"/>
        <v>4.2836041358935706E-3</v>
      </c>
      <c r="N51" s="45">
        <f t="shared" si="106"/>
        <v>2.9656528975639196E-2</v>
      </c>
      <c r="O51" s="44">
        <f t="shared" si="106"/>
        <v>2.6216664155491953E-2</v>
      </c>
      <c r="P51" s="44">
        <f t="shared" si="106"/>
        <v>4.0228159711798162E-2</v>
      </c>
      <c r="Q51" s="44">
        <f>Q3/M3-1</f>
        <v>6.7657008383585904E-3</v>
      </c>
      <c r="R51" s="45">
        <f>R3/N3-1</f>
        <v>2.0867009551800209E-2</v>
      </c>
      <c r="S51" s="44">
        <f>S3/O3-1</f>
        <v>4.4193216855087369E-2</v>
      </c>
      <c r="T51" s="44">
        <f>T3/P3-1</f>
        <v>2.0000000000000018E-2</v>
      </c>
      <c r="U51" s="44">
        <f>U3/Q3-1</f>
        <v>2.0000000000000018E-2</v>
      </c>
    </row>
    <row r="52" spans="1:21" x14ac:dyDescent="0.15">
      <c r="A52" s="73" t="s">
        <v>89</v>
      </c>
      <c r="B52" s="27"/>
      <c r="C52" s="35"/>
      <c r="D52" s="35"/>
      <c r="F52" s="45">
        <f t="shared" si="106"/>
        <v>-0.1320388349514563</v>
      </c>
      <c r="G52" s="44">
        <f t="shared" si="106"/>
        <v>-1.187824795842618E-2</v>
      </c>
      <c r="H52" s="44">
        <f t="shared" si="106"/>
        <v>-1.8387553041018356E-2</v>
      </c>
      <c r="I52" s="44">
        <f t="shared" si="106"/>
        <v>-5.4455445544554504E-2</v>
      </c>
      <c r="J52" s="45">
        <f t="shared" si="106"/>
        <v>-3.0201342281879207E-2</v>
      </c>
      <c r="K52" s="44">
        <f t="shared" si="106"/>
        <v>-8.5649887302779892E-2</v>
      </c>
      <c r="L52" s="44">
        <f t="shared" si="106"/>
        <v>-9.8703170028818454E-2</v>
      </c>
      <c r="M52" s="44">
        <f t="shared" si="106"/>
        <v>1.4901329037454669E-2</v>
      </c>
      <c r="N52" s="45">
        <f t="shared" si="106"/>
        <v>-6.3437139561707045E-2</v>
      </c>
      <c r="O52" s="44">
        <f t="shared" si="106"/>
        <v>-7.4774034511092879E-2</v>
      </c>
      <c r="P52" s="44">
        <f t="shared" si="106"/>
        <v>-1.5987210231814597E-2</v>
      </c>
      <c r="Q52" s="44">
        <f>Q4/M4-1</f>
        <v>-0.22261904761904761</v>
      </c>
      <c r="R52" s="45">
        <f>R4/N4-1</f>
        <v>9.1133004926108319E-2</v>
      </c>
      <c r="S52" s="44">
        <f>S4/O4-1</f>
        <v>-3.0195381882770822E-2</v>
      </c>
      <c r="T52" s="44">
        <f>T4/P4-1</f>
        <v>-4.9999999999999933E-2</v>
      </c>
      <c r="U52" s="44">
        <f>U4/Q4-1</f>
        <v>-5.0000000000000044E-2</v>
      </c>
    </row>
    <row r="53" spans="1:21" x14ac:dyDescent="0.15">
      <c r="A53" s="73" t="s">
        <v>60</v>
      </c>
      <c r="B53" s="27"/>
      <c r="C53" s="35"/>
      <c r="D53" s="35"/>
      <c r="E53" s="44"/>
      <c r="F53" s="45">
        <f t="shared" si="106"/>
        <v>-5.3212851405622486E-2</v>
      </c>
      <c r="G53" s="44">
        <f t="shared" si="106"/>
        <v>-7.199211045364895E-2</v>
      </c>
      <c r="H53" s="44">
        <f t="shared" si="106"/>
        <v>-3.3073929961089488E-2</v>
      </c>
      <c r="I53" s="44">
        <f t="shared" si="106"/>
        <v>8.9766606822272443E-4</v>
      </c>
      <c r="J53" s="45">
        <f t="shared" si="106"/>
        <v>-4.1357370095440049E-2</v>
      </c>
      <c r="K53" s="44">
        <f t="shared" si="106"/>
        <v>-5.3134962805525987E-2</v>
      </c>
      <c r="L53" s="44">
        <f t="shared" si="106"/>
        <v>-7.9476861167002033E-2</v>
      </c>
      <c r="M53" s="44">
        <f t="shared" si="106"/>
        <v>-0.10852017937219727</v>
      </c>
      <c r="N53" s="45">
        <f t="shared" si="106"/>
        <v>-9.8451327433628277E-2</v>
      </c>
      <c r="O53" s="44">
        <f t="shared" si="106"/>
        <v>-2.2446689113355789E-2</v>
      </c>
      <c r="P53" s="44">
        <f t="shared" si="106"/>
        <v>-6.3387978142076529E-2</v>
      </c>
      <c r="Q53" s="44">
        <f>Q5/M5-1</f>
        <v>-9.3561368209255535E-2</v>
      </c>
      <c r="R53" s="45">
        <f>R5/N5-1</f>
        <v>-1.2269938650306678E-3</v>
      </c>
      <c r="S53" s="44">
        <f>S5/O5-1</f>
        <v>-3.0998851894374235E-2</v>
      </c>
      <c r="T53" s="44">
        <f>T5/P5-1</f>
        <v>-5.0000000000000044E-2</v>
      </c>
      <c r="U53" s="44">
        <f>U5/Q5-1</f>
        <v>-5.0000000000000044E-2</v>
      </c>
    </row>
    <row r="54" spans="1:21" x14ac:dyDescent="0.15">
      <c r="A54" s="73" t="s">
        <v>90</v>
      </c>
      <c r="B54" s="27"/>
      <c r="C54" s="35"/>
      <c r="D54" s="35"/>
      <c r="E54" s="44"/>
      <c r="F54" s="45">
        <f t="shared" si="106"/>
        <v>6.4356435643564414E-2</v>
      </c>
      <c r="G54" s="44">
        <f t="shared" si="106"/>
        <v>1.4218009478673022E-2</v>
      </c>
      <c r="H54" s="44">
        <f t="shared" si="106"/>
        <v>-1.9704433497536922E-2</v>
      </c>
      <c r="I54" s="44">
        <f t="shared" si="106"/>
        <v>-1.230425055928408E-2</v>
      </c>
      <c r="J54" s="45">
        <f t="shared" ref="J54:P54" si="107">J6/F6-1</f>
        <v>-5.4651162790697705E-2</v>
      </c>
      <c r="K54" s="44">
        <f t="shared" si="107"/>
        <v>-4.5560747663551449E-2</v>
      </c>
      <c r="L54" s="44">
        <f t="shared" si="107"/>
        <v>-1.2562814070351758E-2</v>
      </c>
      <c r="M54" s="44">
        <f t="shared" si="107"/>
        <v>-6.7950169875424682E-2</v>
      </c>
      <c r="N54" s="45">
        <f t="shared" si="107"/>
        <v>-3.3210332103321027E-2</v>
      </c>
      <c r="O54" s="44">
        <f t="shared" si="107"/>
        <v>-1.346389228886169E-2</v>
      </c>
      <c r="P54" s="44">
        <f t="shared" si="107"/>
        <v>-1.0178117048346036E-2</v>
      </c>
      <c r="Q54" s="44">
        <f>Q6/M6-1</f>
        <v>-0.10692588092345079</v>
      </c>
      <c r="R54" s="45">
        <f>R6/N6-1</f>
        <v>-8.3969465648854991E-2</v>
      </c>
      <c r="S54" s="44">
        <f>S6/O6-1</f>
        <v>-6.6997518610421802E-2</v>
      </c>
      <c r="T54" s="44">
        <f>T6/P6-1</f>
        <v>-9.9999999999999978E-2</v>
      </c>
      <c r="U54" s="44">
        <f>U6/Q6-1</f>
        <v>-9.9999999999999978E-2</v>
      </c>
    </row>
    <row r="55" spans="1:21" x14ac:dyDescent="0.15">
      <c r="B55" s="27"/>
      <c r="C55" s="35"/>
      <c r="D55" s="35"/>
      <c r="E55" s="28"/>
      <c r="F55" s="27"/>
      <c r="G55" s="35"/>
      <c r="H55" s="35"/>
      <c r="I55" s="36"/>
      <c r="J55" s="27"/>
      <c r="K55" s="35"/>
      <c r="L55" s="35"/>
      <c r="M55" s="35"/>
      <c r="P55" s="35"/>
      <c r="Q55" s="73"/>
    </row>
    <row r="56" spans="1:21" s="34" customFormat="1" x14ac:dyDescent="0.15">
      <c r="A56" s="73"/>
      <c r="B56" s="27"/>
      <c r="C56" s="28"/>
      <c r="D56" s="28"/>
      <c r="E56" s="28"/>
      <c r="F56" s="27"/>
      <c r="G56" s="28"/>
      <c r="H56" s="28"/>
      <c r="I56" s="29"/>
      <c r="J56" s="68"/>
      <c r="N56" s="68"/>
      <c r="Q56" s="73"/>
      <c r="R56" s="68"/>
    </row>
    <row r="57" spans="1:21" x14ac:dyDescent="0.15">
      <c r="A57" s="65"/>
      <c r="B57" s="64"/>
      <c r="F57" s="62"/>
      <c r="G57" s="63"/>
      <c r="H57" s="63"/>
      <c r="I57" s="63"/>
      <c r="J57" s="62"/>
      <c r="K57" s="63"/>
      <c r="L57" s="63"/>
      <c r="M57" s="63"/>
      <c r="N57" s="62"/>
      <c r="O57" s="63"/>
      <c r="P57" s="63"/>
      <c r="Q57" s="73"/>
    </row>
    <row r="58" spans="1:21" x14ac:dyDescent="0.15">
      <c r="Q58" s="73"/>
    </row>
    <row r="59" spans="1:21" x14ac:dyDescent="0.15">
      <c r="A59" s="65"/>
      <c r="B59" s="45"/>
      <c r="C59" s="44"/>
      <c r="D59" s="44"/>
      <c r="E59" s="44"/>
      <c r="F59" s="45"/>
      <c r="G59" s="44"/>
      <c r="H59" s="44"/>
      <c r="I59" s="44"/>
      <c r="J59" s="45"/>
      <c r="K59" s="44"/>
      <c r="L59" s="44"/>
      <c r="M59" s="44"/>
      <c r="N59" s="45"/>
      <c r="O59" s="44"/>
      <c r="P59" s="44"/>
      <c r="Q59" s="73"/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13"/>
  <sheetViews>
    <sheetView zoomScale="130" zoomScaleNormal="130" workbookViewId="0">
      <selection activeCell="C25" sqref="C25"/>
    </sheetView>
  </sheetViews>
  <sheetFormatPr baseColWidth="10" defaultRowHeight="13" x14ac:dyDescent="0.15"/>
  <cols>
    <col min="1" max="1" width="10.83203125" style="1"/>
    <col min="2" max="2" width="13" style="1" bestFit="1" customWidth="1"/>
    <col min="3" max="3" width="49.6640625" style="1" bestFit="1" customWidth="1"/>
    <col min="4" max="16384" width="10.83203125" style="1"/>
  </cols>
  <sheetData>
    <row r="4" spans="2:3" x14ac:dyDescent="0.15">
      <c r="B4" s="78" t="s">
        <v>75</v>
      </c>
    </row>
    <row r="6" spans="2:3" x14ac:dyDescent="0.15">
      <c r="B6" s="65" t="s">
        <v>62</v>
      </c>
      <c r="C6" s="65" t="s">
        <v>63</v>
      </c>
    </row>
    <row r="7" spans="2:3" x14ac:dyDescent="0.15">
      <c r="B7" s="65" t="s">
        <v>64</v>
      </c>
      <c r="C7" s="65" t="s">
        <v>65</v>
      </c>
    </row>
    <row r="8" spans="2:3" s="15" customFormat="1" x14ac:dyDescent="0.15">
      <c r="B8" s="15" t="s">
        <v>66</v>
      </c>
      <c r="C8" s="15" t="s">
        <v>77</v>
      </c>
    </row>
    <row r="9" spans="2:3" x14ac:dyDescent="0.15">
      <c r="B9" s="65"/>
      <c r="C9" s="65"/>
    </row>
    <row r="10" spans="2:3" x14ac:dyDescent="0.15">
      <c r="B10" s="78" t="s">
        <v>76</v>
      </c>
      <c r="C10" s="65"/>
    </row>
    <row r="11" spans="2:3" x14ac:dyDescent="0.15">
      <c r="B11" s="65"/>
      <c r="C11" s="65"/>
    </row>
    <row r="12" spans="2:3" x14ac:dyDescent="0.15">
      <c r="B12" s="65" t="s">
        <v>67</v>
      </c>
      <c r="C12" s="65" t="s">
        <v>68</v>
      </c>
    </row>
    <row r="13" spans="2:3" x14ac:dyDescent="0.15">
      <c r="B13" s="65" t="s">
        <v>69</v>
      </c>
      <c r="C13" s="6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2021-02-18T11:59:46Z</dcterms:modified>
</cp:coreProperties>
</file>