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8EE372E7-8B1A-0A40-8EA3-DF6561D6CE36}" xr6:coauthVersionLast="46" xr6:coauthVersionMax="46" xr10:uidLastSave="{00000000-0000-0000-0000-000000000000}"/>
  <bookViews>
    <workbookView xWindow="-52240" yWindow="-5940" windowWidth="26100" windowHeight="26740" tabRatio="500" xr2:uid="{00000000-000D-0000-FFFF-FFFF00000000}"/>
  </bookViews>
  <sheets>
    <sheet name="Main" sheetId="2" r:id="rId1"/>
    <sheet name="Report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5" i="2"/>
  <c r="X30" i="2"/>
  <c r="X25" i="2"/>
  <c r="X23" i="2"/>
  <c r="X40" i="2" s="1"/>
  <c r="X22" i="2"/>
  <c r="X39" i="2" s="1"/>
  <c r="X21" i="2"/>
  <c r="X38" i="2" s="1"/>
  <c r="X20" i="2"/>
  <c r="X37" i="2" s="1"/>
  <c r="X17" i="2"/>
  <c r="X36" i="2" s="1"/>
  <c r="X9" i="2"/>
  <c r="P22" i="2"/>
  <c r="Q22" i="2" s="1"/>
  <c r="R22" i="2" s="1"/>
  <c r="S22" i="2" s="1"/>
  <c r="T22" i="2" s="1"/>
  <c r="U22" i="2" s="1"/>
  <c r="V22" i="2" s="1"/>
  <c r="W22" i="2" s="1"/>
  <c r="O22" i="2"/>
  <c r="P21" i="2"/>
  <c r="Q21" i="2" s="1"/>
  <c r="R21" i="2" s="1"/>
  <c r="S21" i="2" s="1"/>
  <c r="O21" i="2"/>
  <c r="P17" i="2"/>
  <c r="Q17" i="2" s="1"/>
  <c r="R17" i="2" s="1"/>
  <c r="S17" i="2" s="1"/>
  <c r="O17" i="2"/>
  <c r="P20" i="2"/>
  <c r="Q20" i="2" s="1"/>
  <c r="R20" i="2" s="1"/>
  <c r="S20" i="2" s="1"/>
  <c r="T20" i="2" s="1"/>
  <c r="U20" i="2" s="1"/>
  <c r="V20" i="2" s="1"/>
  <c r="W20" i="2" s="1"/>
  <c r="O20" i="2"/>
  <c r="K21" i="2"/>
  <c r="L21" i="2" s="1"/>
  <c r="M21" i="2" s="1"/>
  <c r="N21" i="2" s="1"/>
  <c r="J21" i="2"/>
  <c r="N39" i="2"/>
  <c r="N37" i="2"/>
  <c r="N30" i="2"/>
  <c r="N22" i="2"/>
  <c r="N20" i="2"/>
  <c r="N15" i="2"/>
  <c r="N63" i="2" s="1"/>
  <c r="N14" i="2"/>
  <c r="N62" i="2" s="1"/>
  <c r="N9" i="2"/>
  <c r="M14" i="2"/>
  <c r="L14" i="2"/>
  <c r="K14" i="2"/>
  <c r="J14" i="2"/>
  <c r="J17" i="2" s="1"/>
  <c r="I17" i="2"/>
  <c r="C5" i="2"/>
  <c r="C3" i="2"/>
  <c r="I48" i="2"/>
  <c r="I47" i="2"/>
  <c r="I51" i="2" s="1"/>
  <c r="I46" i="2"/>
  <c r="I44" i="2"/>
  <c r="I43" i="2"/>
  <c r="I30" i="2"/>
  <c r="I14" i="2"/>
  <c r="I27" i="2"/>
  <c r="I25" i="2"/>
  <c r="I22" i="2"/>
  <c r="I21" i="2"/>
  <c r="I20" i="2"/>
  <c r="I23" i="2" s="1"/>
  <c r="I18" i="2"/>
  <c r="I11" i="2"/>
  <c r="I10" i="2"/>
  <c r="Z29" i="1"/>
  <c r="W56" i="1"/>
  <c r="W55" i="1"/>
  <c r="W52" i="1"/>
  <c r="W51" i="1"/>
  <c r="W59" i="1"/>
  <c r="W32" i="1"/>
  <c r="W31" i="1"/>
  <c r="W30" i="1"/>
  <c r="W29" i="1"/>
  <c r="W27" i="1"/>
  <c r="W26" i="1"/>
  <c r="W25" i="1"/>
  <c r="W21" i="1"/>
  <c r="W22" i="1" s="1"/>
  <c r="W19" i="1"/>
  <c r="W16" i="1"/>
  <c r="W17" i="1" s="1"/>
  <c r="W12" i="1"/>
  <c r="W10" i="1"/>
  <c r="W8" i="1"/>
  <c r="X56" i="1"/>
  <c r="X55" i="1"/>
  <c r="X52" i="1"/>
  <c r="X51" i="1"/>
  <c r="X32" i="1"/>
  <c r="X31" i="1"/>
  <c r="X30" i="1"/>
  <c r="X29" i="1"/>
  <c r="X27" i="1"/>
  <c r="X26" i="1"/>
  <c r="X25" i="1"/>
  <c r="X22" i="1"/>
  <c r="X21" i="1"/>
  <c r="X19" i="1"/>
  <c r="X16" i="1"/>
  <c r="X17" i="1" s="1"/>
  <c r="X12" i="1"/>
  <c r="X10" i="1"/>
  <c r="X8" i="1"/>
  <c r="Y56" i="1"/>
  <c r="Y55" i="1"/>
  <c r="Y38" i="1"/>
  <c r="Y35" i="1"/>
  <c r="Y52" i="1"/>
  <c r="Y51" i="1"/>
  <c r="Y45" i="1"/>
  <c r="Y43" i="1"/>
  <c r="Y42" i="1"/>
  <c r="Y34" i="1"/>
  <c r="Y32" i="1"/>
  <c r="Y31" i="1"/>
  <c r="Y30" i="1"/>
  <c r="Y29" i="1"/>
  <c r="Y27" i="1"/>
  <c r="Y26" i="1"/>
  <c r="Y25" i="1"/>
  <c r="Y21" i="1"/>
  <c r="Y22" i="1" s="1"/>
  <c r="Y19" i="1"/>
  <c r="Y17" i="1"/>
  <c r="Y16" i="1"/>
  <c r="Y12" i="1"/>
  <c r="R59" i="1"/>
  <c r="S59" i="1"/>
  <c r="T59" i="1"/>
  <c r="U59" i="1"/>
  <c r="V59" i="1"/>
  <c r="X59" i="1"/>
  <c r="Y59" i="1"/>
  <c r="Y10" i="1"/>
  <c r="T10" i="1"/>
  <c r="Y8" i="1"/>
  <c r="V8" i="1"/>
  <c r="X19" i="2" l="1"/>
  <c r="X18" i="2"/>
  <c r="T21" i="2"/>
  <c r="U21" i="2" s="1"/>
  <c r="V21" i="2" s="1"/>
  <c r="W21" i="2" s="1"/>
  <c r="N17" i="2"/>
  <c r="I50" i="2"/>
  <c r="I42" i="2"/>
  <c r="Y49" i="1"/>
  <c r="Y46" i="1"/>
  <c r="Y47" i="1"/>
  <c r="Y48" i="1"/>
  <c r="C4" i="2"/>
  <c r="X32" i="2" l="1"/>
  <c r="X24" i="2"/>
  <c r="N36" i="2"/>
  <c r="N19" i="2"/>
  <c r="H21" i="2"/>
  <c r="H22" i="2"/>
  <c r="H20" i="2"/>
  <c r="H18" i="2"/>
  <c r="H11" i="2"/>
  <c r="I59" i="2" s="1"/>
  <c r="H10" i="2"/>
  <c r="I58" i="2" s="1"/>
  <c r="V38" i="1"/>
  <c r="V35" i="1"/>
  <c r="V42" i="1" s="1"/>
  <c r="V55" i="1"/>
  <c r="V52" i="1"/>
  <c r="V51" i="1"/>
  <c r="V43" i="1"/>
  <c r="V32" i="1"/>
  <c r="V31" i="1"/>
  <c r="V30" i="1"/>
  <c r="V16" i="1"/>
  <c r="V10" i="1"/>
  <c r="V29" i="1" s="1"/>
  <c r="V56" i="1"/>
  <c r="U38" i="1"/>
  <c r="U35" i="1"/>
  <c r="U18" i="1"/>
  <c r="U8" i="1"/>
  <c r="X33" i="2" l="1"/>
  <c r="X26" i="2"/>
  <c r="N32" i="2"/>
  <c r="N18" i="2"/>
  <c r="V34" i="1"/>
  <c r="V12" i="1"/>
  <c r="V25" i="1" s="1"/>
  <c r="V17" i="1"/>
  <c r="H48" i="2"/>
  <c r="H47" i="2"/>
  <c r="H44" i="2"/>
  <c r="U32" i="1"/>
  <c r="H30" i="2"/>
  <c r="H27" i="2"/>
  <c r="H25" i="2"/>
  <c r="J22" i="2"/>
  <c r="K22" i="2" s="1"/>
  <c r="L22" i="2" s="1"/>
  <c r="M22" i="2" s="1"/>
  <c r="J20" i="2"/>
  <c r="K20" i="2" s="1"/>
  <c r="L20" i="2" s="1"/>
  <c r="M20" i="2" s="1"/>
  <c r="H14" i="2"/>
  <c r="U30" i="1"/>
  <c r="U10" i="1"/>
  <c r="U12" i="1" s="1"/>
  <c r="U25" i="1" s="1"/>
  <c r="T38" i="1"/>
  <c r="T35" i="1"/>
  <c r="T34" i="1" s="1"/>
  <c r="T4" i="1"/>
  <c r="S38" i="1"/>
  <c r="S35" i="1"/>
  <c r="S42" i="1" s="1"/>
  <c r="S4" i="1"/>
  <c r="R38" i="1"/>
  <c r="R35" i="1"/>
  <c r="R10" i="1"/>
  <c r="R12" i="1" s="1"/>
  <c r="P10" i="1"/>
  <c r="T55" i="1"/>
  <c r="S55" i="1"/>
  <c r="R55" i="1"/>
  <c r="S52" i="1"/>
  <c r="R52" i="1"/>
  <c r="U51" i="1"/>
  <c r="T51" i="1"/>
  <c r="S51" i="1"/>
  <c r="R51" i="1"/>
  <c r="U43" i="1"/>
  <c r="T43" i="1"/>
  <c r="S43" i="1"/>
  <c r="R43" i="1"/>
  <c r="R42" i="1"/>
  <c r="H46" i="2"/>
  <c r="U42" i="1"/>
  <c r="U34" i="1"/>
  <c r="R34" i="1"/>
  <c r="T32" i="1"/>
  <c r="S32" i="1"/>
  <c r="R32" i="1"/>
  <c r="U31" i="1"/>
  <c r="T31" i="1"/>
  <c r="S31" i="1"/>
  <c r="R31" i="1"/>
  <c r="T30" i="1"/>
  <c r="S30" i="1"/>
  <c r="R30" i="1"/>
  <c r="T16" i="1"/>
  <c r="S16" i="1"/>
  <c r="R16" i="1"/>
  <c r="S10" i="1"/>
  <c r="S12" i="1" s="1"/>
  <c r="S8" i="1"/>
  <c r="R8" i="1"/>
  <c r="X27" i="2" l="1"/>
  <c r="X34" i="2" s="1"/>
  <c r="X28" i="2"/>
  <c r="V26" i="1"/>
  <c r="V19" i="1"/>
  <c r="H15" i="2"/>
  <c r="I15" i="2" s="1"/>
  <c r="H43" i="2"/>
  <c r="H42" i="2" s="1"/>
  <c r="T52" i="1"/>
  <c r="S34" i="1"/>
  <c r="U16" i="1"/>
  <c r="U17" i="1" s="1"/>
  <c r="H51" i="2"/>
  <c r="T8" i="1"/>
  <c r="T56" i="1" s="1"/>
  <c r="T12" i="1"/>
  <c r="T17" i="1" s="1"/>
  <c r="U55" i="1"/>
  <c r="T42" i="1"/>
  <c r="H23" i="2"/>
  <c r="U52" i="1"/>
  <c r="U56" i="1"/>
  <c r="U29" i="1"/>
  <c r="R25" i="1"/>
  <c r="R17" i="1"/>
  <c r="S25" i="1"/>
  <c r="S17" i="1"/>
  <c r="T29" i="1"/>
  <c r="C6" i="2"/>
  <c r="C7" i="2" s="1"/>
  <c r="G48" i="2"/>
  <c r="G47" i="2"/>
  <c r="G46" i="2"/>
  <c r="G44" i="2"/>
  <c r="G30" i="2"/>
  <c r="G18" i="2"/>
  <c r="G12" i="2"/>
  <c r="G14" i="2"/>
  <c r="G62" i="2" s="1"/>
  <c r="G27" i="2"/>
  <c r="G22" i="2"/>
  <c r="G21" i="2"/>
  <c r="G20" i="2"/>
  <c r="G11" i="2"/>
  <c r="H59" i="2" s="1"/>
  <c r="G10" i="2"/>
  <c r="H58" i="2" s="1"/>
  <c r="Q10" i="1"/>
  <c r="Q12" i="1" s="1"/>
  <c r="Q38" i="1"/>
  <c r="Q35" i="1"/>
  <c r="G43" i="2" s="1"/>
  <c r="Q8" i="1"/>
  <c r="Q55" i="1"/>
  <c r="Q53" i="1"/>
  <c r="Q52" i="1"/>
  <c r="Q51" i="1"/>
  <c r="Q42" i="1"/>
  <c r="Q43" i="1"/>
  <c r="Q34" i="1"/>
  <c r="Q16" i="1"/>
  <c r="C62" i="2"/>
  <c r="C39" i="2"/>
  <c r="C38" i="2"/>
  <c r="C37" i="2"/>
  <c r="F14" i="2"/>
  <c r="F30" i="2"/>
  <c r="F27" i="2"/>
  <c r="F21" i="2"/>
  <c r="F38" i="2" s="1"/>
  <c r="F20" i="2"/>
  <c r="F18" i="2"/>
  <c r="F12" i="2"/>
  <c r="F11" i="2"/>
  <c r="F59" i="2" s="1"/>
  <c r="F10" i="2"/>
  <c r="E14" i="2"/>
  <c r="F62" i="2" s="1"/>
  <c r="E30" i="2"/>
  <c r="E27" i="2"/>
  <c r="E25" i="2"/>
  <c r="E21" i="2"/>
  <c r="E20" i="2"/>
  <c r="E18" i="2"/>
  <c r="E12" i="2"/>
  <c r="E11" i="2"/>
  <c r="E10" i="2"/>
  <c r="E58" i="2" s="1"/>
  <c r="D14" i="2"/>
  <c r="D62" i="2" s="1"/>
  <c r="D30" i="2"/>
  <c r="D27" i="2"/>
  <c r="D25" i="2"/>
  <c r="D22" i="2"/>
  <c r="D39" i="2" s="1"/>
  <c r="D21" i="2"/>
  <c r="D38" i="2" s="1"/>
  <c r="D20" i="2"/>
  <c r="D37" i="2" s="1"/>
  <c r="D18" i="2"/>
  <c r="D12" i="2"/>
  <c r="D11" i="2"/>
  <c r="D10" i="2"/>
  <c r="Q30" i="1"/>
  <c r="O55" i="1"/>
  <c r="P55" i="1"/>
  <c r="N55" i="1"/>
  <c r="M55" i="1"/>
  <c r="L55" i="1"/>
  <c r="K55" i="1"/>
  <c r="J55" i="1"/>
  <c r="I55" i="1"/>
  <c r="H55" i="1"/>
  <c r="G55" i="1"/>
  <c r="F55" i="1"/>
  <c r="E8" i="1"/>
  <c r="F38" i="1"/>
  <c r="F35" i="1"/>
  <c r="B8" i="1"/>
  <c r="F8" i="1"/>
  <c r="G38" i="1"/>
  <c r="G35" i="1"/>
  <c r="G34" i="1" s="1"/>
  <c r="G8" i="1"/>
  <c r="C8" i="1"/>
  <c r="E38" i="1"/>
  <c r="D46" i="2" s="1"/>
  <c r="E35" i="1"/>
  <c r="D43" i="2" s="1"/>
  <c r="H38" i="1"/>
  <c r="H35" i="1"/>
  <c r="D8" i="1"/>
  <c r="H8" i="1"/>
  <c r="J38" i="1"/>
  <c r="J42" i="1" s="1"/>
  <c r="J35" i="1"/>
  <c r="K38" i="1"/>
  <c r="K35" i="1"/>
  <c r="I38" i="1"/>
  <c r="E46" i="2" s="1"/>
  <c r="L38" i="1"/>
  <c r="I35" i="1"/>
  <c r="L35" i="1"/>
  <c r="L42" i="1" s="1"/>
  <c r="I15" i="1"/>
  <c r="I16" i="1" s="1"/>
  <c r="I8" i="1"/>
  <c r="I56" i="1" s="1"/>
  <c r="M15" i="1"/>
  <c r="C15" i="2"/>
  <c r="B15" i="2"/>
  <c r="B17" i="2" s="1"/>
  <c r="B19" i="2" s="1"/>
  <c r="B23" i="2"/>
  <c r="C23" i="2"/>
  <c r="M8" i="1"/>
  <c r="M56" i="1" s="1"/>
  <c r="M38" i="1"/>
  <c r="F46" i="2" s="1"/>
  <c r="N38" i="1"/>
  <c r="N35" i="1"/>
  <c r="J18" i="1"/>
  <c r="N18" i="1"/>
  <c r="J8" i="1"/>
  <c r="J56" i="1" s="1"/>
  <c r="N8" i="1"/>
  <c r="N56" i="1" s="1"/>
  <c r="O38" i="1"/>
  <c r="O35" i="1"/>
  <c r="O42" i="1" s="1"/>
  <c r="K18" i="1"/>
  <c r="O18" i="1"/>
  <c r="K8" i="1"/>
  <c r="K56" i="1" s="1"/>
  <c r="O8" i="1"/>
  <c r="O56" i="1" s="1"/>
  <c r="M35" i="1"/>
  <c r="M34" i="1" s="1"/>
  <c r="P38" i="1"/>
  <c r="P35" i="1"/>
  <c r="P42" i="1" s="1"/>
  <c r="L18" i="1"/>
  <c r="P18" i="1"/>
  <c r="P8" i="1"/>
  <c r="L8" i="1"/>
  <c r="P12" i="1"/>
  <c r="L10" i="1"/>
  <c r="L12" i="1" s="1"/>
  <c r="M10" i="1"/>
  <c r="M12" i="1"/>
  <c r="M25" i="1" s="1"/>
  <c r="M16" i="1"/>
  <c r="M17" i="1" s="1"/>
  <c r="I10" i="1"/>
  <c r="I12" i="1" s="1"/>
  <c r="I17" i="1" s="1"/>
  <c r="F44" i="2"/>
  <c r="P16" i="1"/>
  <c r="P53" i="1"/>
  <c r="O53" i="1"/>
  <c r="N53" i="1"/>
  <c r="M53" i="1"/>
  <c r="L53" i="1"/>
  <c r="K53" i="1"/>
  <c r="J53" i="1"/>
  <c r="I53" i="1"/>
  <c r="H53" i="1"/>
  <c r="G53" i="1"/>
  <c r="P52" i="1"/>
  <c r="O52" i="1"/>
  <c r="N52" i="1"/>
  <c r="M52" i="1"/>
  <c r="L52" i="1"/>
  <c r="K52" i="1"/>
  <c r="J52" i="1"/>
  <c r="I52" i="1"/>
  <c r="H52" i="1"/>
  <c r="G52" i="1"/>
  <c r="P51" i="1"/>
  <c r="O51" i="1"/>
  <c r="N51" i="1"/>
  <c r="M51" i="1"/>
  <c r="L51" i="1"/>
  <c r="K51" i="1"/>
  <c r="J51" i="1"/>
  <c r="I51" i="1"/>
  <c r="H51" i="1"/>
  <c r="G51" i="1"/>
  <c r="F53" i="1"/>
  <c r="F52" i="1"/>
  <c r="F51" i="1"/>
  <c r="E10" i="1"/>
  <c r="E12" i="1"/>
  <c r="E25" i="1" s="1"/>
  <c r="E16" i="1"/>
  <c r="E43" i="1"/>
  <c r="D47" i="2"/>
  <c r="D48" i="2"/>
  <c r="N10" i="1"/>
  <c r="R29" i="1" s="1"/>
  <c r="N12" i="1"/>
  <c r="N25" i="1" s="1"/>
  <c r="N16" i="1"/>
  <c r="O10" i="1"/>
  <c r="S29" i="1" s="1"/>
  <c r="O16" i="1"/>
  <c r="P43" i="1"/>
  <c r="E47" i="2"/>
  <c r="E48" i="2"/>
  <c r="E43" i="2"/>
  <c r="D44" i="2"/>
  <c r="E44" i="2"/>
  <c r="F47" i="2"/>
  <c r="F48" i="2"/>
  <c r="F51" i="2" s="1"/>
  <c r="J10" i="1"/>
  <c r="J29" i="1" s="1"/>
  <c r="J12" i="1"/>
  <c r="J25" i="1" s="1"/>
  <c r="J16" i="1"/>
  <c r="K10" i="1"/>
  <c r="K12" i="1"/>
  <c r="K16" i="1"/>
  <c r="L16" i="1"/>
  <c r="L43" i="1"/>
  <c r="I43" i="1"/>
  <c r="H43" i="1"/>
  <c r="F10" i="1"/>
  <c r="F12" i="1" s="1"/>
  <c r="F16" i="1"/>
  <c r="G10" i="1"/>
  <c r="G29" i="1" s="1"/>
  <c r="G12" i="1"/>
  <c r="G17" i="1" s="1"/>
  <c r="G16" i="1"/>
  <c r="H10" i="1"/>
  <c r="H12" i="1" s="1"/>
  <c r="H16" i="1"/>
  <c r="M43" i="1"/>
  <c r="I42" i="1"/>
  <c r="B10" i="1"/>
  <c r="B12" i="1" s="1"/>
  <c r="B16" i="1"/>
  <c r="C10" i="1"/>
  <c r="C12" i="1" s="1"/>
  <c r="C16" i="1"/>
  <c r="D10" i="1"/>
  <c r="D16" i="1"/>
  <c r="O43" i="1"/>
  <c r="N42" i="1"/>
  <c r="N43" i="1"/>
  <c r="K43" i="1"/>
  <c r="J43" i="1"/>
  <c r="G43" i="1"/>
  <c r="G42" i="1"/>
  <c r="F42" i="1"/>
  <c r="F43" i="1"/>
  <c r="Q31" i="1"/>
  <c r="N34" i="1"/>
  <c r="N32" i="1"/>
  <c r="N31" i="1"/>
  <c r="N30" i="1"/>
  <c r="O32" i="1"/>
  <c r="O31" i="1"/>
  <c r="O30" i="1"/>
  <c r="P32" i="1"/>
  <c r="P31" i="1"/>
  <c r="P30" i="1"/>
  <c r="I34" i="1"/>
  <c r="J30" i="2"/>
  <c r="K30" i="2" s="1"/>
  <c r="L30" i="2" s="1"/>
  <c r="M30" i="2" s="1"/>
  <c r="O30" i="2" s="1"/>
  <c r="P30" i="2" s="1"/>
  <c r="Q30" i="2" s="1"/>
  <c r="R30" i="2" s="1"/>
  <c r="S30" i="2" s="1"/>
  <c r="T30" i="2" s="1"/>
  <c r="U30" i="2" s="1"/>
  <c r="V30" i="2" s="1"/>
  <c r="W30" i="2" s="1"/>
  <c r="F30" i="1"/>
  <c r="I30" i="1"/>
  <c r="M30" i="1"/>
  <c r="K30" i="1"/>
  <c r="J30" i="1"/>
  <c r="H30" i="1"/>
  <c r="L30" i="1"/>
  <c r="H31" i="1"/>
  <c r="I31" i="1"/>
  <c r="J31" i="1"/>
  <c r="K31" i="1"/>
  <c r="L31" i="1"/>
  <c r="M31" i="1"/>
  <c r="H32" i="1"/>
  <c r="J32" i="1"/>
  <c r="K32" i="1"/>
  <c r="L32" i="1"/>
  <c r="G31" i="1"/>
  <c r="G32" i="1"/>
  <c r="G30" i="1"/>
  <c r="F31" i="1"/>
  <c r="F32" i="1"/>
  <c r="G9" i="2"/>
  <c r="H9" i="2" s="1"/>
  <c r="I9" i="2" s="1"/>
  <c r="J9" i="2" s="1"/>
  <c r="K9" i="2" s="1"/>
  <c r="L9" i="2" s="1"/>
  <c r="M9" i="2" s="1"/>
  <c r="O9" i="2" s="1"/>
  <c r="P9" i="2" s="1"/>
  <c r="Q9" i="2" s="1"/>
  <c r="R9" i="2" s="1"/>
  <c r="S9" i="2" s="1"/>
  <c r="T9" i="2" s="1"/>
  <c r="U9" i="2" s="1"/>
  <c r="V9" i="2" s="1"/>
  <c r="W9" i="2" s="1"/>
  <c r="F34" i="1"/>
  <c r="J34" i="1"/>
  <c r="K34" i="1"/>
  <c r="K29" i="1"/>
  <c r="X42" i="2" l="1"/>
  <c r="X29" i="2"/>
  <c r="C40" i="2"/>
  <c r="F60" i="2"/>
  <c r="D42" i="2"/>
  <c r="F37" i="2"/>
  <c r="I19" i="2"/>
  <c r="I24" i="2" s="1"/>
  <c r="I26" i="2" s="1"/>
  <c r="J15" i="2"/>
  <c r="K15" i="2" s="1"/>
  <c r="L15" i="2" s="1"/>
  <c r="M15" i="2" s="1"/>
  <c r="G37" i="2"/>
  <c r="T25" i="1"/>
  <c r="V21" i="1"/>
  <c r="V27" i="1"/>
  <c r="G19" i="1"/>
  <c r="G26" i="1"/>
  <c r="F25" i="1"/>
  <c r="F17" i="1"/>
  <c r="H62" i="2"/>
  <c r="H56" i="1"/>
  <c r="P34" i="1"/>
  <c r="H42" i="1"/>
  <c r="F58" i="2"/>
  <c r="K17" i="1"/>
  <c r="K19" i="1" s="1"/>
  <c r="C63" i="2"/>
  <c r="G25" i="1"/>
  <c r="O29" i="1"/>
  <c r="O12" i="1"/>
  <c r="G25" i="2"/>
  <c r="M32" i="1"/>
  <c r="S56" i="1"/>
  <c r="R56" i="1"/>
  <c r="E50" i="2"/>
  <c r="F25" i="2"/>
  <c r="G56" i="1"/>
  <c r="Q56" i="1"/>
  <c r="M29" i="1"/>
  <c r="H29" i="1"/>
  <c r="F56" i="1"/>
  <c r="G50" i="2"/>
  <c r="H17" i="2"/>
  <c r="H19" i="2" s="1"/>
  <c r="H24" i="2" s="1"/>
  <c r="H26" i="2" s="1"/>
  <c r="O34" i="1"/>
  <c r="L29" i="1"/>
  <c r="E37" i="2"/>
  <c r="L56" i="1"/>
  <c r="K42" i="1"/>
  <c r="H50" i="2"/>
  <c r="I29" i="1"/>
  <c r="L34" i="1"/>
  <c r="E38" i="2"/>
  <c r="E42" i="1"/>
  <c r="E17" i="1"/>
  <c r="E19" i="1" s="1"/>
  <c r="G60" i="2"/>
  <c r="E59" i="2"/>
  <c r="D51" i="2"/>
  <c r="E60" i="2"/>
  <c r="G42" i="2"/>
  <c r="E51" i="2"/>
  <c r="E62" i="2"/>
  <c r="G58" i="2"/>
  <c r="D23" i="2"/>
  <c r="D40" i="2" s="1"/>
  <c r="E15" i="2"/>
  <c r="E17" i="2" s="1"/>
  <c r="E19" i="2" s="1"/>
  <c r="G59" i="2"/>
  <c r="U26" i="1"/>
  <c r="U19" i="1"/>
  <c r="R26" i="1"/>
  <c r="R19" i="1"/>
  <c r="T26" i="1"/>
  <c r="T19" i="1"/>
  <c r="S26" i="1"/>
  <c r="S19" i="1"/>
  <c r="H39" i="2"/>
  <c r="H38" i="2"/>
  <c r="C25" i="1"/>
  <c r="C17" i="1"/>
  <c r="D50" i="2"/>
  <c r="L25" i="1"/>
  <c r="L17" i="1"/>
  <c r="H17" i="1"/>
  <c r="H25" i="1"/>
  <c r="M26" i="1"/>
  <c r="M19" i="1"/>
  <c r="P25" i="1"/>
  <c r="P17" i="1"/>
  <c r="Q17" i="1"/>
  <c r="Q25" i="1"/>
  <c r="I26" i="1"/>
  <c r="I19" i="1"/>
  <c r="B17" i="1"/>
  <c r="B25" i="1"/>
  <c r="B24" i="2"/>
  <c r="B32" i="2"/>
  <c r="H37" i="2"/>
  <c r="D15" i="2"/>
  <c r="D63" i="2" s="1"/>
  <c r="H34" i="1"/>
  <c r="D12" i="1"/>
  <c r="C17" i="2"/>
  <c r="Q29" i="1"/>
  <c r="D17" i="2"/>
  <c r="E36" i="2" s="1"/>
  <c r="F29" i="1"/>
  <c r="K25" i="1"/>
  <c r="Q32" i="1"/>
  <c r="J17" i="1"/>
  <c r="E34" i="1"/>
  <c r="N17" i="1"/>
  <c r="M42" i="1"/>
  <c r="F22" i="2"/>
  <c r="F15" i="2"/>
  <c r="G23" i="2"/>
  <c r="H40" i="2" s="1"/>
  <c r="P29" i="1"/>
  <c r="N29" i="1"/>
  <c r="F43" i="2"/>
  <c r="F42" i="2" s="1"/>
  <c r="P56" i="1"/>
  <c r="G51" i="2"/>
  <c r="I32" i="1"/>
  <c r="E22" i="2"/>
  <c r="G15" i="2"/>
  <c r="G17" i="2" s="1"/>
  <c r="E42" i="2"/>
  <c r="I25" i="1"/>
  <c r="G38" i="2"/>
  <c r="V22" i="1" l="1"/>
  <c r="E26" i="1"/>
  <c r="O25" i="1"/>
  <c r="O17" i="1"/>
  <c r="K26" i="1"/>
  <c r="F26" i="1"/>
  <c r="F19" i="1"/>
  <c r="G27" i="1"/>
  <c r="G21" i="1"/>
  <c r="G22" i="1" s="1"/>
  <c r="E63" i="2"/>
  <c r="S21" i="1"/>
  <c r="S22" i="1" s="1"/>
  <c r="S27" i="1"/>
  <c r="T27" i="1"/>
  <c r="T21" i="1"/>
  <c r="T22" i="1" s="1"/>
  <c r="R21" i="1"/>
  <c r="R27" i="1"/>
  <c r="U21" i="1"/>
  <c r="U22" i="1" s="1"/>
  <c r="U27" i="1"/>
  <c r="I27" i="1"/>
  <c r="I21" i="1"/>
  <c r="D25" i="1"/>
  <c r="D17" i="1"/>
  <c r="C26" i="1"/>
  <c r="C19" i="1"/>
  <c r="N26" i="1"/>
  <c r="N19" i="1"/>
  <c r="J26" i="1"/>
  <c r="J19" i="1"/>
  <c r="P26" i="1"/>
  <c r="P19" i="1"/>
  <c r="G19" i="2"/>
  <c r="B19" i="1"/>
  <c r="B26" i="1"/>
  <c r="D36" i="2"/>
  <c r="D19" i="2"/>
  <c r="E27" i="1"/>
  <c r="E21" i="1"/>
  <c r="F17" i="2"/>
  <c r="G36" i="2" s="1"/>
  <c r="F63" i="2"/>
  <c r="L26" i="1"/>
  <c r="L19" i="1"/>
  <c r="E32" i="2"/>
  <c r="E39" i="2"/>
  <c r="E23" i="2"/>
  <c r="Q19" i="1"/>
  <c r="Q26" i="1"/>
  <c r="I40" i="2"/>
  <c r="I37" i="2"/>
  <c r="B26" i="2"/>
  <c r="B33" i="2"/>
  <c r="K21" i="1"/>
  <c r="K27" i="1"/>
  <c r="I39" i="2"/>
  <c r="I62" i="2"/>
  <c r="H26" i="1"/>
  <c r="H19" i="1"/>
  <c r="F50" i="2"/>
  <c r="C36" i="2"/>
  <c r="C19" i="2"/>
  <c r="G39" i="2"/>
  <c r="F39" i="2"/>
  <c r="F23" i="2"/>
  <c r="G63" i="2"/>
  <c r="I38" i="2"/>
  <c r="M21" i="1"/>
  <c r="M27" i="1"/>
  <c r="V45" i="1" l="1"/>
  <c r="V49" i="1"/>
  <c r="V46" i="1"/>
  <c r="V48" i="1"/>
  <c r="V47" i="1"/>
  <c r="O19" i="1"/>
  <c r="O26" i="1"/>
  <c r="E24" i="2"/>
  <c r="E33" i="2" s="1"/>
  <c r="E40" i="2"/>
  <c r="F27" i="1"/>
  <c r="F21" i="1"/>
  <c r="F22" i="1" s="1"/>
  <c r="F40" i="2"/>
  <c r="G40" i="2"/>
  <c r="T45" i="1"/>
  <c r="U45" i="1"/>
  <c r="R22" i="1"/>
  <c r="J27" i="1"/>
  <c r="J21" i="1"/>
  <c r="M22" i="1"/>
  <c r="N27" i="1"/>
  <c r="N21" i="1"/>
  <c r="Q21" i="1"/>
  <c r="Q22" i="1" s="1"/>
  <c r="Q27" i="1"/>
  <c r="J62" i="2"/>
  <c r="K17" i="2"/>
  <c r="K22" i="1"/>
  <c r="C27" i="1"/>
  <c r="C21" i="1"/>
  <c r="D24" i="2"/>
  <c r="D32" i="2"/>
  <c r="H21" i="1"/>
  <c r="H27" i="1"/>
  <c r="L27" i="1"/>
  <c r="L21" i="1"/>
  <c r="N45" i="1" s="1"/>
  <c r="D26" i="1"/>
  <c r="D19" i="1"/>
  <c r="P21" i="1"/>
  <c r="P22" i="1" s="1"/>
  <c r="P27" i="1"/>
  <c r="F19" i="2"/>
  <c r="F36" i="2"/>
  <c r="J39" i="2"/>
  <c r="E22" i="1"/>
  <c r="C24" i="2"/>
  <c r="C32" i="2"/>
  <c r="G24" i="2"/>
  <c r="G32" i="2"/>
  <c r="J38" i="2"/>
  <c r="H63" i="2"/>
  <c r="B28" i="2"/>
  <c r="B29" i="2" s="1"/>
  <c r="B34" i="2"/>
  <c r="J23" i="2"/>
  <c r="J40" i="2" s="1"/>
  <c r="J37" i="2"/>
  <c r="B21" i="1"/>
  <c r="B27" i="1"/>
  <c r="I22" i="1"/>
  <c r="E26" i="2" l="1"/>
  <c r="O21" i="1"/>
  <c r="O22" i="1" s="1"/>
  <c r="O27" i="1"/>
  <c r="S45" i="1"/>
  <c r="S46" i="1" s="1"/>
  <c r="R45" i="1"/>
  <c r="U46" i="1"/>
  <c r="U49" i="1"/>
  <c r="U47" i="1"/>
  <c r="U48" i="1"/>
  <c r="R47" i="1"/>
  <c r="R46" i="1"/>
  <c r="R49" i="1"/>
  <c r="R48" i="1"/>
  <c r="T46" i="1"/>
  <c r="T49" i="1"/>
  <c r="T47" i="1"/>
  <c r="T48" i="1"/>
  <c r="B22" i="1"/>
  <c r="N46" i="1"/>
  <c r="N47" i="1"/>
  <c r="N49" i="1"/>
  <c r="N48" i="1"/>
  <c r="K37" i="2"/>
  <c r="K23" i="2"/>
  <c r="K40" i="2" s="1"/>
  <c r="F32" i="2"/>
  <c r="F24" i="2"/>
  <c r="G26" i="2"/>
  <c r="G33" i="2"/>
  <c r="M45" i="1"/>
  <c r="J22" i="1"/>
  <c r="C33" i="2"/>
  <c r="C26" i="2"/>
  <c r="K39" i="2"/>
  <c r="K62" i="2"/>
  <c r="H36" i="2"/>
  <c r="I63" i="2"/>
  <c r="D21" i="1"/>
  <c r="D27" i="1"/>
  <c r="Q45" i="1"/>
  <c r="N22" i="1"/>
  <c r="K38" i="2"/>
  <c r="O45" i="1"/>
  <c r="L22" i="1"/>
  <c r="P45" i="1"/>
  <c r="K45" i="1"/>
  <c r="H22" i="1"/>
  <c r="J45" i="1"/>
  <c r="I45" i="1"/>
  <c r="L45" i="1"/>
  <c r="D26" i="2"/>
  <c r="D33" i="2"/>
  <c r="E28" i="2"/>
  <c r="E29" i="2" s="1"/>
  <c r="E34" i="2"/>
  <c r="H45" i="1"/>
  <c r="F45" i="1"/>
  <c r="C22" i="1"/>
  <c r="N38" i="2" l="1"/>
  <c r="N23" i="2"/>
  <c r="L17" i="2"/>
  <c r="S47" i="1"/>
  <c r="S49" i="1"/>
  <c r="S48" i="1"/>
  <c r="Q48" i="1"/>
  <c r="Q47" i="1"/>
  <c r="Q46" i="1"/>
  <c r="Q49" i="1"/>
  <c r="G34" i="2"/>
  <c r="G28" i="2"/>
  <c r="L49" i="1"/>
  <c r="L47" i="1"/>
  <c r="L46" i="1"/>
  <c r="L48" i="1"/>
  <c r="H32" i="2"/>
  <c r="M48" i="1"/>
  <c r="M49" i="1"/>
  <c r="M47" i="1"/>
  <c r="M46" i="1"/>
  <c r="G45" i="1"/>
  <c r="D22" i="1"/>
  <c r="I36" i="2"/>
  <c r="L23" i="2"/>
  <c r="L40" i="2" s="1"/>
  <c r="L37" i="2"/>
  <c r="D28" i="2"/>
  <c r="D29" i="2" s="1"/>
  <c r="D34" i="2"/>
  <c r="J63" i="2"/>
  <c r="F26" i="2"/>
  <c r="F33" i="2"/>
  <c r="P49" i="1"/>
  <c r="P48" i="1"/>
  <c r="P47" i="1"/>
  <c r="P46" i="1"/>
  <c r="L62" i="2"/>
  <c r="O48" i="1"/>
  <c r="O49" i="1"/>
  <c r="O47" i="1"/>
  <c r="O46" i="1"/>
  <c r="L39" i="2"/>
  <c r="E45" i="1"/>
  <c r="L38" i="2"/>
  <c r="C28" i="2"/>
  <c r="C29" i="2" s="1"/>
  <c r="C34" i="2"/>
  <c r="T38" i="2" l="1"/>
  <c r="N24" i="2"/>
  <c r="U38" i="2"/>
  <c r="M17" i="2"/>
  <c r="T17" i="2" s="1"/>
  <c r="U17" i="2" s="1"/>
  <c r="V17" i="2" s="1"/>
  <c r="W17" i="2" s="1"/>
  <c r="M62" i="2"/>
  <c r="I32" i="2"/>
  <c r="J19" i="2" s="1"/>
  <c r="M39" i="2"/>
  <c r="K63" i="2"/>
  <c r="M63" i="2"/>
  <c r="M38" i="2"/>
  <c r="H33" i="2"/>
  <c r="F34" i="2"/>
  <c r="F28" i="2"/>
  <c r="J36" i="2"/>
  <c r="M37" i="2"/>
  <c r="M23" i="2"/>
  <c r="M40" i="2" s="1"/>
  <c r="G29" i="2"/>
  <c r="G56" i="2"/>
  <c r="G55" i="2"/>
  <c r="G54" i="2"/>
  <c r="G53" i="2"/>
  <c r="N33" i="2" l="1"/>
  <c r="N40" i="2"/>
  <c r="V38" i="2"/>
  <c r="W38" i="2"/>
  <c r="J32" i="2"/>
  <c r="K19" i="2" s="1"/>
  <c r="K18" i="2" s="1"/>
  <c r="J24" i="2"/>
  <c r="F55" i="2"/>
  <c r="F54" i="2"/>
  <c r="F53" i="2"/>
  <c r="F29" i="2"/>
  <c r="F56" i="2"/>
  <c r="H34" i="2"/>
  <c r="K36" i="2"/>
  <c r="L63" i="2"/>
  <c r="J18" i="2"/>
  <c r="I33" i="2"/>
  <c r="H28" i="2" l="1"/>
  <c r="L36" i="2"/>
  <c r="O38" i="2"/>
  <c r="J33" i="2"/>
  <c r="K24" i="2"/>
  <c r="K32" i="2"/>
  <c r="L19" i="2" s="1"/>
  <c r="O23" i="2"/>
  <c r="O40" i="2" s="1"/>
  <c r="O37" i="2"/>
  <c r="O39" i="2"/>
  <c r="H29" i="2" l="1"/>
  <c r="H54" i="2"/>
  <c r="H53" i="2"/>
  <c r="H55" i="2"/>
  <c r="H56" i="2"/>
  <c r="L32" i="2"/>
  <c r="M19" i="2" s="1"/>
  <c r="M18" i="2" s="1"/>
  <c r="L24" i="2"/>
  <c r="L18" i="2"/>
  <c r="P23" i="2"/>
  <c r="P40" i="2" s="1"/>
  <c r="P37" i="2"/>
  <c r="K33" i="2"/>
  <c r="P38" i="2"/>
  <c r="M36" i="2"/>
  <c r="P39" i="2"/>
  <c r="M24" i="2" l="1"/>
  <c r="M32" i="2"/>
  <c r="Q38" i="2"/>
  <c r="I34" i="2"/>
  <c r="Q23" i="2"/>
  <c r="Q40" i="2" s="1"/>
  <c r="Q37" i="2"/>
  <c r="L33" i="2"/>
  <c r="Q39" i="2"/>
  <c r="I28" i="2" l="1"/>
  <c r="R37" i="2"/>
  <c r="R23" i="2"/>
  <c r="R40" i="2" s="1"/>
  <c r="O36" i="2"/>
  <c r="O19" i="2"/>
  <c r="R39" i="2"/>
  <c r="M33" i="2"/>
  <c r="R38" i="2"/>
  <c r="S38" i="2"/>
  <c r="I29" i="2" l="1"/>
  <c r="I54" i="2"/>
  <c r="I55" i="2"/>
  <c r="I53" i="2"/>
  <c r="I56" i="2"/>
  <c r="S39" i="2"/>
  <c r="J25" i="2"/>
  <c r="J26" i="2" s="1"/>
  <c r="T37" i="2"/>
  <c r="T23" i="2"/>
  <c r="O24" i="2"/>
  <c r="O32" i="2"/>
  <c r="P19" i="2" s="1"/>
  <c r="O18" i="2"/>
  <c r="S37" i="2"/>
  <c r="S23" i="2"/>
  <c r="S40" i="2" s="1"/>
  <c r="P36" i="2"/>
  <c r="T39" i="2" l="1"/>
  <c r="T40" i="2"/>
  <c r="U23" i="2"/>
  <c r="U40" i="2" s="1"/>
  <c r="U37" i="2"/>
  <c r="J27" i="2"/>
  <c r="J34" i="2" s="1"/>
  <c r="P24" i="2"/>
  <c r="P32" i="2"/>
  <c r="Q19" i="2" s="1"/>
  <c r="Q36" i="2"/>
  <c r="P18" i="2"/>
  <c r="O33" i="2"/>
  <c r="U39" i="2" l="1"/>
  <c r="V23" i="2"/>
  <c r="V40" i="2" s="1"/>
  <c r="V37" i="2"/>
  <c r="R36" i="2"/>
  <c r="P33" i="2"/>
  <c r="Q24" i="2"/>
  <c r="Q32" i="2"/>
  <c r="R19" i="2" s="1"/>
  <c r="Q18" i="2"/>
  <c r="J28" i="2"/>
  <c r="V39" i="2" l="1"/>
  <c r="W39" i="2"/>
  <c r="W23" i="2"/>
  <c r="W40" i="2" s="1"/>
  <c r="W37" i="2"/>
  <c r="T36" i="2"/>
  <c r="R32" i="2"/>
  <c r="R24" i="2"/>
  <c r="R18" i="2"/>
  <c r="J29" i="2"/>
  <c r="J42" i="2"/>
  <c r="Q33" i="2"/>
  <c r="S19" i="2"/>
  <c r="S18" i="2" s="1"/>
  <c r="S36" i="2"/>
  <c r="U36" i="2" l="1"/>
  <c r="S32" i="2"/>
  <c r="T19" i="2" s="1"/>
  <c r="S24" i="2"/>
  <c r="K25" i="2"/>
  <c r="K26" i="2" s="1"/>
  <c r="R33" i="2"/>
  <c r="T32" i="2" l="1"/>
  <c r="U19" i="2" s="1"/>
  <c r="T24" i="2"/>
  <c r="T18" i="2"/>
  <c r="V36" i="2"/>
  <c r="K27" i="2"/>
  <c r="K34" i="2" s="1"/>
  <c r="S33" i="2"/>
  <c r="W36" i="2" l="1"/>
  <c r="T33" i="2"/>
  <c r="U32" i="2"/>
  <c r="V19" i="2" s="1"/>
  <c r="U24" i="2"/>
  <c r="U18" i="2"/>
  <c r="K28" i="2"/>
  <c r="K42" i="2" s="1"/>
  <c r="K29" i="2" l="1"/>
  <c r="U33" i="2"/>
  <c r="V32" i="2"/>
  <c r="W19" i="2" s="1"/>
  <c r="V24" i="2"/>
  <c r="V18" i="2"/>
  <c r="L25" i="2"/>
  <c r="L26" i="2" s="1"/>
  <c r="V33" i="2" l="1"/>
  <c r="W32" i="2"/>
  <c r="W24" i="2"/>
  <c r="W18" i="2"/>
  <c r="L27" i="2"/>
  <c r="L34" i="2" s="1"/>
  <c r="W33" i="2" l="1"/>
  <c r="L28" i="2"/>
  <c r="L29" i="2" l="1"/>
  <c r="L42" i="2"/>
  <c r="M25" i="2" s="1"/>
  <c r="M26" i="2" s="1"/>
  <c r="M27" i="2" l="1"/>
  <c r="M34" i="2" s="1"/>
  <c r="M28" i="2"/>
  <c r="M29" i="2" l="1"/>
  <c r="M42" i="2"/>
  <c r="N25" i="2" l="1"/>
  <c r="N26" i="2" s="1"/>
  <c r="N27" i="2" l="1"/>
  <c r="N34" i="2" s="1"/>
  <c r="N28" i="2"/>
  <c r="N29" i="2" l="1"/>
  <c r="N42" i="2"/>
  <c r="O25" i="2" s="1"/>
  <c r="O26" i="2" s="1"/>
  <c r="O27" i="2" s="1"/>
  <c r="O34" i="2" s="1"/>
  <c r="O28" i="2"/>
  <c r="O29" i="2" s="1"/>
  <c r="O42" i="2" l="1"/>
  <c r="P25" i="2"/>
  <c r="P26" i="2" s="1"/>
  <c r="P27" i="2" l="1"/>
  <c r="P34" i="2" s="1"/>
  <c r="P28" i="2" l="1"/>
  <c r="P29" i="2" l="1"/>
  <c r="P42" i="2"/>
  <c r="Q25" i="2" l="1"/>
  <c r="Q26" i="2" s="1"/>
  <c r="Q27" i="2" l="1"/>
  <c r="Q34" i="2" s="1"/>
  <c r="Q28" i="2" l="1"/>
  <c r="Q29" i="2"/>
  <c r="Q42" i="2"/>
  <c r="R25" i="2" l="1"/>
  <c r="R26" i="2" s="1"/>
  <c r="R27" i="2" l="1"/>
  <c r="R34" i="2" s="1"/>
  <c r="R28" i="2" l="1"/>
  <c r="R29" i="2" s="1"/>
  <c r="R42" i="2" l="1"/>
  <c r="S25" i="2" s="1"/>
  <c r="S26" i="2" s="1"/>
  <c r="S27" i="2" l="1"/>
  <c r="S34" i="2" s="1"/>
  <c r="S28" i="2" l="1"/>
  <c r="S29" i="2" s="1"/>
  <c r="S42" i="2" l="1"/>
  <c r="T25" i="2" l="1"/>
  <c r="T26" i="2" s="1"/>
  <c r="T27" i="2" l="1"/>
  <c r="T34" i="2" s="1"/>
  <c r="T28" i="2" l="1"/>
  <c r="T29" i="2" s="1"/>
  <c r="T42" i="2"/>
  <c r="U25" i="2" l="1"/>
  <c r="U26" i="2" s="1"/>
  <c r="U27" i="2" l="1"/>
  <c r="U34" i="2" s="1"/>
  <c r="U28" i="2"/>
  <c r="U29" i="2" l="1"/>
  <c r="U42" i="2"/>
  <c r="V25" i="2" l="1"/>
  <c r="V26" i="2" s="1"/>
  <c r="V27" i="2" l="1"/>
  <c r="V34" i="2" s="1"/>
  <c r="V28" i="2"/>
  <c r="V29" i="2" l="1"/>
  <c r="V42" i="2"/>
  <c r="W25" i="2" l="1"/>
  <c r="W26" i="2" s="1"/>
  <c r="W27" i="2" l="1"/>
  <c r="W34" i="2" s="1"/>
  <c r="W28" i="2"/>
  <c r="W29" i="2" l="1"/>
  <c r="Y28" i="2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W42" i="2"/>
  <c r="DU28" i="2" l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EN28" i="2" s="1"/>
  <c r="EO28" i="2" s="1"/>
  <c r="EP28" i="2" s="1"/>
  <c r="EQ28" i="2" s="1"/>
  <c r="ER28" i="2" s="1"/>
  <c r="ES28" i="2" s="1"/>
  <c r="ET28" i="2" s="1"/>
  <c r="EU28" i="2" s="1"/>
  <c r="EV28" i="2" s="1"/>
  <c r="EW28" i="2" s="1"/>
  <c r="EX28" i="2" s="1"/>
  <c r="EY28" i="2" s="1"/>
  <c r="EZ28" i="2" s="1"/>
  <c r="FA28" i="2" s="1"/>
  <c r="FB28" i="2" s="1"/>
  <c r="FC28" i="2" s="1"/>
  <c r="FD28" i="2" s="1"/>
  <c r="FE28" i="2" s="1"/>
  <c r="FF28" i="2" s="1"/>
  <c r="FG28" i="2" s="1"/>
  <c r="FH28" i="2" s="1"/>
  <c r="FI28" i="2" s="1"/>
  <c r="FJ28" i="2" s="1"/>
  <c r="FK28" i="2" s="1"/>
  <c r="FL28" i="2" s="1"/>
  <c r="FM28" i="2" s="1"/>
  <c r="FN28" i="2" s="1"/>
  <c r="FO28" i="2" s="1"/>
  <c r="FP28" i="2" s="1"/>
  <c r="FQ28" i="2" s="1"/>
  <c r="FR28" i="2" s="1"/>
  <c r="FS28" i="2" s="1"/>
  <c r="FT28" i="2" s="1"/>
  <c r="FU28" i="2" s="1"/>
  <c r="FV28" i="2" s="1"/>
  <c r="FW28" i="2" s="1"/>
  <c r="FX28" i="2" s="1"/>
  <c r="FY28" i="2" s="1"/>
  <c r="F7" i="2"/>
  <c r="G7" i="2" s="1"/>
</calcChain>
</file>

<file path=xl/sharedStrings.xml><?xml version="1.0" encoding="utf-8"?>
<sst xmlns="http://schemas.openxmlformats.org/spreadsheetml/2006/main" count="161" uniqueCount="113">
  <si>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</si>
  <si>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</si>
  <si>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</si>
  <si>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</si>
  <si>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</si>
  <si>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</si>
  <si>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</si>
  <si>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</si>
  <si>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</si>
  <si>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</si>
  <si>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</si>
  <si>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</si>
  <si>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</si>
  <si>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</si>
  <si>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</si>
  <si>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</si>
  <si>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</si>
  <si>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</si>
  <si>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</si>
  <si>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</si>
  <si>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</si>
  <si>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</si>
  <si>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</si>
  <si>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</si>
  <si>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</si>
  <si>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</si>
  <si>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</si>
  <si>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</si>
  <si>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</si>
  <si>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</si>
  <si>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</si>
  <si>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</si>
  <si>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</si>
  <si>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</si>
  <si>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</si>
  <si>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</si>
  <si>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</si>
  <si>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</si>
  <si>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</si>
  <si>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</si>
  <si>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</si>
  <si>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</si>
  <si>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</si>
  <si>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</si>
  <si>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</si>
  <si>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</si>
  <si>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</si>
  <si>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</si>
  <si>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</si>
  <si>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</si>
  <si>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</si>
  <si>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</si>
  <si>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</si>
  <si>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</si>
  <si>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</si>
  <si>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</si>
  <si>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</si>
  <si>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</si>
  <si>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</si>
  <si>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</si>
  <si>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</si>
  <si>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</si>
  <si>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</si>
  <si>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</si>
  <si>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</si>
  <si>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</si>
  <si>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</si>
  <si>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</si>
  <si>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</si>
  <si>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</si>
  <si>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</si>
  <si>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</si>
  <si>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Other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</si>
  <si>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</si>
  <si>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</si>
  <si>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</si>
  <si>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</si>
  <si>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</si>
  <si>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</si>
  <si>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</si>
  <si>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</si>
  <si>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</si>
  <si>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</si>
  <si>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</si>
  <si>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ARPU</t>
  </si>
  <si>
    <t>ARPU y/y</t>
  </si>
  <si>
    <t>Etsy Inc (ETSY)</t>
  </si>
  <si>
    <t>Josh Silverman</t>
  </si>
  <si>
    <t>Rob Kalin</t>
  </si>
  <si>
    <t>Haim Schoppik</t>
  </si>
  <si>
    <t>Marketplace</t>
  </si>
  <si>
    <t>Services</t>
  </si>
  <si>
    <t>Marketplace y/y</t>
  </si>
  <si>
    <t>Services y/y</t>
  </si>
  <si>
    <t>Other y/y</t>
  </si>
  <si>
    <t>Active buyers</t>
  </si>
  <si>
    <t>Active buyers y/y</t>
  </si>
  <si>
    <t>31/3/2019</t>
  </si>
  <si>
    <t>30/6/2019</t>
  </si>
  <si>
    <t>30/9/2019</t>
  </si>
  <si>
    <t>31/12/2019</t>
  </si>
  <si>
    <t>GMS</t>
  </si>
  <si>
    <t>34-35%</t>
  </si>
  <si>
    <t>OE y/y</t>
  </si>
  <si>
    <t>Q120</t>
  </si>
  <si>
    <t>Q220</t>
  </si>
  <si>
    <t>Q320</t>
  </si>
  <si>
    <t>Q420</t>
  </si>
  <si>
    <t>Q121</t>
  </si>
  <si>
    <t>Q221</t>
  </si>
  <si>
    <t>Q321</t>
  </si>
  <si>
    <t>Q421</t>
  </si>
  <si>
    <t>GMS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</si>
</sst>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2" fontId="6" fillId="2" borderId="0" xfId="0" applyNumberFormat="1" applyFont="1" applyFill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9" fontId="6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6" fillId="0" borderId="1" xfId="0" applyFont="1" applyBorder="1"/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2" borderId="0" xfId="0" applyNumberFormat="1" applyFont="1" applyFill="1" applyBorder="1"/>
    <xf numFmtId="0" fontId="7" fillId="0" borderId="0" xfId="0" applyFont="1" applyAlignment="1">
      <alignment horizontal="right"/>
    </xf>
    <xf numFmtId="166" fontId="6" fillId="2" borderId="0" xfId="0" applyNumberFormat="1" applyFont="1" applyFill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9" fontId="7" fillId="0" borderId="0" xfId="1" applyFont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Font="1" applyBorder="1" applyAlignment="1">
      <alignment horizontal="left"/>
    </xf>
    <xf numFmtId="4" fontId="6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1" xfId="0" applyNumberFormat="1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1" xfId="0" applyNumberFormat="1" applyFont="1" applyBorder="1"/>
    <xf numFmtId="3" fontId="5" fillId="0" borderId="0" xfId="0" applyNumberFormat="1" applyFont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183661</xdr:colOff>
      <xdr:row>8</xdr:row>
      <xdr:rowOff>0</xdr:rowOff>
    </xdr:from>
    <xdr:to>
      <xdr:col>9</xdr:col>
      <xdr:colOff>183661</xdr:colOff>
      <xdr:row>64</xdr:row>
      <xdr:rowOff>35169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8165123" y="1338384"/>
          <a:ext cx="0" cy="965786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193432</xdr:colOff>
      <xdr:row>0</xdr:row>
      <xdr:rowOff>152400</xdr:rowOff>
    </xdr:from>
    <xdr:to>
      <xdr:col>25</xdr:col>
      <xdr:colOff>193432</xdr:colOff>
      <xdr:row>59</xdr:row>
      <xdr:rowOff>156308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1461047" y="152400"/>
          <a:ext cx="0" cy="980244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s.etsy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etsy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63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I2" sqref="I2"/>
    </sheetView>
  </sheetViews>
  <sheetFormatPr baseColWidth="10" defaultRowHeight="13" x14ac:dyDescent="0.15"/>
  <cols>
    <col min="1" max="1" width="17.5" style="3" bestFit="1" customWidth="1"/>
    <col min="2" max="16384" width="10.83203125" style="3"/>
  </cols>
  <sheetData>
    <row r="1" spans="1:24" x14ac:dyDescent="0.15">
      <c r="A1" s="1" t="s">
        <v>83</v>
      </c>
      <c r="B1" s="2" t="s">
        <v>86</v>
      </c>
    </row>
    <row r="2" spans="1:24" x14ac:dyDescent="0.15">
      <c r="B2" s="3" t="s">
        <v>64</v>
      </c>
      <c r="C2" s="4">
        <v>197.68</v>
      </c>
      <c r="D2" s="61">
        <v>43886</v>
      </c>
      <c r="E2" s="6" t="s">
        <v>37</v>
      </c>
      <c r="F2" s="7">
        <v>-5.0000000000000001E-3</v>
      </c>
      <c r="I2" s="16"/>
    </row>
    <row r="3" spans="1:24" x14ac:dyDescent="0.15">
      <c r="A3" s="2" t="s">
        <v>62</v>
      </c>
      <c r="B3" s="3" t="s">
        <v>17</v>
      </c>
      <c r="C3" s="8">
        <f>Reports!Y23</f>
        <v>141.14054300000001</v>
      </c>
      <c r="D3" s="62" t="s">
        <v>107</v>
      </c>
      <c r="E3" s="6" t="s">
        <v>38</v>
      </c>
      <c r="F3" s="7">
        <v>0.02</v>
      </c>
      <c r="G3" s="5"/>
      <c r="I3" s="16"/>
    </row>
    <row r="4" spans="1:24" x14ac:dyDescent="0.15">
      <c r="A4" s="3" t="s">
        <v>87</v>
      </c>
      <c r="B4" s="3" t="s">
        <v>65</v>
      </c>
      <c r="C4" s="9">
        <f>C2*C3</f>
        <v>27900.662540240002</v>
      </c>
      <c r="D4" s="62"/>
      <c r="E4" s="6" t="s">
        <v>39</v>
      </c>
      <c r="F4" s="7">
        <v>7.0000000000000007E-2</v>
      </c>
      <c r="G4" s="5"/>
      <c r="I4" s="21"/>
    </row>
    <row r="5" spans="1:24" x14ac:dyDescent="0.15">
      <c r="B5" s="3" t="s">
        <v>33</v>
      </c>
      <c r="C5" s="8">
        <f>Reports!Y34</f>
        <v>646</v>
      </c>
      <c r="D5" s="62" t="s">
        <v>107</v>
      </c>
      <c r="E5" s="6" t="s">
        <v>40</v>
      </c>
      <c r="F5" s="10">
        <f>NPV(F4,J28:DT28)</f>
        <v>45539.608576151652</v>
      </c>
      <c r="G5" s="5"/>
      <c r="I5" s="21"/>
    </row>
    <row r="6" spans="1:24" x14ac:dyDescent="0.15">
      <c r="A6" s="2" t="s">
        <v>63</v>
      </c>
      <c r="B6" s="3" t="s">
        <v>66</v>
      </c>
      <c r="C6" s="9">
        <f>C4-C5</f>
        <v>27254.662540240002</v>
      </c>
      <c r="D6" s="62"/>
      <c r="E6" s="11" t="s">
        <v>41</v>
      </c>
      <c r="F6" s="12">
        <f>F5+C5</f>
        <v>46185.608576151652</v>
      </c>
      <c r="I6" s="21"/>
    </row>
    <row r="7" spans="1:24" x14ac:dyDescent="0.15">
      <c r="A7" s="3" t="s">
        <v>88</v>
      </c>
      <c r="B7" s="5" t="s">
        <v>67</v>
      </c>
      <c r="C7" s="49">
        <f>C6/C3</f>
        <v>193.10300187976463</v>
      </c>
      <c r="D7" s="62"/>
      <c r="E7" s="13" t="s">
        <v>67</v>
      </c>
      <c r="F7" s="14">
        <f>F6/C3</f>
        <v>327.23133689624285</v>
      </c>
      <c r="G7" s="21">
        <f>F7/C2-1</f>
        <v>0.65535884710766301</v>
      </c>
    </row>
    <row r="8" spans="1:24" x14ac:dyDescent="0.15">
      <c r="A8" s="3" t="s">
        <v>89</v>
      </c>
      <c r="G8" s="6"/>
      <c r="H8" s="15"/>
    </row>
    <row r="9" spans="1:24" x14ac:dyDescent="0.15">
      <c r="B9" s="44">
        <v>2013</v>
      </c>
      <c r="C9" s="44">
        <v>2014</v>
      </c>
      <c r="D9" s="44">
        <v>2015</v>
      </c>
      <c r="E9" s="44">
        <v>2016</v>
      </c>
      <c r="F9" s="44">
        <v>2017</v>
      </c>
      <c r="G9" s="44">
        <f>F9+1</f>
        <v>2018</v>
      </c>
      <c r="H9" s="44">
        <f t="shared" ref="H9:X9" si="0">G9+1</f>
        <v>2019</v>
      </c>
      <c r="I9" s="44">
        <f t="shared" si="0"/>
        <v>2020</v>
      </c>
      <c r="J9" s="44">
        <f t="shared" si="0"/>
        <v>2021</v>
      </c>
      <c r="K9" s="44">
        <f t="shared" si="0"/>
        <v>2022</v>
      </c>
      <c r="L9" s="44">
        <f t="shared" si="0"/>
        <v>2023</v>
      </c>
      <c r="M9" s="44">
        <f t="shared" si="0"/>
        <v>2024</v>
      </c>
      <c r="N9" s="44">
        <f t="shared" si="0"/>
        <v>2025</v>
      </c>
      <c r="O9" s="44">
        <f t="shared" si="0"/>
        <v>2026</v>
      </c>
      <c r="P9" s="44">
        <f t="shared" si="0"/>
        <v>2027</v>
      </c>
      <c r="Q9" s="44">
        <f t="shared" si="0"/>
        <v>2028</v>
      </c>
      <c r="R9" s="44">
        <f t="shared" si="0"/>
        <v>2029</v>
      </c>
      <c r="S9" s="44">
        <f t="shared" si="0"/>
        <v>2030</v>
      </c>
      <c r="T9" s="44">
        <f t="shared" si="0"/>
        <v>2031</v>
      </c>
      <c r="U9" s="44">
        <f t="shared" si="0"/>
        <v>2032</v>
      </c>
      <c r="V9" s="44">
        <f t="shared" si="0"/>
        <v>2033</v>
      </c>
      <c r="W9" s="44">
        <f t="shared" si="0"/>
        <v>2034</v>
      </c>
      <c r="X9" s="44">
        <f t="shared" si="0"/>
        <v>2035</v>
      </c>
    </row>
    <row r="10" spans="1:24" x14ac:dyDescent="0.15">
      <c r="A10" s="3" t="s">
        <v>90</v>
      </c>
      <c r="B10" s="25">
        <v>78.543999999999997</v>
      </c>
      <c r="C10" s="25">
        <v>108.732</v>
      </c>
      <c r="D10" s="25">
        <f>SUM(Reports!B3:E3)</f>
        <v>132.648</v>
      </c>
      <c r="E10" s="25">
        <f>SUM(Reports!F3:I3)</f>
        <v>158.20400000000001</v>
      </c>
      <c r="F10" s="43">
        <f>SUM(Reports!J3:M3)</f>
        <v>278.06599999999997</v>
      </c>
      <c r="G10" s="43">
        <f>SUM(Reports!N3:Q3)</f>
        <v>440.74</v>
      </c>
      <c r="H10" s="43">
        <f>SUM(Reports!R3:U3)</f>
        <v>590.65100000000007</v>
      </c>
      <c r="I10" s="43">
        <f>SUM(Reports!V3:Y3)</f>
        <v>1303.126</v>
      </c>
      <c r="J10" s="43"/>
      <c r="K10" s="43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</row>
    <row r="11" spans="1:24" x14ac:dyDescent="0.15">
      <c r="A11" s="3" t="s">
        <v>91</v>
      </c>
      <c r="B11" s="25">
        <v>42.817</v>
      </c>
      <c r="C11" s="25">
        <v>82.501999999999995</v>
      </c>
      <c r="D11" s="25">
        <f>SUM(Reports!B4:E4)</f>
        <v>136.608</v>
      </c>
      <c r="E11" s="25">
        <f>SUM(Reports!F4:I4)</f>
        <v>200.857</v>
      </c>
      <c r="F11" s="43">
        <f>SUM(Reports!J4:M4)</f>
        <v>159.87900000000002</v>
      </c>
      <c r="G11" s="43">
        <f>SUM(Reports!N4:Q4)</f>
        <v>158.928</v>
      </c>
      <c r="H11" s="43">
        <f>SUM(Reports!R4:U4)</f>
        <v>226.34699999999998</v>
      </c>
      <c r="I11" s="43">
        <f>SUM(Reports!V4:Y4)</f>
        <v>422.49900000000002</v>
      </c>
      <c r="J11" s="43"/>
      <c r="K11" s="43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</row>
    <row r="12" spans="1:24" x14ac:dyDescent="0.15">
      <c r="A12" s="3" t="s">
        <v>72</v>
      </c>
      <c r="B12" s="25">
        <v>3.661</v>
      </c>
      <c r="C12" s="25">
        <v>4.3570000000000002</v>
      </c>
      <c r="D12" s="25">
        <f>SUM(Reports!B5:E5)</f>
        <v>4.2429999999999994</v>
      </c>
      <c r="E12" s="25">
        <f>SUM(Reports!F5:I5)</f>
        <v>5.9059999999999997</v>
      </c>
      <c r="F12" s="43">
        <f>SUM(Reports!J5:M5)</f>
        <v>3.2680000000000002</v>
      </c>
      <c r="G12" s="43">
        <f>SUM(Reports!N5:Q5)</f>
        <v>4.1590000000000007</v>
      </c>
      <c r="H12" s="43"/>
      <c r="I12" s="43"/>
      <c r="J12" s="43"/>
      <c r="K12" s="43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</row>
    <row r="13" spans="1:24" x14ac:dyDescent="0.15">
      <c r="B13" s="25"/>
      <c r="C13" s="25"/>
      <c r="D13" s="25"/>
      <c r="E13" s="25"/>
      <c r="F13" s="43"/>
      <c r="G13" s="43"/>
      <c r="H13" s="43"/>
      <c r="I13" s="43"/>
      <c r="J13" s="43"/>
      <c r="K13" s="43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</row>
    <row r="14" spans="1:24" s="16" customFormat="1" x14ac:dyDescent="0.15">
      <c r="A14" s="16" t="s">
        <v>95</v>
      </c>
      <c r="B14" s="25">
        <v>14.032</v>
      </c>
      <c r="C14" s="25">
        <v>19.809999999999999</v>
      </c>
      <c r="D14" s="25">
        <f>Reports!E7</f>
        <v>24.045999999999999</v>
      </c>
      <c r="E14" s="25">
        <f>Reports!I7</f>
        <v>28.565999999999999</v>
      </c>
      <c r="F14" s="43">
        <f>Reports!M7</f>
        <v>33.363999999999997</v>
      </c>
      <c r="G14" s="43">
        <f>Reports!Q7</f>
        <v>39.447000000000003</v>
      </c>
      <c r="H14" s="43">
        <f>Reports!U7</f>
        <v>46.350999999999999</v>
      </c>
      <c r="I14" s="43">
        <f>Reports!Y7</f>
        <v>81.897999999999996</v>
      </c>
      <c r="J14" s="43">
        <f>I14*1.2</f>
        <v>98.277599999999993</v>
      </c>
      <c r="K14" s="43">
        <f>J14*1.1</f>
        <v>108.10536</v>
      </c>
      <c r="L14" s="43">
        <f t="shared" ref="L14:N14" si="1">K14*1.1</f>
        <v>118.91589600000002</v>
      </c>
      <c r="M14" s="43">
        <f t="shared" si="1"/>
        <v>130.80748560000004</v>
      </c>
      <c r="N14" s="43">
        <f t="shared" ref="N14" si="2">M14*1.1</f>
        <v>143.88823416000005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</row>
    <row r="15" spans="1:24" x14ac:dyDescent="0.15">
      <c r="A15" s="3" t="s">
        <v>84</v>
      </c>
      <c r="B15" s="51">
        <f t="shared" ref="B15:H15" si="3">SUM(B10:B12)/B14</f>
        <v>8.9097776510832372</v>
      </c>
      <c r="C15" s="51">
        <f t="shared" si="3"/>
        <v>9.8733467945482083</v>
      </c>
      <c r="D15" s="51">
        <f t="shared" si="3"/>
        <v>11.373991516260499</v>
      </c>
      <c r="E15" s="51">
        <f t="shared" si="3"/>
        <v>12.776272491773438</v>
      </c>
      <c r="F15" s="51">
        <f t="shared" si="3"/>
        <v>13.224223714182951</v>
      </c>
      <c r="G15" s="51">
        <f t="shared" si="3"/>
        <v>15.307298400385326</v>
      </c>
      <c r="H15" s="51">
        <f t="shared" si="3"/>
        <v>17.626329529028503</v>
      </c>
      <c r="I15" s="43">
        <f>H15*1.15</f>
        <v>20.270278958382775</v>
      </c>
      <c r="J15" s="43">
        <f t="shared" ref="J15:N15" si="4">I15*1.15</f>
        <v>23.310820802140189</v>
      </c>
      <c r="K15" s="43">
        <f t="shared" si="4"/>
        <v>26.807443922461214</v>
      </c>
      <c r="L15" s="43">
        <f t="shared" si="4"/>
        <v>30.828560510830393</v>
      </c>
      <c r="M15" s="43">
        <f t="shared" si="4"/>
        <v>35.452844587454948</v>
      </c>
      <c r="N15" s="43">
        <f t="shared" si="4"/>
        <v>40.770771275573189</v>
      </c>
      <c r="O15" s="44"/>
      <c r="P15" s="44"/>
      <c r="Q15" s="44"/>
      <c r="R15" s="44"/>
      <c r="S15" s="44"/>
      <c r="T15" s="44"/>
      <c r="U15" s="44"/>
      <c r="V15" s="44"/>
      <c r="W15" s="44"/>
      <c r="X15" s="44"/>
    </row>
    <row r="16" spans="1:24" x14ac:dyDescent="0.15">
      <c r="B16" s="44"/>
      <c r="C16" s="44"/>
      <c r="D16" s="44"/>
      <c r="E16" s="44"/>
      <c r="F16" s="44"/>
      <c r="G16" s="50"/>
      <c r="H16" s="43"/>
      <c r="I16" s="43"/>
      <c r="J16" s="43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</row>
    <row r="17" spans="1:181" x14ac:dyDescent="0.15">
      <c r="A17" s="2" t="s">
        <v>4</v>
      </c>
      <c r="B17" s="26">
        <f>B14*B15</f>
        <v>125.02199999999998</v>
      </c>
      <c r="C17" s="26">
        <f t="shared" ref="C17:D17" si="5">C14*C15</f>
        <v>195.59099999999998</v>
      </c>
      <c r="D17" s="26">
        <f t="shared" si="5"/>
        <v>273.49899999999997</v>
      </c>
      <c r="E17" s="26">
        <f>E14*E15</f>
        <v>364.96700000000004</v>
      </c>
      <c r="F17" s="26">
        <f>F14*F15</f>
        <v>441.21299999999997</v>
      </c>
      <c r="G17" s="26">
        <f>G14*G15</f>
        <v>603.827</v>
      </c>
      <c r="H17" s="26">
        <f>H14*H15</f>
        <v>816.99800000000016</v>
      </c>
      <c r="I17" s="26">
        <f>I14*I15</f>
        <v>1660.0953061336324</v>
      </c>
      <c r="J17" s="45">
        <f>J14*J15</f>
        <v>2290.9315224644124</v>
      </c>
      <c r="K17" s="45">
        <f t="shared" ref="J17:M17" si="6">K14*K15</f>
        <v>2898.0283759174818</v>
      </c>
      <c r="L17" s="45">
        <f t="shared" si="6"/>
        <v>3666.0058955356144</v>
      </c>
      <c r="M17" s="45">
        <f t="shared" si="6"/>
        <v>4637.4974578525525</v>
      </c>
      <c r="N17" s="45">
        <f t="shared" ref="N17" si="7">N14*N15</f>
        <v>5866.4342841834787</v>
      </c>
      <c r="O17" s="45">
        <f>N17*1.15</f>
        <v>6746.399426811</v>
      </c>
      <c r="P17" s="45">
        <f t="shared" ref="P17:S17" si="8">O17*1.15</f>
        <v>7758.3593408326497</v>
      </c>
      <c r="Q17" s="45">
        <f t="shared" si="8"/>
        <v>8922.1132419575461</v>
      </c>
      <c r="R17" s="45">
        <f t="shared" si="8"/>
        <v>10260.430228251178</v>
      </c>
      <c r="S17" s="45">
        <f t="shared" si="8"/>
        <v>11799.494762488854</v>
      </c>
      <c r="T17" s="45">
        <f t="shared" ref="O17:X17" si="9">S17*1.1</f>
        <v>12979.44423873774</v>
      </c>
      <c r="U17" s="45">
        <f t="shared" si="9"/>
        <v>14277.388662611516</v>
      </c>
      <c r="V17" s="45">
        <f t="shared" si="9"/>
        <v>15705.127528872668</v>
      </c>
      <c r="W17" s="45">
        <f t="shared" si="9"/>
        <v>17275.640281759937</v>
      </c>
      <c r="X17" s="45">
        <f t="shared" si="9"/>
        <v>19003.204309935933</v>
      </c>
    </row>
    <row r="18" spans="1:181" x14ac:dyDescent="0.15">
      <c r="A18" s="3" t="s">
        <v>5</v>
      </c>
      <c r="B18" s="25">
        <v>47.779000000000003</v>
      </c>
      <c r="C18" s="25">
        <v>73.632999999999996</v>
      </c>
      <c r="D18" s="25">
        <f>SUM(Reports!B11:E11)</f>
        <v>96.978999999999985</v>
      </c>
      <c r="E18" s="25">
        <f>SUM(Reports!F11:I11)</f>
        <v>123.328</v>
      </c>
      <c r="F18" s="43">
        <f>SUM(Reports!J11:M11)</f>
        <v>150.98599999999999</v>
      </c>
      <c r="G18" s="43">
        <f>SUM(Reports!N11:Q11)</f>
        <v>190.762</v>
      </c>
      <c r="H18" s="43">
        <f>SUM(Reports!R11:U11)</f>
        <v>271.82400000000001</v>
      </c>
      <c r="I18" s="43">
        <f>SUM(Reports!V11:Y11)</f>
        <v>464.32899999999995</v>
      </c>
      <c r="J18" s="25">
        <f t="shared" ref="J18" si="10">J17-J19</f>
        <v>640.77401999999984</v>
      </c>
      <c r="K18" s="25">
        <f t="shared" ref="K18:S18" si="11">K17-K19</f>
        <v>810.57913529999951</v>
      </c>
      <c r="L18" s="25">
        <f t="shared" si="11"/>
        <v>1025.3826061544992</v>
      </c>
      <c r="M18" s="25">
        <f t="shared" si="11"/>
        <v>1297.1089967854414</v>
      </c>
      <c r="N18" s="25">
        <f t="shared" ref="N18" si="12">N17-N19</f>
        <v>1640.8428809335837</v>
      </c>
      <c r="O18" s="25">
        <f t="shared" si="11"/>
        <v>1886.9693130736205</v>
      </c>
      <c r="P18" s="25">
        <f t="shared" si="11"/>
        <v>2170.014710034663</v>
      </c>
      <c r="Q18" s="25">
        <f t="shared" si="11"/>
        <v>2495.516916539862</v>
      </c>
      <c r="R18" s="25">
        <f t="shared" si="11"/>
        <v>2869.844454020842</v>
      </c>
      <c r="S18" s="25">
        <f t="shared" si="11"/>
        <v>3300.3211221239671</v>
      </c>
      <c r="T18" s="25">
        <f t="shared" ref="T18:W18" si="13">T17-T19</f>
        <v>3630.353234336364</v>
      </c>
      <c r="U18" s="25">
        <f t="shared" si="13"/>
        <v>3993.3885577700021</v>
      </c>
      <c r="V18" s="25">
        <f t="shared" si="13"/>
        <v>4392.7274135470016</v>
      </c>
      <c r="W18" s="25">
        <f t="shared" si="13"/>
        <v>4832.0001549017034</v>
      </c>
      <c r="X18" s="25">
        <f t="shared" ref="X18" si="14">X17-X19</f>
        <v>5315.2001703918741</v>
      </c>
    </row>
    <row r="19" spans="1:181" x14ac:dyDescent="0.15">
      <c r="A19" s="3" t="s">
        <v>6</v>
      </c>
      <c r="B19" s="29">
        <f t="shared" ref="B19:I19" si="15">B17-B18</f>
        <v>77.242999999999967</v>
      </c>
      <c r="C19" s="29">
        <f t="shared" si="15"/>
        <v>121.95799999999998</v>
      </c>
      <c r="D19" s="29">
        <f t="shared" si="15"/>
        <v>176.51999999999998</v>
      </c>
      <c r="E19" s="29">
        <f t="shared" si="15"/>
        <v>241.63900000000004</v>
      </c>
      <c r="F19" s="29">
        <f t="shared" si="15"/>
        <v>290.22699999999998</v>
      </c>
      <c r="G19" s="29">
        <f t="shared" si="15"/>
        <v>413.065</v>
      </c>
      <c r="H19" s="29">
        <f t="shared" si="15"/>
        <v>545.17400000000021</v>
      </c>
      <c r="I19" s="29">
        <f t="shared" si="15"/>
        <v>1195.7663061336325</v>
      </c>
      <c r="J19" s="25">
        <f t="shared" ref="J19:X19" si="16">J17*I32</f>
        <v>1650.1575024644126</v>
      </c>
      <c r="K19" s="25">
        <f t="shared" si="16"/>
        <v>2087.4492406174822</v>
      </c>
      <c r="L19" s="25">
        <f t="shared" si="16"/>
        <v>2640.6232893811152</v>
      </c>
      <c r="M19" s="25">
        <f t="shared" si="16"/>
        <v>3340.3884610671112</v>
      </c>
      <c r="N19" s="25">
        <f t="shared" si="16"/>
        <v>4225.5914032498949</v>
      </c>
      <c r="O19" s="25">
        <f t="shared" si="16"/>
        <v>4859.4301137373795</v>
      </c>
      <c r="P19" s="25">
        <f t="shared" si="16"/>
        <v>5588.3446307979866</v>
      </c>
      <c r="Q19" s="25">
        <f t="shared" si="16"/>
        <v>6426.5963254176841</v>
      </c>
      <c r="R19" s="25">
        <f t="shared" si="16"/>
        <v>7390.585774230336</v>
      </c>
      <c r="S19" s="25">
        <f t="shared" si="16"/>
        <v>8499.1736403648865</v>
      </c>
      <c r="T19" s="25">
        <f t="shared" si="16"/>
        <v>9349.0910044013763</v>
      </c>
      <c r="U19" s="25">
        <f t="shared" si="16"/>
        <v>10284.000104841514</v>
      </c>
      <c r="V19" s="25">
        <f t="shared" si="16"/>
        <v>11312.400115325667</v>
      </c>
      <c r="W19" s="25">
        <f t="shared" si="16"/>
        <v>12443.640126858234</v>
      </c>
      <c r="X19" s="25">
        <f t="shared" si="16"/>
        <v>13688.004139544058</v>
      </c>
    </row>
    <row r="20" spans="1:181" x14ac:dyDescent="0.15">
      <c r="A20" s="3" t="s">
        <v>7</v>
      </c>
      <c r="B20" s="25">
        <v>27.547999999999998</v>
      </c>
      <c r="C20" s="25">
        <v>36.634</v>
      </c>
      <c r="D20" s="25">
        <f>SUM(Reports!B13:E13)</f>
        <v>42.694000000000003</v>
      </c>
      <c r="E20" s="25">
        <f>SUM(Reports!F13:I13)</f>
        <v>55.082999999999998</v>
      </c>
      <c r="F20" s="43">
        <f>SUM(Reports!J13:M13)</f>
        <v>74.616</v>
      </c>
      <c r="G20" s="43">
        <f>SUM(Reports!N13:Q13)</f>
        <v>97.248999999999995</v>
      </c>
      <c r="H20" s="43">
        <f>SUM(Reports!R13:U13)</f>
        <v>121.70099999999999</v>
      </c>
      <c r="I20" s="43">
        <f>SUM(Reports!V13:Y13)</f>
        <v>180</v>
      </c>
      <c r="J20" s="25">
        <f t="shared" ref="J20:N20" si="17">I20*1.25</f>
        <v>225</v>
      </c>
      <c r="K20" s="25">
        <f t="shared" si="17"/>
        <v>281.25</v>
      </c>
      <c r="L20" s="25">
        <f t="shared" si="17"/>
        <v>351.5625</v>
      </c>
      <c r="M20" s="25">
        <f t="shared" si="17"/>
        <v>439.453125</v>
      </c>
      <c r="N20" s="25">
        <f t="shared" si="17"/>
        <v>549.31640625</v>
      </c>
      <c r="O20" s="25">
        <f>N20*1.1</f>
        <v>604.248046875</v>
      </c>
      <c r="P20" s="25">
        <f t="shared" ref="P20:W20" si="18">O20*1.1</f>
        <v>664.6728515625</v>
      </c>
      <c r="Q20" s="25">
        <f t="shared" si="18"/>
        <v>731.14013671875011</v>
      </c>
      <c r="R20" s="25">
        <f t="shared" si="18"/>
        <v>804.25415039062523</v>
      </c>
      <c r="S20" s="25">
        <f t="shared" si="18"/>
        <v>884.67956542968784</v>
      </c>
      <c r="T20" s="25">
        <f t="shared" si="18"/>
        <v>973.1475219726567</v>
      </c>
      <c r="U20" s="25">
        <f t="shared" si="18"/>
        <v>1070.4622741699225</v>
      </c>
      <c r="V20" s="25">
        <f t="shared" si="18"/>
        <v>1177.5085015869149</v>
      </c>
      <c r="W20" s="25">
        <f t="shared" si="18"/>
        <v>1295.2593517456064</v>
      </c>
      <c r="X20" s="25">
        <f t="shared" ref="X20" si="19">W20*1.1</f>
        <v>1424.7852869201672</v>
      </c>
    </row>
    <row r="21" spans="1:181" x14ac:dyDescent="0.15">
      <c r="A21" s="3" t="s">
        <v>8</v>
      </c>
      <c r="B21" s="25">
        <v>17.850000000000001</v>
      </c>
      <c r="C21" s="25">
        <v>39.655000000000001</v>
      </c>
      <c r="D21" s="25">
        <f>SUM(Reports!B14:E14)</f>
        <v>66.771000000000001</v>
      </c>
      <c r="E21" s="25">
        <f>SUM(Reports!F14:I14)</f>
        <v>82.24799999999999</v>
      </c>
      <c r="F21" s="43">
        <f>SUM(Reports!J14:M14)</f>
        <v>109.08500000000001</v>
      </c>
      <c r="G21" s="43">
        <f>SUM(Reports!N14:Q14)</f>
        <v>158.01300000000001</v>
      </c>
      <c r="H21" s="43">
        <f>SUM(Reports!R14:U14)</f>
        <v>215.03399999999999</v>
      </c>
      <c r="I21" s="43">
        <f>SUM(Reports!V14:Y14)</f>
        <v>502</v>
      </c>
      <c r="J21" s="25">
        <f>I21*1.3</f>
        <v>652.6</v>
      </c>
      <c r="K21" s="25">
        <f t="shared" ref="K21:N21" si="20">J21*1.3</f>
        <v>848.38000000000011</v>
      </c>
      <c r="L21" s="25">
        <f t="shared" si="20"/>
        <v>1102.8940000000002</v>
      </c>
      <c r="M21" s="25">
        <f t="shared" si="20"/>
        <v>1433.7622000000003</v>
      </c>
      <c r="N21" s="25">
        <f t="shared" si="20"/>
        <v>1863.8908600000004</v>
      </c>
      <c r="O21" s="25">
        <f>N21*1.15</f>
        <v>2143.4744890000002</v>
      </c>
      <c r="P21" s="25">
        <f t="shared" ref="P21:S21" si="21">O21*1.15</f>
        <v>2464.9956623500002</v>
      </c>
      <c r="Q21" s="25">
        <f t="shared" si="21"/>
        <v>2834.7450117025001</v>
      </c>
      <c r="R21" s="25">
        <f t="shared" si="21"/>
        <v>3259.9567634578748</v>
      </c>
      <c r="S21" s="25">
        <f t="shared" si="21"/>
        <v>3748.9502779765558</v>
      </c>
      <c r="T21" s="25">
        <f t="shared" ref="P21:W21" si="22">S21*1.1</f>
        <v>4123.8453057742117</v>
      </c>
      <c r="U21" s="25">
        <f t="shared" si="22"/>
        <v>4536.2298363516329</v>
      </c>
      <c r="V21" s="25">
        <f t="shared" si="22"/>
        <v>4989.8528199867969</v>
      </c>
      <c r="W21" s="25">
        <f t="shared" si="22"/>
        <v>5488.8381019854769</v>
      </c>
      <c r="X21" s="25">
        <f t="shared" ref="X21" si="23">W21*1.1</f>
        <v>6037.7219121840253</v>
      </c>
    </row>
    <row r="22" spans="1:181" x14ac:dyDescent="0.15">
      <c r="A22" s="3" t="s">
        <v>9</v>
      </c>
      <c r="B22" s="25">
        <v>31.111999999999998</v>
      </c>
      <c r="C22" s="25">
        <v>51.92</v>
      </c>
      <c r="D22" s="25">
        <f>SUM(Reports!B15:E15)</f>
        <v>68.938999999999993</v>
      </c>
      <c r="E22" s="25">
        <f>SUM(Reports!F15:I15)</f>
        <v>86.730999999999995</v>
      </c>
      <c r="F22" s="43">
        <f>SUM(Reports!J15:M15)</f>
        <v>94.647999999999996</v>
      </c>
      <c r="G22" s="43">
        <f>SUM(Reports!N15:Q15)</f>
        <v>82.88300000000001</v>
      </c>
      <c r="H22" s="43">
        <f>SUM(Reports!R15:U15)</f>
        <v>121.40100000000001</v>
      </c>
      <c r="I22" s="43">
        <f>SUM(Reports!V15:Y15)</f>
        <v>155</v>
      </c>
      <c r="J22" s="25">
        <f t="shared" ref="J22:N22" si="24">I22*1.2</f>
        <v>186</v>
      </c>
      <c r="K22" s="25">
        <f t="shared" si="24"/>
        <v>223.2</v>
      </c>
      <c r="L22" s="25">
        <f t="shared" si="24"/>
        <v>267.83999999999997</v>
      </c>
      <c r="M22" s="25">
        <f t="shared" si="24"/>
        <v>321.40799999999996</v>
      </c>
      <c r="N22" s="25">
        <f t="shared" si="24"/>
        <v>385.68959999999993</v>
      </c>
      <c r="O22" s="25">
        <f>N22*1.05</f>
        <v>404.97407999999996</v>
      </c>
      <c r="P22" s="25">
        <f t="shared" ref="P22:S22" si="25">O22*1.05</f>
        <v>425.22278399999999</v>
      </c>
      <c r="Q22" s="25">
        <f t="shared" si="25"/>
        <v>446.48392319999999</v>
      </c>
      <c r="R22" s="25">
        <f t="shared" si="25"/>
        <v>468.80811936000003</v>
      </c>
      <c r="S22" s="25">
        <f t="shared" si="25"/>
        <v>492.24852532800008</v>
      </c>
      <c r="T22" s="25">
        <f t="shared" ref="P22:W22" si="26">S22*0.95</f>
        <v>467.63609906160008</v>
      </c>
      <c r="U22" s="25">
        <f t="shared" si="26"/>
        <v>444.25429410852007</v>
      </c>
      <c r="V22" s="25">
        <f t="shared" si="26"/>
        <v>422.04157940309403</v>
      </c>
      <c r="W22" s="25">
        <f t="shared" si="26"/>
        <v>400.93950043293933</v>
      </c>
      <c r="X22" s="25">
        <f t="shared" ref="X22" si="27">W22*0.95</f>
        <v>380.89252541129235</v>
      </c>
    </row>
    <row r="23" spans="1:181" x14ac:dyDescent="0.15">
      <c r="A23" s="3" t="s">
        <v>10</v>
      </c>
      <c r="B23" s="29">
        <f t="shared" ref="B23:F23" si="28">SUM(B20:B22)</f>
        <v>76.509999999999991</v>
      </c>
      <c r="C23" s="29">
        <f t="shared" si="28"/>
        <v>128.209</v>
      </c>
      <c r="D23" s="29">
        <f t="shared" si="28"/>
        <v>178.404</v>
      </c>
      <c r="E23" s="29">
        <f t="shared" si="28"/>
        <v>224.06199999999998</v>
      </c>
      <c r="F23" s="29">
        <f t="shared" si="28"/>
        <v>278.34900000000005</v>
      </c>
      <c r="G23" s="29">
        <f t="shared" ref="G23:H23" si="29">SUM(G20:G22)</f>
        <v>338.14499999999998</v>
      </c>
      <c r="H23" s="29">
        <f t="shared" si="29"/>
        <v>458.13600000000002</v>
      </c>
      <c r="I23" s="29">
        <f t="shared" ref="I23" si="30">SUM(I20:I22)</f>
        <v>837</v>
      </c>
      <c r="J23" s="25">
        <f t="shared" ref="J23" si="31">SUM(J20:J22)</f>
        <v>1063.5999999999999</v>
      </c>
      <c r="K23" s="25">
        <f t="shared" ref="K23:S23" si="32">SUM(K20:K22)</f>
        <v>1352.8300000000002</v>
      </c>
      <c r="L23" s="25">
        <f t="shared" si="32"/>
        <v>1722.2965000000002</v>
      </c>
      <c r="M23" s="25">
        <f t="shared" si="32"/>
        <v>2194.6233250000005</v>
      </c>
      <c r="N23" s="25">
        <f t="shared" ref="N23" si="33">SUM(N20:N22)</f>
        <v>2798.8968662500001</v>
      </c>
      <c r="O23" s="25">
        <f t="shared" si="32"/>
        <v>3152.6966158750001</v>
      </c>
      <c r="P23" s="25">
        <f t="shared" si="32"/>
        <v>3554.8912979125002</v>
      </c>
      <c r="Q23" s="25">
        <f t="shared" si="32"/>
        <v>4012.36907162125</v>
      </c>
      <c r="R23" s="25">
        <f t="shared" si="32"/>
        <v>4533.0190332085003</v>
      </c>
      <c r="S23" s="25">
        <f t="shared" si="32"/>
        <v>5125.8783687342438</v>
      </c>
      <c r="T23" s="25">
        <f t="shared" ref="T23:W23" si="34">SUM(T20:T22)</f>
        <v>5564.6289268084683</v>
      </c>
      <c r="U23" s="25">
        <f t="shared" si="34"/>
        <v>6050.9464046300754</v>
      </c>
      <c r="V23" s="25">
        <f t="shared" si="34"/>
        <v>6589.4029009768055</v>
      </c>
      <c r="W23" s="25">
        <f t="shared" si="34"/>
        <v>7185.0369541640221</v>
      </c>
      <c r="X23" s="25">
        <f t="shared" ref="X23" si="35">SUM(X20:X22)</f>
        <v>7843.3997245154842</v>
      </c>
    </row>
    <row r="24" spans="1:181" x14ac:dyDescent="0.15">
      <c r="A24" s="3" t="s">
        <v>11</v>
      </c>
      <c r="B24" s="29">
        <f t="shared" ref="B24:F24" si="36">B19-B23</f>
        <v>0.73299999999997567</v>
      </c>
      <c r="C24" s="29">
        <f t="shared" si="36"/>
        <v>-6.251000000000019</v>
      </c>
      <c r="D24" s="29">
        <f t="shared" si="36"/>
        <v>-1.8840000000000146</v>
      </c>
      <c r="E24" s="29">
        <f t="shared" si="36"/>
        <v>17.577000000000055</v>
      </c>
      <c r="F24" s="29">
        <f t="shared" si="36"/>
        <v>11.877999999999929</v>
      </c>
      <c r="G24" s="29">
        <f t="shared" ref="G24:H24" si="37">G19-G23</f>
        <v>74.920000000000016</v>
      </c>
      <c r="H24" s="29">
        <f t="shared" si="37"/>
        <v>87.038000000000181</v>
      </c>
      <c r="I24" s="29">
        <f t="shared" ref="I24" si="38">I19-I23</f>
        <v>358.7663061336325</v>
      </c>
      <c r="J24" s="25">
        <f t="shared" ref="J24" si="39">J19-J23</f>
        <v>586.55750246441266</v>
      </c>
      <c r="K24" s="25">
        <f t="shared" ref="K24:S24" si="40">K19-K23</f>
        <v>734.61924061748209</v>
      </c>
      <c r="L24" s="25">
        <f t="shared" si="40"/>
        <v>918.32678938111508</v>
      </c>
      <c r="M24" s="25">
        <f t="shared" si="40"/>
        <v>1145.7651360671107</v>
      </c>
      <c r="N24" s="25">
        <f t="shared" ref="N24" si="41">N19-N23</f>
        <v>1426.6945369998948</v>
      </c>
      <c r="O24" s="25">
        <f t="shared" si="40"/>
        <v>1706.7334978623794</v>
      </c>
      <c r="P24" s="25">
        <f t="shared" si="40"/>
        <v>2033.4533328854864</v>
      </c>
      <c r="Q24" s="25">
        <f t="shared" si="40"/>
        <v>2414.2272537964341</v>
      </c>
      <c r="R24" s="25">
        <f t="shared" si="40"/>
        <v>2857.5667410218357</v>
      </c>
      <c r="S24" s="25">
        <f t="shared" si="40"/>
        <v>3373.2952716306427</v>
      </c>
      <c r="T24" s="25">
        <f t="shared" ref="T24:W24" si="42">T19-T23</f>
        <v>3784.4620775929079</v>
      </c>
      <c r="U24" s="25">
        <f t="shared" si="42"/>
        <v>4233.0537002114388</v>
      </c>
      <c r="V24" s="25">
        <f t="shared" si="42"/>
        <v>4722.9972143488612</v>
      </c>
      <c r="W24" s="25">
        <f t="shared" si="42"/>
        <v>5258.6031726942119</v>
      </c>
      <c r="X24" s="25">
        <f t="shared" ref="X24" si="43">X19-X23</f>
        <v>5844.6044150285743</v>
      </c>
    </row>
    <row r="25" spans="1:181" x14ac:dyDescent="0.15">
      <c r="A25" s="3" t="s">
        <v>12</v>
      </c>
      <c r="B25" s="25">
        <v>-0.67500000000000004</v>
      </c>
      <c r="C25" s="25">
        <v>-4.0090000000000003</v>
      </c>
      <c r="D25" s="25">
        <f>SUM(Reports!B18:E18)</f>
        <v>-26.11</v>
      </c>
      <c r="E25" s="25">
        <f>SUM(Reports!F18:I18)</f>
        <v>-20.452999999999999</v>
      </c>
      <c r="F25" s="43">
        <f>SUM(Reports!J18:M18)</f>
        <v>20.369</v>
      </c>
      <c r="G25" s="43">
        <f>SUM(Reports!N18:Q18)</f>
        <v>-19.708000000000002</v>
      </c>
      <c r="H25" s="43">
        <f>SUM(Reports!R18:U18)</f>
        <v>-7.2869999999999999</v>
      </c>
      <c r="I25" s="43">
        <f>SUM(Reports!V18:Y18)</f>
        <v>-59</v>
      </c>
      <c r="J25" s="25">
        <f t="shared" ref="J25:X25" si="44">I42*$F$3</f>
        <v>12.92</v>
      </c>
      <c r="K25" s="25">
        <f t="shared" si="44"/>
        <v>23.111117541895016</v>
      </c>
      <c r="L25" s="25">
        <f t="shared" si="44"/>
        <v>35.992533630604427</v>
      </c>
      <c r="M25" s="25">
        <f t="shared" si="44"/>
        <v>52.215962121803663</v>
      </c>
      <c r="N25" s="25">
        <f t="shared" si="44"/>
        <v>72.581640791015204</v>
      </c>
      <c r="O25" s="25">
        <f t="shared" si="44"/>
        <v>98.069335813460683</v>
      </c>
      <c r="P25" s="25">
        <f t="shared" si="44"/>
        <v>128.75098398594994</v>
      </c>
      <c r="Q25" s="25">
        <f t="shared" si="44"/>
        <v>165.50845737276438</v>
      </c>
      <c r="R25" s="25">
        <f t="shared" si="44"/>
        <v>209.36396446264075</v>
      </c>
      <c r="S25" s="25">
        <f t="shared" si="44"/>
        <v>261.50178645587687</v>
      </c>
      <c r="T25" s="25">
        <f t="shared" si="44"/>
        <v>323.2933364433477</v>
      </c>
      <c r="U25" s="25">
        <f t="shared" si="44"/>
        <v>393.12517848196404</v>
      </c>
      <c r="V25" s="25">
        <f t="shared" si="44"/>
        <v>471.77021941975187</v>
      </c>
      <c r="W25" s="25">
        <f t="shared" si="44"/>
        <v>560.08126579381837</v>
      </c>
      <c r="X25" s="25">
        <f t="shared" si="44"/>
        <v>658.99890124811486</v>
      </c>
    </row>
    <row r="26" spans="1:181" x14ac:dyDescent="0.15">
      <c r="A26" s="3" t="s">
        <v>13</v>
      </c>
      <c r="B26" s="29">
        <f t="shared" ref="B26:I26" si="45">B24+B25</f>
        <v>5.7999999999975627E-2</v>
      </c>
      <c r="C26" s="29">
        <f t="shared" si="45"/>
        <v>-10.260000000000019</v>
      </c>
      <c r="D26" s="29">
        <f t="shared" si="45"/>
        <v>-27.994000000000014</v>
      </c>
      <c r="E26" s="29">
        <f t="shared" si="45"/>
        <v>-2.8759999999999444</v>
      </c>
      <c r="F26" s="29">
        <f t="shared" si="45"/>
        <v>32.246999999999929</v>
      </c>
      <c r="G26" s="29">
        <f t="shared" si="45"/>
        <v>55.212000000000018</v>
      </c>
      <c r="H26" s="29">
        <f t="shared" si="45"/>
        <v>79.751000000000175</v>
      </c>
      <c r="I26" s="29">
        <f t="shared" si="45"/>
        <v>299.7663061336325</v>
      </c>
      <c r="J26" s="25">
        <f t="shared" ref="J26" si="46">J24+J25</f>
        <v>599.47750246441262</v>
      </c>
      <c r="K26" s="25">
        <f t="shared" ref="K26" si="47">K24+K25</f>
        <v>757.73035815937715</v>
      </c>
      <c r="L26" s="25">
        <f t="shared" ref="L26" si="48">L24+L25</f>
        <v>954.31932301171946</v>
      </c>
      <c r="M26" s="25">
        <f t="shared" ref="M26:N26" si="49">M24+M25</f>
        <v>1197.9810981889143</v>
      </c>
      <c r="N26" s="25">
        <f t="shared" si="49"/>
        <v>1499.27617779091</v>
      </c>
      <c r="O26" s="25">
        <f t="shared" ref="O26" si="50">O24+O25</f>
        <v>1804.80283367584</v>
      </c>
      <c r="P26" s="25">
        <f t="shared" ref="P26" si="51">P24+P25</f>
        <v>2162.2043168714363</v>
      </c>
      <c r="Q26" s="25">
        <f t="shared" ref="Q26" si="52">Q24+Q25</f>
        <v>2579.7357111691986</v>
      </c>
      <c r="R26" s="25">
        <f t="shared" ref="R26" si="53">R24+R25</f>
        <v>3066.9307054844767</v>
      </c>
      <c r="S26" s="25">
        <f t="shared" ref="S26:T26" si="54">S24+S25</f>
        <v>3634.7970580865194</v>
      </c>
      <c r="T26" s="25">
        <f t="shared" si="54"/>
        <v>4107.7554140362554</v>
      </c>
      <c r="U26" s="25">
        <f t="shared" ref="U26:W26" si="55">U24+U25</f>
        <v>4626.178878693403</v>
      </c>
      <c r="V26" s="25">
        <f t="shared" si="55"/>
        <v>5194.767433768613</v>
      </c>
      <c r="W26" s="25">
        <f t="shared" si="55"/>
        <v>5818.6844384880305</v>
      </c>
      <c r="X26" s="25">
        <f t="shared" ref="X26" si="56">X24+X25</f>
        <v>6503.6033162766889</v>
      </c>
    </row>
    <row r="27" spans="1:181" x14ac:dyDescent="0.15">
      <c r="A27" s="3" t="s">
        <v>14</v>
      </c>
      <c r="B27" s="25">
        <v>0.85399999999999998</v>
      </c>
      <c r="C27" s="25">
        <v>4.9829999999999997</v>
      </c>
      <c r="D27" s="25">
        <f>SUM(Reports!B20:E20)</f>
        <v>26.068999999999999</v>
      </c>
      <c r="E27" s="25">
        <f>SUM(Reports!F20:I20)</f>
        <v>27.024999999999999</v>
      </c>
      <c r="F27" s="43">
        <f>SUM(Reports!J20:M20)</f>
        <v>-49.534999999999997</v>
      </c>
      <c r="G27" s="43">
        <f>SUM(Reports!N20:Q20)</f>
        <v>-22.413</v>
      </c>
      <c r="H27" s="43">
        <f>SUM(Reports!R20:U20)</f>
        <v>-15.526</v>
      </c>
      <c r="I27" s="43">
        <f>SUM(Reports!V20:Y20)</f>
        <v>19</v>
      </c>
      <c r="J27" s="25">
        <f t="shared" ref="J27:S27" si="57">J26*0.15</f>
        <v>89.921625369661896</v>
      </c>
      <c r="K27" s="25">
        <f t="shared" si="57"/>
        <v>113.65955372390657</v>
      </c>
      <c r="L27" s="25">
        <f t="shared" si="57"/>
        <v>143.14789845175792</v>
      </c>
      <c r="M27" s="25">
        <f t="shared" si="57"/>
        <v>179.69716472833713</v>
      </c>
      <c r="N27" s="25">
        <f t="shared" ref="N27" si="58">N26*0.15</f>
        <v>224.89142666863648</v>
      </c>
      <c r="O27" s="25">
        <f t="shared" si="57"/>
        <v>270.72042505137597</v>
      </c>
      <c r="P27" s="25">
        <f t="shared" si="57"/>
        <v>324.33064753071545</v>
      </c>
      <c r="Q27" s="25">
        <f t="shared" si="57"/>
        <v>386.96035667537978</v>
      </c>
      <c r="R27" s="25">
        <f t="shared" si="57"/>
        <v>460.03960582267149</v>
      </c>
      <c r="S27" s="25">
        <f t="shared" si="57"/>
        <v>545.21955871297791</v>
      </c>
      <c r="T27" s="25">
        <f t="shared" ref="T27:W27" si="59">T26*0.15</f>
        <v>616.16331210543831</v>
      </c>
      <c r="U27" s="25">
        <f t="shared" si="59"/>
        <v>693.92683180401048</v>
      </c>
      <c r="V27" s="25">
        <f t="shared" si="59"/>
        <v>779.21511506529191</v>
      </c>
      <c r="W27" s="25">
        <f t="shared" si="59"/>
        <v>872.80266577320458</v>
      </c>
      <c r="X27" s="25">
        <f t="shared" ref="X27" si="60">X26*0.15</f>
        <v>975.54049744150325</v>
      </c>
    </row>
    <row r="28" spans="1:181" s="2" customFormat="1" x14ac:dyDescent="0.15">
      <c r="A28" s="2" t="s">
        <v>15</v>
      </c>
      <c r="B28" s="26">
        <f t="shared" ref="B28:G28" si="61">B26-B27</f>
        <v>-0.79600000000002435</v>
      </c>
      <c r="C28" s="26">
        <f t="shared" si="61"/>
        <v>-15.24300000000002</v>
      </c>
      <c r="D28" s="26">
        <f t="shared" si="61"/>
        <v>-54.063000000000017</v>
      </c>
      <c r="E28" s="26">
        <f t="shared" si="61"/>
        <v>-29.900999999999943</v>
      </c>
      <c r="F28" s="26">
        <f t="shared" si="61"/>
        <v>81.781999999999925</v>
      </c>
      <c r="G28" s="26">
        <f t="shared" si="61"/>
        <v>77.625000000000014</v>
      </c>
      <c r="H28" s="26">
        <f t="shared" ref="H28:J28" si="62">H26-H27</f>
        <v>95.277000000000172</v>
      </c>
      <c r="I28" s="26">
        <f t="shared" si="62"/>
        <v>280.7663061336325</v>
      </c>
      <c r="J28" s="26">
        <f t="shared" si="62"/>
        <v>509.55587709475071</v>
      </c>
      <c r="K28" s="26">
        <f t="shared" ref="K28:S28" si="63">K26-K27</f>
        <v>644.07080443547056</v>
      </c>
      <c r="L28" s="26">
        <f t="shared" si="63"/>
        <v>811.17142455996157</v>
      </c>
      <c r="M28" s="26">
        <f t="shared" si="63"/>
        <v>1018.2839334605771</v>
      </c>
      <c r="N28" s="26">
        <f t="shared" ref="N28" si="64">N26-N27</f>
        <v>1274.3847511222734</v>
      </c>
      <c r="O28" s="26">
        <f t="shared" si="63"/>
        <v>1534.0824086244641</v>
      </c>
      <c r="P28" s="26">
        <f t="shared" si="63"/>
        <v>1837.8736693407209</v>
      </c>
      <c r="Q28" s="26">
        <f t="shared" si="63"/>
        <v>2192.7753544938187</v>
      </c>
      <c r="R28" s="26">
        <f t="shared" si="63"/>
        <v>2606.8910996618051</v>
      </c>
      <c r="S28" s="26">
        <f t="shared" si="63"/>
        <v>3089.5774993735413</v>
      </c>
      <c r="T28" s="26">
        <f t="shared" ref="T28:W28" si="65">T26-T27</f>
        <v>3491.5921019308171</v>
      </c>
      <c r="U28" s="26">
        <f t="shared" si="65"/>
        <v>3932.2520468893927</v>
      </c>
      <c r="V28" s="26">
        <f t="shared" si="65"/>
        <v>4415.5523187033214</v>
      </c>
      <c r="W28" s="26">
        <f t="shared" si="65"/>
        <v>4945.8817727148262</v>
      </c>
      <c r="X28" s="26">
        <f t="shared" ref="X28" si="66">X26-X27</f>
        <v>5528.0628188351857</v>
      </c>
      <c r="Y28" s="17">
        <f t="shared" ref="X28:AY28" si="67">X28*($F$2+1)</f>
        <v>5500.42250474101</v>
      </c>
      <c r="Z28" s="17">
        <f t="shared" si="67"/>
        <v>5472.9203922173047</v>
      </c>
      <c r="AA28" s="17">
        <f t="shared" si="67"/>
        <v>5445.5557902562177</v>
      </c>
      <c r="AB28" s="17">
        <f t="shared" si="67"/>
        <v>5418.3280113049368</v>
      </c>
      <c r="AC28" s="17">
        <f t="shared" si="67"/>
        <v>5391.2363712484121</v>
      </c>
      <c r="AD28" s="17">
        <f t="shared" si="67"/>
        <v>5364.2801893921696</v>
      </c>
      <c r="AE28" s="17">
        <f t="shared" si="67"/>
        <v>5337.4587884452085</v>
      </c>
      <c r="AF28" s="17">
        <f t="shared" si="67"/>
        <v>5310.771494502982</v>
      </c>
      <c r="AG28" s="17">
        <f t="shared" si="67"/>
        <v>5284.2176370304669</v>
      </c>
      <c r="AH28" s="17">
        <f t="shared" si="67"/>
        <v>5257.7965488453146</v>
      </c>
      <c r="AI28" s="17">
        <f t="shared" si="67"/>
        <v>5231.5075661010878</v>
      </c>
      <c r="AJ28" s="17">
        <f t="shared" si="67"/>
        <v>5205.3500282705827</v>
      </c>
      <c r="AK28" s="17">
        <f t="shared" si="67"/>
        <v>5179.3232781292299</v>
      </c>
      <c r="AL28" s="17">
        <f t="shared" si="67"/>
        <v>5153.4266617385838</v>
      </c>
      <c r="AM28" s="17">
        <f t="shared" si="67"/>
        <v>5127.659528429891</v>
      </c>
      <c r="AN28" s="17">
        <f t="shared" si="67"/>
        <v>5102.0212307877418</v>
      </c>
      <c r="AO28" s="17">
        <f t="shared" si="67"/>
        <v>5076.5111246338029</v>
      </c>
      <c r="AP28" s="17">
        <f t="shared" si="67"/>
        <v>5051.1285690106342</v>
      </c>
      <c r="AQ28" s="17">
        <f t="shared" si="67"/>
        <v>5025.8729261655808</v>
      </c>
      <c r="AR28" s="17">
        <f t="shared" si="67"/>
        <v>5000.7435615347531</v>
      </c>
      <c r="AS28" s="17">
        <f t="shared" si="67"/>
        <v>4975.7398437270795</v>
      </c>
      <c r="AT28" s="17">
        <f t="shared" si="67"/>
        <v>4950.8611445084443</v>
      </c>
      <c r="AU28" s="17">
        <f t="shared" si="67"/>
        <v>4926.1068387859023</v>
      </c>
      <c r="AV28" s="17">
        <f t="shared" si="67"/>
        <v>4901.4763045919726</v>
      </c>
      <c r="AW28" s="17">
        <f t="shared" si="67"/>
        <v>4876.9689230690128</v>
      </c>
      <c r="AX28" s="17">
        <f t="shared" si="67"/>
        <v>4852.5840784536676</v>
      </c>
      <c r="AY28" s="17">
        <f t="shared" si="67"/>
        <v>4828.3211580613997</v>
      </c>
      <c r="AZ28" s="17">
        <f t="shared" ref="AZ28:CE28" si="68">AY28*($F$2+1)</f>
        <v>4804.1795522710927</v>
      </c>
      <c r="BA28" s="17">
        <f t="shared" si="68"/>
        <v>4780.1586545097371</v>
      </c>
      <c r="BB28" s="17">
        <f t="shared" si="68"/>
        <v>4756.2578612371881</v>
      </c>
      <c r="BC28" s="17">
        <f t="shared" si="68"/>
        <v>4732.4765719310017</v>
      </c>
      <c r="BD28" s="17">
        <f t="shared" si="68"/>
        <v>4708.8141890713468</v>
      </c>
      <c r="BE28" s="17">
        <f t="shared" si="68"/>
        <v>4685.2701181259899</v>
      </c>
      <c r="BF28" s="17">
        <f t="shared" si="68"/>
        <v>4661.8437675353598</v>
      </c>
      <c r="BG28" s="17">
        <f t="shared" si="68"/>
        <v>4638.534548697683</v>
      </c>
      <c r="BH28" s="17">
        <f t="shared" si="68"/>
        <v>4615.3418759541946</v>
      </c>
      <c r="BI28" s="17">
        <f t="shared" si="68"/>
        <v>4592.2651665744233</v>
      </c>
      <c r="BJ28" s="17">
        <f t="shared" si="68"/>
        <v>4569.3038407415515</v>
      </c>
      <c r="BK28" s="17">
        <f t="shared" si="68"/>
        <v>4546.4573215378441</v>
      </c>
      <c r="BL28" s="17">
        <f t="shared" si="68"/>
        <v>4523.7250349301548</v>
      </c>
      <c r="BM28" s="17">
        <f t="shared" si="68"/>
        <v>4501.1064097555036</v>
      </c>
      <c r="BN28" s="17">
        <f t="shared" si="68"/>
        <v>4478.6008777067264</v>
      </c>
      <c r="BO28" s="17">
        <f t="shared" si="68"/>
        <v>4456.2078733181925</v>
      </c>
      <c r="BP28" s="17">
        <f t="shared" si="68"/>
        <v>4433.9268339516011</v>
      </c>
      <c r="BQ28" s="17">
        <f t="shared" si="68"/>
        <v>4411.7571997818432</v>
      </c>
      <c r="BR28" s="17">
        <f t="shared" si="68"/>
        <v>4389.698413782934</v>
      </c>
      <c r="BS28" s="17">
        <f t="shared" si="68"/>
        <v>4367.7499217140194</v>
      </c>
      <c r="BT28" s="17">
        <f t="shared" si="68"/>
        <v>4345.9111721054496</v>
      </c>
      <c r="BU28" s="17">
        <f t="shared" si="68"/>
        <v>4324.1816162449222</v>
      </c>
      <c r="BV28" s="17">
        <f t="shared" si="68"/>
        <v>4302.5607081636972</v>
      </c>
      <c r="BW28" s="17">
        <f t="shared" si="68"/>
        <v>4281.0479046228784</v>
      </c>
      <c r="BX28" s="17">
        <f t="shared" si="68"/>
        <v>4259.6426650997637</v>
      </c>
      <c r="BY28" s="17">
        <f t="shared" si="68"/>
        <v>4238.3444517742646</v>
      </c>
      <c r="BZ28" s="17">
        <f t="shared" si="68"/>
        <v>4217.1527295153928</v>
      </c>
      <c r="CA28" s="17">
        <f t="shared" si="68"/>
        <v>4196.0669658678162</v>
      </c>
      <c r="CB28" s="17">
        <f t="shared" si="68"/>
        <v>4175.0866310384772</v>
      </c>
      <c r="CC28" s="17">
        <f t="shared" si="68"/>
        <v>4154.2111978832845</v>
      </c>
      <c r="CD28" s="17">
        <f t="shared" si="68"/>
        <v>4133.4401418938678</v>
      </c>
      <c r="CE28" s="17">
        <f t="shared" si="68"/>
        <v>4112.7729411843984</v>
      </c>
      <c r="CF28" s="17">
        <f t="shared" ref="CF28:DK28" si="69">CE28*($F$2+1)</f>
        <v>4092.2090764784766</v>
      </c>
      <c r="CG28" s="17">
        <f t="shared" si="69"/>
        <v>4071.7480310960841</v>
      </c>
      <c r="CH28" s="17">
        <f t="shared" si="69"/>
        <v>4051.3892909406036</v>
      </c>
      <c r="CI28" s="17">
        <f t="shared" si="69"/>
        <v>4031.1323444859004</v>
      </c>
      <c r="CJ28" s="17">
        <f t="shared" si="69"/>
        <v>4010.9766827634708</v>
      </c>
      <c r="CK28" s="17">
        <f t="shared" si="69"/>
        <v>3990.9217993496536</v>
      </c>
      <c r="CL28" s="17">
        <f t="shared" si="69"/>
        <v>3970.9671903529052</v>
      </c>
      <c r="CM28" s="17">
        <f t="shared" si="69"/>
        <v>3951.1123544011407</v>
      </c>
      <c r="CN28" s="17">
        <f t="shared" si="69"/>
        <v>3931.3567926291348</v>
      </c>
      <c r="CO28" s="17">
        <f t="shared" si="69"/>
        <v>3911.7000086659891</v>
      </c>
      <c r="CP28" s="17">
        <f t="shared" si="69"/>
        <v>3892.1415086226593</v>
      </c>
      <c r="CQ28" s="17">
        <f t="shared" si="69"/>
        <v>3872.6808010795462</v>
      </c>
      <c r="CR28" s="17">
        <f t="shared" si="69"/>
        <v>3853.3173970741486</v>
      </c>
      <c r="CS28" s="17">
        <f t="shared" si="69"/>
        <v>3834.0508100887778</v>
      </c>
      <c r="CT28" s="17">
        <f t="shared" si="69"/>
        <v>3814.8805560383339</v>
      </c>
      <c r="CU28" s="17">
        <f t="shared" si="69"/>
        <v>3795.8061532581423</v>
      </c>
      <c r="CV28" s="17">
        <f t="shared" si="69"/>
        <v>3776.8271224918517</v>
      </c>
      <c r="CW28" s="17">
        <f t="shared" si="69"/>
        <v>3757.9429868793923</v>
      </c>
      <c r="CX28" s="17">
        <f t="shared" si="69"/>
        <v>3739.1532719449951</v>
      </c>
      <c r="CY28" s="17">
        <f t="shared" si="69"/>
        <v>3720.4575055852702</v>
      </c>
      <c r="CZ28" s="17">
        <f t="shared" si="69"/>
        <v>3701.8552180573438</v>
      </c>
      <c r="DA28" s="17">
        <f t="shared" si="69"/>
        <v>3683.3459419670571</v>
      </c>
      <c r="DB28" s="17">
        <f t="shared" si="69"/>
        <v>3664.9292122572219</v>
      </c>
      <c r="DC28" s="17">
        <f t="shared" si="69"/>
        <v>3646.6045661959356</v>
      </c>
      <c r="DD28" s="17">
        <f t="shared" si="69"/>
        <v>3628.3715433649559</v>
      </c>
      <c r="DE28" s="17">
        <f t="shared" si="69"/>
        <v>3610.2296856481312</v>
      </c>
      <c r="DF28" s="17">
        <f t="shared" si="69"/>
        <v>3592.1785372198906</v>
      </c>
      <c r="DG28" s="17">
        <f t="shared" si="69"/>
        <v>3574.2176445337909</v>
      </c>
      <c r="DH28" s="17">
        <f t="shared" si="69"/>
        <v>3556.3465563111217</v>
      </c>
      <c r="DI28" s="17">
        <f t="shared" si="69"/>
        <v>3538.5648235295662</v>
      </c>
      <c r="DJ28" s="17">
        <f t="shared" si="69"/>
        <v>3520.8719994119183</v>
      </c>
      <c r="DK28" s="17">
        <f t="shared" si="69"/>
        <v>3503.2676394148589</v>
      </c>
      <c r="DL28" s="17">
        <f t="shared" ref="DL28:DT28" si="70">DK28*($F$2+1)</f>
        <v>3485.7513012177847</v>
      </c>
      <c r="DM28" s="17">
        <f t="shared" si="70"/>
        <v>3468.3225447116956</v>
      </c>
      <c r="DN28" s="17">
        <f t="shared" si="70"/>
        <v>3450.9809319881369</v>
      </c>
      <c r="DO28" s="17">
        <f t="shared" si="70"/>
        <v>3433.7260273281963</v>
      </c>
      <c r="DP28" s="17">
        <f t="shared" si="70"/>
        <v>3416.5573971915555</v>
      </c>
      <c r="DQ28" s="17">
        <f t="shared" si="70"/>
        <v>3399.4746102055979</v>
      </c>
      <c r="DR28" s="17">
        <f t="shared" si="70"/>
        <v>3382.47723715457</v>
      </c>
      <c r="DS28" s="17">
        <f t="shared" si="70"/>
        <v>3365.5648509687971</v>
      </c>
      <c r="DT28" s="17">
        <f t="shared" si="70"/>
        <v>3348.7370267139531</v>
      </c>
      <c r="DU28" s="17">
        <f t="shared" ref="DU28" si="71">DT28*($F$2+1)</f>
        <v>3331.9933415803835</v>
      </c>
      <c r="DV28" s="17">
        <f t="shared" ref="DV28" si="72">DU28*($F$2+1)</f>
        <v>3315.3333748724817</v>
      </c>
      <c r="DW28" s="17">
        <f t="shared" ref="DW28" si="73">DV28*($F$2+1)</f>
        <v>3298.7567079981195</v>
      </c>
      <c r="DX28" s="17">
        <f t="shared" ref="DX28" si="74">DW28*($F$2+1)</f>
        <v>3282.262924458129</v>
      </c>
      <c r="DY28" s="17">
        <f t="shared" ref="DY28" si="75">DX28*($F$2+1)</f>
        <v>3265.8516098358382</v>
      </c>
      <c r="DZ28" s="17">
        <f t="shared" ref="DZ28" si="76">DY28*($F$2+1)</f>
        <v>3249.5223517866589</v>
      </c>
      <c r="EA28" s="17">
        <f t="shared" ref="EA28" si="77">DZ28*($F$2+1)</f>
        <v>3233.2747400277258</v>
      </c>
      <c r="EB28" s="17">
        <f t="shared" ref="EB28" si="78">EA28*($F$2+1)</f>
        <v>3217.1083663275872</v>
      </c>
      <c r="EC28" s="17">
        <f t="shared" ref="EC28" si="79">EB28*($F$2+1)</f>
        <v>3201.0228244959494</v>
      </c>
      <c r="ED28" s="17">
        <f t="shared" ref="ED28" si="80">EC28*($F$2+1)</f>
        <v>3185.0177103734695</v>
      </c>
      <c r="EE28" s="17">
        <f t="shared" ref="EE28" si="81">ED28*($F$2+1)</f>
        <v>3169.0926218216023</v>
      </c>
      <c r="EF28" s="17">
        <f t="shared" ref="EF28" si="82">EE28*($F$2+1)</f>
        <v>3153.2471587124942</v>
      </c>
      <c r="EG28" s="17">
        <f t="shared" ref="EG28" si="83">EF28*($F$2+1)</f>
        <v>3137.4809229189318</v>
      </c>
      <c r="EH28" s="17">
        <f t="shared" ref="EH28" si="84">EG28*($F$2+1)</f>
        <v>3121.7935183043373</v>
      </c>
      <c r="EI28" s="17">
        <f t="shared" ref="EI28" si="85">EH28*($F$2+1)</f>
        <v>3106.1845507128155</v>
      </c>
      <c r="EJ28" s="17">
        <f t="shared" ref="EJ28" si="86">EI28*($F$2+1)</f>
        <v>3090.6536279592515</v>
      </c>
      <c r="EK28" s="17">
        <f t="shared" ref="EK28" si="87">EJ28*($F$2+1)</f>
        <v>3075.2003598194551</v>
      </c>
      <c r="EL28" s="17">
        <f t="shared" ref="EL28" si="88">EK28*($F$2+1)</f>
        <v>3059.824358020358</v>
      </c>
      <c r="EM28" s="17">
        <f t="shared" ref="EM28" si="89">EL28*($F$2+1)</f>
        <v>3044.5252362302563</v>
      </c>
      <c r="EN28" s="17">
        <f t="shared" ref="EN28" si="90">EM28*($F$2+1)</f>
        <v>3029.3026100491052</v>
      </c>
      <c r="EO28" s="17">
        <f t="shared" ref="EO28" si="91">EN28*($F$2+1)</f>
        <v>3014.1560969988595</v>
      </c>
      <c r="EP28" s="17">
        <f t="shared" ref="EP28" si="92">EO28*($F$2+1)</f>
        <v>2999.0853165138651</v>
      </c>
      <c r="EQ28" s="17">
        <f t="shared" ref="EQ28" si="93">EP28*($F$2+1)</f>
        <v>2984.0898899312956</v>
      </c>
      <c r="ER28" s="17">
        <f t="shared" ref="ER28" si="94">EQ28*($F$2+1)</f>
        <v>2969.169440481639</v>
      </c>
      <c r="ES28" s="17">
        <f t="shared" ref="ES28" si="95">ER28*($F$2+1)</f>
        <v>2954.3235932792309</v>
      </c>
      <c r="ET28" s="17">
        <f t="shared" ref="ET28" si="96">ES28*($F$2+1)</f>
        <v>2939.5519753128347</v>
      </c>
      <c r="EU28" s="17">
        <f t="shared" ref="EU28" si="97">ET28*($F$2+1)</f>
        <v>2924.8542154362704</v>
      </c>
      <c r="EV28" s="17">
        <f t="shared" ref="EV28" si="98">EU28*($F$2+1)</f>
        <v>2910.2299443590891</v>
      </c>
      <c r="EW28" s="17">
        <f t="shared" ref="EW28" si="99">EV28*($F$2+1)</f>
        <v>2895.6787946372938</v>
      </c>
      <c r="EX28" s="17">
        <f t="shared" ref="EX28" si="100">EW28*($F$2+1)</f>
        <v>2881.2004006641073</v>
      </c>
      <c r="EY28" s="17">
        <f t="shared" ref="EY28" si="101">EX28*($F$2+1)</f>
        <v>2866.7943986607866</v>
      </c>
      <c r="EZ28" s="17">
        <f t="shared" ref="EZ28" si="102">EY28*($F$2+1)</f>
        <v>2852.4604266674828</v>
      </c>
      <c r="FA28" s="17">
        <f t="shared" ref="FA28" si="103">EZ28*($F$2+1)</f>
        <v>2838.1981245341453</v>
      </c>
      <c r="FB28" s="17">
        <f t="shared" ref="FB28" si="104">FA28*($F$2+1)</f>
        <v>2824.0071339114747</v>
      </c>
      <c r="FC28" s="17">
        <f t="shared" ref="FC28" si="105">FB28*($F$2+1)</f>
        <v>2809.8870982419176</v>
      </c>
      <c r="FD28" s="17">
        <f t="shared" ref="FD28" si="106">FC28*($F$2+1)</f>
        <v>2795.8376627507078</v>
      </c>
      <c r="FE28" s="17">
        <f t="shared" ref="FE28" si="107">FD28*($F$2+1)</f>
        <v>2781.8584744369541</v>
      </c>
      <c r="FF28" s="17">
        <f t="shared" ref="FF28" si="108">FE28*($F$2+1)</f>
        <v>2767.9491820647695</v>
      </c>
      <c r="FG28" s="17">
        <f t="shared" ref="FG28" si="109">FF28*($F$2+1)</f>
        <v>2754.1094361544456</v>
      </c>
      <c r="FH28" s="17">
        <f t="shared" ref="FH28" si="110">FG28*($F$2+1)</f>
        <v>2740.3388889736734</v>
      </c>
      <c r="FI28" s="17">
        <f t="shared" ref="FI28" si="111">FH28*($F$2+1)</f>
        <v>2726.6371945288051</v>
      </c>
      <c r="FJ28" s="17">
        <f t="shared" ref="FJ28" si="112">FI28*($F$2+1)</f>
        <v>2713.0040085561609</v>
      </c>
      <c r="FK28" s="17">
        <f t="shared" ref="FK28" si="113">FJ28*($F$2+1)</f>
        <v>2699.4389885133801</v>
      </c>
      <c r="FL28" s="17">
        <f t="shared" ref="FL28" si="114">FK28*($F$2+1)</f>
        <v>2685.9417935708134</v>
      </c>
      <c r="FM28" s="17">
        <f t="shared" ref="FM28" si="115">FL28*($F$2+1)</f>
        <v>2672.5120846029595</v>
      </c>
      <c r="FN28" s="17">
        <f t="shared" ref="FN28" si="116">FM28*($F$2+1)</f>
        <v>2659.1495241799448</v>
      </c>
      <c r="FO28" s="17">
        <f t="shared" ref="FO28" si="117">FN28*($F$2+1)</f>
        <v>2645.8537765590449</v>
      </c>
      <c r="FP28" s="17">
        <f t="shared" ref="FP28" si="118">FO28*($F$2+1)</f>
        <v>2632.6245076762498</v>
      </c>
      <c r="FQ28" s="17">
        <f t="shared" ref="FQ28" si="119">FP28*($F$2+1)</f>
        <v>2619.4613851378685</v>
      </c>
      <c r="FR28" s="17">
        <f t="shared" ref="FR28" si="120">FQ28*($F$2+1)</f>
        <v>2606.3640782121793</v>
      </c>
      <c r="FS28" s="17">
        <f t="shared" ref="FS28" si="121">FR28*($F$2+1)</f>
        <v>2593.3322578211182</v>
      </c>
      <c r="FT28" s="17">
        <f t="shared" ref="FT28" si="122">FS28*($F$2+1)</f>
        <v>2580.3655965320127</v>
      </c>
      <c r="FU28" s="17">
        <f t="shared" ref="FU28" si="123">FT28*($F$2+1)</f>
        <v>2567.4637685493526</v>
      </c>
      <c r="FV28" s="17">
        <f t="shared" ref="FV28" si="124">FU28*($F$2+1)</f>
        <v>2554.6264497066059</v>
      </c>
      <c r="FW28" s="17">
        <f t="shared" ref="FW28" si="125">FV28*($F$2+1)</f>
        <v>2541.853317458073</v>
      </c>
      <c r="FX28" s="17">
        <f t="shared" ref="FX28" si="126">FW28*($F$2+1)</f>
        <v>2529.1440508707824</v>
      </c>
      <c r="FY28" s="17">
        <f t="shared" ref="FY28" si="127">FX28*($F$2+1)</f>
        <v>2516.4983306164286</v>
      </c>
    </row>
    <row r="29" spans="1:181" x14ac:dyDescent="0.15">
      <c r="A29" s="3" t="s">
        <v>16</v>
      </c>
      <c r="B29" s="33">
        <f t="shared" ref="B29:I29" si="128">B28/B30</f>
        <v>-2.4366917782652858E-2</v>
      </c>
      <c r="C29" s="33">
        <f t="shared" si="128"/>
        <v>-0.37873947462426938</v>
      </c>
      <c r="D29" s="33">
        <f t="shared" si="128"/>
        <v>-0.48409887465435225</v>
      </c>
      <c r="E29" s="33">
        <f t="shared" si="128"/>
        <v>-0.25934031927108159</v>
      </c>
      <c r="F29" s="33">
        <f t="shared" si="128"/>
        <v>0.6552082954616224</v>
      </c>
      <c r="G29" s="33">
        <f t="shared" si="128"/>
        <v>0.60168584584062201</v>
      </c>
      <c r="H29" s="33">
        <f t="shared" si="128"/>
        <v>0.7721160409929716</v>
      </c>
      <c r="I29" s="33">
        <f t="shared" si="128"/>
        <v>1.9892675780171292</v>
      </c>
      <c r="J29" s="52">
        <f t="shared" ref="J29" si="129">J28/J30</f>
        <v>3.6102728972408067</v>
      </c>
      <c r="K29" s="52">
        <f t="shared" ref="K29:S29" si="130">K28/K30</f>
        <v>4.5633295065009811</v>
      </c>
      <c r="L29" s="52">
        <f t="shared" si="130"/>
        <v>5.7472601941170192</v>
      </c>
      <c r="M29" s="52">
        <f t="shared" si="130"/>
        <v>7.2146805716949602</v>
      </c>
      <c r="N29" s="52">
        <f t="shared" ref="N29" si="131">N28/N30</f>
        <v>9.0291897992929879</v>
      </c>
      <c r="O29" s="52">
        <f t="shared" si="130"/>
        <v>10.869183127802364</v>
      </c>
      <c r="P29" s="52">
        <f t="shared" si="130"/>
        <v>13.021585649849177</v>
      </c>
      <c r="Q29" s="52">
        <f t="shared" si="130"/>
        <v>15.536112500954587</v>
      </c>
      <c r="R29" s="52">
        <f t="shared" si="130"/>
        <v>18.470179044598154</v>
      </c>
      <c r="S29" s="52">
        <f t="shared" si="130"/>
        <v>21.890078029340877</v>
      </c>
      <c r="T29" s="52">
        <f t="shared" ref="T29:W29" si="132">T28/T30</f>
        <v>24.738406326882394</v>
      </c>
      <c r="U29" s="52">
        <f t="shared" si="132"/>
        <v>27.860542146910916</v>
      </c>
      <c r="V29" s="52">
        <f t="shared" si="132"/>
        <v>31.28479049923537</v>
      </c>
      <c r="W29" s="52">
        <f t="shared" si="132"/>
        <v>35.042247022634918</v>
      </c>
      <c r="X29" s="52">
        <f t="shared" ref="X29" si="133">X28/X30</f>
        <v>39.167079149151249</v>
      </c>
    </row>
    <row r="30" spans="1:181" x14ac:dyDescent="0.15">
      <c r="A30" s="3" t="s">
        <v>17</v>
      </c>
      <c r="B30" s="25">
        <v>32.667242000000002</v>
      </c>
      <c r="C30" s="25">
        <v>40.246662999999998</v>
      </c>
      <c r="D30" s="25">
        <f>Reports!E23</f>
        <v>111.677599</v>
      </c>
      <c r="E30" s="25">
        <f>Reports!I23</f>
        <v>115.29638</v>
      </c>
      <c r="F30" s="25">
        <f>Reports!M23</f>
        <v>124.81832199999999</v>
      </c>
      <c r="G30" s="25">
        <f>Reports!Q23</f>
        <v>129.012508</v>
      </c>
      <c r="H30" s="25">
        <f>Reports!U23</f>
        <v>123.397255</v>
      </c>
      <c r="I30" s="25">
        <f>Reports!Y23</f>
        <v>141.14054300000001</v>
      </c>
      <c r="J30" s="25">
        <f t="shared" ref="J30" si="134">I30</f>
        <v>141.14054300000001</v>
      </c>
      <c r="K30" s="25">
        <f t="shared" ref="K30" si="135">J30</f>
        <v>141.14054300000001</v>
      </c>
      <c r="L30" s="25">
        <f t="shared" ref="L30" si="136">K30</f>
        <v>141.14054300000001</v>
      </c>
      <c r="M30" s="25">
        <f t="shared" ref="M30:N30" si="137">L30</f>
        <v>141.14054300000001</v>
      </c>
      <c r="N30" s="25">
        <f t="shared" si="137"/>
        <v>141.14054300000001</v>
      </c>
      <c r="O30" s="25">
        <f t="shared" ref="O30" si="138">N30</f>
        <v>141.14054300000001</v>
      </c>
      <c r="P30" s="25">
        <f t="shared" ref="P30" si="139">O30</f>
        <v>141.14054300000001</v>
      </c>
      <c r="Q30" s="25">
        <f t="shared" ref="Q30" si="140">P30</f>
        <v>141.14054300000001</v>
      </c>
      <c r="R30" s="25">
        <f t="shared" ref="R30" si="141">Q30</f>
        <v>141.14054300000001</v>
      </c>
      <c r="S30" s="25">
        <f t="shared" ref="S30:X30" si="142">R30</f>
        <v>141.14054300000001</v>
      </c>
      <c r="T30" s="25">
        <f t="shared" si="142"/>
        <v>141.14054300000001</v>
      </c>
      <c r="U30" s="25">
        <f t="shared" si="142"/>
        <v>141.14054300000001</v>
      </c>
      <c r="V30" s="25">
        <f t="shared" si="142"/>
        <v>141.14054300000001</v>
      </c>
      <c r="W30" s="25">
        <f t="shared" si="142"/>
        <v>141.14054300000001</v>
      </c>
      <c r="X30" s="25">
        <f t="shared" si="142"/>
        <v>141.14054300000001</v>
      </c>
    </row>
    <row r="31" spans="1:181" x14ac:dyDescent="0.15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181" x14ac:dyDescent="0.15">
      <c r="A32" s="3" t="s">
        <v>19</v>
      </c>
      <c r="B32" s="39">
        <f t="shared" ref="B32:C32" si="143">IFERROR(B19/B17,0)</f>
        <v>0.61783526099406494</v>
      </c>
      <c r="C32" s="39">
        <f t="shared" si="143"/>
        <v>0.62353584776395643</v>
      </c>
      <c r="D32" s="39">
        <f t="shared" ref="D32:S32" si="144">IFERROR(D19/D17,0)</f>
        <v>0.64541369438279483</v>
      </c>
      <c r="E32" s="39">
        <f t="shared" si="144"/>
        <v>0.66208451723032491</v>
      </c>
      <c r="F32" s="39">
        <f t="shared" si="144"/>
        <v>0.65779340137303299</v>
      </c>
      <c r="G32" s="39">
        <f t="shared" si="144"/>
        <v>0.68407838669022747</v>
      </c>
      <c r="H32" s="39">
        <f t="shared" si="144"/>
        <v>0.66728927120996639</v>
      </c>
      <c r="I32" s="39">
        <f t="shared" si="144"/>
        <v>0.72029979346100093</v>
      </c>
      <c r="J32" s="39">
        <f>IFERROR(J19/J17,0)</f>
        <v>0.72029979346100093</v>
      </c>
      <c r="K32" s="39">
        <f t="shared" si="144"/>
        <v>0.72029979346100104</v>
      </c>
      <c r="L32" s="39">
        <f t="shared" si="144"/>
        <v>0.72029979346100104</v>
      </c>
      <c r="M32" s="39">
        <f t="shared" si="144"/>
        <v>0.72029979346100104</v>
      </c>
      <c r="N32" s="39">
        <f t="shared" ref="N32" si="145">IFERROR(N19/N17,0)</f>
        <v>0.72029979346100104</v>
      </c>
      <c r="O32" s="39">
        <f t="shared" si="144"/>
        <v>0.72029979346100115</v>
      </c>
      <c r="P32" s="39">
        <f t="shared" si="144"/>
        <v>0.72029979346100115</v>
      </c>
      <c r="Q32" s="39">
        <f t="shared" si="144"/>
        <v>0.72029979346100115</v>
      </c>
      <c r="R32" s="39">
        <f t="shared" si="144"/>
        <v>0.72029979346100115</v>
      </c>
      <c r="S32" s="39">
        <f t="shared" si="144"/>
        <v>0.72029979346100115</v>
      </c>
      <c r="T32" s="39">
        <f t="shared" ref="T32:W32" si="146">IFERROR(T19/T17,0)</f>
        <v>0.72029979346100115</v>
      </c>
      <c r="U32" s="39">
        <f t="shared" si="146"/>
        <v>0.72029979346100115</v>
      </c>
      <c r="V32" s="39">
        <f t="shared" si="146"/>
        <v>0.72029979346100115</v>
      </c>
      <c r="W32" s="39">
        <f t="shared" si="146"/>
        <v>0.72029979346100115</v>
      </c>
      <c r="X32" s="39">
        <f t="shared" ref="X32" si="147">IFERROR(X19/X17,0)</f>
        <v>0.72029979346100115</v>
      </c>
    </row>
    <row r="33" spans="1:124" x14ac:dyDescent="0.15">
      <c r="A33" s="3" t="s">
        <v>20</v>
      </c>
      <c r="B33" s="41">
        <f t="shared" ref="B33:C33" si="148">IFERROR(B24/B17,0)</f>
        <v>5.8629681176111071E-3</v>
      </c>
      <c r="C33" s="41">
        <f t="shared" si="148"/>
        <v>-3.1959548240972337E-2</v>
      </c>
      <c r="D33" s="41">
        <f t="shared" ref="D33:S33" si="149">IFERROR(D24/D17,0)</f>
        <v>-6.88850781904144E-3</v>
      </c>
      <c r="E33" s="41">
        <f t="shared" si="149"/>
        <v>4.8160518622231745E-2</v>
      </c>
      <c r="F33" s="41">
        <f t="shared" si="149"/>
        <v>2.6921237588194206E-2</v>
      </c>
      <c r="G33" s="41">
        <f>IFERROR(G24/G17,0)</f>
        <v>0.12407527321567273</v>
      </c>
      <c r="H33" s="41">
        <f t="shared" si="149"/>
        <v>0.10653392052367346</v>
      </c>
      <c r="I33" s="41">
        <f t="shared" si="149"/>
        <v>0.21611187310034652</v>
      </c>
      <c r="J33" s="41">
        <f t="shared" si="149"/>
        <v>0.25603449806890693</v>
      </c>
      <c r="K33" s="41">
        <f t="shared" si="149"/>
        <v>0.25348931940147423</v>
      </c>
      <c r="L33" s="41">
        <f t="shared" si="149"/>
        <v>0.25049790304468256</v>
      </c>
      <c r="M33" s="41">
        <f t="shared" si="149"/>
        <v>0.24706539388544929</v>
      </c>
      <c r="N33" s="41">
        <f t="shared" ref="N33" si="150">IFERROR(N24/N17,0)</f>
        <v>0.24319620196656982</v>
      </c>
      <c r="O33" s="41">
        <f t="shared" si="149"/>
        <v>0.25298435356193349</v>
      </c>
      <c r="P33" s="41">
        <f t="shared" si="149"/>
        <v>0.2620983694559384</v>
      </c>
      <c r="Q33" s="41">
        <f t="shared" si="149"/>
        <v>0.27058917414802319</v>
      </c>
      <c r="R33" s="41">
        <f t="shared" si="149"/>
        <v>0.27850359852882006</v>
      </c>
      <c r="S33" s="41">
        <f t="shared" si="149"/>
        <v>0.28588472129794118</v>
      </c>
      <c r="T33" s="41">
        <f t="shared" ref="T33:W33" si="151">IFERROR(T24/T17,0)</f>
        <v>0.29157350715356589</v>
      </c>
      <c r="U33" s="41">
        <f t="shared" si="151"/>
        <v>0.29648654948342351</v>
      </c>
      <c r="V33" s="41">
        <f t="shared" si="151"/>
        <v>0.3007296314955733</v>
      </c>
      <c r="W33" s="41">
        <f t="shared" si="151"/>
        <v>0.30439411141515721</v>
      </c>
      <c r="X33" s="41">
        <f t="shared" ref="X33" si="152">IFERROR(X24/X17,0)</f>
        <v>0.30755888952752508</v>
      </c>
    </row>
    <row r="34" spans="1:124" x14ac:dyDescent="0.15">
      <c r="A34" s="3" t="s">
        <v>21</v>
      </c>
      <c r="B34" s="41">
        <f t="shared" ref="B34:C34" si="153">IFERROR(B27/B26,0)</f>
        <v>14.724137931040669</v>
      </c>
      <c r="C34" s="41">
        <f t="shared" si="153"/>
        <v>-0.48567251461988209</v>
      </c>
      <c r="D34" s="41">
        <f t="shared" ref="D34:S34" si="154">IFERROR(D27/D26,0)</f>
        <v>-0.93123526469957796</v>
      </c>
      <c r="E34" s="41">
        <f t="shared" si="154"/>
        <v>-9.3967315716274413</v>
      </c>
      <c r="F34" s="41">
        <f t="shared" si="154"/>
        <v>-1.5361118863770307</v>
      </c>
      <c r="G34" s="41">
        <f t="shared" si="154"/>
        <v>-0.40594435992175604</v>
      </c>
      <c r="H34" s="41">
        <f t="shared" si="154"/>
        <v>-0.19468094443956774</v>
      </c>
      <c r="I34" s="41">
        <f t="shared" si="154"/>
        <v>6.3382707166328461E-2</v>
      </c>
      <c r="J34" s="41">
        <f t="shared" si="154"/>
        <v>0.15</v>
      </c>
      <c r="K34" s="41">
        <f t="shared" si="154"/>
        <v>0.15</v>
      </c>
      <c r="L34" s="41">
        <f t="shared" si="154"/>
        <v>0.15</v>
      </c>
      <c r="M34" s="41">
        <f t="shared" si="154"/>
        <v>0.15</v>
      </c>
      <c r="N34" s="41">
        <f t="shared" ref="N34" si="155">IFERROR(N27/N26,0)</f>
        <v>0.15</v>
      </c>
      <c r="O34" s="41">
        <f t="shared" si="154"/>
        <v>0.15</v>
      </c>
      <c r="P34" s="41">
        <f t="shared" si="154"/>
        <v>0.15</v>
      </c>
      <c r="Q34" s="41">
        <f t="shared" si="154"/>
        <v>0.15</v>
      </c>
      <c r="R34" s="41">
        <f t="shared" si="154"/>
        <v>0.15</v>
      </c>
      <c r="S34" s="41">
        <f t="shared" si="154"/>
        <v>0.15</v>
      </c>
      <c r="T34" s="41">
        <f t="shared" ref="T34:W34" si="156">IFERROR(T27/T26,0)</f>
        <v>0.15</v>
      </c>
      <c r="U34" s="41">
        <f t="shared" si="156"/>
        <v>0.15</v>
      </c>
      <c r="V34" s="41">
        <f t="shared" si="156"/>
        <v>0.15</v>
      </c>
      <c r="W34" s="41">
        <f t="shared" si="156"/>
        <v>0.15</v>
      </c>
      <c r="X34" s="41">
        <f t="shared" ref="X34" si="157">IFERROR(X27/X26,0)</f>
        <v>0.15</v>
      </c>
    </row>
    <row r="35" spans="1:124" x14ac:dyDescent="0.15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124" x14ac:dyDescent="0.15">
      <c r="A36" s="2" t="s">
        <v>18</v>
      </c>
      <c r="B36" s="28"/>
      <c r="C36" s="53">
        <f t="shared" ref="C36" si="158">C17/B17-1</f>
        <v>0.56445265633248565</v>
      </c>
      <c r="D36" s="53">
        <f t="shared" ref="D36" si="159">D17/C17-1</f>
        <v>0.39832098613944411</v>
      </c>
      <c r="E36" s="53">
        <f t="shared" ref="E36:X36" si="160">E17/D17-1</f>
        <v>0.33443632335036</v>
      </c>
      <c r="F36" s="53">
        <f t="shared" si="160"/>
        <v>0.20891203862266972</v>
      </c>
      <c r="G36" s="53">
        <f>G17/F17-1</f>
        <v>0.36856121646461015</v>
      </c>
      <c r="H36" s="53">
        <f t="shared" si="160"/>
        <v>0.3530332363408728</v>
      </c>
      <c r="I36" s="53">
        <f t="shared" si="160"/>
        <v>1.0319453733468529</v>
      </c>
      <c r="J36" s="53">
        <f t="shared" si="160"/>
        <v>0.37999999999999967</v>
      </c>
      <c r="K36" s="53">
        <f t="shared" si="160"/>
        <v>0.26500000000000012</v>
      </c>
      <c r="L36" s="53">
        <f t="shared" si="160"/>
        <v>0.2649999999999999</v>
      </c>
      <c r="M36" s="53">
        <f t="shared" si="160"/>
        <v>0.26500000000000012</v>
      </c>
      <c r="N36" s="53">
        <f t="shared" si="160"/>
        <v>0.2649999999999999</v>
      </c>
      <c r="O36" s="53">
        <f t="shared" si="160"/>
        <v>0.14999999999999991</v>
      </c>
      <c r="P36" s="53">
        <f t="shared" si="160"/>
        <v>0.14999999999999991</v>
      </c>
      <c r="Q36" s="53">
        <f t="shared" si="160"/>
        <v>0.14999999999999991</v>
      </c>
      <c r="R36" s="53">
        <f t="shared" si="160"/>
        <v>0.14999999999999991</v>
      </c>
      <c r="S36" s="53">
        <f t="shared" si="160"/>
        <v>0.14999999999999991</v>
      </c>
      <c r="T36" s="53">
        <f t="shared" si="160"/>
        <v>0.10000000000000009</v>
      </c>
      <c r="U36" s="53">
        <f t="shared" si="160"/>
        <v>0.10000000000000009</v>
      </c>
      <c r="V36" s="53">
        <f t="shared" si="160"/>
        <v>0.10000000000000009</v>
      </c>
      <c r="W36" s="53">
        <f t="shared" si="160"/>
        <v>0.10000000000000009</v>
      </c>
      <c r="X36" s="53">
        <f t="shared" si="160"/>
        <v>0.10000000000000009</v>
      </c>
    </row>
    <row r="37" spans="1:124" x14ac:dyDescent="0.15">
      <c r="A37" s="3" t="s">
        <v>58</v>
      </c>
      <c r="B37" s="22"/>
      <c r="C37" s="41">
        <f t="shared" ref="C37:C39" si="161">C20/B20-1</f>
        <v>0.32982430666473084</v>
      </c>
      <c r="D37" s="41">
        <f t="shared" ref="D37:D40" si="162">D20/C20-1</f>
        <v>0.16542010154501297</v>
      </c>
      <c r="E37" s="41">
        <f t="shared" ref="E37:X37" si="163">E20/D20-1</f>
        <v>0.29018129011102256</v>
      </c>
      <c r="F37" s="41">
        <f t="shared" si="163"/>
        <v>0.3546103153423017</v>
      </c>
      <c r="G37" s="41">
        <f t="shared" si="163"/>
        <v>0.30332636431864479</v>
      </c>
      <c r="H37" s="41">
        <f t="shared" si="163"/>
        <v>0.25143703277154517</v>
      </c>
      <c r="I37" s="41">
        <f t="shared" si="163"/>
        <v>0.479034683363325</v>
      </c>
      <c r="J37" s="41">
        <f t="shared" si="163"/>
        <v>0.25</v>
      </c>
      <c r="K37" s="41">
        <f t="shared" si="163"/>
        <v>0.25</v>
      </c>
      <c r="L37" s="41">
        <f t="shared" si="163"/>
        <v>0.25</v>
      </c>
      <c r="M37" s="41">
        <f t="shared" si="163"/>
        <v>0.25</v>
      </c>
      <c r="N37" s="41">
        <f t="shared" si="163"/>
        <v>0.25</v>
      </c>
      <c r="O37" s="41">
        <f t="shared" si="163"/>
        <v>0.10000000000000009</v>
      </c>
      <c r="P37" s="41">
        <f t="shared" si="163"/>
        <v>0.10000000000000009</v>
      </c>
      <c r="Q37" s="41">
        <f t="shared" si="163"/>
        <v>0.10000000000000009</v>
      </c>
      <c r="R37" s="41">
        <f t="shared" si="163"/>
        <v>0.10000000000000009</v>
      </c>
      <c r="S37" s="41">
        <f t="shared" si="163"/>
        <v>0.10000000000000009</v>
      </c>
      <c r="T37" s="41">
        <f t="shared" si="163"/>
        <v>0.10000000000000009</v>
      </c>
      <c r="U37" s="41">
        <f t="shared" si="163"/>
        <v>0.10000000000000009</v>
      </c>
      <c r="V37" s="41">
        <f t="shared" si="163"/>
        <v>0.10000000000000009</v>
      </c>
      <c r="W37" s="41">
        <f t="shared" si="163"/>
        <v>0.10000000000000009</v>
      </c>
      <c r="X37" s="41">
        <f t="shared" si="163"/>
        <v>0.10000000000000009</v>
      </c>
    </row>
    <row r="38" spans="1:124" x14ac:dyDescent="0.15">
      <c r="A38" s="3" t="s">
        <v>59</v>
      </c>
      <c r="B38" s="22"/>
      <c r="C38" s="41">
        <f t="shared" si="161"/>
        <v>1.2215686274509805</v>
      </c>
      <c r="D38" s="41">
        <f t="shared" si="162"/>
        <v>0.68379775564241574</v>
      </c>
      <c r="E38" s="41">
        <f t="shared" ref="E38:X38" si="164">E21/D21-1</f>
        <v>0.23179224513636143</v>
      </c>
      <c r="F38" s="41">
        <f t="shared" si="164"/>
        <v>0.32629364847777476</v>
      </c>
      <c r="G38" s="41">
        <f t="shared" si="164"/>
        <v>0.44853096209378007</v>
      </c>
      <c r="H38" s="41">
        <f t="shared" si="164"/>
        <v>0.36086271382734325</v>
      </c>
      <c r="I38" s="41">
        <f t="shared" si="164"/>
        <v>1.3345145418863993</v>
      </c>
      <c r="J38" s="41">
        <f t="shared" si="164"/>
        <v>0.30000000000000004</v>
      </c>
      <c r="K38" s="41">
        <f t="shared" si="164"/>
        <v>0.30000000000000004</v>
      </c>
      <c r="L38" s="41">
        <f t="shared" si="164"/>
        <v>0.30000000000000004</v>
      </c>
      <c r="M38" s="41">
        <f t="shared" si="164"/>
        <v>0.30000000000000004</v>
      </c>
      <c r="N38" s="41">
        <f t="shared" si="164"/>
        <v>0.30000000000000004</v>
      </c>
      <c r="O38" s="41">
        <f t="shared" si="164"/>
        <v>0.14999999999999991</v>
      </c>
      <c r="P38" s="41">
        <f t="shared" si="164"/>
        <v>0.14999999999999991</v>
      </c>
      <c r="Q38" s="41">
        <f t="shared" si="164"/>
        <v>0.14999999999999991</v>
      </c>
      <c r="R38" s="41">
        <f t="shared" si="164"/>
        <v>0.14999999999999991</v>
      </c>
      <c r="S38" s="41">
        <f t="shared" si="164"/>
        <v>0.14999999999999991</v>
      </c>
      <c r="T38" s="41">
        <f t="shared" si="164"/>
        <v>0.10000000000000009</v>
      </c>
      <c r="U38" s="41">
        <f t="shared" si="164"/>
        <v>0.10000000000000009</v>
      </c>
      <c r="V38" s="41">
        <f t="shared" si="164"/>
        <v>0.10000000000000009</v>
      </c>
      <c r="W38" s="41">
        <f t="shared" si="164"/>
        <v>0.10000000000000009</v>
      </c>
      <c r="X38" s="41">
        <f t="shared" si="164"/>
        <v>0.10000000000000009</v>
      </c>
    </row>
    <row r="39" spans="1:124" x14ac:dyDescent="0.15">
      <c r="A39" s="3" t="s">
        <v>60</v>
      </c>
      <c r="B39" s="22"/>
      <c r="C39" s="41">
        <f t="shared" si="161"/>
        <v>0.66880946258678331</v>
      </c>
      <c r="D39" s="41">
        <f t="shared" si="162"/>
        <v>0.32779275808936803</v>
      </c>
      <c r="E39" s="41">
        <f t="shared" ref="E39:X39" si="165">E22/D22-1</f>
        <v>0.25808323300308977</v>
      </c>
      <c r="F39" s="41">
        <f t="shared" si="165"/>
        <v>9.1282240490712763E-2</v>
      </c>
      <c r="G39" s="41">
        <f t="shared" si="165"/>
        <v>-0.12430267940157202</v>
      </c>
      <c r="H39" s="41">
        <f t="shared" si="165"/>
        <v>0.46472738679825776</v>
      </c>
      <c r="I39" s="41">
        <f t="shared" si="165"/>
        <v>0.27676048796962127</v>
      </c>
      <c r="J39" s="41">
        <f t="shared" si="165"/>
        <v>0.19999999999999996</v>
      </c>
      <c r="K39" s="41">
        <f t="shared" si="165"/>
        <v>0.19999999999999996</v>
      </c>
      <c r="L39" s="41">
        <f t="shared" si="165"/>
        <v>0.19999999999999996</v>
      </c>
      <c r="M39" s="41">
        <f t="shared" si="165"/>
        <v>0.19999999999999996</v>
      </c>
      <c r="N39" s="41">
        <f t="shared" si="165"/>
        <v>0.19999999999999996</v>
      </c>
      <c r="O39" s="41">
        <f t="shared" si="165"/>
        <v>5.0000000000000044E-2</v>
      </c>
      <c r="P39" s="41">
        <f t="shared" si="165"/>
        <v>5.0000000000000044E-2</v>
      </c>
      <c r="Q39" s="41">
        <f t="shared" si="165"/>
        <v>5.0000000000000044E-2</v>
      </c>
      <c r="R39" s="41">
        <f t="shared" si="165"/>
        <v>5.0000000000000044E-2</v>
      </c>
      <c r="S39" s="41">
        <f t="shared" si="165"/>
        <v>5.0000000000000044E-2</v>
      </c>
      <c r="T39" s="41">
        <f t="shared" si="165"/>
        <v>-5.0000000000000044E-2</v>
      </c>
      <c r="U39" s="41">
        <f t="shared" si="165"/>
        <v>-5.0000000000000044E-2</v>
      </c>
      <c r="V39" s="41">
        <f t="shared" si="165"/>
        <v>-5.0000000000000044E-2</v>
      </c>
      <c r="W39" s="41">
        <f t="shared" si="165"/>
        <v>-5.0000000000000044E-2</v>
      </c>
      <c r="X39" s="41">
        <f t="shared" si="165"/>
        <v>-5.0000000000000044E-2</v>
      </c>
    </row>
    <row r="40" spans="1:124" s="5" customFormat="1" x14ac:dyDescent="0.15">
      <c r="A40" s="5" t="s">
        <v>103</v>
      </c>
      <c r="B40" s="59"/>
      <c r="C40" s="60">
        <f>C23/B23-1</f>
        <v>0.67571559273297632</v>
      </c>
      <c r="D40" s="60">
        <f t="shared" si="162"/>
        <v>0.39150917642287197</v>
      </c>
      <c r="E40" s="60">
        <f t="shared" ref="E40:X40" si="166">E23/D23-1</f>
        <v>0.25592475505033518</v>
      </c>
      <c r="F40" s="60">
        <f t="shared" si="166"/>
        <v>0.24228561737376286</v>
      </c>
      <c r="G40" s="60">
        <f t="shared" si="166"/>
        <v>0.2148238362631083</v>
      </c>
      <c r="H40" s="60">
        <f t="shared" si="166"/>
        <v>0.35485072971654197</v>
      </c>
      <c r="I40" s="60">
        <f t="shared" si="166"/>
        <v>0.82696841112682695</v>
      </c>
      <c r="J40" s="60">
        <f t="shared" si="166"/>
        <v>0.27072879330943844</v>
      </c>
      <c r="K40" s="60">
        <f t="shared" si="166"/>
        <v>0.27193493794659673</v>
      </c>
      <c r="L40" s="60">
        <f t="shared" si="166"/>
        <v>0.27310637700228413</v>
      </c>
      <c r="M40" s="60">
        <f t="shared" si="166"/>
        <v>0.27424245767206767</v>
      </c>
      <c r="N40" s="60">
        <f t="shared" si="166"/>
        <v>0.2753427134244093</v>
      </c>
      <c r="O40" s="60">
        <f t="shared" si="166"/>
        <v>0.12640685474739399</v>
      </c>
      <c r="P40" s="60">
        <f t="shared" si="166"/>
        <v>0.1275716413727539</v>
      </c>
      <c r="Q40" s="60">
        <f t="shared" si="166"/>
        <v>0.12868966597583142</v>
      </c>
      <c r="R40" s="60">
        <f t="shared" si="166"/>
        <v>0.12976123389787642</v>
      </c>
      <c r="S40" s="60">
        <f t="shared" si="166"/>
        <v>0.13078686217342295</v>
      </c>
      <c r="T40" s="60">
        <f t="shared" si="166"/>
        <v>8.5595194913407058E-2</v>
      </c>
      <c r="U40" s="60">
        <f t="shared" si="166"/>
        <v>8.7394412856299786E-2</v>
      </c>
      <c r="V40" s="60">
        <f t="shared" si="166"/>
        <v>8.8987153469862745E-2</v>
      </c>
      <c r="W40" s="60">
        <f t="shared" si="166"/>
        <v>9.0392720271956772E-2</v>
      </c>
      <c r="X40" s="60">
        <f t="shared" si="166"/>
        <v>9.1629698573771901E-2</v>
      </c>
    </row>
    <row r="41" spans="1:124" x14ac:dyDescent="0.15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124" x14ac:dyDescent="0.15">
      <c r="A42" s="2" t="s">
        <v>33</v>
      </c>
      <c r="B42" s="22"/>
      <c r="C42" s="22"/>
      <c r="D42" s="26">
        <f>D43-D44</f>
        <v>298.20500000000004</v>
      </c>
      <c r="E42" s="26">
        <f>E43-E44</f>
        <v>287.42700000000002</v>
      </c>
      <c r="F42" s="26">
        <f>F43-F44</f>
        <v>345.89100000000002</v>
      </c>
      <c r="G42" s="26">
        <f>G43-G44</f>
        <v>353.14200000000005</v>
      </c>
      <c r="H42" s="26">
        <f>H43-H44</f>
        <v>121</v>
      </c>
      <c r="I42" s="26">
        <f>I43-I44</f>
        <v>646</v>
      </c>
      <c r="J42" s="32">
        <f t="shared" ref="J42:X42" si="167">I42+J28</f>
        <v>1155.5558770947507</v>
      </c>
      <c r="K42" s="32">
        <f t="shared" si="167"/>
        <v>1799.6266815302213</v>
      </c>
      <c r="L42" s="32">
        <f t="shared" si="167"/>
        <v>2610.798106090183</v>
      </c>
      <c r="M42" s="32">
        <f t="shared" si="167"/>
        <v>3629.0820395507599</v>
      </c>
      <c r="N42" s="32">
        <f t="shared" si="167"/>
        <v>4903.4667906730338</v>
      </c>
      <c r="O42" s="32">
        <f t="shared" si="167"/>
        <v>6437.5491992974976</v>
      </c>
      <c r="P42" s="32">
        <f t="shared" si="167"/>
        <v>8275.4228686382194</v>
      </c>
      <c r="Q42" s="32">
        <f t="shared" si="167"/>
        <v>10468.198223132038</v>
      </c>
      <c r="R42" s="32">
        <f t="shared" si="167"/>
        <v>13075.089322793843</v>
      </c>
      <c r="S42" s="32">
        <f t="shared" si="167"/>
        <v>16164.666822167384</v>
      </c>
      <c r="T42" s="32">
        <f t="shared" si="167"/>
        <v>19656.258924098202</v>
      </c>
      <c r="U42" s="32">
        <f t="shared" si="167"/>
        <v>23588.510970987594</v>
      </c>
      <c r="V42" s="32">
        <f t="shared" si="167"/>
        <v>28004.063289690916</v>
      </c>
      <c r="W42" s="32">
        <f t="shared" si="167"/>
        <v>32949.945062405743</v>
      </c>
      <c r="X42" s="32">
        <f t="shared" si="167"/>
        <v>38478.007881240927</v>
      </c>
    </row>
    <row r="43" spans="1:124" x14ac:dyDescent="0.15">
      <c r="A43" s="3" t="s">
        <v>34</v>
      </c>
      <c r="B43" s="22"/>
      <c r="C43" s="22"/>
      <c r="D43" s="31">
        <f>Reports!E35</f>
        <v>298.20500000000004</v>
      </c>
      <c r="E43" s="31">
        <f>Reports!I35</f>
        <v>287.42700000000002</v>
      </c>
      <c r="F43" s="31">
        <f>Reports!M35</f>
        <v>345.89100000000002</v>
      </c>
      <c r="G43" s="31">
        <f>Reports!Q35</f>
        <v>629.62800000000004</v>
      </c>
      <c r="H43" s="31">
        <f>Reports!U35</f>
        <v>906</v>
      </c>
      <c r="I43" s="31">
        <f>Reports!Y35</f>
        <v>1708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 spans="1:124" x14ac:dyDescent="0.15">
      <c r="A44" s="3" t="s">
        <v>35</v>
      </c>
      <c r="B44" s="22"/>
      <c r="C44" s="22"/>
      <c r="D44" s="31">
        <f>Reports!E36</f>
        <v>0</v>
      </c>
      <c r="E44" s="31">
        <f>Reports!I36</f>
        <v>0</v>
      </c>
      <c r="F44" s="31">
        <f>Reports!M36</f>
        <v>0</v>
      </c>
      <c r="G44" s="31">
        <f>Reports!Q36</f>
        <v>276.48599999999999</v>
      </c>
      <c r="H44" s="31">
        <f>Reports!U36</f>
        <v>785</v>
      </c>
      <c r="I44" s="31">
        <f>Reports!Y36</f>
        <v>1062</v>
      </c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spans="1:124" x14ac:dyDescent="0.15">
      <c r="B45" s="22"/>
      <c r="C45" s="22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r="46" spans="1:124" x14ac:dyDescent="0.15">
      <c r="A46" s="3" t="s">
        <v>73</v>
      </c>
      <c r="B46" s="22"/>
      <c r="C46" s="22"/>
      <c r="D46" s="55">
        <f>Reports!E38</f>
        <v>30.622999999999998</v>
      </c>
      <c r="E46" s="55">
        <f>Reports!I38</f>
        <v>43.163999999999994</v>
      </c>
      <c r="F46" s="55">
        <f>Reports!M38</f>
        <v>42.640999999999998</v>
      </c>
      <c r="G46" s="31">
        <f>Reports!Q38</f>
        <v>72.070999999999998</v>
      </c>
      <c r="H46" s="31">
        <f>Reports!U38</f>
        <v>338</v>
      </c>
      <c r="I46" s="31">
        <f>Reports!Y38</f>
        <v>328</v>
      </c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</row>
    <row r="47" spans="1:124" x14ac:dyDescent="0.15">
      <c r="A47" s="3" t="s">
        <v>74</v>
      </c>
      <c r="B47" s="22"/>
      <c r="C47" s="22"/>
      <c r="D47" s="55">
        <f>Reports!E39</f>
        <v>553.06100000000004</v>
      </c>
      <c r="E47" s="55">
        <f>Reports!I39</f>
        <v>581.19299999999998</v>
      </c>
      <c r="F47" s="55">
        <f>Reports!M39</f>
        <v>605.58299999999997</v>
      </c>
      <c r="G47" s="31">
        <f>Reports!Q39</f>
        <v>901.851</v>
      </c>
      <c r="H47" s="31">
        <f>Reports!U39</f>
        <v>1542</v>
      </c>
      <c r="I47" s="31">
        <f>Reports!Y39</f>
        <v>2404</v>
      </c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</row>
    <row r="48" spans="1:124" x14ac:dyDescent="0.15">
      <c r="A48" s="3" t="s">
        <v>75</v>
      </c>
      <c r="B48" s="22"/>
      <c r="C48" s="22"/>
      <c r="D48" s="55">
        <f>Reports!E40</f>
        <v>222.56299999999999</v>
      </c>
      <c r="E48" s="55">
        <f>Reports!I40</f>
        <v>236.43600000000001</v>
      </c>
      <c r="F48" s="55">
        <f>Reports!M40</f>
        <v>208.68899999999999</v>
      </c>
      <c r="G48" s="31">
        <f>Reports!Q40</f>
        <v>500.95299999999997</v>
      </c>
      <c r="H48" s="31">
        <f>Reports!U40</f>
        <v>1136</v>
      </c>
      <c r="I48" s="31">
        <f>Reports!Y40</f>
        <v>1662</v>
      </c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1:124" x14ac:dyDescent="0.15">
      <c r="B49" s="22"/>
      <c r="C49" s="22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</row>
    <row r="50" spans="1:124" x14ac:dyDescent="0.15">
      <c r="A50" s="3" t="s">
        <v>76</v>
      </c>
      <c r="B50" s="22"/>
      <c r="C50" s="22"/>
      <c r="D50" s="56">
        <f>D47-D46-D43</f>
        <v>224.23299999999995</v>
      </c>
      <c r="E50" s="56">
        <f>E47-E46-E43</f>
        <v>250.60199999999998</v>
      </c>
      <c r="F50" s="56">
        <f>F47-F46-F43</f>
        <v>217.05099999999999</v>
      </c>
      <c r="G50" s="56">
        <f>G47-G46-G43</f>
        <v>200.15199999999993</v>
      </c>
      <c r="H50" s="56">
        <f>H47-H46-H43</f>
        <v>298</v>
      </c>
      <c r="I50" s="56">
        <f>I47-I46-I43</f>
        <v>368</v>
      </c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</row>
    <row r="51" spans="1:124" x14ac:dyDescent="0.15">
      <c r="A51" s="3" t="s">
        <v>77</v>
      </c>
      <c r="B51" s="22"/>
      <c r="C51" s="22"/>
      <c r="D51" s="56">
        <f>D47-D48</f>
        <v>330.49800000000005</v>
      </c>
      <c r="E51" s="56">
        <f>E47-E48</f>
        <v>344.75699999999995</v>
      </c>
      <c r="F51" s="56">
        <f>F47-F48</f>
        <v>396.89400000000001</v>
      </c>
      <c r="G51" s="56">
        <f>G47-G48</f>
        <v>400.89800000000002</v>
      </c>
      <c r="H51" s="56">
        <f>H47-H48</f>
        <v>406</v>
      </c>
      <c r="I51" s="56">
        <f>I47-I48</f>
        <v>742</v>
      </c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1:124" x14ac:dyDescent="0.15">
      <c r="B52" s="22"/>
      <c r="C52" s="22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</row>
    <row r="53" spans="1:124" x14ac:dyDescent="0.15">
      <c r="A53" s="20" t="s">
        <v>79</v>
      </c>
      <c r="B53" s="22"/>
      <c r="C53" s="22"/>
      <c r="D53" s="22"/>
      <c r="E53" s="22"/>
      <c r="F53" s="57">
        <f>F28/F51</f>
        <v>0.20605501720862479</v>
      </c>
      <c r="G53" s="57">
        <f>G28/G51</f>
        <v>0.19362780557648082</v>
      </c>
      <c r="H53" s="57">
        <f>H28/H51</f>
        <v>0.23467241379310388</v>
      </c>
      <c r="I53" s="57">
        <f>I28/I51</f>
        <v>0.37839124815853437</v>
      </c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</row>
    <row r="54" spans="1:124" x14ac:dyDescent="0.15">
      <c r="A54" s="20" t="s">
        <v>80</v>
      </c>
      <c r="B54" s="22"/>
      <c r="C54" s="22"/>
      <c r="D54" s="22"/>
      <c r="E54" s="22"/>
      <c r="F54" s="57">
        <f>F28/F47</f>
        <v>0.13504672357050962</v>
      </c>
      <c r="G54" s="57">
        <f>G28/G47</f>
        <v>8.6072976578170909E-2</v>
      </c>
      <c r="H54" s="57">
        <f>H28/H47</f>
        <v>6.1787937743190774E-2</v>
      </c>
      <c r="I54" s="57">
        <f>I28/I47</f>
        <v>0.11679130870783382</v>
      </c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</row>
    <row r="55" spans="1:124" x14ac:dyDescent="0.15">
      <c r="A55" s="20" t="s">
        <v>81</v>
      </c>
      <c r="B55" s="22"/>
      <c r="C55" s="22"/>
      <c r="D55" s="22"/>
      <c r="E55" s="22"/>
      <c r="F55" s="57">
        <f>F28/(F51-F46)</f>
        <v>0.23085760741616848</v>
      </c>
      <c r="G55" s="57">
        <f>G28/(G51-G46)</f>
        <v>0.23606638141028569</v>
      </c>
      <c r="H55" s="57">
        <f>H28/(H51-H46)</f>
        <v>1.401132352941179</v>
      </c>
      <c r="I55" s="57">
        <f>I28/(I51-I46)</f>
        <v>0.67817948341457124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</row>
    <row r="56" spans="1:124" x14ac:dyDescent="0.15">
      <c r="A56" s="20" t="s">
        <v>82</v>
      </c>
      <c r="B56" s="22"/>
      <c r="C56" s="22"/>
      <c r="D56" s="22"/>
      <c r="E56" s="22"/>
      <c r="F56" s="57">
        <f>F28/F50</f>
        <v>0.37678702240487227</v>
      </c>
      <c r="G56" s="57">
        <f>G28/G50</f>
        <v>0.38783024901075203</v>
      </c>
      <c r="H56" s="57">
        <f>H28/H50</f>
        <v>0.31972147651006771</v>
      </c>
      <c r="I56" s="57">
        <f>I28/I50</f>
        <v>0.76295191884139268</v>
      </c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</row>
    <row r="57" spans="1:124" x14ac:dyDescent="0.15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</row>
    <row r="58" spans="1:124" x14ac:dyDescent="0.15">
      <c r="A58" s="3" t="s">
        <v>92</v>
      </c>
      <c r="B58" s="44"/>
      <c r="C58" s="44"/>
      <c r="D58" s="44"/>
      <c r="E58" s="57">
        <f>E10/D10-1</f>
        <v>0.19266027380736994</v>
      </c>
      <c r="F58" s="57">
        <f t="shared" ref="F58:I58" si="168">F10/E10-1</f>
        <v>0.7576420318070336</v>
      </c>
      <c r="G58" s="57">
        <f t="shared" si="168"/>
        <v>0.58501938388727881</v>
      </c>
      <c r="H58" s="57">
        <f t="shared" si="168"/>
        <v>0.34013477333575359</v>
      </c>
      <c r="I58" s="57">
        <f t="shared" si="168"/>
        <v>1.2062537776114826</v>
      </c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</row>
    <row r="59" spans="1:124" x14ac:dyDescent="0.15">
      <c r="A59" s="3" t="s">
        <v>93</v>
      </c>
      <c r="B59" s="44"/>
      <c r="C59" s="44"/>
      <c r="D59" s="44"/>
      <c r="E59" s="57">
        <f t="shared" ref="E59:I59" si="169">E11/D11-1</f>
        <v>0.47031652611852892</v>
      </c>
      <c r="F59" s="57">
        <f t="shared" si="169"/>
        <v>-0.20401579232986644</v>
      </c>
      <c r="G59" s="57">
        <f t="shared" si="169"/>
        <v>-5.948248362824482E-3</v>
      </c>
      <c r="H59" s="57">
        <f t="shared" si="169"/>
        <v>0.42421096345514941</v>
      </c>
      <c r="I59" s="57">
        <f t="shared" si="169"/>
        <v>0.86659862953783384</v>
      </c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</row>
    <row r="60" spans="1:124" x14ac:dyDescent="0.15">
      <c r="A60" s="3" t="s">
        <v>94</v>
      </c>
      <c r="B60" s="44"/>
      <c r="C60" s="44"/>
      <c r="D60" s="44"/>
      <c r="E60" s="57">
        <f t="shared" ref="E60:G60" si="170">E12/D12-1</f>
        <v>0.39193966533113378</v>
      </c>
      <c r="F60" s="57">
        <f t="shared" si="170"/>
        <v>-0.4466644090755163</v>
      </c>
      <c r="G60" s="57">
        <f t="shared" si="170"/>
        <v>0.27264381884944933</v>
      </c>
      <c r="H60" s="57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</row>
    <row r="61" spans="1:124" x14ac:dyDescent="0.15"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</row>
    <row r="62" spans="1:124" x14ac:dyDescent="0.15">
      <c r="A62" s="3" t="s">
        <v>96</v>
      </c>
      <c r="B62" s="44"/>
      <c r="C62" s="57">
        <f>C14/B14-1</f>
        <v>0.41177309007981755</v>
      </c>
      <c r="D62" s="57">
        <f t="shared" ref="D62:N62" si="171">D14/C14-1</f>
        <v>0.21383139828369524</v>
      </c>
      <c r="E62" s="57">
        <f t="shared" si="171"/>
        <v>0.18797305165100231</v>
      </c>
      <c r="F62" s="57">
        <f t="shared" si="171"/>
        <v>0.16796191276342509</v>
      </c>
      <c r="G62" s="57">
        <f t="shared" si="171"/>
        <v>0.18232226351756409</v>
      </c>
      <c r="H62" s="57">
        <f t="shared" si="171"/>
        <v>0.17501964661444469</v>
      </c>
      <c r="I62" s="57">
        <f t="shared" si="171"/>
        <v>0.76690902030161157</v>
      </c>
      <c r="J62" s="57">
        <f t="shared" si="171"/>
        <v>0.19999999999999996</v>
      </c>
      <c r="K62" s="57">
        <f t="shared" si="171"/>
        <v>0.10000000000000009</v>
      </c>
      <c r="L62" s="57">
        <f t="shared" si="171"/>
        <v>0.10000000000000009</v>
      </c>
      <c r="M62" s="57">
        <f t="shared" si="171"/>
        <v>0.10000000000000009</v>
      </c>
      <c r="N62" s="57">
        <f t="shared" si="171"/>
        <v>0.10000000000000009</v>
      </c>
      <c r="O62" s="44"/>
      <c r="P62" s="44"/>
      <c r="Q62" s="44"/>
      <c r="R62" s="44"/>
      <c r="S62" s="44"/>
      <c r="T62" s="44"/>
      <c r="U62" s="44"/>
      <c r="V62" s="44"/>
      <c r="W62" s="44"/>
      <c r="X62" s="44"/>
    </row>
    <row r="63" spans="1:124" x14ac:dyDescent="0.15">
      <c r="A63" s="3" t="s">
        <v>85</v>
      </c>
      <c r="B63" s="44"/>
      <c r="C63" s="57">
        <f t="shared" ref="C63:N63" si="172">C15/B15-1</f>
        <v>0.10814738382924993</v>
      </c>
      <c r="D63" s="57">
        <f t="shared" si="172"/>
        <v>0.15198946749656428</v>
      </c>
      <c r="E63" s="57">
        <f t="shared" si="172"/>
        <v>0.12328837888688482</v>
      </c>
      <c r="F63" s="57">
        <f t="shared" si="172"/>
        <v>3.5061182570890415E-2</v>
      </c>
      <c r="G63" s="57">
        <f>G15/F15-1</f>
        <v>0.15751961939121473</v>
      </c>
      <c r="H63" s="57">
        <f t="shared" si="172"/>
        <v>0.15149839429437151</v>
      </c>
      <c r="I63" s="57">
        <f t="shared" si="172"/>
        <v>0.14999999999999991</v>
      </c>
      <c r="J63" s="57">
        <f t="shared" si="172"/>
        <v>0.14999999999999991</v>
      </c>
      <c r="K63" s="57">
        <f t="shared" si="172"/>
        <v>0.14999999999999991</v>
      </c>
      <c r="L63" s="57">
        <f t="shared" si="172"/>
        <v>0.14999999999999991</v>
      </c>
      <c r="M63" s="57">
        <f t="shared" si="172"/>
        <v>0.14999999999999991</v>
      </c>
      <c r="N63" s="57">
        <f t="shared" si="172"/>
        <v>0.14999999999999991</v>
      </c>
      <c r="O63" s="44"/>
      <c r="P63" s="44"/>
      <c r="Q63" s="44"/>
      <c r="R63" s="44"/>
      <c r="S63" s="44"/>
      <c r="T63" s="44"/>
      <c r="U63" s="44"/>
      <c r="V63" s="44"/>
      <c r="W63" s="44"/>
      <c r="X63" s="44"/>
    </row>
  </sheetData>
  <hyperlinks>
    <hyperlink ref="A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9"/>
  <sheetViews>
    <sheetView zoomScale="130" zoomScaleNormal="130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AA25" sqref="AA25"/>
    </sheetView>
  </sheetViews>
  <sheetFormatPr baseColWidth="10" defaultRowHeight="13" x14ac:dyDescent="0.15"/>
  <cols>
    <col min="1" max="1" width="17.5" style="65" bestFit="1" customWidth="1"/>
    <col min="2" max="5" width="10.83203125" style="22" customWidth="1"/>
    <col min="6" max="6" width="10.83203125" style="23" customWidth="1"/>
    <col min="7" max="8" width="10.83203125" style="22" customWidth="1"/>
    <col min="9" max="9" width="10.83203125" style="22"/>
    <col min="10" max="10" width="10.83203125" style="23"/>
    <col min="11" max="13" width="10.83203125" style="22"/>
    <col min="14" max="14" width="10.83203125" style="23"/>
    <col min="15" max="17" width="10.83203125" style="22"/>
    <col min="18" max="18" width="10.83203125" style="23"/>
    <col min="19" max="21" width="10.83203125" style="22"/>
    <col min="22" max="22" width="10.83203125" style="46"/>
    <col min="23" max="16384" width="10.83203125" style="6"/>
  </cols>
  <sheetData>
    <row r="1" spans="1:29" s="22" customFormat="1" x14ac:dyDescent="0.15">
      <c r="A1" s="63" t="s">
        <v>61</v>
      </c>
      <c r="B1" s="22" t="s">
        <v>50</v>
      </c>
      <c r="C1" s="22" t="s">
        <v>51</v>
      </c>
      <c r="D1" s="22" t="s">
        <v>52</v>
      </c>
      <c r="E1" s="22" t="s">
        <v>53</v>
      </c>
      <c r="F1" s="23" t="s">
        <v>22</v>
      </c>
      <c r="G1" s="22" t="s">
        <v>23</v>
      </c>
      <c r="H1" s="22" t="s">
        <v>24</v>
      </c>
      <c r="I1" s="22" t="s">
        <v>25</v>
      </c>
      <c r="J1" s="24" t="s">
        <v>0</v>
      </c>
      <c r="K1" s="25" t="s">
        <v>1</v>
      </c>
      <c r="L1" s="25" t="s">
        <v>2</v>
      </c>
      <c r="M1" s="25" t="s">
        <v>3</v>
      </c>
      <c r="N1" s="24" t="s">
        <v>42</v>
      </c>
      <c r="O1" s="25" t="s">
        <v>43</v>
      </c>
      <c r="P1" s="25" t="s">
        <v>44</v>
      </c>
      <c r="Q1" s="25" t="s">
        <v>45</v>
      </c>
      <c r="R1" s="24" t="s">
        <v>68</v>
      </c>
      <c r="S1" s="25" t="s">
        <v>69</v>
      </c>
      <c r="T1" s="25" t="s">
        <v>70</v>
      </c>
      <c r="U1" s="25" t="s">
        <v>71</v>
      </c>
      <c r="V1" s="24" t="s">
        <v>104</v>
      </c>
      <c r="W1" s="22" t="s">
        <v>105</v>
      </c>
      <c r="X1" s="22" t="s">
        <v>106</v>
      </c>
      <c r="Y1" s="22" t="s">
        <v>107</v>
      </c>
      <c r="Z1" s="22" t="s">
        <v>108</v>
      </c>
      <c r="AA1" s="22" t="s">
        <v>109</v>
      </c>
      <c r="AB1" s="22" t="s">
        <v>110</v>
      </c>
      <c r="AC1" s="22" t="s">
        <v>111</v>
      </c>
    </row>
    <row r="2" spans="1:29" s="22" customFormat="1" x14ac:dyDescent="0.15">
      <c r="A2" s="63"/>
      <c r="B2" s="22" t="s">
        <v>54</v>
      </c>
      <c r="C2" s="22" t="s">
        <v>55</v>
      </c>
      <c r="D2" s="22" t="s">
        <v>56</v>
      </c>
      <c r="E2" s="22" t="s">
        <v>57</v>
      </c>
      <c r="F2" s="23" t="s">
        <v>29</v>
      </c>
      <c r="G2" s="22" t="s">
        <v>28</v>
      </c>
      <c r="H2" s="22" t="s">
        <v>27</v>
      </c>
      <c r="I2" s="22" t="s">
        <v>32</v>
      </c>
      <c r="J2" s="23" t="s">
        <v>31</v>
      </c>
      <c r="K2" s="22" t="s">
        <v>30</v>
      </c>
      <c r="L2" s="22" t="s">
        <v>26</v>
      </c>
      <c r="M2" s="22" t="s">
        <v>36</v>
      </c>
      <c r="N2" s="23" t="s">
        <v>46</v>
      </c>
      <c r="O2" s="22" t="s">
        <v>47</v>
      </c>
      <c r="P2" s="22" t="s">
        <v>48</v>
      </c>
      <c r="Q2" s="22" t="s">
        <v>49</v>
      </c>
      <c r="R2" s="23" t="s">
        <v>97</v>
      </c>
      <c r="S2" s="22" t="s">
        <v>98</v>
      </c>
      <c r="T2" s="22" t="s">
        <v>99</v>
      </c>
      <c r="U2" s="22" t="s">
        <v>100</v>
      </c>
      <c r="V2" s="69">
        <v>43921</v>
      </c>
      <c r="W2" s="70">
        <v>44012</v>
      </c>
      <c r="X2" s="70">
        <v>44104</v>
      </c>
      <c r="Y2" s="70">
        <v>44196</v>
      </c>
    </row>
    <row r="3" spans="1:29" s="8" customFormat="1" x14ac:dyDescent="0.15">
      <c r="A3" s="71" t="s">
        <v>90</v>
      </c>
      <c r="B3" s="25">
        <v>30.151</v>
      </c>
      <c r="C3" s="25">
        <v>30.469000000000001</v>
      </c>
      <c r="D3" s="25">
        <v>32.231999999999999</v>
      </c>
      <c r="E3" s="25">
        <v>39.795999999999999</v>
      </c>
      <c r="F3" s="24">
        <v>35.729999999999997</v>
      </c>
      <c r="G3" s="25">
        <v>37.405000000000001</v>
      </c>
      <c r="H3" s="25">
        <v>38.133000000000003</v>
      </c>
      <c r="I3" s="25">
        <v>46.936</v>
      </c>
      <c r="J3" s="24">
        <v>70.561999999999998</v>
      </c>
      <c r="K3" s="25">
        <v>75.444999999999993</v>
      </c>
      <c r="L3" s="25">
        <v>77.808000000000007</v>
      </c>
      <c r="M3" s="25">
        <v>54.250999999999998</v>
      </c>
      <c r="N3" s="24">
        <v>87.966999999999999</v>
      </c>
      <c r="O3" s="25">
        <v>91.305999999999997</v>
      </c>
      <c r="P3" s="25">
        <v>110.92700000000001</v>
      </c>
      <c r="Q3" s="25">
        <v>150.54</v>
      </c>
      <c r="R3" s="24">
        <v>126</v>
      </c>
      <c r="S3" s="25">
        <v>134</v>
      </c>
      <c r="T3" s="25">
        <v>141</v>
      </c>
      <c r="U3" s="25">
        <v>189.65100000000001</v>
      </c>
      <c r="V3" s="24">
        <v>155.92099999999999</v>
      </c>
      <c r="W3" s="8">
        <v>332.03100000000001</v>
      </c>
      <c r="X3" s="8">
        <v>341.62299999999999</v>
      </c>
      <c r="Y3" s="8">
        <v>473.55099999999999</v>
      </c>
    </row>
    <row r="4" spans="1:29" s="8" customFormat="1" x14ac:dyDescent="0.15">
      <c r="A4" s="71" t="s">
        <v>91</v>
      </c>
      <c r="B4" s="25">
        <v>27.279</v>
      </c>
      <c r="C4" s="25">
        <v>29.77</v>
      </c>
      <c r="D4" s="25">
        <v>32.329000000000001</v>
      </c>
      <c r="E4" s="25">
        <v>47.23</v>
      </c>
      <c r="F4" s="24">
        <v>43.533000000000001</v>
      </c>
      <c r="G4" s="25">
        <v>47.069000000000003</v>
      </c>
      <c r="H4" s="25">
        <v>48.511000000000003</v>
      </c>
      <c r="I4" s="25">
        <v>61.744</v>
      </c>
      <c r="J4" s="24">
        <v>24.143999999999998</v>
      </c>
      <c r="K4" s="25">
        <v>25.44</v>
      </c>
      <c r="L4" s="25">
        <v>27.975999999999999</v>
      </c>
      <c r="M4" s="25">
        <v>82.319000000000003</v>
      </c>
      <c r="N4" s="24">
        <v>32.604999999999997</v>
      </c>
      <c r="O4" s="25">
        <v>39.506999999999998</v>
      </c>
      <c r="P4" s="25">
        <v>38.194000000000003</v>
      </c>
      <c r="Q4" s="25">
        <v>48.622</v>
      </c>
      <c r="R4" s="24">
        <v>42</v>
      </c>
      <c r="S4" s="25">
        <f>46+1</f>
        <v>47</v>
      </c>
      <c r="T4" s="25">
        <f>56+1</f>
        <v>57</v>
      </c>
      <c r="U4" s="25">
        <v>80.346999999999994</v>
      </c>
      <c r="V4" s="24">
        <v>72.134</v>
      </c>
      <c r="W4" s="8">
        <v>96.706000000000003</v>
      </c>
      <c r="X4" s="8">
        <v>109.855</v>
      </c>
      <c r="Y4" s="8">
        <v>143.804</v>
      </c>
    </row>
    <row r="5" spans="1:29" s="8" customFormat="1" x14ac:dyDescent="0.15">
      <c r="A5" s="71" t="s">
        <v>72</v>
      </c>
      <c r="B5" s="25">
        <v>1.113</v>
      </c>
      <c r="C5" s="25">
        <v>1.1259999999999999</v>
      </c>
      <c r="D5" s="25">
        <v>1.135</v>
      </c>
      <c r="E5" s="25">
        <v>0.86899999999999999</v>
      </c>
      <c r="F5" s="24">
        <v>2.5840000000000001</v>
      </c>
      <c r="G5" s="25">
        <v>0.875</v>
      </c>
      <c r="H5" s="25">
        <v>0.91800000000000004</v>
      </c>
      <c r="I5" s="25">
        <v>1.5289999999999999</v>
      </c>
      <c r="J5" s="24">
        <v>2.1850000000000001</v>
      </c>
      <c r="K5" s="25">
        <v>0.80700000000000005</v>
      </c>
      <c r="L5" s="25">
        <v>0.59599999999999997</v>
      </c>
      <c r="M5" s="25">
        <v>-0.32</v>
      </c>
      <c r="N5" s="24">
        <v>0.34</v>
      </c>
      <c r="O5" s="25">
        <v>1.5740000000000001</v>
      </c>
      <c r="P5" s="25">
        <v>1.2450000000000001</v>
      </c>
      <c r="Q5" s="25">
        <v>1</v>
      </c>
      <c r="R5" s="24"/>
      <c r="S5" s="25"/>
      <c r="T5" s="25"/>
      <c r="U5" s="25"/>
      <c r="V5" s="24"/>
    </row>
    <row r="6" spans="1:29" x14ac:dyDescent="0.15">
      <c r="A6" s="62"/>
      <c r="B6" s="25"/>
      <c r="C6" s="25"/>
      <c r="D6" s="25"/>
      <c r="E6" s="25"/>
      <c r="F6" s="24"/>
      <c r="G6" s="25"/>
      <c r="H6" s="25"/>
      <c r="I6" s="25"/>
      <c r="J6" s="24"/>
      <c r="K6" s="25"/>
      <c r="L6" s="25"/>
      <c r="M6" s="25"/>
      <c r="N6" s="24"/>
      <c r="O6" s="25"/>
      <c r="P6" s="25"/>
      <c r="Q6" s="25"/>
      <c r="R6" s="24"/>
      <c r="S6" s="25"/>
      <c r="T6" s="25"/>
      <c r="U6" s="25"/>
      <c r="V6" s="24"/>
    </row>
    <row r="7" spans="1:29" s="8" customFormat="1" x14ac:dyDescent="0.15">
      <c r="A7" s="71" t="s">
        <v>95</v>
      </c>
      <c r="B7" s="25">
        <v>20.837</v>
      </c>
      <c r="C7" s="25">
        <v>21.696999999999999</v>
      </c>
      <c r="D7" s="25">
        <v>22.603000000000002</v>
      </c>
      <c r="E7" s="25">
        <v>24.045999999999999</v>
      </c>
      <c r="F7" s="24">
        <v>25.027000000000001</v>
      </c>
      <c r="G7" s="25">
        <v>26.103999999999999</v>
      </c>
      <c r="H7" s="25">
        <v>27.14</v>
      </c>
      <c r="I7" s="25">
        <v>28.565999999999999</v>
      </c>
      <c r="J7" s="24">
        <v>29.669</v>
      </c>
      <c r="K7" s="25">
        <v>30.584</v>
      </c>
      <c r="L7" s="25">
        <v>31.68</v>
      </c>
      <c r="M7" s="25">
        <v>33.363999999999997</v>
      </c>
      <c r="N7" s="24">
        <v>34.692999999999998</v>
      </c>
      <c r="O7" s="25">
        <v>35.83</v>
      </c>
      <c r="P7" s="25">
        <v>37.134</v>
      </c>
      <c r="Q7" s="25">
        <v>39.447000000000003</v>
      </c>
      <c r="R7" s="24">
        <v>41</v>
      </c>
      <c r="S7" s="25">
        <v>42.7</v>
      </c>
      <c r="T7" s="25">
        <v>44.8</v>
      </c>
      <c r="U7" s="25">
        <v>46.350999999999999</v>
      </c>
      <c r="V7" s="24">
        <v>47.747999999999998</v>
      </c>
      <c r="W7" s="8">
        <v>60.274000000000001</v>
      </c>
      <c r="X7" s="8">
        <v>69.649000000000001</v>
      </c>
      <c r="Y7" s="8">
        <v>81.897999999999996</v>
      </c>
    </row>
    <row r="8" spans="1:29" s="4" customFormat="1" x14ac:dyDescent="0.15">
      <c r="A8" s="64" t="s">
        <v>84</v>
      </c>
      <c r="B8" s="47">
        <f t="shared" ref="B8:Q8" si="0">SUM(B3:B5)/B7</f>
        <v>2.8095695157652254</v>
      </c>
      <c r="C8" s="47">
        <f t="shared" si="0"/>
        <v>2.828271189565378</v>
      </c>
      <c r="D8" s="47">
        <f t="shared" si="0"/>
        <v>2.9065168340485781</v>
      </c>
      <c r="E8" s="47">
        <f t="shared" si="0"/>
        <v>3.655285702403726</v>
      </c>
      <c r="F8" s="48">
        <f t="shared" si="0"/>
        <v>3.2703480241339355</v>
      </c>
      <c r="G8" s="47">
        <f t="shared" si="0"/>
        <v>3.2695755439779348</v>
      </c>
      <c r="H8" s="47">
        <f t="shared" si="0"/>
        <v>3.2263080324244662</v>
      </c>
      <c r="I8" s="47">
        <f t="shared" si="0"/>
        <v>3.8580480291255341</v>
      </c>
      <c r="J8" s="48">
        <f t="shared" si="0"/>
        <v>3.2657319087262797</v>
      </c>
      <c r="K8" s="47">
        <f t="shared" si="0"/>
        <v>3.325006539366989</v>
      </c>
      <c r="L8" s="47">
        <f t="shared" si="0"/>
        <v>3.3579545454545459</v>
      </c>
      <c r="M8" s="47">
        <f t="shared" si="0"/>
        <v>4.0837429564800383</v>
      </c>
      <c r="N8" s="48">
        <f t="shared" si="0"/>
        <v>3.4851987432623299</v>
      </c>
      <c r="O8" s="47">
        <f t="shared" si="0"/>
        <v>3.6948646385710302</v>
      </c>
      <c r="P8" s="47">
        <f t="shared" si="0"/>
        <v>4.0492809823881082</v>
      </c>
      <c r="Q8" s="47">
        <f t="shared" si="0"/>
        <v>5.0742008264253293</v>
      </c>
      <c r="R8" s="48">
        <f t="shared" ref="R8:T8" si="1">SUM(R3:R5)/R7</f>
        <v>4.0975609756097562</v>
      </c>
      <c r="S8" s="47">
        <f t="shared" si="1"/>
        <v>4.2388758782201403</v>
      </c>
      <c r="T8" s="47">
        <f t="shared" si="1"/>
        <v>4.4196428571428577</v>
      </c>
      <c r="U8" s="47">
        <f>SUM(U3:U5)/U7</f>
        <v>5.8250738926883994</v>
      </c>
      <c r="V8" s="48">
        <f>SUM(V3:V5)/V7</f>
        <v>4.7762209935494688</v>
      </c>
      <c r="W8" s="47">
        <f>SUM(W3:W5)/W7</f>
        <v>7.1131333576666558</v>
      </c>
      <c r="X8" s="47">
        <f>SUM(X3:X5)/X7</f>
        <v>6.4821892633060063</v>
      </c>
      <c r="Y8" s="47">
        <f>SUM(Y3:Y5)/Y7</f>
        <v>7.5380961684046017</v>
      </c>
    </row>
    <row r="9" spans="1:29" s="8" customFormat="1" x14ac:dyDescent="0.15">
      <c r="A9" s="67"/>
      <c r="B9" s="25"/>
      <c r="C9" s="25"/>
      <c r="D9" s="25"/>
      <c r="E9" s="25"/>
      <c r="F9" s="24"/>
      <c r="G9" s="25"/>
      <c r="H9" s="25"/>
      <c r="I9" s="25"/>
      <c r="J9" s="24"/>
      <c r="K9" s="25"/>
      <c r="L9" s="25"/>
      <c r="M9" s="25"/>
      <c r="N9" s="24"/>
      <c r="O9" s="25"/>
      <c r="P9" s="25"/>
      <c r="Q9" s="25"/>
      <c r="R9" s="24"/>
      <c r="S9" s="25"/>
      <c r="T9" s="25"/>
      <c r="U9" s="25"/>
      <c r="V9" s="24"/>
      <c r="Z9" s="8">
        <v>513</v>
      </c>
    </row>
    <row r="10" spans="1:29" s="18" customFormat="1" x14ac:dyDescent="0.15">
      <c r="A10" s="73" t="s">
        <v>4</v>
      </c>
      <c r="B10" s="26">
        <f t="shared" ref="B10:Q10" si="2">SUM(B3:B5)</f>
        <v>58.542999999999999</v>
      </c>
      <c r="C10" s="26">
        <f t="shared" si="2"/>
        <v>61.365000000000002</v>
      </c>
      <c r="D10" s="26">
        <f t="shared" si="2"/>
        <v>65.696000000000012</v>
      </c>
      <c r="E10" s="26">
        <f t="shared" si="2"/>
        <v>87.894999999999996</v>
      </c>
      <c r="F10" s="27">
        <f t="shared" si="2"/>
        <v>81.847000000000008</v>
      </c>
      <c r="G10" s="26">
        <f t="shared" si="2"/>
        <v>85.349000000000004</v>
      </c>
      <c r="H10" s="26">
        <f t="shared" si="2"/>
        <v>87.562000000000012</v>
      </c>
      <c r="I10" s="26">
        <f t="shared" si="2"/>
        <v>110.209</v>
      </c>
      <c r="J10" s="27">
        <f t="shared" si="2"/>
        <v>96.890999999999991</v>
      </c>
      <c r="K10" s="26">
        <f t="shared" si="2"/>
        <v>101.69199999999999</v>
      </c>
      <c r="L10" s="26">
        <f t="shared" si="2"/>
        <v>106.38000000000001</v>
      </c>
      <c r="M10" s="26">
        <f t="shared" si="2"/>
        <v>136.25</v>
      </c>
      <c r="N10" s="27">
        <f t="shared" si="2"/>
        <v>120.91200000000001</v>
      </c>
      <c r="O10" s="26">
        <f t="shared" si="2"/>
        <v>132.387</v>
      </c>
      <c r="P10" s="26">
        <f>SUM(P3:P5)</f>
        <v>150.36600000000001</v>
      </c>
      <c r="Q10" s="26">
        <f t="shared" si="2"/>
        <v>200.16199999999998</v>
      </c>
      <c r="R10" s="27">
        <f>SUM(R3:R5)</f>
        <v>168</v>
      </c>
      <c r="S10" s="26">
        <f t="shared" ref="S10:T10" si="3">SUM(S3:S5)</f>
        <v>181</v>
      </c>
      <c r="T10" s="26">
        <f>SUM(T3:T5)</f>
        <v>198</v>
      </c>
      <c r="U10" s="26">
        <f>SUM(U3:U5)</f>
        <v>269.99799999999999</v>
      </c>
      <c r="V10" s="27">
        <f>SUM(V3:V5)</f>
        <v>228.05500000000001</v>
      </c>
      <c r="W10" s="26">
        <f>W7*W8</f>
        <v>428.73700000000002</v>
      </c>
      <c r="X10" s="26">
        <f>X7*X8</f>
        <v>451.47800000000007</v>
      </c>
      <c r="Y10" s="26">
        <f>Y7*Y8</f>
        <v>617.35500000000002</v>
      </c>
      <c r="Z10" s="18">
        <v>513</v>
      </c>
    </row>
    <row r="11" spans="1:29" s="8" customFormat="1" x14ac:dyDescent="0.15">
      <c r="A11" s="67" t="s">
        <v>5</v>
      </c>
      <c r="B11" s="25">
        <v>20.709</v>
      </c>
      <c r="C11" s="25">
        <v>21.908999999999999</v>
      </c>
      <c r="D11" s="25">
        <v>24.164999999999999</v>
      </c>
      <c r="E11" s="25">
        <v>30.196000000000002</v>
      </c>
      <c r="F11" s="24">
        <v>27.911000000000001</v>
      </c>
      <c r="G11" s="25">
        <v>29.097999999999999</v>
      </c>
      <c r="H11" s="25">
        <v>29.314</v>
      </c>
      <c r="I11" s="25">
        <v>37.005000000000003</v>
      </c>
      <c r="J11" s="24">
        <v>34.658999999999999</v>
      </c>
      <c r="K11" s="25">
        <v>35.723999999999997</v>
      </c>
      <c r="L11" s="25">
        <v>36.383000000000003</v>
      </c>
      <c r="M11" s="25">
        <v>44.22</v>
      </c>
      <c r="N11" s="24">
        <v>41.295000000000002</v>
      </c>
      <c r="O11" s="25">
        <v>45.408999999999999</v>
      </c>
      <c r="P11" s="25">
        <v>46.947000000000003</v>
      </c>
      <c r="Q11" s="25">
        <v>57.110999999999997</v>
      </c>
      <c r="R11" s="24">
        <v>53</v>
      </c>
      <c r="S11" s="25">
        <v>59</v>
      </c>
      <c r="T11" s="25">
        <v>69</v>
      </c>
      <c r="U11" s="25">
        <v>90.823999999999998</v>
      </c>
      <c r="V11" s="24">
        <v>82</v>
      </c>
      <c r="W11" s="8">
        <v>111.381</v>
      </c>
      <c r="X11" s="8">
        <v>120.16800000000001</v>
      </c>
      <c r="Y11" s="8">
        <v>150.78</v>
      </c>
    </row>
    <row r="12" spans="1:29" s="8" customFormat="1" x14ac:dyDescent="0.15">
      <c r="A12" s="67" t="s">
        <v>6</v>
      </c>
      <c r="B12" s="29">
        <f>B10-B11</f>
        <v>37.834000000000003</v>
      </c>
      <c r="C12" s="29">
        <f>C10-C11</f>
        <v>39.456000000000003</v>
      </c>
      <c r="D12" s="29">
        <f>D10-D11</f>
        <v>41.531000000000013</v>
      </c>
      <c r="E12" s="29">
        <f>E10-E11</f>
        <v>57.698999999999998</v>
      </c>
      <c r="F12" s="30">
        <f>F10-F11</f>
        <v>53.936000000000007</v>
      </c>
      <c r="G12" s="29">
        <f t="shared" ref="G12:L12" si="4">G10-G11</f>
        <v>56.251000000000005</v>
      </c>
      <c r="H12" s="29">
        <f t="shared" si="4"/>
        <v>58.248000000000012</v>
      </c>
      <c r="I12" s="29">
        <f t="shared" si="4"/>
        <v>73.204000000000008</v>
      </c>
      <c r="J12" s="30">
        <f t="shared" si="4"/>
        <v>62.231999999999992</v>
      </c>
      <c r="K12" s="29">
        <f t="shared" si="4"/>
        <v>65.967999999999989</v>
      </c>
      <c r="L12" s="29">
        <f t="shared" si="4"/>
        <v>69.997000000000014</v>
      </c>
      <c r="M12" s="29">
        <f t="shared" ref="M12" si="5">M10-M11</f>
        <v>92.03</v>
      </c>
      <c r="N12" s="30">
        <f>N10-N11</f>
        <v>79.617000000000004</v>
      </c>
      <c r="O12" s="29">
        <f>O10-O11</f>
        <v>86.978000000000009</v>
      </c>
      <c r="P12" s="29">
        <f t="shared" ref="P12:Q12" si="6">P10-P11</f>
        <v>103.41900000000001</v>
      </c>
      <c r="Q12" s="29">
        <f t="shared" si="6"/>
        <v>143.05099999999999</v>
      </c>
      <c r="R12" s="30">
        <f>R10-R11</f>
        <v>115</v>
      </c>
      <c r="S12" s="29">
        <f>S10-S11</f>
        <v>122</v>
      </c>
      <c r="T12" s="29">
        <f t="shared" ref="T12:U12" si="7">T10-T11</f>
        <v>129</v>
      </c>
      <c r="U12" s="29">
        <f t="shared" si="7"/>
        <v>179.17399999999998</v>
      </c>
      <c r="V12" s="30">
        <f>V10-V11</f>
        <v>146.05500000000001</v>
      </c>
      <c r="W12" s="29">
        <f t="shared" ref="W12:Y12" si="8">W10-W11</f>
        <v>317.35599999999999</v>
      </c>
      <c r="X12" s="29">
        <f t="shared" si="8"/>
        <v>331.31000000000006</v>
      </c>
      <c r="Y12" s="29">
        <f t="shared" si="8"/>
        <v>466.57500000000005</v>
      </c>
    </row>
    <row r="13" spans="1:29" s="8" customFormat="1" x14ac:dyDescent="0.15">
      <c r="A13" s="67" t="s">
        <v>7</v>
      </c>
      <c r="B13" s="25">
        <v>10.009</v>
      </c>
      <c r="C13" s="25">
        <v>10.071999999999999</v>
      </c>
      <c r="D13" s="25">
        <v>11.406000000000001</v>
      </c>
      <c r="E13" s="25">
        <v>11.207000000000001</v>
      </c>
      <c r="F13" s="24">
        <v>12.23</v>
      </c>
      <c r="G13" s="25">
        <v>11.84</v>
      </c>
      <c r="H13" s="25">
        <v>14.897</v>
      </c>
      <c r="I13" s="25">
        <v>16.116</v>
      </c>
      <c r="J13" s="24">
        <v>18.116</v>
      </c>
      <c r="K13" s="25">
        <v>21.754000000000001</v>
      </c>
      <c r="L13" s="25">
        <v>16.957999999999998</v>
      </c>
      <c r="M13" s="25">
        <v>17.788</v>
      </c>
      <c r="N13" s="24">
        <v>20.721</v>
      </c>
      <c r="O13" s="25">
        <v>23.568000000000001</v>
      </c>
      <c r="P13" s="25">
        <v>24.417999999999999</v>
      </c>
      <c r="Q13" s="25">
        <v>28.542000000000002</v>
      </c>
      <c r="R13" s="24">
        <v>25</v>
      </c>
      <c r="S13" s="25">
        <v>29</v>
      </c>
      <c r="T13" s="25">
        <v>32</v>
      </c>
      <c r="U13" s="25">
        <v>35.701000000000001</v>
      </c>
      <c r="V13" s="24">
        <v>38</v>
      </c>
      <c r="W13" s="8">
        <v>45</v>
      </c>
      <c r="X13" s="8">
        <v>46</v>
      </c>
      <c r="Y13" s="8">
        <v>51</v>
      </c>
    </row>
    <row r="14" spans="1:29" s="8" customFormat="1" x14ac:dyDescent="0.15">
      <c r="A14" s="67" t="s">
        <v>8</v>
      </c>
      <c r="B14" s="25">
        <v>12.21</v>
      </c>
      <c r="C14" s="25">
        <v>15.542999999999999</v>
      </c>
      <c r="D14" s="25">
        <v>16.542000000000002</v>
      </c>
      <c r="E14" s="25">
        <v>22.475999999999999</v>
      </c>
      <c r="F14" s="24">
        <v>15.847</v>
      </c>
      <c r="G14" s="25">
        <v>17.204999999999998</v>
      </c>
      <c r="H14" s="25">
        <v>18.736000000000001</v>
      </c>
      <c r="I14" s="25">
        <v>30.46</v>
      </c>
      <c r="J14" s="24">
        <v>23.454000000000001</v>
      </c>
      <c r="K14" s="25">
        <v>27.521000000000001</v>
      </c>
      <c r="L14" s="25">
        <v>23.52</v>
      </c>
      <c r="M14" s="25">
        <v>34.590000000000003</v>
      </c>
      <c r="N14" s="24">
        <v>26.193999999999999</v>
      </c>
      <c r="O14" s="25">
        <v>28.940999999999999</v>
      </c>
      <c r="P14" s="25">
        <v>39.515999999999998</v>
      </c>
      <c r="Q14" s="25">
        <v>63.362000000000002</v>
      </c>
      <c r="R14" s="24">
        <v>35</v>
      </c>
      <c r="S14" s="25">
        <v>46</v>
      </c>
      <c r="T14" s="25">
        <v>50</v>
      </c>
      <c r="U14" s="25">
        <v>84.034000000000006</v>
      </c>
      <c r="V14" s="24">
        <v>49</v>
      </c>
      <c r="W14" s="8">
        <v>115</v>
      </c>
      <c r="X14" s="8">
        <v>127</v>
      </c>
      <c r="Y14" s="8">
        <v>211</v>
      </c>
    </row>
    <row r="15" spans="1:29" s="8" customFormat="1" x14ac:dyDescent="0.15">
      <c r="A15" s="67" t="s">
        <v>9</v>
      </c>
      <c r="B15" s="25">
        <v>20.457000000000001</v>
      </c>
      <c r="C15" s="25">
        <v>17.632000000000001</v>
      </c>
      <c r="D15" s="25">
        <v>15.25</v>
      </c>
      <c r="E15" s="25">
        <v>15.6</v>
      </c>
      <c r="F15" s="24">
        <v>19.076000000000001</v>
      </c>
      <c r="G15" s="25">
        <v>22.536999999999999</v>
      </c>
      <c r="H15" s="25">
        <v>21.942</v>
      </c>
      <c r="I15" s="25">
        <f>22.625+0.551</f>
        <v>23.175999999999998</v>
      </c>
      <c r="J15" s="24">
        <v>22.763000000000002</v>
      </c>
      <c r="K15" s="25">
        <v>28.411000000000001</v>
      </c>
      <c r="L15" s="25">
        <v>22.094000000000001</v>
      </c>
      <c r="M15" s="25">
        <f>18.218+3.162</f>
        <v>21.38</v>
      </c>
      <c r="N15" s="24">
        <v>18.904</v>
      </c>
      <c r="O15" s="25">
        <v>21.707000000000001</v>
      </c>
      <c r="P15" s="25">
        <v>20.748000000000001</v>
      </c>
      <c r="Q15" s="25">
        <v>21.524000000000001</v>
      </c>
      <c r="R15" s="24">
        <v>25</v>
      </c>
      <c r="S15" s="25">
        <v>30</v>
      </c>
      <c r="T15" s="25">
        <v>32</v>
      </c>
      <c r="U15" s="25">
        <v>34.401000000000003</v>
      </c>
      <c r="V15" s="24">
        <v>34</v>
      </c>
      <c r="W15" s="8">
        <v>38</v>
      </c>
      <c r="X15" s="8">
        <v>40</v>
      </c>
      <c r="Y15" s="8">
        <v>43</v>
      </c>
    </row>
    <row r="16" spans="1:29" s="8" customFormat="1" x14ac:dyDescent="0.15">
      <c r="A16" s="67" t="s">
        <v>10</v>
      </c>
      <c r="B16" s="29">
        <f>SUM(B13:B15)</f>
        <v>42.676000000000002</v>
      </c>
      <c r="C16" s="29">
        <f>SUM(C13:C15)</f>
        <v>43.247</v>
      </c>
      <c r="D16" s="29">
        <f>SUM(D13:D15)</f>
        <v>43.198</v>
      </c>
      <c r="E16" s="29">
        <f>SUM(E13:E15)</f>
        <v>49.283000000000001</v>
      </c>
      <c r="F16" s="30">
        <f>SUM(F13:F15)</f>
        <v>47.152999999999999</v>
      </c>
      <c r="G16" s="29">
        <f t="shared" ref="G16:L16" si="9">SUM(G13:G15)</f>
        <v>51.581999999999994</v>
      </c>
      <c r="H16" s="29">
        <f t="shared" si="9"/>
        <v>55.575000000000003</v>
      </c>
      <c r="I16" s="29">
        <f t="shared" si="9"/>
        <v>69.751999999999995</v>
      </c>
      <c r="J16" s="30">
        <f t="shared" si="9"/>
        <v>64.332999999999998</v>
      </c>
      <c r="K16" s="29">
        <f t="shared" si="9"/>
        <v>77.686000000000007</v>
      </c>
      <c r="L16" s="29">
        <f t="shared" si="9"/>
        <v>62.571999999999996</v>
      </c>
      <c r="M16" s="29">
        <f t="shared" ref="M16:N16" si="10">SUM(M13:M15)</f>
        <v>73.757999999999996</v>
      </c>
      <c r="N16" s="30">
        <f t="shared" si="10"/>
        <v>65.819000000000003</v>
      </c>
      <c r="O16" s="29">
        <f t="shared" ref="O16:P16" si="11">SUM(O13:O15)</f>
        <v>74.216000000000008</v>
      </c>
      <c r="P16" s="29">
        <f t="shared" si="11"/>
        <v>84.682000000000002</v>
      </c>
      <c r="Q16" s="29">
        <f t="shared" ref="Q16:T16" si="12">SUM(Q13:Q15)</f>
        <v>113.428</v>
      </c>
      <c r="R16" s="30">
        <f t="shared" si="12"/>
        <v>85</v>
      </c>
      <c r="S16" s="29">
        <f t="shared" si="12"/>
        <v>105</v>
      </c>
      <c r="T16" s="29">
        <f t="shared" si="12"/>
        <v>114</v>
      </c>
      <c r="U16" s="29">
        <f t="shared" ref="U16:W16" si="13">SUM(U13:U15)</f>
        <v>154.13600000000002</v>
      </c>
      <c r="V16" s="30">
        <f t="shared" si="13"/>
        <v>121</v>
      </c>
      <c r="W16" s="29">
        <f t="shared" si="13"/>
        <v>198</v>
      </c>
      <c r="X16" s="29">
        <f t="shared" ref="X16:Y16" si="14">SUM(X13:X15)</f>
        <v>213</v>
      </c>
      <c r="Y16" s="29">
        <f t="shared" si="14"/>
        <v>305</v>
      </c>
    </row>
    <row r="17" spans="1:26" s="8" customFormat="1" x14ac:dyDescent="0.15">
      <c r="A17" s="67" t="s">
        <v>11</v>
      </c>
      <c r="B17" s="29">
        <f>B12-B16</f>
        <v>-4.8419999999999987</v>
      </c>
      <c r="C17" s="29">
        <f>C12-C16</f>
        <v>-3.7909999999999968</v>
      </c>
      <c r="D17" s="29">
        <f>D12-D16</f>
        <v>-1.6669999999999874</v>
      </c>
      <c r="E17" s="29">
        <f>E12-E16</f>
        <v>8.4159999999999968</v>
      </c>
      <c r="F17" s="30">
        <f>F12-F16</f>
        <v>6.7830000000000084</v>
      </c>
      <c r="G17" s="29">
        <f t="shared" ref="G17:H17" si="15">G12-G16</f>
        <v>4.6690000000000111</v>
      </c>
      <c r="H17" s="29">
        <f t="shared" si="15"/>
        <v>2.6730000000000089</v>
      </c>
      <c r="I17" s="29">
        <f t="shared" ref="I17:P17" si="16">I12-I16</f>
        <v>3.4520000000000124</v>
      </c>
      <c r="J17" s="30">
        <f t="shared" si="16"/>
        <v>-2.1010000000000062</v>
      </c>
      <c r="K17" s="29">
        <f t="shared" si="16"/>
        <v>-11.718000000000018</v>
      </c>
      <c r="L17" s="29">
        <f t="shared" si="16"/>
        <v>7.4250000000000185</v>
      </c>
      <c r="M17" s="29">
        <f t="shared" si="16"/>
        <v>18.272000000000006</v>
      </c>
      <c r="N17" s="30">
        <f t="shared" si="16"/>
        <v>13.798000000000002</v>
      </c>
      <c r="O17" s="29">
        <f t="shared" si="16"/>
        <v>12.762</v>
      </c>
      <c r="P17" s="29">
        <f t="shared" si="16"/>
        <v>18.737000000000009</v>
      </c>
      <c r="Q17" s="29">
        <f t="shared" ref="Q17:T17" si="17">Q12-Q16</f>
        <v>29.62299999999999</v>
      </c>
      <c r="R17" s="30">
        <f t="shared" si="17"/>
        <v>30</v>
      </c>
      <c r="S17" s="29">
        <f t="shared" si="17"/>
        <v>17</v>
      </c>
      <c r="T17" s="29">
        <f t="shared" si="17"/>
        <v>15</v>
      </c>
      <c r="U17" s="29">
        <f t="shared" ref="U17:W17" si="18">U12-U16</f>
        <v>25.037999999999954</v>
      </c>
      <c r="V17" s="30">
        <f t="shared" si="18"/>
        <v>25.055000000000007</v>
      </c>
      <c r="W17" s="29">
        <f t="shared" si="18"/>
        <v>119.35599999999999</v>
      </c>
      <c r="X17" s="29">
        <f t="shared" ref="X17:Y17" si="19">X12-X16</f>
        <v>118.31000000000006</v>
      </c>
      <c r="Y17" s="29">
        <f t="shared" si="19"/>
        <v>161.57500000000005</v>
      </c>
    </row>
    <row r="18" spans="1:26" s="8" customFormat="1" x14ac:dyDescent="0.15">
      <c r="A18" s="67" t="s">
        <v>12</v>
      </c>
      <c r="B18" s="25">
        <v>-21.018999999999998</v>
      </c>
      <c r="C18" s="25">
        <v>2.3460000000000001</v>
      </c>
      <c r="D18" s="25">
        <v>-1.129</v>
      </c>
      <c r="E18" s="25">
        <v>-6.3079999999999998</v>
      </c>
      <c r="F18" s="24">
        <v>8.0229999999999997</v>
      </c>
      <c r="G18" s="25">
        <v>-7.7190000000000003</v>
      </c>
      <c r="H18" s="25">
        <v>-0.70899999999999996</v>
      </c>
      <c r="I18" s="25">
        <v>-20.047999999999998</v>
      </c>
      <c r="J18" s="24">
        <f>-2.591+0.439+2.78</f>
        <v>0.62799999999999967</v>
      </c>
      <c r="K18" s="25">
        <f>-2.696+0.543+16.103</f>
        <v>13.950000000000001</v>
      </c>
      <c r="L18" s="25">
        <f>-2.908+0.654+8.069</f>
        <v>5.8150000000000013</v>
      </c>
      <c r="M18" s="25">
        <v>-2.4E-2</v>
      </c>
      <c r="N18" s="24">
        <f>-3.764+1.097+1.85</f>
        <v>-0.81699999999999973</v>
      </c>
      <c r="O18" s="25">
        <f>-6.125+2.438-4.45</f>
        <v>-8.1370000000000005</v>
      </c>
      <c r="P18" s="25">
        <f>-6.135+2.367-0.373</f>
        <v>-4.141</v>
      </c>
      <c r="Q18" s="25">
        <v>-6.6130000000000004</v>
      </c>
      <c r="R18" s="24">
        <v>0</v>
      </c>
      <c r="S18" s="25">
        <v>-1</v>
      </c>
      <c r="T18" s="25">
        <v>-4</v>
      </c>
      <c r="U18" s="25">
        <f>+-2.287</f>
        <v>-2.2869999999999999</v>
      </c>
      <c r="V18" s="24">
        <v>-16</v>
      </c>
      <c r="W18" s="8">
        <v>-7</v>
      </c>
      <c r="X18" s="8">
        <v>-28</v>
      </c>
      <c r="Y18" s="8">
        <v>-8</v>
      </c>
    </row>
    <row r="19" spans="1:26" s="8" customFormat="1" x14ac:dyDescent="0.15">
      <c r="A19" s="67" t="s">
        <v>13</v>
      </c>
      <c r="B19" s="29">
        <f>B17+B18</f>
        <v>-25.860999999999997</v>
      </c>
      <c r="C19" s="29">
        <f>C17+C18</f>
        <v>-1.4449999999999967</v>
      </c>
      <c r="D19" s="29">
        <f>D17+D18</f>
        <v>-2.7959999999999874</v>
      </c>
      <c r="E19" s="29">
        <f>E17+E18</f>
        <v>2.107999999999997</v>
      </c>
      <c r="F19" s="30">
        <f>F17+F18</f>
        <v>14.806000000000008</v>
      </c>
      <c r="G19" s="29">
        <f t="shared" ref="G19:I19" si="20">G17+G18</f>
        <v>-3.0499999999999892</v>
      </c>
      <c r="H19" s="29">
        <f t="shared" si="20"/>
        <v>1.9640000000000088</v>
      </c>
      <c r="I19" s="29">
        <f t="shared" si="20"/>
        <v>-16.595999999999986</v>
      </c>
      <c r="J19" s="30">
        <f t="shared" ref="J19:K19" si="21">J17+J18</f>
        <v>-1.4730000000000065</v>
      </c>
      <c r="K19" s="29">
        <f t="shared" si="21"/>
        <v>2.2319999999999833</v>
      </c>
      <c r="L19" s="29">
        <f t="shared" ref="L19:N19" si="22">L17+L18</f>
        <v>13.24000000000002</v>
      </c>
      <c r="M19" s="29">
        <f>M17+M18</f>
        <v>18.248000000000005</v>
      </c>
      <c r="N19" s="30">
        <f t="shared" si="22"/>
        <v>12.981000000000002</v>
      </c>
      <c r="O19" s="29">
        <f t="shared" ref="O19" si="23">O17+O18</f>
        <v>4.625</v>
      </c>
      <c r="P19" s="29">
        <f>P17+P18</f>
        <v>14.596000000000009</v>
      </c>
      <c r="Q19" s="29">
        <f>Q17+Q18</f>
        <v>23.009999999999991</v>
      </c>
      <c r="R19" s="30">
        <f t="shared" ref="R19:S19" si="24">R17+R18</f>
        <v>30</v>
      </c>
      <c r="S19" s="29">
        <f t="shared" si="24"/>
        <v>16</v>
      </c>
      <c r="T19" s="29">
        <f>T17+T18</f>
        <v>11</v>
      </c>
      <c r="U19" s="29">
        <f>U17+U18</f>
        <v>22.750999999999955</v>
      </c>
      <c r="V19" s="30">
        <f t="shared" ref="V19" si="25">V17+V18</f>
        <v>9.0550000000000068</v>
      </c>
      <c r="W19" s="29">
        <f>W17+W18</f>
        <v>112.35599999999999</v>
      </c>
      <c r="X19" s="29">
        <f>X17+X18</f>
        <v>90.310000000000059</v>
      </c>
      <c r="Y19" s="29">
        <f>Y17+Y18</f>
        <v>153.57500000000005</v>
      </c>
    </row>
    <row r="20" spans="1:26" s="8" customFormat="1" x14ac:dyDescent="0.15">
      <c r="A20" s="67" t="s">
        <v>14</v>
      </c>
      <c r="B20" s="25">
        <v>10.725</v>
      </c>
      <c r="C20" s="25">
        <v>4.9089999999999998</v>
      </c>
      <c r="D20" s="25">
        <v>4.0949999999999998</v>
      </c>
      <c r="E20" s="25">
        <v>6.34</v>
      </c>
      <c r="F20" s="24">
        <v>13.614000000000001</v>
      </c>
      <c r="G20" s="25">
        <v>4.2610000000000001</v>
      </c>
      <c r="H20" s="25">
        <v>4.3630000000000004</v>
      </c>
      <c r="I20" s="25">
        <v>4.7869999999999999</v>
      </c>
      <c r="J20" s="24">
        <v>-1.052</v>
      </c>
      <c r="K20" s="25">
        <v>-9.4369999999999994</v>
      </c>
      <c r="L20" s="25">
        <v>-12.561999999999999</v>
      </c>
      <c r="M20" s="25">
        <v>-26.484000000000002</v>
      </c>
      <c r="N20" s="24">
        <v>1.4E-2</v>
      </c>
      <c r="O20" s="25">
        <v>1.246</v>
      </c>
      <c r="P20" s="25">
        <v>-5.298</v>
      </c>
      <c r="Q20" s="25">
        <v>-18.375</v>
      </c>
      <c r="R20" s="24">
        <v>1.4E-2</v>
      </c>
      <c r="S20" s="25">
        <v>-2</v>
      </c>
      <c r="T20" s="25">
        <v>-5</v>
      </c>
      <c r="U20" s="25">
        <v>-8.5399999999999991</v>
      </c>
      <c r="V20" s="24">
        <v>-3</v>
      </c>
      <c r="W20" s="8">
        <v>16</v>
      </c>
      <c r="X20" s="8">
        <v>1</v>
      </c>
      <c r="Y20" s="8">
        <v>5</v>
      </c>
    </row>
    <row r="21" spans="1:26" s="18" customFormat="1" x14ac:dyDescent="0.15">
      <c r="A21" s="73" t="s">
        <v>15</v>
      </c>
      <c r="B21" s="26">
        <f t="shared" ref="B21:P21" si="26">B19-B20</f>
        <v>-36.585999999999999</v>
      </c>
      <c r="C21" s="26">
        <f t="shared" si="26"/>
        <v>-6.3539999999999965</v>
      </c>
      <c r="D21" s="26">
        <f t="shared" si="26"/>
        <v>-6.8909999999999876</v>
      </c>
      <c r="E21" s="26">
        <f t="shared" si="26"/>
        <v>-4.2320000000000029</v>
      </c>
      <c r="F21" s="27">
        <f t="shared" si="26"/>
        <v>1.1920000000000073</v>
      </c>
      <c r="G21" s="26">
        <f t="shared" si="26"/>
        <v>-7.3109999999999893</v>
      </c>
      <c r="H21" s="26">
        <f t="shared" si="26"/>
        <v>-2.3989999999999916</v>
      </c>
      <c r="I21" s="26">
        <f t="shared" si="26"/>
        <v>-21.382999999999985</v>
      </c>
      <c r="J21" s="27">
        <f t="shared" si="26"/>
        <v>-0.42100000000000648</v>
      </c>
      <c r="K21" s="26">
        <f t="shared" si="26"/>
        <v>11.668999999999983</v>
      </c>
      <c r="L21" s="26">
        <f t="shared" si="26"/>
        <v>25.802000000000021</v>
      </c>
      <c r="M21" s="26">
        <f t="shared" si="26"/>
        <v>44.732000000000006</v>
      </c>
      <c r="N21" s="27">
        <f t="shared" si="26"/>
        <v>12.967000000000002</v>
      </c>
      <c r="O21" s="26">
        <f t="shared" si="26"/>
        <v>3.379</v>
      </c>
      <c r="P21" s="26">
        <f t="shared" si="26"/>
        <v>19.894000000000009</v>
      </c>
      <c r="Q21" s="26">
        <f t="shared" ref="Q21:T21" si="27">Q19-Q20</f>
        <v>41.384999999999991</v>
      </c>
      <c r="R21" s="27">
        <f t="shared" si="27"/>
        <v>29.986000000000001</v>
      </c>
      <c r="S21" s="26">
        <f t="shared" si="27"/>
        <v>18</v>
      </c>
      <c r="T21" s="26">
        <f t="shared" si="27"/>
        <v>16</v>
      </c>
      <c r="U21" s="26">
        <f t="shared" ref="U21:W21" si="28">U19-U20</f>
        <v>31.290999999999954</v>
      </c>
      <c r="V21" s="27">
        <f t="shared" si="28"/>
        <v>12.055000000000007</v>
      </c>
      <c r="W21" s="26">
        <f t="shared" si="28"/>
        <v>96.355999999999995</v>
      </c>
      <c r="X21" s="26">
        <f t="shared" ref="X21:Y21" si="29">X19-X20</f>
        <v>89.310000000000059</v>
      </c>
      <c r="Y21" s="26">
        <f t="shared" si="29"/>
        <v>148.57500000000005</v>
      </c>
    </row>
    <row r="22" spans="1:26" x14ac:dyDescent="0.15">
      <c r="A22" s="65" t="s">
        <v>16</v>
      </c>
      <c r="B22" s="33">
        <f>IFERROR(B21/B23,0)</f>
        <v>-0.83714103682477847</v>
      </c>
      <c r="C22" s="33">
        <f>IFERROR(C21/C23,0)</f>
        <v>-6.5842411007748528E-2</v>
      </c>
      <c r="D22" s="33">
        <f>IFERROR(D21/D23,0)</f>
        <v>-6.1897108932543153E-2</v>
      </c>
      <c r="E22" s="33">
        <f>IFERROR(E21/E23,0)</f>
        <v>-3.7894797505451411E-2</v>
      </c>
      <c r="F22" s="34">
        <f t="shared" ref="F22:H22" si="30">IFERROR(F21/F23,0)</f>
        <v>1.0332103807201757E-2</v>
      </c>
      <c r="G22" s="33">
        <f t="shared" si="30"/>
        <v>-6.4672852143016379E-2</v>
      </c>
      <c r="H22" s="33">
        <f t="shared" si="30"/>
        <v>-2.1088772815564358E-2</v>
      </c>
      <c r="I22" s="33">
        <f t="shared" ref="I22:L22" si="31">IFERROR(I21/I23,0)</f>
        <v>-0.18546115671628186</v>
      </c>
      <c r="J22" s="34">
        <f t="shared" si="31"/>
        <v>-3.6388458777114629E-3</v>
      </c>
      <c r="K22" s="33">
        <f t="shared" si="31"/>
        <v>9.6658543395096858E-2</v>
      </c>
      <c r="L22" s="33">
        <f t="shared" si="31"/>
        <v>0.20939007783342947</v>
      </c>
      <c r="M22" s="33">
        <f t="shared" ref="M22" si="32">IFERROR(M21/M23,0)</f>
        <v>0.35837687354906123</v>
      </c>
      <c r="N22" s="34">
        <f t="shared" ref="N22:W22" si="33">IFERROR(N21/N23,0)</f>
        <v>0.10309900076181314</v>
      </c>
      <c r="O22" s="33">
        <f t="shared" si="33"/>
        <v>2.6913203183397853E-2</v>
      </c>
      <c r="P22" s="33">
        <f t="shared" si="33"/>
        <v>0.15411414782673377</v>
      </c>
      <c r="Q22" s="33">
        <f t="shared" si="33"/>
        <v>0.32078284998536727</v>
      </c>
      <c r="R22" s="34">
        <f t="shared" si="33"/>
        <v>0.23066153846153847</v>
      </c>
      <c r="S22" s="33">
        <f t="shared" si="33"/>
        <v>0.13740458015267176</v>
      </c>
      <c r="T22" s="33">
        <f t="shared" si="33"/>
        <v>0.12698412698412698</v>
      </c>
      <c r="U22" s="33">
        <f t="shared" si="33"/>
        <v>0.25357938472780417</v>
      </c>
      <c r="V22" s="34">
        <f t="shared" si="33"/>
        <v>9.791335870655217E-2</v>
      </c>
      <c r="W22" s="33">
        <f t="shared" si="33"/>
        <v>0.71689163299389203</v>
      </c>
      <c r="X22" s="33">
        <f t="shared" ref="X22:Y22" si="34">IFERROR(X21/X23,0)</f>
        <v>0.6492421491841569</v>
      </c>
      <c r="Y22" s="33">
        <f t="shared" si="34"/>
        <v>1.0526741419720911</v>
      </c>
    </row>
    <row r="23" spans="1:26" s="8" customFormat="1" x14ac:dyDescent="0.15">
      <c r="A23" s="67" t="s">
        <v>17</v>
      </c>
      <c r="B23" s="25">
        <v>43.703507999999999</v>
      </c>
      <c r="C23" s="25">
        <v>96.503148999999993</v>
      </c>
      <c r="D23" s="25">
        <v>111.32991699999999</v>
      </c>
      <c r="E23" s="25">
        <v>111.677599</v>
      </c>
      <c r="F23" s="24">
        <v>115.368566</v>
      </c>
      <c r="G23" s="25">
        <v>113.04588800000001</v>
      </c>
      <c r="H23" s="25">
        <v>113.757212</v>
      </c>
      <c r="I23" s="25">
        <v>115.29638</v>
      </c>
      <c r="J23" s="24">
        <v>115.69602399999999</v>
      </c>
      <c r="K23" s="25">
        <v>120.723938</v>
      </c>
      <c r="L23" s="25">
        <v>123.224559</v>
      </c>
      <c r="M23" s="25">
        <v>124.81832199999999</v>
      </c>
      <c r="N23" s="24">
        <v>125.77231500000001</v>
      </c>
      <c r="O23" s="25">
        <v>125.551759</v>
      </c>
      <c r="P23" s="25">
        <v>129.08613700000001</v>
      </c>
      <c r="Q23" s="25">
        <v>129.012508</v>
      </c>
      <c r="R23" s="24">
        <v>130</v>
      </c>
      <c r="S23" s="25">
        <v>131</v>
      </c>
      <c r="T23" s="25">
        <v>126</v>
      </c>
      <c r="U23" s="25">
        <v>123.397255</v>
      </c>
      <c r="V23" s="24">
        <v>123.11905299999999</v>
      </c>
      <c r="W23" s="8">
        <v>134.408041</v>
      </c>
      <c r="X23" s="8">
        <v>137.560385</v>
      </c>
      <c r="Y23" s="25">
        <v>141.14054300000001</v>
      </c>
    </row>
    <row r="24" spans="1:26" x14ac:dyDescent="0.15">
      <c r="B24" s="25"/>
      <c r="C24" s="25"/>
      <c r="D24" s="25"/>
      <c r="E24" s="25"/>
      <c r="F24" s="24"/>
      <c r="G24" s="25"/>
      <c r="H24" s="25"/>
      <c r="I24" s="25"/>
      <c r="J24" s="24"/>
      <c r="K24" s="25"/>
      <c r="L24" s="25"/>
      <c r="M24" s="25"/>
      <c r="Q24" s="25"/>
      <c r="U24" s="25"/>
      <c r="V24" s="23"/>
    </row>
    <row r="25" spans="1:26" x14ac:dyDescent="0.15">
      <c r="A25" s="65" t="s">
        <v>19</v>
      </c>
      <c r="B25" s="39">
        <f t="shared" ref="B25:Q25" si="35">IFERROR(B12/B10,0)</f>
        <v>0.64626001400679844</v>
      </c>
      <c r="C25" s="39">
        <f t="shared" si="35"/>
        <v>0.64297237839159138</v>
      </c>
      <c r="D25" s="39">
        <f t="shared" si="35"/>
        <v>0.63216938626400399</v>
      </c>
      <c r="E25" s="39">
        <f t="shared" si="35"/>
        <v>0.65645372319244555</v>
      </c>
      <c r="F25" s="40">
        <f t="shared" si="35"/>
        <v>0.65898566838124795</v>
      </c>
      <c r="G25" s="39">
        <f t="shared" si="35"/>
        <v>0.65907040504282421</v>
      </c>
      <c r="H25" s="39">
        <f t="shared" si="35"/>
        <v>0.66522007263424776</v>
      </c>
      <c r="I25" s="39">
        <f t="shared" si="35"/>
        <v>0.66422887422987242</v>
      </c>
      <c r="J25" s="40">
        <f t="shared" si="35"/>
        <v>0.64228875746973402</v>
      </c>
      <c r="K25" s="39">
        <f t="shared" si="35"/>
        <v>0.64870392951264599</v>
      </c>
      <c r="L25" s="39">
        <f t="shared" si="35"/>
        <v>0.65799022372626437</v>
      </c>
      <c r="M25" s="39">
        <f t="shared" si="35"/>
        <v>0.67544954128440371</v>
      </c>
      <c r="N25" s="40">
        <f t="shared" si="35"/>
        <v>0.65847062326319972</v>
      </c>
      <c r="O25" s="39">
        <f t="shared" si="35"/>
        <v>0.65699804361455438</v>
      </c>
      <c r="P25" s="39">
        <f t="shared" si="35"/>
        <v>0.68778181237779823</v>
      </c>
      <c r="Q25" s="39">
        <f t="shared" si="35"/>
        <v>0.71467611234899731</v>
      </c>
      <c r="R25" s="40">
        <f t="shared" ref="R25:U25" si="36">IFERROR(R12/R10,0)</f>
        <v>0.68452380952380953</v>
      </c>
      <c r="S25" s="39">
        <f t="shared" si="36"/>
        <v>0.67403314917127077</v>
      </c>
      <c r="T25" s="39">
        <f t="shared" si="36"/>
        <v>0.65151515151515149</v>
      </c>
      <c r="U25" s="39">
        <f t="shared" si="36"/>
        <v>0.66361232305424478</v>
      </c>
      <c r="V25" s="40">
        <f t="shared" ref="V25:W25" si="37">IFERROR(V12/V10,0)</f>
        <v>0.64043761373352925</v>
      </c>
      <c r="W25" s="39">
        <f t="shared" si="37"/>
        <v>0.74021136500931806</v>
      </c>
      <c r="X25" s="39">
        <f t="shared" ref="X25:Y25" si="38">IFERROR(X12/X10,0)</f>
        <v>0.73383420676090527</v>
      </c>
      <c r="Y25" s="39">
        <f t="shared" si="38"/>
        <v>0.7557645115047259</v>
      </c>
    </row>
    <row r="26" spans="1:26" x14ac:dyDescent="0.15">
      <c r="A26" s="65" t="s">
        <v>20</v>
      </c>
      <c r="B26" s="41">
        <f t="shared" ref="B26:Q26" si="39">IFERROR(B17/B10,0)</f>
        <v>-8.270843653382981E-2</v>
      </c>
      <c r="C26" s="41">
        <f t="shared" si="39"/>
        <v>-6.177788641733882E-2</v>
      </c>
      <c r="D26" s="41">
        <f t="shared" si="39"/>
        <v>-2.5374452021431855E-2</v>
      </c>
      <c r="E26" s="41">
        <f t="shared" si="39"/>
        <v>9.5750611525115159E-2</v>
      </c>
      <c r="F26" s="42">
        <f t="shared" si="39"/>
        <v>8.287414321844426E-2</v>
      </c>
      <c r="G26" s="41">
        <f t="shared" si="39"/>
        <v>5.470480029057178E-2</v>
      </c>
      <c r="H26" s="41">
        <f t="shared" si="39"/>
        <v>3.0526940910440701E-2</v>
      </c>
      <c r="I26" s="41">
        <f t="shared" si="39"/>
        <v>3.1322305800796778E-2</v>
      </c>
      <c r="J26" s="42">
        <f t="shared" si="39"/>
        <v>-2.168416055154768E-2</v>
      </c>
      <c r="K26" s="41">
        <f t="shared" si="39"/>
        <v>-0.11523030326869388</v>
      </c>
      <c r="L26" s="41">
        <f t="shared" si="39"/>
        <v>6.979695431472098E-2</v>
      </c>
      <c r="M26" s="41">
        <f t="shared" si="39"/>
        <v>0.13410642201834866</v>
      </c>
      <c r="N26" s="42">
        <f t="shared" si="39"/>
        <v>0.11411605134312559</v>
      </c>
      <c r="O26" s="41">
        <f t="shared" si="39"/>
        <v>9.6399193274264092E-2</v>
      </c>
      <c r="P26" s="41">
        <f t="shared" si="39"/>
        <v>0.12460928667384918</v>
      </c>
      <c r="Q26" s="41">
        <f t="shared" si="39"/>
        <v>0.14799512394960079</v>
      </c>
      <c r="R26" s="42">
        <f t="shared" ref="R26:U26" si="40">IFERROR(R17/R10,0)</f>
        <v>0.17857142857142858</v>
      </c>
      <c r="S26" s="41">
        <f t="shared" si="40"/>
        <v>9.3922651933701654E-2</v>
      </c>
      <c r="T26" s="41">
        <f t="shared" si="40"/>
        <v>7.575757575757576E-2</v>
      </c>
      <c r="U26" s="41">
        <f t="shared" si="40"/>
        <v>9.2734020252001698E-2</v>
      </c>
      <c r="V26" s="42">
        <f t="shared" ref="V26:W26" si="41">IFERROR(V17/V10,0)</f>
        <v>0.10986384863300522</v>
      </c>
      <c r="W26" s="41">
        <f t="shared" si="41"/>
        <v>0.27838978208085607</v>
      </c>
      <c r="X26" s="41">
        <f t="shared" ref="X26:Y26" si="42">IFERROR(X17/X10,0)</f>
        <v>0.26205042106149146</v>
      </c>
      <c r="Y26" s="41">
        <f t="shared" si="42"/>
        <v>0.26172137586963745</v>
      </c>
    </row>
    <row r="27" spans="1:26" x14ac:dyDescent="0.15">
      <c r="A27" s="65" t="s">
        <v>21</v>
      </c>
      <c r="B27" s="41">
        <f t="shared" ref="B27:Q27" si="43">IFERROR(B20/B19,0)</f>
        <v>-0.41471714164185458</v>
      </c>
      <c r="C27" s="41">
        <f t="shared" si="43"/>
        <v>-3.397231833910042</v>
      </c>
      <c r="D27" s="41">
        <f t="shared" si="43"/>
        <v>-1.4645922746781181</v>
      </c>
      <c r="E27" s="41">
        <f t="shared" si="43"/>
        <v>3.0075901328273287</v>
      </c>
      <c r="F27" s="42">
        <f t="shared" si="43"/>
        <v>0.91949209779818952</v>
      </c>
      <c r="G27" s="41">
        <f t="shared" si="43"/>
        <v>-1.397049180327874</v>
      </c>
      <c r="H27" s="41">
        <f t="shared" si="43"/>
        <v>2.2214867617107843</v>
      </c>
      <c r="I27" s="41">
        <f t="shared" si="43"/>
        <v>-0.2884429983128467</v>
      </c>
      <c r="J27" s="42">
        <f t="shared" si="43"/>
        <v>0.71418873048200637</v>
      </c>
      <c r="K27" s="41">
        <f t="shared" si="43"/>
        <v>-4.2280465949821098</v>
      </c>
      <c r="L27" s="41">
        <f t="shared" si="43"/>
        <v>-0.94879154078549699</v>
      </c>
      <c r="M27" s="41">
        <f t="shared" si="43"/>
        <v>-1.451337132836475</v>
      </c>
      <c r="N27" s="42">
        <f t="shared" si="43"/>
        <v>1.0784993451968261E-3</v>
      </c>
      <c r="O27" s="41">
        <f t="shared" si="43"/>
        <v>0.26940540540540542</v>
      </c>
      <c r="P27" s="41">
        <f t="shared" si="43"/>
        <v>-0.36297615785146592</v>
      </c>
      <c r="Q27" s="41">
        <f t="shared" si="43"/>
        <v>-0.79856584093872263</v>
      </c>
      <c r="R27" s="42">
        <f t="shared" ref="R27:U27" si="44">IFERROR(R20/R19,0)</f>
        <v>4.6666666666666666E-4</v>
      </c>
      <c r="S27" s="41">
        <f t="shared" si="44"/>
        <v>-0.125</v>
      </c>
      <c r="T27" s="41">
        <f t="shared" si="44"/>
        <v>-0.45454545454545453</v>
      </c>
      <c r="U27" s="41">
        <f t="shared" si="44"/>
        <v>-0.37536811568722322</v>
      </c>
      <c r="V27" s="42">
        <f t="shared" ref="V27:W27" si="45">IFERROR(V20/V19,0)</f>
        <v>-0.3313086692435116</v>
      </c>
      <c r="W27" s="41">
        <f t="shared" si="45"/>
        <v>0.14240449998219945</v>
      </c>
      <c r="X27" s="41">
        <f t="shared" ref="X27:Y27" si="46">IFERROR(X20/X19,0)</f>
        <v>1.1072970878086584E-2</v>
      </c>
      <c r="Y27" s="41">
        <f t="shared" si="46"/>
        <v>3.255738238645612E-2</v>
      </c>
    </row>
    <row r="28" spans="1:26" x14ac:dyDescent="0.15">
      <c r="B28" s="25"/>
      <c r="C28" s="25"/>
      <c r="D28" s="25"/>
      <c r="E28" s="25"/>
      <c r="F28" s="24"/>
      <c r="G28" s="25"/>
      <c r="H28" s="25"/>
      <c r="I28" s="25"/>
      <c r="J28" s="24"/>
      <c r="K28" s="25"/>
      <c r="L28" s="25"/>
      <c r="M28" s="25"/>
      <c r="Q28" s="25"/>
      <c r="U28" s="58" t="s">
        <v>102</v>
      </c>
      <c r="V28" s="23"/>
      <c r="W28" s="22"/>
      <c r="X28" s="22"/>
      <c r="Y28" s="22"/>
    </row>
    <row r="29" spans="1:26" s="11" customFormat="1" x14ac:dyDescent="0.15">
      <c r="A29" s="66" t="s">
        <v>18</v>
      </c>
      <c r="B29" s="35"/>
      <c r="C29" s="35"/>
      <c r="D29" s="35"/>
      <c r="E29" s="35"/>
      <c r="F29" s="36">
        <f t="shared" ref="F29:Q29" si="47">IFERROR((F10/B10)-1,0)</f>
        <v>0.39806637855934968</v>
      </c>
      <c r="G29" s="35">
        <f t="shared" si="47"/>
        <v>0.3908416849995926</v>
      </c>
      <c r="H29" s="35">
        <f t="shared" si="47"/>
        <v>0.33283609352167542</v>
      </c>
      <c r="I29" s="35">
        <f t="shared" si="47"/>
        <v>0.25387109619432291</v>
      </c>
      <c r="J29" s="36">
        <f t="shared" si="47"/>
        <v>0.18380637042286185</v>
      </c>
      <c r="K29" s="35">
        <f t="shared" si="47"/>
        <v>0.19148437591535905</v>
      </c>
      <c r="L29" s="35">
        <f t="shared" si="47"/>
        <v>0.21491057764783794</v>
      </c>
      <c r="M29" s="35">
        <f t="shared" si="47"/>
        <v>0.23628741754303184</v>
      </c>
      <c r="N29" s="36">
        <f t="shared" si="47"/>
        <v>0.24791776325974557</v>
      </c>
      <c r="O29" s="35">
        <f t="shared" si="47"/>
        <v>0.30184281949415892</v>
      </c>
      <c r="P29" s="35">
        <f t="shared" si="47"/>
        <v>0.41347997743936826</v>
      </c>
      <c r="Q29" s="35">
        <f t="shared" si="47"/>
        <v>0.46907889908256872</v>
      </c>
      <c r="R29" s="36">
        <f t="shared" ref="R29" si="48">IFERROR((R10/N10)-1,0)</f>
        <v>0.3894402540690749</v>
      </c>
      <c r="S29" s="35">
        <f t="shared" ref="S29" si="49">IFERROR((S10/O10)-1,0)</f>
        <v>0.3672037284627645</v>
      </c>
      <c r="T29" s="35">
        <f t="shared" ref="T29" si="50">IFERROR((T10/P10)-1,0)</f>
        <v>0.316787039623319</v>
      </c>
      <c r="U29" s="35">
        <f t="shared" ref="U29:V29" si="51">IFERROR((U10/Q10)-1,0)</f>
        <v>0.34889739311157975</v>
      </c>
      <c r="V29" s="36">
        <f t="shared" si="51"/>
        <v>0.35747023809523815</v>
      </c>
      <c r="W29" s="35">
        <f t="shared" ref="W29:Z29" si="52">IFERROR((W10/S10)-1,0)</f>
        <v>1.3687127071823206</v>
      </c>
      <c r="X29" s="35">
        <f t="shared" si="52"/>
        <v>1.2801919191919193</v>
      </c>
      <c r="Y29" s="35">
        <f t="shared" si="52"/>
        <v>1.2865169371624976</v>
      </c>
      <c r="Z29" s="35">
        <f t="shared" si="52"/>
        <v>1.2494573677402379</v>
      </c>
    </row>
    <row r="30" spans="1:26" s="11" customFormat="1" x14ac:dyDescent="0.15">
      <c r="A30" s="65" t="s">
        <v>58</v>
      </c>
      <c r="B30" s="37"/>
      <c r="C30" s="37"/>
      <c r="D30" s="37"/>
      <c r="E30" s="37"/>
      <c r="F30" s="38">
        <f t="shared" ref="F30:Q32" si="53">F13/B13-1</f>
        <v>0.22190028973923459</v>
      </c>
      <c r="G30" s="37">
        <f t="shared" si="53"/>
        <v>0.17553613979348692</v>
      </c>
      <c r="H30" s="37">
        <f t="shared" si="53"/>
        <v>0.30606698229002283</v>
      </c>
      <c r="I30" s="37">
        <f t="shared" si="53"/>
        <v>0.43802980280182013</v>
      </c>
      <c r="J30" s="38">
        <f t="shared" si="53"/>
        <v>0.4812755519215044</v>
      </c>
      <c r="K30" s="37">
        <f t="shared" si="53"/>
        <v>0.83733108108108123</v>
      </c>
      <c r="L30" s="37">
        <f t="shared" si="53"/>
        <v>0.13835000335638026</v>
      </c>
      <c r="M30" s="37">
        <f t="shared" si="53"/>
        <v>0.10374782824522222</v>
      </c>
      <c r="N30" s="38">
        <f t="shared" si="53"/>
        <v>0.14379553985427251</v>
      </c>
      <c r="O30" s="37">
        <f t="shared" si="53"/>
        <v>8.3386963317091167E-2</v>
      </c>
      <c r="P30" s="37">
        <f t="shared" si="53"/>
        <v>0.43991036678853646</v>
      </c>
      <c r="Q30" s="37">
        <f t="shared" si="53"/>
        <v>0.60456487519676183</v>
      </c>
      <c r="R30" s="38">
        <f t="shared" ref="R30:R32" si="54">R13/N13-1</f>
        <v>0.20650547753486803</v>
      </c>
      <c r="S30" s="37">
        <f t="shared" ref="S30:S32" si="55">S13/O13-1</f>
        <v>0.23048200950441267</v>
      </c>
      <c r="T30" s="37">
        <f t="shared" ref="T30:T32" si="56">T13/P13-1</f>
        <v>0.31050864116635268</v>
      </c>
      <c r="U30" s="37">
        <f t="shared" ref="U30:V32" si="57">U13/Q13-1</f>
        <v>0.25082334804848982</v>
      </c>
      <c r="V30" s="38">
        <f t="shared" si="57"/>
        <v>0.52</v>
      </c>
      <c r="W30" s="37">
        <f t="shared" ref="W30:Y32" si="58">W13/S13-1</f>
        <v>0.55172413793103448</v>
      </c>
      <c r="X30" s="37">
        <f t="shared" si="58"/>
        <v>0.4375</v>
      </c>
      <c r="Y30" s="37">
        <f t="shared" si="58"/>
        <v>0.42853141368589109</v>
      </c>
    </row>
    <row r="31" spans="1:26" s="11" customFormat="1" x14ac:dyDescent="0.15">
      <c r="A31" s="65" t="s">
        <v>59</v>
      </c>
      <c r="B31" s="37"/>
      <c r="C31" s="37"/>
      <c r="D31" s="37"/>
      <c r="E31" s="37"/>
      <c r="F31" s="38">
        <f t="shared" si="53"/>
        <v>0.29787059787059778</v>
      </c>
      <c r="G31" s="37">
        <f t="shared" si="53"/>
        <v>0.10692916425400489</v>
      </c>
      <c r="H31" s="37">
        <f t="shared" si="53"/>
        <v>0.13263208801837734</v>
      </c>
      <c r="I31" s="37">
        <f t="shared" si="53"/>
        <v>0.35522334935041822</v>
      </c>
      <c r="J31" s="38">
        <f t="shared" si="53"/>
        <v>0.48002776550766724</v>
      </c>
      <c r="K31" s="37">
        <f t="shared" si="53"/>
        <v>0.59959314152862553</v>
      </c>
      <c r="L31" s="37">
        <f t="shared" si="53"/>
        <v>0.25533731853116981</v>
      </c>
      <c r="M31" s="37">
        <f t="shared" si="53"/>
        <v>0.13558765594221933</v>
      </c>
      <c r="N31" s="38">
        <f t="shared" si="53"/>
        <v>0.11682442227338607</v>
      </c>
      <c r="O31" s="37">
        <f t="shared" si="53"/>
        <v>5.1596962319683026E-2</v>
      </c>
      <c r="P31" s="37">
        <f t="shared" si="53"/>
        <v>0.68010204081632653</v>
      </c>
      <c r="Q31" s="37">
        <f t="shared" si="53"/>
        <v>0.83180109858340545</v>
      </c>
      <c r="R31" s="38">
        <f t="shared" si="54"/>
        <v>0.3361838588989845</v>
      </c>
      <c r="S31" s="37">
        <f t="shared" si="55"/>
        <v>0.58944058601983351</v>
      </c>
      <c r="T31" s="37">
        <f t="shared" si="56"/>
        <v>0.26531025407429909</v>
      </c>
      <c r="U31" s="37">
        <f t="shared" si="57"/>
        <v>0.32625232789369019</v>
      </c>
      <c r="V31" s="38">
        <f t="shared" si="57"/>
        <v>0.39999999999999991</v>
      </c>
      <c r="W31" s="37">
        <f t="shared" si="58"/>
        <v>1.5</v>
      </c>
      <c r="X31" s="37">
        <f t="shared" si="58"/>
        <v>1.54</v>
      </c>
      <c r="Y31" s="37">
        <f t="shared" si="58"/>
        <v>1.5108884499131303</v>
      </c>
    </row>
    <row r="32" spans="1:26" s="11" customFormat="1" x14ac:dyDescent="0.15">
      <c r="A32" s="65" t="s">
        <v>60</v>
      </c>
      <c r="B32" s="37"/>
      <c r="C32" s="37"/>
      <c r="D32" s="37"/>
      <c r="E32" s="37"/>
      <c r="F32" s="38">
        <f t="shared" si="53"/>
        <v>-6.750745466099628E-2</v>
      </c>
      <c r="G32" s="37">
        <f t="shared" si="53"/>
        <v>0.27818738656987274</v>
      </c>
      <c r="H32" s="37">
        <f t="shared" si="53"/>
        <v>0.43881967213114748</v>
      </c>
      <c r="I32" s="37">
        <f t="shared" si="53"/>
        <v>0.48564102564102551</v>
      </c>
      <c r="J32" s="38">
        <f t="shared" si="53"/>
        <v>0.19327951352484796</v>
      </c>
      <c r="K32" s="37">
        <f t="shared" si="53"/>
        <v>0.26063806185384042</v>
      </c>
      <c r="L32" s="37">
        <f t="shared" si="53"/>
        <v>6.9273539330962919E-3</v>
      </c>
      <c r="M32" s="37">
        <f t="shared" si="53"/>
        <v>-7.7493959268208457E-2</v>
      </c>
      <c r="N32" s="38">
        <f t="shared" si="53"/>
        <v>-0.16952949962658703</v>
      </c>
      <c r="O32" s="37">
        <f t="shared" si="53"/>
        <v>-0.23596494315581995</v>
      </c>
      <c r="P32" s="37">
        <f t="shared" si="53"/>
        <v>-6.0921517153978422E-2</v>
      </c>
      <c r="Q32" s="37">
        <f t="shared" si="53"/>
        <v>6.7352666043032361E-3</v>
      </c>
      <c r="R32" s="38">
        <f t="shared" si="54"/>
        <v>0.32247143461701233</v>
      </c>
      <c r="S32" s="37">
        <f t="shared" si="55"/>
        <v>0.38204265905007606</v>
      </c>
      <c r="T32" s="37">
        <f t="shared" si="56"/>
        <v>0.54231733179101593</v>
      </c>
      <c r="U32" s="37">
        <f>U15/Q15-1</f>
        <v>0.59826240475748005</v>
      </c>
      <c r="V32" s="38">
        <f t="shared" si="57"/>
        <v>0.3600000000000001</v>
      </c>
      <c r="W32" s="37">
        <f t="shared" si="58"/>
        <v>0.26666666666666661</v>
      </c>
      <c r="X32" s="37">
        <f t="shared" si="58"/>
        <v>0.25</v>
      </c>
      <c r="Y32" s="37">
        <f t="shared" si="58"/>
        <v>0.2499636638469811</v>
      </c>
    </row>
    <row r="33" spans="1:25" x14ac:dyDescent="0.15">
      <c r="V33" s="23"/>
    </row>
    <row r="34" spans="1:25" s="18" customFormat="1" x14ac:dyDescent="0.15">
      <c r="A34" s="73" t="s">
        <v>33</v>
      </c>
      <c r="B34" s="25"/>
      <c r="C34" s="25"/>
      <c r="D34" s="25"/>
      <c r="E34" s="26">
        <f>E35-E36</f>
        <v>298.20500000000004</v>
      </c>
      <c r="F34" s="27">
        <f>F35-F36</f>
        <v>275.01900000000001</v>
      </c>
      <c r="G34" s="26">
        <f t="shared" ref="G34:K34" si="59">G35-G36</f>
        <v>283.541</v>
      </c>
      <c r="H34" s="26">
        <f t="shared" si="59"/>
        <v>275.709</v>
      </c>
      <c r="I34" s="26">
        <f t="shared" si="59"/>
        <v>287.42700000000002</v>
      </c>
      <c r="J34" s="27">
        <f t="shared" si="59"/>
        <v>281.29300000000001</v>
      </c>
      <c r="K34" s="26">
        <f t="shared" si="59"/>
        <v>292.57900000000001</v>
      </c>
      <c r="L34" s="26">
        <f t="shared" ref="L34:P34" si="60">L35-L36</f>
        <v>316.036</v>
      </c>
      <c r="M34" s="26">
        <f t="shared" si="60"/>
        <v>345.89100000000002</v>
      </c>
      <c r="N34" s="27">
        <f t="shared" si="60"/>
        <v>350.30699999999996</v>
      </c>
      <c r="O34" s="26">
        <f t="shared" si="60"/>
        <v>303.71700000000004</v>
      </c>
      <c r="P34" s="26">
        <f t="shared" si="60"/>
        <v>316.68699999999995</v>
      </c>
      <c r="Q34" s="26">
        <f t="shared" ref="Q34:T34" si="61">Q35-Q36</f>
        <v>353.14200000000005</v>
      </c>
      <c r="R34" s="27">
        <f t="shared" si="61"/>
        <v>342</v>
      </c>
      <c r="S34" s="26">
        <f t="shared" si="61"/>
        <v>375</v>
      </c>
      <c r="T34" s="26">
        <f t="shared" si="61"/>
        <v>81</v>
      </c>
      <c r="U34" s="26">
        <f t="shared" ref="U34:V34" si="62">U35-U36</f>
        <v>121</v>
      </c>
      <c r="V34" s="27">
        <f t="shared" si="62"/>
        <v>104</v>
      </c>
      <c r="Y34" s="26">
        <f t="shared" ref="Y34" si="63">Y35-Y36</f>
        <v>646</v>
      </c>
    </row>
    <row r="35" spans="1:25" s="8" customFormat="1" x14ac:dyDescent="0.15">
      <c r="A35" s="67" t="s">
        <v>34</v>
      </c>
      <c r="B35" s="25"/>
      <c r="C35" s="25"/>
      <c r="D35" s="25"/>
      <c r="E35" s="25">
        <f>271.244+21.62+5.341</f>
        <v>298.20500000000004</v>
      </c>
      <c r="F35" s="24">
        <f>158.381+111.297+5.341</f>
        <v>275.01900000000001</v>
      </c>
      <c r="G35" s="25">
        <f>167.482+110.718+5.341</f>
        <v>283.541</v>
      </c>
      <c r="H35" s="25">
        <f>188.03+82.338+5.341</f>
        <v>275.709</v>
      </c>
      <c r="I35" s="25">
        <f>181.592+100.494+5.341</f>
        <v>287.42700000000002</v>
      </c>
      <c r="J35" s="24">
        <f>194.807+81.145+5.341</f>
        <v>281.29300000000001</v>
      </c>
      <c r="K35" s="25">
        <f>226.885+60.353+5.341</f>
        <v>292.57900000000001</v>
      </c>
      <c r="L35" s="25">
        <f>260.288+50.407+5.341</f>
        <v>316.036</v>
      </c>
      <c r="M35" s="25">
        <f>315.442+25.108+5.341</f>
        <v>345.89100000000002</v>
      </c>
      <c r="N35" s="24">
        <f>533.855+67.526+5.341</f>
        <v>606.72199999999998</v>
      </c>
      <c r="O35" s="25">
        <f>357.82+209.689+5.341</f>
        <v>572.85</v>
      </c>
      <c r="P35" s="25">
        <f>362.727+221.409+5.341</f>
        <v>589.47699999999998</v>
      </c>
      <c r="Q35" s="25">
        <f>366.985+257.302+5.341</f>
        <v>629.62800000000004</v>
      </c>
      <c r="R35" s="24">
        <f>346+276</f>
        <v>622</v>
      </c>
      <c r="S35" s="25">
        <f>359+275+25</f>
        <v>659</v>
      </c>
      <c r="T35" s="25">
        <f>672+180+5</f>
        <v>857</v>
      </c>
      <c r="U35" s="25">
        <f>443+374+89</f>
        <v>906</v>
      </c>
      <c r="V35" s="24">
        <f>442+362+94</f>
        <v>898</v>
      </c>
      <c r="Y35" s="25">
        <f>1244+425+39</f>
        <v>1708</v>
      </c>
    </row>
    <row r="36" spans="1:25" s="8" customFormat="1" x14ac:dyDescent="0.15">
      <c r="A36" s="67" t="s">
        <v>35</v>
      </c>
      <c r="B36" s="25"/>
      <c r="C36" s="25"/>
      <c r="D36" s="25"/>
      <c r="E36" s="25">
        <v>0</v>
      </c>
      <c r="F36" s="24">
        <v>0</v>
      </c>
      <c r="G36" s="25">
        <v>0</v>
      </c>
      <c r="H36" s="25">
        <v>0</v>
      </c>
      <c r="I36" s="25">
        <v>0</v>
      </c>
      <c r="J36" s="24">
        <v>0</v>
      </c>
      <c r="K36" s="25">
        <v>0</v>
      </c>
      <c r="L36" s="25">
        <v>0</v>
      </c>
      <c r="M36" s="25">
        <v>0</v>
      </c>
      <c r="N36" s="24">
        <v>256.41500000000002</v>
      </c>
      <c r="O36" s="25">
        <v>269.13299999999998</v>
      </c>
      <c r="P36" s="25">
        <v>272.79000000000002</v>
      </c>
      <c r="Q36" s="25">
        <v>276.48599999999999</v>
      </c>
      <c r="R36" s="24">
        <v>280</v>
      </c>
      <c r="S36" s="25">
        <v>284</v>
      </c>
      <c r="T36" s="25">
        <v>776</v>
      </c>
      <c r="U36" s="25">
        <v>785</v>
      </c>
      <c r="V36" s="24">
        <v>794</v>
      </c>
      <c r="Y36" s="25">
        <v>1062</v>
      </c>
    </row>
    <row r="37" spans="1:25" s="8" customFormat="1" x14ac:dyDescent="0.15">
      <c r="A37" s="67"/>
      <c r="B37" s="25"/>
      <c r="C37" s="25"/>
      <c r="D37" s="25"/>
      <c r="E37" s="25"/>
      <c r="F37" s="24"/>
      <c r="G37" s="25"/>
      <c r="H37" s="25"/>
      <c r="I37" s="25"/>
      <c r="J37" s="24"/>
      <c r="K37" s="25"/>
      <c r="L37" s="25"/>
      <c r="M37" s="25"/>
      <c r="N37" s="24"/>
      <c r="O37" s="25"/>
      <c r="P37" s="25"/>
      <c r="Q37" s="25"/>
      <c r="R37" s="24"/>
      <c r="S37" s="25"/>
      <c r="T37" s="25"/>
      <c r="U37" s="25"/>
      <c r="V37" s="24"/>
      <c r="Y37" s="25"/>
    </row>
    <row r="38" spans="1:25" s="8" customFormat="1" x14ac:dyDescent="0.15">
      <c r="A38" s="74" t="s">
        <v>73</v>
      </c>
      <c r="B38" s="25"/>
      <c r="C38" s="25"/>
      <c r="D38" s="25"/>
      <c r="E38" s="43">
        <f>27.752+2.871</f>
        <v>30.622999999999998</v>
      </c>
      <c r="F38" s="24">
        <f>28.642+2.416</f>
        <v>31.058</v>
      </c>
      <c r="G38" s="25">
        <f>28.147+1.877</f>
        <v>30.023999999999997</v>
      </c>
      <c r="H38" s="25">
        <f>37.765+8.772</f>
        <v>46.536999999999999</v>
      </c>
      <c r="I38" s="43">
        <f>35.657+7.507</f>
        <v>43.163999999999994</v>
      </c>
      <c r="J38" s="24">
        <f>35.97+6.062</f>
        <v>42.031999999999996</v>
      </c>
      <c r="K38" s="25">
        <f>37.438+5.301</f>
        <v>42.739000000000004</v>
      </c>
      <c r="L38" s="25">
        <f>38.216+4.7</f>
        <v>42.916000000000004</v>
      </c>
      <c r="M38" s="43">
        <f>38.541+4.1</f>
        <v>42.640999999999998</v>
      </c>
      <c r="N38" s="24">
        <f>39.228+3.5</f>
        <v>42.728000000000002</v>
      </c>
      <c r="O38" s="25">
        <f>37.959+38.077</f>
        <v>76.036000000000001</v>
      </c>
      <c r="P38" s="25">
        <f>37.802+36.36</f>
        <v>74.162000000000006</v>
      </c>
      <c r="Q38" s="25">
        <f>37.482+34.589</f>
        <v>72.070999999999998</v>
      </c>
      <c r="R38" s="24">
        <f>37+34</f>
        <v>71</v>
      </c>
      <c r="S38" s="25">
        <f>37+33</f>
        <v>70</v>
      </c>
      <c r="T38" s="25">
        <f>138+202</f>
        <v>340</v>
      </c>
      <c r="U38" s="25">
        <f>139+199</f>
        <v>338</v>
      </c>
      <c r="V38" s="24">
        <f>138+195</f>
        <v>333</v>
      </c>
      <c r="Y38" s="25">
        <f>141+187</f>
        <v>328</v>
      </c>
    </row>
    <row r="39" spans="1:25" s="8" customFormat="1" x14ac:dyDescent="0.15">
      <c r="A39" s="74" t="s">
        <v>74</v>
      </c>
      <c r="B39" s="25"/>
      <c r="C39" s="25"/>
      <c r="D39" s="25"/>
      <c r="E39" s="43">
        <v>553.06100000000004</v>
      </c>
      <c r="F39" s="24">
        <v>549.17600000000004</v>
      </c>
      <c r="G39" s="25">
        <v>550.95600000000002</v>
      </c>
      <c r="H39" s="25">
        <v>569.20100000000002</v>
      </c>
      <c r="I39" s="43">
        <v>581.19299999999998</v>
      </c>
      <c r="J39" s="24">
        <v>530.73900000000003</v>
      </c>
      <c r="K39" s="25">
        <v>554.31700000000001</v>
      </c>
      <c r="L39" s="25">
        <v>574.06200000000001</v>
      </c>
      <c r="M39" s="43">
        <v>605.58299999999997</v>
      </c>
      <c r="N39" s="24">
        <v>870.16499999999996</v>
      </c>
      <c r="O39" s="25">
        <v>865.31</v>
      </c>
      <c r="P39" s="25">
        <v>907.36800000000005</v>
      </c>
      <c r="Q39" s="25">
        <v>901.851</v>
      </c>
      <c r="R39" s="24">
        <v>981</v>
      </c>
      <c r="S39" s="25">
        <v>1022</v>
      </c>
      <c r="T39" s="25">
        <v>1499</v>
      </c>
      <c r="U39" s="25">
        <v>1542</v>
      </c>
      <c r="V39" s="24">
        <v>1518</v>
      </c>
      <c r="Y39" s="25">
        <v>2404</v>
      </c>
    </row>
    <row r="40" spans="1:25" s="8" customFormat="1" x14ac:dyDescent="0.15">
      <c r="A40" s="74" t="s">
        <v>75</v>
      </c>
      <c r="B40" s="25"/>
      <c r="C40" s="25"/>
      <c r="D40" s="25"/>
      <c r="E40" s="43">
        <v>222.56299999999999</v>
      </c>
      <c r="F40" s="24">
        <v>219.64500000000001</v>
      </c>
      <c r="G40" s="25">
        <v>217.935</v>
      </c>
      <c r="H40" s="25">
        <v>224.745</v>
      </c>
      <c r="I40" s="43">
        <v>236.43600000000001</v>
      </c>
      <c r="J40" s="24">
        <v>235.691</v>
      </c>
      <c r="K40" s="25">
        <v>246.03800000000001</v>
      </c>
      <c r="L40" s="25">
        <v>225.84700000000001</v>
      </c>
      <c r="M40" s="43">
        <v>208.68899999999999</v>
      </c>
      <c r="N40" s="24">
        <v>485.678</v>
      </c>
      <c r="O40" s="25">
        <v>495.21899999999999</v>
      </c>
      <c r="P40" s="25">
        <v>512.74900000000002</v>
      </c>
      <c r="Q40" s="25">
        <v>500.95299999999997</v>
      </c>
      <c r="R40" s="24">
        <v>561</v>
      </c>
      <c r="S40" s="25">
        <v>579</v>
      </c>
      <c r="T40" s="25">
        <v>1110</v>
      </c>
      <c r="U40" s="25">
        <v>1136</v>
      </c>
      <c r="V40" s="24">
        <v>1111</v>
      </c>
      <c r="Y40" s="25">
        <v>1662</v>
      </c>
    </row>
    <row r="41" spans="1:25" s="8" customFormat="1" x14ac:dyDescent="0.15">
      <c r="A41" s="67"/>
      <c r="B41" s="25"/>
      <c r="C41" s="25"/>
      <c r="D41" s="25"/>
      <c r="E41" s="43"/>
      <c r="F41" s="24"/>
      <c r="G41" s="25"/>
      <c r="H41" s="25"/>
      <c r="I41" s="43"/>
      <c r="J41" s="24"/>
      <c r="K41" s="25"/>
      <c r="L41" s="25"/>
      <c r="M41" s="43"/>
      <c r="N41" s="24"/>
      <c r="O41" s="25"/>
      <c r="P41" s="25"/>
      <c r="Q41" s="25"/>
      <c r="R41" s="24"/>
      <c r="S41" s="25"/>
      <c r="T41" s="25"/>
      <c r="U41" s="25"/>
      <c r="V41" s="24"/>
      <c r="Y41" s="25"/>
    </row>
    <row r="42" spans="1:25" s="8" customFormat="1" x14ac:dyDescent="0.15">
      <c r="A42" s="74" t="s">
        <v>76</v>
      </c>
      <c r="B42" s="25"/>
      <c r="C42" s="25"/>
      <c r="D42" s="25"/>
      <c r="E42" s="29">
        <f>E39-E35-E38</f>
        <v>224.233</v>
      </c>
      <c r="F42" s="30">
        <f t="shared" ref="F42:O42" si="64">F39-F35-F38</f>
        <v>243.09900000000005</v>
      </c>
      <c r="G42" s="29">
        <f t="shared" si="64"/>
        <v>237.39100000000002</v>
      </c>
      <c r="H42" s="29">
        <f t="shared" si="64"/>
        <v>246.95500000000001</v>
      </c>
      <c r="I42" s="29">
        <f t="shared" si="64"/>
        <v>250.60199999999998</v>
      </c>
      <c r="J42" s="30">
        <f t="shared" si="64"/>
        <v>207.41400000000004</v>
      </c>
      <c r="K42" s="29">
        <f t="shared" si="64"/>
        <v>218.999</v>
      </c>
      <c r="L42" s="29">
        <f t="shared" si="64"/>
        <v>215.11</v>
      </c>
      <c r="M42" s="29">
        <f t="shared" si="64"/>
        <v>217.05099999999996</v>
      </c>
      <c r="N42" s="30">
        <f t="shared" si="64"/>
        <v>220.71499999999997</v>
      </c>
      <c r="O42" s="29">
        <f t="shared" si="64"/>
        <v>216.42399999999992</v>
      </c>
      <c r="P42" s="29">
        <f>P39-P35-P38</f>
        <v>243.72900000000007</v>
      </c>
      <c r="Q42" s="29">
        <f>Q39-Q35-Q38</f>
        <v>200.15199999999996</v>
      </c>
      <c r="R42" s="30">
        <f t="shared" ref="R42:S42" si="65">R39-R35-R38</f>
        <v>288</v>
      </c>
      <c r="S42" s="29">
        <f t="shared" si="65"/>
        <v>293</v>
      </c>
      <c r="T42" s="29">
        <f>T39-T35-T38</f>
        <v>302</v>
      </c>
      <c r="U42" s="29">
        <f>U39-U35-U38</f>
        <v>298</v>
      </c>
      <c r="V42" s="30">
        <f t="shared" ref="V42" si="66">V39-V35-V38</f>
        <v>287</v>
      </c>
      <c r="Y42" s="29">
        <f>Y39-Y35-Y38</f>
        <v>368</v>
      </c>
    </row>
    <row r="43" spans="1:25" s="8" customFormat="1" x14ac:dyDescent="0.15">
      <c r="A43" s="74" t="s">
        <v>77</v>
      </c>
      <c r="B43" s="25"/>
      <c r="C43" s="25"/>
      <c r="D43" s="25"/>
      <c r="E43" s="29">
        <f>E39-E40</f>
        <v>330.49800000000005</v>
      </c>
      <c r="F43" s="30">
        <f t="shared" ref="F43:P43" si="67">F39-F40</f>
        <v>329.53100000000006</v>
      </c>
      <c r="G43" s="29">
        <f t="shared" si="67"/>
        <v>333.02100000000002</v>
      </c>
      <c r="H43" s="29">
        <f>H39-H40</f>
        <v>344.45600000000002</v>
      </c>
      <c r="I43" s="29">
        <f>I39-I40</f>
        <v>344.75699999999995</v>
      </c>
      <c r="J43" s="30">
        <f t="shared" si="67"/>
        <v>295.048</v>
      </c>
      <c r="K43" s="29">
        <f t="shared" si="67"/>
        <v>308.279</v>
      </c>
      <c r="L43" s="29">
        <f t="shared" si="67"/>
        <v>348.21500000000003</v>
      </c>
      <c r="M43" s="29">
        <f t="shared" si="67"/>
        <v>396.89400000000001</v>
      </c>
      <c r="N43" s="30">
        <f t="shared" si="67"/>
        <v>384.48699999999997</v>
      </c>
      <c r="O43" s="29">
        <f t="shared" si="67"/>
        <v>370.09099999999995</v>
      </c>
      <c r="P43" s="29">
        <f t="shared" si="67"/>
        <v>394.61900000000003</v>
      </c>
      <c r="Q43" s="29">
        <f t="shared" ref="Q43:T43" si="68">Q39-Q40</f>
        <v>400.89800000000002</v>
      </c>
      <c r="R43" s="30">
        <f t="shared" si="68"/>
        <v>420</v>
      </c>
      <c r="S43" s="29">
        <f t="shared" si="68"/>
        <v>443</v>
      </c>
      <c r="T43" s="29">
        <f t="shared" si="68"/>
        <v>389</v>
      </c>
      <c r="U43" s="29">
        <f t="shared" ref="U43:V43" si="69">U39-U40</f>
        <v>406</v>
      </c>
      <c r="V43" s="30">
        <f t="shared" si="69"/>
        <v>407</v>
      </c>
      <c r="Y43" s="29">
        <f t="shared" ref="Y43" si="70">Y39-Y40</f>
        <v>742</v>
      </c>
    </row>
    <row r="44" spans="1:25" s="8" customFormat="1" x14ac:dyDescent="0.15">
      <c r="A44" s="67"/>
      <c r="B44" s="25"/>
      <c r="C44" s="25"/>
      <c r="D44" s="25"/>
      <c r="E44" s="43"/>
      <c r="F44" s="24"/>
      <c r="G44" s="25"/>
      <c r="H44" s="25"/>
      <c r="I44" s="43"/>
      <c r="J44" s="24"/>
      <c r="K44" s="25"/>
      <c r="L44" s="25"/>
      <c r="M44" s="43"/>
      <c r="N44" s="24"/>
      <c r="O44" s="25"/>
      <c r="P44" s="25"/>
      <c r="Q44" s="25"/>
      <c r="R44" s="24"/>
      <c r="S44" s="25"/>
      <c r="T44" s="25"/>
      <c r="U44" s="25"/>
      <c r="V44" s="24"/>
      <c r="Y44" s="25"/>
    </row>
    <row r="45" spans="1:25" s="18" customFormat="1" x14ac:dyDescent="0.15">
      <c r="A45" s="75" t="s">
        <v>78</v>
      </c>
      <c r="B45" s="45"/>
      <c r="C45" s="45"/>
      <c r="D45" s="45"/>
      <c r="E45" s="26">
        <f t="shared" ref="E45:P45" si="71">SUM(B21:E21)</f>
        <v>-54.062999999999988</v>
      </c>
      <c r="F45" s="27">
        <f t="shared" si="71"/>
        <v>-16.284999999999979</v>
      </c>
      <c r="G45" s="26">
        <f t="shared" si="71"/>
        <v>-17.241999999999972</v>
      </c>
      <c r="H45" s="26">
        <f t="shared" si="71"/>
        <v>-12.749999999999977</v>
      </c>
      <c r="I45" s="26">
        <f t="shared" si="71"/>
        <v>-29.900999999999961</v>
      </c>
      <c r="J45" s="27">
        <f t="shared" si="71"/>
        <v>-31.513999999999974</v>
      </c>
      <c r="K45" s="26">
        <f t="shared" si="71"/>
        <v>-12.533999999999999</v>
      </c>
      <c r="L45" s="26">
        <f t="shared" si="71"/>
        <v>15.667000000000012</v>
      </c>
      <c r="M45" s="26">
        <f t="shared" si="71"/>
        <v>81.782000000000011</v>
      </c>
      <c r="N45" s="27">
        <f t="shared" si="71"/>
        <v>95.17</v>
      </c>
      <c r="O45" s="26">
        <f t="shared" si="71"/>
        <v>86.880000000000024</v>
      </c>
      <c r="P45" s="26">
        <f t="shared" si="71"/>
        <v>80.972000000000023</v>
      </c>
      <c r="Q45" s="26">
        <f>SUM(N21:Q21)</f>
        <v>77.625</v>
      </c>
      <c r="R45" s="27">
        <f t="shared" ref="R45" si="72">SUM(O21:R21)</f>
        <v>94.644000000000005</v>
      </c>
      <c r="S45" s="26">
        <f t="shared" ref="S45" si="73">SUM(P21:S21)</f>
        <v>109.265</v>
      </c>
      <c r="T45" s="26">
        <f t="shared" ref="T45" si="74">SUM(Q21:T21)</f>
        <v>105.371</v>
      </c>
      <c r="U45" s="26">
        <f>SUM(R21:U21)</f>
        <v>95.276999999999958</v>
      </c>
      <c r="V45" s="27">
        <f t="shared" ref="V45" si="75">SUM(S21:V21)</f>
        <v>77.345999999999961</v>
      </c>
      <c r="Y45" s="26">
        <f t="shared" ref="Y45" si="76">SUM(V21:Y21)</f>
        <v>346.29600000000011</v>
      </c>
    </row>
    <row r="46" spans="1:25" x14ac:dyDescent="0.15">
      <c r="A46" s="68" t="s">
        <v>79</v>
      </c>
      <c r="E46" s="39"/>
      <c r="F46" s="40"/>
      <c r="G46" s="39"/>
      <c r="H46" s="39"/>
      <c r="I46" s="39"/>
      <c r="J46" s="40"/>
      <c r="K46" s="39"/>
      <c r="L46" s="39">
        <f t="shared" ref="L46:O46" si="77">L45/L43</f>
        <v>4.4992317964476003E-2</v>
      </c>
      <c r="M46" s="39">
        <f t="shared" si="77"/>
        <v>0.20605501720862499</v>
      </c>
      <c r="N46" s="40">
        <f t="shared" si="77"/>
        <v>0.24752462371939757</v>
      </c>
      <c r="O46" s="39">
        <f t="shared" si="77"/>
        <v>0.23475307424390227</v>
      </c>
      <c r="P46" s="39">
        <f>P45/P43</f>
        <v>0.20519032281770522</v>
      </c>
      <c r="Q46" s="39">
        <f>Q45/Q43</f>
        <v>0.19362780557648079</v>
      </c>
      <c r="R46" s="40">
        <f t="shared" ref="R46:S46" si="78">R45/R43</f>
        <v>0.22534285714285715</v>
      </c>
      <c r="S46" s="39">
        <f t="shared" si="78"/>
        <v>0.24664785553047405</v>
      </c>
      <c r="T46" s="39">
        <f>T45/T43</f>
        <v>0.27087660668380459</v>
      </c>
      <c r="U46" s="39">
        <f>U45/U43</f>
        <v>0.23467241379310336</v>
      </c>
      <c r="V46" s="40">
        <f t="shared" ref="V46" si="79">V45/V43</f>
        <v>0.19003931203931193</v>
      </c>
      <c r="Y46" s="39">
        <f>Y45/Y43</f>
        <v>0.46670619946091657</v>
      </c>
    </row>
    <row r="47" spans="1:25" x14ac:dyDescent="0.15">
      <c r="A47" s="68" t="s">
        <v>80</v>
      </c>
      <c r="E47" s="39"/>
      <c r="F47" s="40"/>
      <c r="G47" s="39"/>
      <c r="H47" s="39"/>
      <c r="I47" s="39"/>
      <c r="J47" s="40"/>
      <c r="K47" s="39"/>
      <c r="L47" s="39">
        <f t="shared" ref="L47:O47" si="80">L45/L39</f>
        <v>2.7291477227198477E-2</v>
      </c>
      <c r="M47" s="39">
        <f t="shared" si="80"/>
        <v>0.13504672357050976</v>
      </c>
      <c r="N47" s="40">
        <f t="shared" si="80"/>
        <v>0.10937006199973569</v>
      </c>
      <c r="O47" s="39">
        <f t="shared" si="80"/>
        <v>0.10040332366435153</v>
      </c>
      <c r="P47" s="39">
        <f>P45/P39</f>
        <v>8.9238324472540376E-2</v>
      </c>
      <c r="Q47" s="39">
        <f>Q45/Q39</f>
        <v>8.6072976578170896E-2</v>
      </c>
      <c r="R47" s="40">
        <f t="shared" ref="R47:S47" si="81">R45/R39</f>
        <v>9.6477064220183498E-2</v>
      </c>
      <c r="S47" s="39">
        <f t="shared" si="81"/>
        <v>0.10691291585127202</v>
      </c>
      <c r="T47" s="39">
        <f>T45/T39</f>
        <v>7.0294196130753828E-2</v>
      </c>
      <c r="U47" s="39">
        <f>U45/U39</f>
        <v>6.1787937743190635E-2</v>
      </c>
      <c r="V47" s="40">
        <f t="shared" ref="V47" si="82">V45/V39</f>
        <v>5.0952569169960452E-2</v>
      </c>
      <c r="Y47" s="39">
        <f>Y45/Y39</f>
        <v>0.1440499168053245</v>
      </c>
    </row>
    <row r="48" spans="1:25" x14ac:dyDescent="0.15">
      <c r="A48" s="68" t="s">
        <v>81</v>
      </c>
      <c r="E48" s="39"/>
      <c r="F48" s="40"/>
      <c r="G48" s="39"/>
      <c r="H48" s="39"/>
      <c r="I48" s="39"/>
      <c r="J48" s="40"/>
      <c r="K48" s="39"/>
      <c r="L48" s="39">
        <f>L45/(L43-L38)</f>
        <v>5.1316905721931649E-2</v>
      </c>
      <c r="M48" s="39">
        <f t="shared" ref="M48:O48" si="83">M45/(M43-M38)</f>
        <v>0.2308576074161687</v>
      </c>
      <c r="N48" s="40">
        <f t="shared" si="83"/>
        <v>0.27847108635032292</v>
      </c>
      <c r="O48" s="39">
        <f t="shared" si="83"/>
        <v>0.29545493190049493</v>
      </c>
      <c r="P48" s="39">
        <f>P45/(P43-P38)</f>
        <v>0.25267664616469609</v>
      </c>
      <c r="Q48" s="39">
        <f>Q45/(Q43-Q38)</f>
        <v>0.23606638141028566</v>
      </c>
      <c r="R48" s="40">
        <f t="shared" ref="R48:S48" si="84">R45/(R43-R38)</f>
        <v>0.27118624641833811</v>
      </c>
      <c r="S48" s="39">
        <f t="shared" si="84"/>
        <v>0.29293565683646111</v>
      </c>
      <c r="T48" s="39">
        <f>T45/(T43-T38)</f>
        <v>2.1504285714285714</v>
      </c>
      <c r="U48" s="39">
        <f>U45/(U43-U38)</f>
        <v>1.4011323529411759</v>
      </c>
      <c r="V48" s="40">
        <f t="shared" ref="V48" si="85">V45/(V43-V38)</f>
        <v>1.0452162162162157</v>
      </c>
      <c r="Y48" s="39">
        <f>Y45/(Y43-Y38)</f>
        <v>0.83646376811594225</v>
      </c>
    </row>
    <row r="49" spans="1:26" x14ac:dyDescent="0.15">
      <c r="A49" s="68" t="s">
        <v>82</v>
      </c>
      <c r="E49" s="39"/>
      <c r="F49" s="40"/>
      <c r="G49" s="39"/>
      <c r="H49" s="39"/>
      <c r="I49" s="39"/>
      <c r="J49" s="40"/>
      <c r="K49" s="39"/>
      <c r="L49" s="39">
        <f t="shared" ref="L49:O49" si="86">L45/L42</f>
        <v>7.283250430012557E-2</v>
      </c>
      <c r="M49" s="39">
        <f t="shared" si="86"/>
        <v>0.37678702240487272</v>
      </c>
      <c r="N49" s="40">
        <f t="shared" si="86"/>
        <v>0.43118954307591245</v>
      </c>
      <c r="O49" s="39">
        <f t="shared" si="86"/>
        <v>0.40143422171293414</v>
      </c>
      <c r="P49" s="39">
        <f>P45/P42</f>
        <v>0.33222144266788112</v>
      </c>
      <c r="Q49" s="39">
        <f>Q45/Q42</f>
        <v>0.38783024901075192</v>
      </c>
      <c r="R49" s="40">
        <f t="shared" ref="R49:S49" si="87">R45/R42</f>
        <v>0.328625</v>
      </c>
      <c r="S49" s="39">
        <f t="shared" si="87"/>
        <v>0.37291808873720139</v>
      </c>
      <c r="T49" s="39">
        <f>T45/T42</f>
        <v>0.34891059602649005</v>
      </c>
      <c r="U49" s="39">
        <f>U45/U42</f>
        <v>0.31972147651006699</v>
      </c>
      <c r="V49" s="40">
        <f t="shared" ref="V49" si="88">V45/V42</f>
        <v>0.26949825783972114</v>
      </c>
      <c r="Y49" s="39">
        <f>Y45/Y42</f>
        <v>0.94102173913043508</v>
      </c>
    </row>
    <row r="50" spans="1:26" x14ac:dyDescent="0.15">
      <c r="V50" s="23"/>
      <c r="Y50" s="22"/>
    </row>
    <row r="51" spans="1:26" x14ac:dyDescent="0.15">
      <c r="A51" s="62" t="s">
        <v>92</v>
      </c>
      <c r="F51" s="40">
        <f t="shared" ref="F51:Q53" si="89">F3/B3-1</f>
        <v>0.18503532221153507</v>
      </c>
      <c r="G51" s="39">
        <f t="shared" si="89"/>
        <v>0.22764120909777152</v>
      </c>
      <c r="H51" s="39">
        <f t="shared" si="89"/>
        <v>0.18307892777364132</v>
      </c>
      <c r="I51" s="39">
        <f t="shared" si="89"/>
        <v>0.17941501658458137</v>
      </c>
      <c r="J51" s="40">
        <f t="shared" si="89"/>
        <v>0.97486705849426269</v>
      </c>
      <c r="K51" s="39">
        <f t="shared" si="89"/>
        <v>1.0169763400614888</v>
      </c>
      <c r="L51" s="39">
        <f t="shared" si="89"/>
        <v>1.0404374164109829</v>
      </c>
      <c r="M51" s="39">
        <f t="shared" si="89"/>
        <v>0.1558505198568263</v>
      </c>
      <c r="N51" s="40">
        <f t="shared" si="89"/>
        <v>0.24666250956605551</v>
      </c>
      <c r="O51" s="39">
        <f t="shared" si="89"/>
        <v>0.21023261978925056</v>
      </c>
      <c r="P51" s="39">
        <f t="shared" si="89"/>
        <v>0.42565031873329207</v>
      </c>
      <c r="Q51" s="39">
        <f t="shared" si="89"/>
        <v>1.7748797257193414</v>
      </c>
      <c r="R51" s="40">
        <f t="shared" ref="R51:R52" si="90">R3/N3-1</f>
        <v>0.43235531506132974</v>
      </c>
      <c r="S51" s="39">
        <f t="shared" ref="S51:S52" si="91">S3/O3-1</f>
        <v>0.467592491183493</v>
      </c>
      <c r="T51" s="39">
        <f t="shared" ref="T51:T52" si="92">T3/P3-1</f>
        <v>0.27110622301152998</v>
      </c>
      <c r="U51" s="39">
        <f t="shared" ref="U51:V52" si="93">U3/Q3-1</f>
        <v>0.25980470306895187</v>
      </c>
      <c r="V51" s="40">
        <f t="shared" si="93"/>
        <v>0.237468253968254</v>
      </c>
      <c r="W51" s="39">
        <f t="shared" ref="W51:Y52" si="94">W3/S3-1</f>
        <v>1.4778432835820894</v>
      </c>
      <c r="X51" s="39">
        <f t="shared" si="94"/>
        <v>1.4228581560283686</v>
      </c>
      <c r="Y51" s="39">
        <f t="shared" si="94"/>
        <v>1.4969602058518015</v>
      </c>
    </row>
    <row r="52" spans="1:26" x14ac:dyDescent="0.15">
      <c r="A52" s="62" t="s">
        <v>93</v>
      </c>
      <c r="F52" s="40">
        <f t="shared" si="89"/>
        <v>0.59584295612009242</v>
      </c>
      <c r="G52" s="39">
        <f t="shared" si="89"/>
        <v>0.58108834397044018</v>
      </c>
      <c r="H52" s="39">
        <f t="shared" si="89"/>
        <v>0.5005413096600575</v>
      </c>
      <c r="I52" s="39">
        <f t="shared" si="89"/>
        <v>0.30730467922930349</v>
      </c>
      <c r="J52" s="40">
        <f t="shared" si="89"/>
        <v>-0.44538625870029636</v>
      </c>
      <c r="K52" s="39">
        <f t="shared" si="89"/>
        <v>-0.45951687947481357</v>
      </c>
      <c r="L52" s="39">
        <f t="shared" si="89"/>
        <v>-0.42330605429696366</v>
      </c>
      <c r="M52" s="39">
        <f t="shared" si="89"/>
        <v>0.33323075926405799</v>
      </c>
      <c r="N52" s="40">
        <f t="shared" si="89"/>
        <v>0.35043903247183561</v>
      </c>
      <c r="O52" s="39">
        <f t="shared" si="89"/>
        <v>0.55294811320754711</v>
      </c>
      <c r="P52" s="39">
        <f t="shared" si="89"/>
        <v>0.36524163568773238</v>
      </c>
      <c r="Q52" s="39">
        <f t="shared" si="89"/>
        <v>-0.40934656640629752</v>
      </c>
      <c r="R52" s="40">
        <f t="shared" si="90"/>
        <v>0.28814598987885298</v>
      </c>
      <c r="S52" s="39">
        <f t="shared" si="91"/>
        <v>0.18966259143949182</v>
      </c>
      <c r="T52" s="39">
        <f t="shared" si="92"/>
        <v>0.49238100225166237</v>
      </c>
      <c r="U52" s="39">
        <f t="shared" si="93"/>
        <v>0.65248241536752905</v>
      </c>
      <c r="V52" s="40">
        <f t="shared" si="93"/>
        <v>0.71747619047619038</v>
      </c>
      <c r="W52" s="39">
        <f t="shared" si="94"/>
        <v>1.0575744680851065</v>
      </c>
      <c r="X52" s="39">
        <f t="shared" si="94"/>
        <v>0.92728070175438604</v>
      </c>
      <c r="Y52" s="39">
        <f t="shared" si="94"/>
        <v>0.78978679975605814</v>
      </c>
    </row>
    <row r="53" spans="1:26" x14ac:dyDescent="0.15">
      <c r="A53" s="62" t="s">
        <v>94</v>
      </c>
      <c r="F53" s="40">
        <f t="shared" si="89"/>
        <v>1.3216531895777179</v>
      </c>
      <c r="G53" s="39">
        <f t="shared" si="89"/>
        <v>-0.22291296625222012</v>
      </c>
      <c r="H53" s="39">
        <f t="shared" si="89"/>
        <v>-0.19118942731277533</v>
      </c>
      <c r="I53" s="39">
        <f t="shared" si="89"/>
        <v>0.75949367088607578</v>
      </c>
      <c r="J53" s="40">
        <f t="shared" si="89"/>
        <v>-0.15441176470588236</v>
      </c>
      <c r="K53" s="39">
        <f t="shared" si="89"/>
        <v>-7.7714285714285625E-2</v>
      </c>
      <c r="L53" s="39">
        <f t="shared" si="89"/>
        <v>-0.35076252723311552</v>
      </c>
      <c r="M53" s="39">
        <f t="shared" si="89"/>
        <v>-1.2092871157619358</v>
      </c>
      <c r="N53" s="40">
        <f t="shared" si="89"/>
        <v>-0.84439359267734559</v>
      </c>
      <c r="O53" s="39">
        <f t="shared" si="89"/>
        <v>0.95043370508054514</v>
      </c>
      <c r="P53" s="39">
        <f t="shared" si="89"/>
        <v>1.0889261744966445</v>
      </c>
      <c r="Q53" s="39">
        <f t="shared" si="89"/>
        <v>-4.125</v>
      </c>
      <c r="R53" s="40"/>
      <c r="S53" s="39"/>
      <c r="T53" s="39"/>
      <c r="U53" s="39"/>
      <c r="V53" s="40"/>
    </row>
    <row r="54" spans="1:26" x14ac:dyDescent="0.15">
      <c r="V54" s="23"/>
    </row>
    <row r="55" spans="1:26" x14ac:dyDescent="0.15">
      <c r="A55" s="62" t="s">
        <v>96</v>
      </c>
      <c r="F55" s="40">
        <f t="shared" ref="F55:N55" si="95">F7/B7-1</f>
        <v>0.201084609108797</v>
      </c>
      <c r="G55" s="39">
        <f t="shared" si="95"/>
        <v>0.20311563810665079</v>
      </c>
      <c r="H55" s="39">
        <f t="shared" si="95"/>
        <v>0.2007255674025572</v>
      </c>
      <c r="I55" s="39">
        <f t="shared" si="95"/>
        <v>0.18797305165100231</v>
      </c>
      <c r="J55" s="40">
        <f t="shared" si="95"/>
        <v>0.18547968194350095</v>
      </c>
      <c r="K55" s="39">
        <f t="shared" si="95"/>
        <v>0.1716212074777812</v>
      </c>
      <c r="L55" s="39">
        <f t="shared" si="95"/>
        <v>0.16728076639646283</v>
      </c>
      <c r="M55" s="39">
        <f t="shared" si="95"/>
        <v>0.16796191276342509</v>
      </c>
      <c r="N55" s="40">
        <f t="shared" si="95"/>
        <v>0.16933499612390035</v>
      </c>
      <c r="O55" s="39">
        <f>O7/K7-1</f>
        <v>0.17152759612869461</v>
      </c>
      <c r="P55" s="39">
        <f>P7/L7-1</f>
        <v>0.17215909090909087</v>
      </c>
      <c r="Q55" s="39">
        <f>Q7/M7-1</f>
        <v>0.18232226351756409</v>
      </c>
      <c r="R55" s="40">
        <f t="shared" ref="R55:R56" si="96">R7/N7-1</f>
        <v>0.18179459833395795</v>
      </c>
      <c r="S55" s="39">
        <f>S7/O7-1</f>
        <v>0.19173876639687437</v>
      </c>
      <c r="T55" s="39">
        <f>T7/P7-1</f>
        <v>0.2064415360585985</v>
      </c>
      <c r="U55" s="39">
        <f>U7/Q7-1</f>
        <v>0.17501964661444469</v>
      </c>
      <c r="V55" s="40">
        <f t="shared" ref="V55:W57" si="97">V7/R7-1</f>
        <v>0.16458536585365846</v>
      </c>
      <c r="W55" s="39">
        <f>W7/S7-1</f>
        <v>0.41156908665105374</v>
      </c>
      <c r="X55" s="39">
        <f>X7/T7-1</f>
        <v>0.55466517857142872</v>
      </c>
      <c r="Y55" s="39">
        <f>Y7/U7-1</f>
        <v>0.76690902030161157</v>
      </c>
    </row>
    <row r="56" spans="1:26" x14ac:dyDescent="0.15">
      <c r="A56" s="62" t="s">
        <v>85</v>
      </c>
      <c r="F56" s="40">
        <f t="shared" ref="F56:O56" si="98">F8/B8-1</f>
        <v>0.16400324170061009</v>
      </c>
      <c r="G56" s="39">
        <f t="shared" si="98"/>
        <v>0.1560332531196813</v>
      </c>
      <c r="H56" s="39">
        <f t="shared" si="98"/>
        <v>0.11002557928778312</v>
      </c>
      <c r="I56" s="39">
        <f t="shared" si="98"/>
        <v>5.5470992756727844E-2</v>
      </c>
      <c r="J56" s="40">
        <f t="shared" si="98"/>
        <v>-1.4115058622479193E-3</v>
      </c>
      <c r="K56" s="39">
        <f t="shared" si="98"/>
        <v>1.6953575362756101E-2</v>
      </c>
      <c r="L56" s="39">
        <f t="shared" si="98"/>
        <v>4.0804074411689539E-2</v>
      </c>
      <c r="M56" s="39">
        <f t="shared" si="98"/>
        <v>5.8499771296434577E-2</v>
      </c>
      <c r="N56" s="40">
        <f t="shared" si="98"/>
        <v>6.7202955009753929E-2</v>
      </c>
      <c r="O56" s="39">
        <f t="shared" si="98"/>
        <v>0.1112352997881485</v>
      </c>
      <c r="P56" s="39">
        <f>P8/L8-1</f>
        <v>0.20587724687023168</v>
      </c>
      <c r="Q56" s="39">
        <f>Q8/M8-1</f>
        <v>0.24253678071819951</v>
      </c>
      <c r="R56" s="40">
        <f t="shared" si="96"/>
        <v>0.17570367644922968</v>
      </c>
      <c r="S56" s="39">
        <f t="shared" ref="S56" si="99">S8/O8-1</f>
        <v>0.14723441664685821</v>
      </c>
      <c r="T56" s="39">
        <f>T8/P8-1</f>
        <v>9.1463614494918133E-2</v>
      </c>
      <c r="U56" s="39">
        <f>U8/Q8-1</f>
        <v>0.14797858656927554</v>
      </c>
      <c r="V56" s="40">
        <f t="shared" si="97"/>
        <v>0.16562536152100127</v>
      </c>
      <c r="W56" s="39">
        <f>W8/S8-1</f>
        <v>0.67807068714014473</v>
      </c>
      <c r="X56" s="39">
        <f>X8/T8-1</f>
        <v>0.46667716664701531</v>
      </c>
      <c r="Y56" s="39">
        <f>Y8/U8-1</f>
        <v>0.29407734687561282</v>
      </c>
    </row>
    <row r="57" spans="1:26" x14ac:dyDescent="0.15">
      <c r="V57" s="23"/>
      <c r="Z57" s="6">
        <v>2900</v>
      </c>
    </row>
    <row r="58" spans="1:26" s="8" customFormat="1" x14ac:dyDescent="0.15">
      <c r="A58" s="67" t="s">
        <v>101</v>
      </c>
      <c r="B58" s="25"/>
      <c r="C58" s="25"/>
      <c r="D58" s="25"/>
      <c r="E58" s="25"/>
      <c r="F58" s="24"/>
      <c r="G58" s="25"/>
      <c r="H58" s="25"/>
      <c r="I58" s="25"/>
      <c r="J58" s="24"/>
      <c r="K58" s="25"/>
      <c r="L58" s="25"/>
      <c r="M58" s="25"/>
      <c r="N58" s="24">
        <v>861</v>
      </c>
      <c r="O58" s="25">
        <v>902</v>
      </c>
      <c r="P58" s="25">
        <v>923</v>
      </c>
      <c r="Q58" s="25"/>
      <c r="R58" s="24">
        <v>1024</v>
      </c>
      <c r="S58" s="25">
        <v>1095</v>
      </c>
      <c r="T58" s="25">
        <v>1200</v>
      </c>
      <c r="U58" s="25">
        <v>1655.7159999999999</v>
      </c>
      <c r="V58" s="24">
        <v>1353.2909999999999</v>
      </c>
      <c r="W58" s="8">
        <v>2688.7829999999999</v>
      </c>
      <c r="X58" s="8">
        <v>2633.9270000000001</v>
      </c>
      <c r="Y58" s="8">
        <v>3605.1</v>
      </c>
    </row>
    <row r="59" spans="1:26" x14ac:dyDescent="0.15">
      <c r="A59" s="65" t="s">
        <v>112</v>
      </c>
      <c r="R59" s="72">
        <f>R58/N58-1</f>
        <v>0.18931475029036005</v>
      </c>
      <c r="S59" s="19">
        <f>S58/O58-1</f>
        <v>0.2139689578713968</v>
      </c>
      <c r="T59" s="19">
        <f>T58/P58-1</f>
        <v>0.30010834236186357</v>
      </c>
      <c r="U59" s="19" t="e">
        <f>U58/Q58-1</f>
        <v>#DIV/0!</v>
      </c>
      <c r="V59" s="72">
        <f>V58/R58-1</f>
        <v>0.32157324218749994</v>
      </c>
      <c r="W59" s="19">
        <f>W58/S58-1</f>
        <v>1.4555095890410956</v>
      </c>
      <c r="X59" s="19">
        <f>X58/T58-1</f>
        <v>1.1949391666666669</v>
      </c>
      <c r="Y59" s="19">
        <f>Y58/U58-1</f>
        <v>1.1773661666614323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2021-02-25T22:45:17Z</dcterms:modified>
</cp:coreProperties>
</file>