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700CA32D-4154-5A4C-B1BF-C0A98EC4F352}" xr6:coauthVersionLast="46" xr6:coauthVersionMax="46" xr10:uidLastSave="{00000000-0000-0000-0000-000000000000}"/>
  <bookViews>
    <workbookView xWindow="15560" yWindow="460" windowWidth="20280" windowHeight="2032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M20" i="2"/>
  <c r="N20" i="2" s="1"/>
  <c r="O20" i="2" s="1"/>
  <c r="P20" i="2" s="1"/>
  <c r="Q20" i="2" s="1"/>
  <c r="R20" i="2" s="1"/>
  <c r="S20" i="2" s="1"/>
  <c r="T20" i="2" s="1"/>
  <c r="U20" i="2" s="1"/>
  <c r="L20" i="2"/>
  <c r="U39" i="2"/>
  <c r="U38" i="2"/>
  <c r="U30" i="2"/>
  <c r="U22" i="2"/>
  <c r="U21" i="2"/>
  <c r="U17" i="2"/>
  <c r="U19" i="2" s="1"/>
  <c r="U9" i="2"/>
  <c r="T39" i="2"/>
  <c r="T38" i="2"/>
  <c r="T30" i="2"/>
  <c r="T22" i="2"/>
  <c r="T21" i="2"/>
  <c r="T17" i="2"/>
  <c r="T19" i="2" s="1"/>
  <c r="T9" i="2"/>
  <c r="S38" i="2"/>
  <c r="S30" i="2"/>
  <c r="S22" i="2"/>
  <c r="S39" i="2" s="1"/>
  <c r="S21" i="2"/>
  <c r="S17" i="2"/>
  <c r="S19" i="2" s="1"/>
  <c r="S9" i="2"/>
  <c r="R39" i="2"/>
  <c r="R38" i="2"/>
  <c r="R30" i="2"/>
  <c r="R22" i="2"/>
  <c r="R21" i="2"/>
  <c r="R17" i="2"/>
  <c r="R36" i="2" s="1"/>
  <c r="R9" i="2"/>
  <c r="H14" i="2"/>
  <c r="I14" i="2" s="1"/>
  <c r="J14" i="2" s="1"/>
  <c r="K14" i="2" s="1"/>
  <c r="G14" i="2"/>
  <c r="C5" i="2"/>
  <c r="C3" i="2"/>
  <c r="V39" i="1"/>
  <c r="V55" i="1"/>
  <c r="V54" i="1"/>
  <c r="V48" i="1"/>
  <c r="V46" i="1"/>
  <c r="V45" i="1"/>
  <c r="V37" i="1"/>
  <c r="V35" i="1"/>
  <c r="V34" i="1"/>
  <c r="V33" i="1"/>
  <c r="V32" i="1"/>
  <c r="V30" i="1"/>
  <c r="V29" i="1"/>
  <c r="V28" i="1"/>
  <c r="V25" i="1"/>
  <c r="V24" i="1"/>
  <c r="V22" i="1"/>
  <c r="V21" i="1"/>
  <c r="V19" i="1"/>
  <c r="V20" i="1" s="1"/>
  <c r="V15" i="1"/>
  <c r="V13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21" i="1"/>
  <c r="U13" i="1"/>
  <c r="U33" i="1"/>
  <c r="U35" i="1"/>
  <c r="U34" i="1"/>
  <c r="U37" i="1"/>
  <c r="U45" i="1"/>
  <c r="U46" i="1"/>
  <c r="U54" i="1"/>
  <c r="U32" i="2" l="1"/>
  <c r="U18" i="2"/>
  <c r="U36" i="2"/>
  <c r="T32" i="2"/>
  <c r="T18" i="2"/>
  <c r="T36" i="2"/>
  <c r="S32" i="2"/>
  <c r="S18" i="2"/>
  <c r="S36" i="2"/>
  <c r="R19" i="2"/>
  <c r="V52" i="1"/>
  <c r="V49" i="1"/>
  <c r="V50" i="1"/>
  <c r="V51" i="1"/>
  <c r="U15" i="1"/>
  <c r="U19" i="1"/>
  <c r="F4" i="2"/>
  <c r="F22" i="2"/>
  <c r="G22" i="2" s="1"/>
  <c r="H22" i="2" s="1"/>
  <c r="I22" i="2" s="1"/>
  <c r="J22" i="2" s="1"/>
  <c r="K22" i="2" s="1"/>
  <c r="F21" i="2"/>
  <c r="G21" i="2" s="1"/>
  <c r="H21" i="2" s="1"/>
  <c r="I21" i="2" s="1"/>
  <c r="J21" i="2" s="1"/>
  <c r="K21" i="2" s="1"/>
  <c r="F20" i="2"/>
  <c r="C20" i="2"/>
  <c r="C18" i="2"/>
  <c r="F14" i="2"/>
  <c r="F10" i="2"/>
  <c r="F12" i="2"/>
  <c r="F11" i="2"/>
  <c r="T21" i="1"/>
  <c r="F30" i="2"/>
  <c r="F27" i="2"/>
  <c r="F18" i="2"/>
  <c r="T13" i="1"/>
  <c r="S21" i="1"/>
  <c r="R21" i="1"/>
  <c r="R10" i="1"/>
  <c r="P13" i="1"/>
  <c r="T37" i="1"/>
  <c r="S37" i="1"/>
  <c r="R37" i="1"/>
  <c r="T35" i="1"/>
  <c r="S35" i="1"/>
  <c r="R35" i="1"/>
  <c r="T34" i="1"/>
  <c r="S34" i="1"/>
  <c r="R34" i="1"/>
  <c r="T33" i="1"/>
  <c r="S33" i="1"/>
  <c r="R33" i="1"/>
  <c r="T19" i="1"/>
  <c r="S19" i="1"/>
  <c r="R19" i="1"/>
  <c r="S13" i="1"/>
  <c r="R32" i="2" l="1"/>
  <c r="R18" i="2"/>
  <c r="R13" i="1"/>
  <c r="F25" i="2"/>
  <c r="U28" i="1"/>
  <c r="U20" i="1"/>
  <c r="S15" i="1"/>
  <c r="S28" i="1" s="1"/>
  <c r="T15" i="1"/>
  <c r="F23" i="2"/>
  <c r="G20" i="2"/>
  <c r="H20" i="2" s="1"/>
  <c r="I20" i="2" s="1"/>
  <c r="J20" i="2" s="1"/>
  <c r="K20" i="2" s="1"/>
  <c r="F15" i="2"/>
  <c r="F17" i="2" s="1"/>
  <c r="F19" i="2" s="1"/>
  <c r="K59" i="2"/>
  <c r="R15" i="1"/>
  <c r="R20" i="1" s="1"/>
  <c r="R29" i="1" s="1"/>
  <c r="C4" i="2"/>
  <c r="C44" i="2"/>
  <c r="B44" i="2"/>
  <c r="B43" i="2"/>
  <c r="B42" i="2" s="1"/>
  <c r="E48" i="2"/>
  <c r="E47" i="2"/>
  <c r="E46" i="2"/>
  <c r="E44" i="2"/>
  <c r="E43" i="2"/>
  <c r="E30" i="2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E14" i="2"/>
  <c r="E12" i="2"/>
  <c r="E11" i="2"/>
  <c r="E10" i="2"/>
  <c r="D48" i="2"/>
  <c r="D47" i="2"/>
  <c r="D51" i="2" s="1"/>
  <c r="D46" i="2"/>
  <c r="D44" i="2"/>
  <c r="D43" i="2"/>
  <c r="N13" i="1"/>
  <c r="N15" i="1" s="1"/>
  <c r="N19" i="1"/>
  <c r="N21" i="1"/>
  <c r="O13" i="1"/>
  <c r="O15" i="1" s="1"/>
  <c r="O19" i="1"/>
  <c r="O21" i="1"/>
  <c r="P15" i="1"/>
  <c r="P28" i="1" s="1"/>
  <c r="P19" i="1"/>
  <c r="P21" i="1"/>
  <c r="Q13" i="1"/>
  <c r="U32" i="1" s="1"/>
  <c r="Q19" i="1"/>
  <c r="Q21" i="1"/>
  <c r="M13" i="1"/>
  <c r="M15" i="1" s="1"/>
  <c r="M19" i="1"/>
  <c r="M21" i="1"/>
  <c r="L13" i="1"/>
  <c r="L15" i="1" s="1"/>
  <c r="L19" i="1"/>
  <c r="L21" i="1"/>
  <c r="K13" i="1"/>
  <c r="K15" i="1" s="1"/>
  <c r="K19" i="1"/>
  <c r="K21" i="1"/>
  <c r="J13" i="1"/>
  <c r="J15" i="1"/>
  <c r="J19" i="1"/>
  <c r="J21" i="1"/>
  <c r="I13" i="1"/>
  <c r="I15" i="1" s="1"/>
  <c r="I19" i="1"/>
  <c r="I21" i="1"/>
  <c r="H13" i="1"/>
  <c r="H19" i="1"/>
  <c r="H21" i="1"/>
  <c r="G13" i="1"/>
  <c r="G15" i="1" s="1"/>
  <c r="G19" i="1"/>
  <c r="G21" i="1"/>
  <c r="C13" i="1"/>
  <c r="C19" i="1"/>
  <c r="C21" i="1"/>
  <c r="D13" i="1"/>
  <c r="D15" i="1"/>
  <c r="D19" i="1"/>
  <c r="D21" i="1"/>
  <c r="E13" i="1"/>
  <c r="E15" i="1" s="1"/>
  <c r="E19" i="1"/>
  <c r="E21" i="1"/>
  <c r="F13" i="1"/>
  <c r="F15" i="1"/>
  <c r="F19" i="1"/>
  <c r="F21" i="1"/>
  <c r="B13" i="1"/>
  <c r="B15" i="1" s="1"/>
  <c r="B28" i="1" s="1"/>
  <c r="B19" i="1"/>
  <c r="B21" i="1"/>
  <c r="M46" i="1"/>
  <c r="M45" i="1"/>
  <c r="Q46" i="1"/>
  <c r="Q45" i="1"/>
  <c r="Q37" i="1"/>
  <c r="U55" i="1"/>
  <c r="M37" i="1"/>
  <c r="E18" i="2"/>
  <c r="E20" i="2"/>
  <c r="E21" i="2"/>
  <c r="E22" i="2"/>
  <c r="P37" i="1"/>
  <c r="P10" i="1"/>
  <c r="T55" i="1" s="1"/>
  <c r="E27" i="2"/>
  <c r="I38" i="1"/>
  <c r="I37" i="1" s="1"/>
  <c r="E38" i="1"/>
  <c r="E37" i="1" s="1"/>
  <c r="K10" i="1"/>
  <c r="J10" i="1"/>
  <c r="D10" i="2"/>
  <c r="D11" i="2"/>
  <c r="D12" i="2"/>
  <c r="M10" i="1"/>
  <c r="B10" i="2"/>
  <c r="B11" i="2"/>
  <c r="B12" i="2"/>
  <c r="E10" i="1"/>
  <c r="B14" i="2" s="1"/>
  <c r="C10" i="2"/>
  <c r="C11" i="2"/>
  <c r="C12" i="2"/>
  <c r="I10" i="1"/>
  <c r="C14" i="2" s="1"/>
  <c r="L10" i="1"/>
  <c r="O10" i="1"/>
  <c r="N10" i="1"/>
  <c r="H10" i="1"/>
  <c r="G10" i="1"/>
  <c r="F10" i="1"/>
  <c r="D10" i="1"/>
  <c r="C10" i="1"/>
  <c r="B10" i="1"/>
  <c r="D18" i="2"/>
  <c r="Q35" i="1"/>
  <c r="Q34" i="1"/>
  <c r="Q33" i="1"/>
  <c r="N37" i="1"/>
  <c r="N35" i="1"/>
  <c r="N34" i="1"/>
  <c r="N33" i="1"/>
  <c r="O37" i="1"/>
  <c r="O35" i="1"/>
  <c r="O34" i="1"/>
  <c r="O33" i="1"/>
  <c r="P35" i="1"/>
  <c r="P34" i="1"/>
  <c r="P33" i="1"/>
  <c r="K38" i="1"/>
  <c r="K37" i="1" s="1"/>
  <c r="J38" i="1"/>
  <c r="J37" i="1" s="1"/>
  <c r="B38" i="1"/>
  <c r="B37" i="1" s="1"/>
  <c r="H33" i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G33" i="1"/>
  <c r="F35" i="1"/>
  <c r="F34" i="1"/>
  <c r="F33" i="1"/>
  <c r="D30" i="2"/>
  <c r="D20" i="2"/>
  <c r="D21" i="2"/>
  <c r="D22" i="2"/>
  <c r="D37" i="2"/>
  <c r="C21" i="2"/>
  <c r="C22" i="2"/>
  <c r="B21" i="2"/>
  <c r="B22" i="2"/>
  <c r="B20" i="2"/>
  <c r="C37" i="2" s="1"/>
  <c r="D27" i="2"/>
  <c r="C30" i="2"/>
  <c r="C38" i="1"/>
  <c r="D38" i="1"/>
  <c r="F38" i="1"/>
  <c r="F37" i="1" s="1"/>
  <c r="G38" i="1"/>
  <c r="G37" i="1" s="1"/>
  <c r="H38" i="1"/>
  <c r="H37" i="1" s="1"/>
  <c r="C27" i="2"/>
  <c r="B18" i="2"/>
  <c r="B27" i="2"/>
  <c r="B30" i="2"/>
  <c r="C37" i="1"/>
  <c r="D37" i="1"/>
  <c r="D28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V9" i="2" s="1"/>
  <c r="L37" i="1"/>
  <c r="C25" i="2" l="1"/>
  <c r="D25" i="2"/>
  <c r="P32" i="1"/>
  <c r="L54" i="1"/>
  <c r="F20" i="1"/>
  <c r="F22" i="1" s="1"/>
  <c r="M55" i="1"/>
  <c r="N54" i="1"/>
  <c r="K32" i="1"/>
  <c r="G32" i="1"/>
  <c r="R54" i="1"/>
  <c r="Q15" i="1"/>
  <c r="Q20" i="1" s="1"/>
  <c r="Q29" i="1" s="1"/>
  <c r="P20" i="1"/>
  <c r="P29" i="1" s="1"/>
  <c r="J32" i="1"/>
  <c r="F28" i="1"/>
  <c r="D20" i="1"/>
  <c r="C15" i="1"/>
  <c r="C28" i="1" s="1"/>
  <c r="E42" i="2"/>
  <c r="G25" i="2" s="1"/>
  <c r="B25" i="2"/>
  <c r="F32" i="1"/>
  <c r="O32" i="1"/>
  <c r="E23" i="2"/>
  <c r="P54" i="1"/>
  <c r="H55" i="1"/>
  <c r="J54" i="1"/>
  <c r="L20" i="1"/>
  <c r="L22" i="1" s="1"/>
  <c r="E37" i="2"/>
  <c r="C23" i="2"/>
  <c r="F37" i="2"/>
  <c r="E57" i="2"/>
  <c r="F24" i="2"/>
  <c r="F26" i="2" s="1"/>
  <c r="F28" i="2" s="1"/>
  <c r="F29" i="2" s="1"/>
  <c r="S20" i="1"/>
  <c r="S22" i="1" s="1"/>
  <c r="T32" i="1"/>
  <c r="U29" i="1"/>
  <c r="U22" i="1"/>
  <c r="D29" i="1"/>
  <c r="D22" i="1"/>
  <c r="N20" i="1"/>
  <c r="N29" i="1" s="1"/>
  <c r="N28" i="1"/>
  <c r="E28" i="1"/>
  <c r="E20" i="1"/>
  <c r="E22" i="1" s="1"/>
  <c r="E24" i="1" s="1"/>
  <c r="H32" i="1"/>
  <c r="D57" i="2"/>
  <c r="G15" i="2"/>
  <c r="H15" i="2" s="1"/>
  <c r="I15" i="2" s="1"/>
  <c r="J15" i="2" s="1"/>
  <c r="K15" i="2" s="1"/>
  <c r="K60" i="2" s="1"/>
  <c r="F55" i="1"/>
  <c r="Q32" i="1"/>
  <c r="G55" i="1"/>
  <c r="T54" i="1"/>
  <c r="H54" i="1"/>
  <c r="I54" i="1"/>
  <c r="R32" i="1"/>
  <c r="J20" i="1"/>
  <c r="J22" i="1" s="1"/>
  <c r="J55" i="1"/>
  <c r="M32" i="1"/>
  <c r="F54" i="1"/>
  <c r="D23" i="2"/>
  <c r="O54" i="1"/>
  <c r="S54" i="1"/>
  <c r="C39" i="2"/>
  <c r="K54" i="1"/>
  <c r="K55" i="1"/>
  <c r="E25" i="2"/>
  <c r="C38" i="2"/>
  <c r="N32" i="1"/>
  <c r="S32" i="1"/>
  <c r="G54" i="1"/>
  <c r="L32" i="1"/>
  <c r="I32" i="1"/>
  <c r="H15" i="1"/>
  <c r="H20" i="1" s="1"/>
  <c r="H29" i="1" s="1"/>
  <c r="E51" i="2"/>
  <c r="E15" i="2"/>
  <c r="E17" i="2" s="1"/>
  <c r="F36" i="2" s="1"/>
  <c r="E50" i="2"/>
  <c r="D42" i="2"/>
  <c r="D39" i="2"/>
  <c r="D38" i="2"/>
  <c r="B23" i="2"/>
  <c r="F59" i="2"/>
  <c r="R28" i="1"/>
  <c r="R22" i="1"/>
  <c r="R30" i="1" s="1"/>
  <c r="T20" i="1"/>
  <c r="T22" i="1" s="1"/>
  <c r="T28" i="1"/>
  <c r="O20" i="1"/>
  <c r="O28" i="1"/>
  <c r="M28" i="1"/>
  <c r="M20" i="1"/>
  <c r="E30" i="1"/>
  <c r="G37" i="2"/>
  <c r="I28" i="1"/>
  <c r="I20" i="1"/>
  <c r="F39" i="2"/>
  <c r="C59" i="2"/>
  <c r="B15" i="2"/>
  <c r="B17" i="2" s="1"/>
  <c r="B19" i="2" s="1"/>
  <c r="C6" i="2"/>
  <c r="C7" i="2" s="1"/>
  <c r="F38" i="2"/>
  <c r="G59" i="2"/>
  <c r="Q55" i="1"/>
  <c r="K20" i="1"/>
  <c r="K28" i="1"/>
  <c r="G20" i="1"/>
  <c r="G28" i="1"/>
  <c r="L55" i="1"/>
  <c r="P55" i="1"/>
  <c r="D14" i="2"/>
  <c r="D50" i="2"/>
  <c r="C43" i="2"/>
  <c r="C42" i="2" s="1"/>
  <c r="M54" i="1"/>
  <c r="J28" i="1"/>
  <c r="E38" i="2"/>
  <c r="L28" i="1"/>
  <c r="E39" i="2"/>
  <c r="Q54" i="1"/>
  <c r="C15" i="2"/>
  <c r="C17" i="2" s="1"/>
  <c r="B20" i="1"/>
  <c r="S29" i="1" l="1"/>
  <c r="D40" i="2"/>
  <c r="P22" i="1"/>
  <c r="P30" i="1" s="1"/>
  <c r="F29" i="1"/>
  <c r="L29" i="1"/>
  <c r="J29" i="1"/>
  <c r="Q22" i="1"/>
  <c r="C40" i="2"/>
  <c r="I55" i="1"/>
  <c r="E40" i="2"/>
  <c r="E29" i="1"/>
  <c r="Q28" i="1"/>
  <c r="C20" i="1"/>
  <c r="F40" i="2"/>
  <c r="R24" i="1"/>
  <c r="R25" i="1" s="1"/>
  <c r="F24" i="1"/>
  <c r="F25" i="1" s="1"/>
  <c r="F30" i="1"/>
  <c r="F42" i="2"/>
  <c r="U24" i="1"/>
  <c r="U30" i="1"/>
  <c r="O55" i="1"/>
  <c r="S55" i="1"/>
  <c r="N22" i="1"/>
  <c r="N30" i="1" s="1"/>
  <c r="K17" i="2"/>
  <c r="P24" i="1"/>
  <c r="P25" i="1" s="1"/>
  <c r="H22" i="1"/>
  <c r="H24" i="1" s="1"/>
  <c r="E19" i="2"/>
  <c r="E24" i="2" s="1"/>
  <c r="H28" i="1"/>
  <c r="N55" i="1"/>
  <c r="R55" i="1"/>
  <c r="D24" i="1"/>
  <c r="D25" i="1" s="1"/>
  <c r="D30" i="1"/>
  <c r="C36" i="2"/>
  <c r="B24" i="2"/>
  <c r="B33" i="2" s="1"/>
  <c r="B32" i="2"/>
  <c r="C19" i="2"/>
  <c r="C24" i="2" s="1"/>
  <c r="T29" i="1"/>
  <c r="S24" i="1"/>
  <c r="S25" i="1" s="1"/>
  <c r="S30" i="1"/>
  <c r="M29" i="1"/>
  <c r="M22" i="1"/>
  <c r="H59" i="2"/>
  <c r="G38" i="2"/>
  <c r="B29" i="1"/>
  <c r="B22" i="1"/>
  <c r="G39" i="2"/>
  <c r="E59" i="2"/>
  <c r="D59" i="2"/>
  <c r="D15" i="2"/>
  <c r="D17" i="2" s="1"/>
  <c r="C60" i="2"/>
  <c r="G23" i="2"/>
  <c r="G40" i="2" s="1"/>
  <c r="G22" i="1"/>
  <c r="G29" i="1"/>
  <c r="J24" i="1"/>
  <c r="J30" i="1"/>
  <c r="F60" i="2"/>
  <c r="H37" i="2"/>
  <c r="K29" i="1"/>
  <c r="K22" i="1"/>
  <c r="Q30" i="1"/>
  <c r="Q24" i="1"/>
  <c r="Q25" i="1" s="1"/>
  <c r="O29" i="1"/>
  <c r="O22" i="1"/>
  <c r="I29" i="1"/>
  <c r="I22" i="1"/>
  <c r="E25" i="1"/>
  <c r="L24" i="1"/>
  <c r="L30" i="1"/>
  <c r="N24" i="1" l="1"/>
  <c r="S48" i="1"/>
  <c r="H30" i="1"/>
  <c r="C22" i="1"/>
  <c r="C29" i="1"/>
  <c r="E32" i="2"/>
  <c r="U25" i="1"/>
  <c r="E36" i="2"/>
  <c r="D19" i="2"/>
  <c r="D36" i="2"/>
  <c r="C32" i="2"/>
  <c r="T30" i="1"/>
  <c r="T24" i="1"/>
  <c r="U48" i="1" s="1"/>
  <c r="N25" i="1"/>
  <c r="G60" i="2"/>
  <c r="G17" i="2"/>
  <c r="D60" i="2"/>
  <c r="E60" i="2"/>
  <c r="I30" i="1"/>
  <c r="I24" i="1"/>
  <c r="C26" i="2"/>
  <c r="C33" i="2"/>
  <c r="O30" i="1"/>
  <c r="O24" i="1"/>
  <c r="H39" i="2"/>
  <c r="J25" i="1"/>
  <c r="B24" i="1"/>
  <c r="B26" i="2"/>
  <c r="B30" i="1"/>
  <c r="E33" i="2"/>
  <c r="E26" i="2"/>
  <c r="H38" i="2"/>
  <c r="K30" i="1"/>
  <c r="K24" i="1"/>
  <c r="L25" i="1"/>
  <c r="I59" i="2"/>
  <c r="H23" i="2"/>
  <c r="H40" i="2" s="1"/>
  <c r="G30" i="1"/>
  <c r="G24" i="1"/>
  <c r="M30" i="1"/>
  <c r="M24" i="1"/>
  <c r="H25" i="1"/>
  <c r="I37" i="2"/>
  <c r="K48" i="1" l="1"/>
  <c r="C30" i="1"/>
  <c r="C24" i="1"/>
  <c r="U52" i="1"/>
  <c r="U49" i="1"/>
  <c r="U51" i="1"/>
  <c r="U50" i="1"/>
  <c r="O25" i="1"/>
  <c r="R48" i="1"/>
  <c r="D32" i="2"/>
  <c r="D24" i="2"/>
  <c r="I23" i="2"/>
  <c r="I40" i="2" s="1"/>
  <c r="T25" i="1"/>
  <c r="T48" i="1"/>
  <c r="C28" i="2"/>
  <c r="C29" i="2" s="1"/>
  <c r="C34" i="2"/>
  <c r="I39" i="2"/>
  <c r="J23" i="2"/>
  <c r="I38" i="2"/>
  <c r="E28" i="2"/>
  <c r="E34" i="2"/>
  <c r="M25" i="1"/>
  <c r="P48" i="1"/>
  <c r="G25" i="1"/>
  <c r="I48" i="1"/>
  <c r="J48" i="1"/>
  <c r="G48" i="1"/>
  <c r="H48" i="1"/>
  <c r="I25" i="1"/>
  <c r="L48" i="1"/>
  <c r="E48" i="1"/>
  <c r="B25" i="1"/>
  <c r="J59" i="2"/>
  <c r="J37" i="2"/>
  <c r="B34" i="2"/>
  <c r="B28" i="2"/>
  <c r="B29" i="2" s="1"/>
  <c r="G36" i="2"/>
  <c r="H60" i="2"/>
  <c r="H17" i="2"/>
  <c r="M48" i="1"/>
  <c r="O48" i="1"/>
  <c r="F32" i="2"/>
  <c r="G19" i="2" s="1"/>
  <c r="G18" i="2" s="1"/>
  <c r="N48" i="1"/>
  <c r="K25" i="1"/>
  <c r="Q48" i="1"/>
  <c r="F48" i="1" l="1"/>
  <c r="C25" i="1"/>
  <c r="J40" i="2"/>
  <c r="D33" i="2"/>
  <c r="D26" i="2"/>
  <c r="H36" i="2"/>
  <c r="G24" i="2"/>
  <c r="G32" i="2"/>
  <c r="H19" i="2" s="1"/>
  <c r="Q51" i="1"/>
  <c r="Q52" i="1"/>
  <c r="Q50" i="1"/>
  <c r="Q49" i="1"/>
  <c r="E56" i="2"/>
  <c r="E55" i="2"/>
  <c r="E54" i="2"/>
  <c r="E53" i="2"/>
  <c r="E29" i="2"/>
  <c r="F33" i="2"/>
  <c r="K37" i="2"/>
  <c r="J38" i="2"/>
  <c r="J39" i="2"/>
  <c r="M52" i="1"/>
  <c r="M51" i="1"/>
  <c r="M50" i="1"/>
  <c r="M49" i="1"/>
  <c r="I60" i="2"/>
  <c r="I17" i="2"/>
  <c r="D34" i="2" l="1"/>
  <c r="D28" i="2"/>
  <c r="H24" i="2"/>
  <c r="H32" i="2"/>
  <c r="I19" i="2" s="1"/>
  <c r="H18" i="2"/>
  <c r="L21" i="2"/>
  <c r="K38" i="2"/>
  <c r="L37" i="2"/>
  <c r="G33" i="2"/>
  <c r="G26" i="2"/>
  <c r="F34" i="2"/>
  <c r="L22" i="2"/>
  <c r="K39" i="2"/>
  <c r="K23" i="2"/>
  <c r="K40" i="2" s="1"/>
  <c r="I36" i="2"/>
  <c r="J60" i="2"/>
  <c r="J17" i="2"/>
  <c r="D56" i="2" l="1"/>
  <c r="D54" i="2"/>
  <c r="D53" i="2"/>
  <c r="D29" i="2"/>
  <c r="D55" i="2"/>
  <c r="I32" i="2"/>
  <c r="J19" i="2" s="1"/>
  <c r="I24" i="2"/>
  <c r="I18" i="2"/>
  <c r="M22" i="2"/>
  <c r="L39" i="2"/>
  <c r="G27" i="2"/>
  <c r="G34" i="2" s="1"/>
  <c r="M37" i="2"/>
  <c r="L23" i="2"/>
  <c r="L40" i="2" s="1"/>
  <c r="J36" i="2"/>
  <c r="M21" i="2"/>
  <c r="M23" i="2" s="1"/>
  <c r="L38" i="2"/>
  <c r="H33" i="2"/>
  <c r="M40" i="2" l="1"/>
  <c r="G28" i="2"/>
  <c r="J24" i="2"/>
  <c r="J32" i="2"/>
  <c r="K19" i="2" s="1"/>
  <c r="N37" i="2"/>
  <c r="H25" i="2"/>
  <c r="H26" i="2" s="1"/>
  <c r="N21" i="2"/>
  <c r="M38" i="2"/>
  <c r="N22" i="2"/>
  <c r="M39" i="2"/>
  <c r="J18" i="2"/>
  <c r="I33" i="2"/>
  <c r="L17" i="2"/>
  <c r="K36" i="2"/>
  <c r="G42" i="2" l="1"/>
  <c r="I25" i="2" s="1"/>
  <c r="I26" i="2" s="1"/>
  <c r="G29" i="2"/>
  <c r="N38" i="2"/>
  <c r="O21" i="2"/>
  <c r="O37" i="2"/>
  <c r="O22" i="2"/>
  <c r="N39" i="2"/>
  <c r="H27" i="2"/>
  <c r="H34" i="2" s="1"/>
  <c r="K32" i="2"/>
  <c r="L19" i="2" s="1"/>
  <c r="K24" i="2"/>
  <c r="N23" i="2"/>
  <c r="N40" i="2" s="1"/>
  <c r="K18" i="2"/>
  <c r="L36" i="2"/>
  <c r="M17" i="2"/>
  <c r="J33" i="2"/>
  <c r="H28" i="2" l="1"/>
  <c r="O39" i="2"/>
  <c r="P22" i="2"/>
  <c r="L24" i="2"/>
  <c r="L32" i="2"/>
  <c r="M19" i="2" s="1"/>
  <c r="K33" i="2"/>
  <c r="P37" i="2"/>
  <c r="P21" i="2"/>
  <c r="P23" i="2" s="1"/>
  <c r="O38" i="2"/>
  <c r="O23" i="2"/>
  <c r="O40" i="2" s="1"/>
  <c r="I27" i="2"/>
  <c r="I34" i="2" s="1"/>
  <c r="L18" i="2"/>
  <c r="N17" i="2"/>
  <c r="M36" i="2"/>
  <c r="R23" i="2" l="1"/>
  <c r="R37" i="2"/>
  <c r="P40" i="2"/>
  <c r="H29" i="2"/>
  <c r="H42" i="2"/>
  <c r="J25" i="2" s="1"/>
  <c r="J26" i="2" s="1"/>
  <c r="Q37" i="2"/>
  <c r="P39" i="2"/>
  <c r="Q22" i="2"/>
  <c r="Q39" i="2" s="1"/>
  <c r="Q21" i="2"/>
  <c r="Q38" i="2" s="1"/>
  <c r="P38" i="2"/>
  <c r="M32" i="2"/>
  <c r="N19" i="2" s="1"/>
  <c r="N18" i="2" s="1"/>
  <c r="M24" i="2"/>
  <c r="M18" i="2"/>
  <c r="N36" i="2"/>
  <c r="O17" i="2"/>
  <c r="L33" i="2"/>
  <c r="I28" i="2"/>
  <c r="I42" i="2" s="1"/>
  <c r="S23" i="2" l="1"/>
  <c r="S37" i="2"/>
  <c r="R24" i="2"/>
  <c r="K25" i="2"/>
  <c r="K26" i="2" s="1"/>
  <c r="O36" i="2"/>
  <c r="P17" i="2"/>
  <c r="J27" i="2"/>
  <c r="J34" i="2" s="1"/>
  <c r="N24" i="2"/>
  <c r="N32" i="2"/>
  <c r="O19" i="2" s="1"/>
  <c r="M33" i="2"/>
  <c r="I29" i="2"/>
  <c r="Q23" i="2"/>
  <c r="Q40" i="2" s="1"/>
  <c r="R33" i="2" l="1"/>
  <c r="R40" i="2"/>
  <c r="T23" i="2"/>
  <c r="T37" i="2"/>
  <c r="S40" i="2"/>
  <c r="S24" i="2"/>
  <c r="J28" i="2"/>
  <c r="O32" i="2"/>
  <c r="O24" i="2"/>
  <c r="O18" i="2"/>
  <c r="N33" i="2"/>
  <c r="K27" i="2"/>
  <c r="K34" i="2" s="1"/>
  <c r="P36" i="2"/>
  <c r="Q17" i="2"/>
  <c r="P19" i="2"/>
  <c r="P18" i="2" s="1"/>
  <c r="J42" i="2"/>
  <c r="T40" i="2" l="1"/>
  <c r="T24" i="2"/>
  <c r="S33" i="2"/>
  <c r="U23" i="2"/>
  <c r="U37" i="2"/>
  <c r="J29" i="2"/>
  <c r="K28" i="2"/>
  <c r="K42" i="2" s="1"/>
  <c r="L25" i="2"/>
  <c r="L26" i="2" s="1"/>
  <c r="P32" i="2"/>
  <c r="Q19" i="2" s="1"/>
  <c r="Q18" i="2" s="1"/>
  <c r="P24" i="2"/>
  <c r="O33" i="2"/>
  <c r="Q36" i="2"/>
  <c r="U40" i="2" l="1"/>
  <c r="U24" i="2"/>
  <c r="T33" i="2"/>
  <c r="K29" i="2"/>
  <c r="Q32" i="2"/>
  <c r="Q24" i="2"/>
  <c r="P33" i="2"/>
  <c r="M25" i="2"/>
  <c r="M26" i="2" s="1"/>
  <c r="L27" i="2"/>
  <c r="L34" i="2" s="1"/>
  <c r="U33" i="2" l="1"/>
  <c r="L28" i="2"/>
  <c r="L29" i="2" s="1"/>
  <c r="M27" i="2"/>
  <c r="M34" i="2" s="1"/>
  <c r="Q33" i="2"/>
  <c r="L42" i="2" l="1"/>
  <c r="N25" i="2" s="1"/>
  <c r="N26" i="2" s="1"/>
  <c r="M28" i="2"/>
  <c r="M29" i="2" s="1"/>
  <c r="N27" i="2" l="1"/>
  <c r="N34" i="2" s="1"/>
  <c r="M42" i="2"/>
  <c r="N28" i="2" l="1"/>
  <c r="N29" i="2" s="1"/>
  <c r="O25" i="2"/>
  <c r="O26" i="2" s="1"/>
  <c r="N42" i="2" l="1"/>
  <c r="P25" i="2" s="1"/>
  <c r="P26" i="2" s="1"/>
  <c r="O27" i="2"/>
  <c r="O34" i="2" s="1"/>
  <c r="O28" i="2" l="1"/>
  <c r="O29" i="2" s="1"/>
  <c r="P27" i="2"/>
  <c r="P34" i="2" s="1"/>
  <c r="O42" i="2" l="1"/>
  <c r="P28" i="2"/>
  <c r="P29" i="2" s="1"/>
  <c r="Q25" i="2"/>
  <c r="Q26" i="2" s="1"/>
  <c r="P42" i="2"/>
  <c r="R25" i="2" s="1"/>
  <c r="R26" i="2" s="1"/>
  <c r="R27" i="2" l="1"/>
  <c r="R34" i="2" s="1"/>
  <c r="R28" i="2"/>
  <c r="R29" i="2" s="1"/>
  <c r="Q27" i="2"/>
  <c r="Q34" i="2" s="1"/>
  <c r="Q28" i="2" l="1"/>
  <c r="Q42" i="2" l="1"/>
  <c r="Q29" i="2"/>
  <c r="S25" i="2" l="1"/>
  <c r="S26" i="2" s="1"/>
  <c r="R42" i="2"/>
  <c r="T25" i="2" l="1"/>
  <c r="T26" i="2" s="1"/>
  <c r="S27" i="2"/>
  <c r="S34" i="2" s="1"/>
  <c r="S28" i="2"/>
  <c r="S29" i="2" s="1"/>
  <c r="S42" i="2" l="1"/>
  <c r="T27" i="2"/>
  <c r="T34" i="2" s="1"/>
  <c r="T28" i="2"/>
  <c r="T29" i="2" s="1"/>
  <c r="U25" i="2" l="1"/>
  <c r="U26" i="2" s="1"/>
  <c r="T42" i="2"/>
  <c r="U27" i="2" l="1"/>
  <c r="U34" i="2" s="1"/>
  <c r="U28" i="2"/>
  <c r="U29" i="2" l="1"/>
  <c r="V28" i="2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F6" i="2" s="1"/>
  <c r="F7" i="2" s="1"/>
  <c r="G7" i="2" s="1"/>
  <c r="U42" i="2"/>
</calcChain>
</file>

<file path=xl/sharedStrings.xml><?xml version="1.0" encoding="utf-8"?>
<sst xmlns="http://schemas.openxmlformats.org/spreadsheetml/2006/main" count="152" uniqueCount="107">
  <si>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</si>
  <si>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</si>
  <si>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</si>
  <si>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</si>
  <si>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</si>
  <si>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</si>
  <si>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</si>
  <si>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</si>
  <si>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</si>
  <si>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</si>
  <si>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</si>
  <si>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</si>
  <si>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</si>
  <si>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</si>
  <si>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</si>
  <si>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</si>
  <si>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</si>
  <si>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</si>
  <si>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</si>
  <si>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</si>
  <si>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</si>
  <si>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</si>
  <si>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</si>
  <si>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</si>
  <si>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</si>
  <si>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</si>
  <si>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</si>
  <si>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</si>
  <si>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</si>
  <si>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</si>
  <si>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</si>
  <si>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</si>
  <si>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</si>
  <si>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</si>
  <si>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</si>
  <si>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</si>
  <si>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</si>
  <si>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</si>
  <si>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</si>
  <si>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</si>
  <si>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</si>
  <si>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</si>
  <si>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</si>
  <si>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</si>
  <si>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</si>
  <si>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</si>
  <si>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</si>
  <si>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</si>
  <si>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</si>
  <si>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</si>
  <si>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</si>
  <si>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</si>
  <si>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</si>
  <si>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</si>
  <si>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</si>
  <si>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</si>
  <si>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</si>
  <si>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</si>
  <si>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Domestic streaming</t>
  </si>
  <si>
    <t>International streaming</t>
  </si>
  <si>
    <t>Domestic DVD</t>
  </si>
  <si>
    <t>R&amp;D y/y</t>
  </si>
  <si>
    <t>S&amp;M y/y</t>
  </si>
  <si>
    <t>G&amp;A y/y</t>
  </si>
  <si>
    <t>Price</t>
  </si>
  <si>
    <t>Market Cap</t>
  </si>
  <si>
    <t>EV</t>
  </si>
  <si>
    <t>per share</t>
  </si>
  <si>
    <t>Netflix Inc (NFLX)</t>
  </si>
  <si>
    <t>EDGAR</t>
  </si>
  <si>
    <t>CEO</t>
  </si>
  <si>
    <t>Founder</t>
  </si>
  <si>
    <t>Reed Hastings</t>
  </si>
  <si>
    <t>Marc Randolph</t>
  </si>
  <si>
    <t>G&amp;M y/y</t>
  </si>
  <si>
    <t>Subscriptions</t>
  </si>
  <si>
    <t>Subscriptions y/y</t>
  </si>
  <si>
    <t>ARPU</t>
  </si>
  <si>
    <t>ARPU y/y</t>
  </si>
  <si>
    <t>Investor Relations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</si>
  <si>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</si>
  <si>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</si>
  <si>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</si>
  <si>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</si>
  <si>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</si>
  <si>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</si>
  <si>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</si>
  <si>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</si>
  <si>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</si>
  <si>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</si>
  <si>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</si>
  <si>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</si>
  <si>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</si>
  <si>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</si>
  <si>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</si>
  <si>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</si>
  <si>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</si>
  <si>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</si>
  <si>
    <t>OE y/y</t>
  </si>
  <si>
    <t>BADWILL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</si>
  <si>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</si>
  <si>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</si>
  <si>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</si>
  <si>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</si>
  <si>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Q120</t>
  </si>
  <si>
    <t>31/3/2020</t>
  </si>
  <si>
    <t>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</si>
</sst>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3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3" fontId="0" fillId="0" borderId="0" xfId="0"/>
    <xf numFmtId="0" fontId="5" fillId="0" borderId="0" xfId="4" applyFont="1"/>
    <xf numFmtId="3" fontId="6" fillId="0" borderId="0" xfId="0" applyFont="1" applyBorder="1" applyAlignment="1">
      <alignment horizontal="right"/>
    </xf>
    <xf numFmtId="3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1" xfId="0" applyFont="1" applyBorder="1"/>
    <xf numFmtId="3" fontId="6" fillId="0" borderId="0" xfId="0" applyFont="1" applyBorder="1"/>
    <xf numFmtId="3" fontId="6" fillId="0" borderId="0" xfId="0" applyFont="1" applyFill="1" applyBorder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7" fillId="0" borderId="0" xfId="0" applyFont="1" applyBorder="1"/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3" fontId="7" fillId="0" borderId="0" xfId="0" applyFont="1"/>
    <xf numFmtId="3" fontId="6" fillId="0" borderId="0" xfId="0" applyFont="1"/>
    <xf numFmtId="4" fontId="6" fillId="0" borderId="0" xfId="0" applyNumberFormat="1" applyFont="1" applyBorder="1"/>
    <xf numFmtId="10" fontId="6" fillId="0" borderId="0" xfId="0" applyNumberFormat="1" applyFont="1"/>
    <xf numFmtId="3" fontId="6" fillId="0" borderId="0" xfId="0" applyNumberFormat="1" applyFont="1" applyBorder="1"/>
    <xf numFmtId="3" fontId="8" fillId="0" borderId="0" xfId="0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164" fontId="7" fillId="2" borderId="0" xfId="0" applyNumberFormat="1" applyFont="1" applyFill="1"/>
    <xf numFmtId="4" fontId="6" fillId="2" borderId="0" xfId="0" applyNumberFormat="1" applyFont="1" applyFill="1" applyBorder="1"/>
    <xf numFmtId="3" fontId="8" fillId="0" borderId="0" xfId="0" applyFont="1" applyBorder="1"/>
    <xf numFmtId="2" fontId="6" fillId="0" borderId="0" xfId="0" applyNumberFormat="1" applyFont="1" applyFill="1"/>
    <xf numFmtId="3" fontId="6" fillId="0" borderId="0" xfId="0" applyFont="1" applyFill="1"/>
    <xf numFmtId="3" fontId="6" fillId="0" borderId="0" xfId="0" applyNumberFormat="1" applyFont="1"/>
    <xf numFmtId="1" fontId="6" fillId="2" borderId="0" xfId="0" applyNumberFormat="1" applyFont="1" applyFill="1"/>
    <xf numFmtId="3" fontId="7" fillId="2" borderId="0" xfId="0" applyNumberFormat="1" applyFont="1" applyFill="1" applyBorder="1"/>
    <xf numFmtId="3" fontId="7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7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9" fontId="6" fillId="0" borderId="0" xfId="1" applyFont="1"/>
    <xf numFmtId="9" fontId="6" fillId="0" borderId="0" xfId="0" applyNumberFormat="1" applyFont="1"/>
    <xf numFmtId="3" fontId="7" fillId="0" borderId="0" xfId="0" applyFont="1" applyBorder="1" applyAlignment="1">
      <alignment horizontal="right"/>
    </xf>
    <xf numFmtId="3" fontId="7" fillId="0" borderId="0" xfId="0" applyNumberFormat="1" applyFont="1" applyFill="1" applyBorder="1"/>
    <xf numFmtId="3" fontId="8" fillId="0" borderId="0" xfId="0" applyNumberFormat="1" applyFont="1" applyBorder="1" applyAlignment="1">
      <alignment horizontal="right"/>
    </xf>
    <xf numFmtId="9" fontId="8" fillId="0" borderId="0" xfId="1" applyFont="1" applyBorder="1"/>
    <xf numFmtId="3" fontId="6" fillId="0" borderId="0" xfId="0" applyFont="1" applyAlignment="1">
      <alignment horizontal="left"/>
    </xf>
    <xf numFmtId="3" fontId="8" fillId="0" borderId="0" xfId="0" applyFont="1" applyBorder="1" applyAlignment="1">
      <alignment horizontal="right"/>
    </xf>
    <xf numFmtId="3" fontId="8" fillId="0" borderId="1" xfId="0" applyFont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3" fontId="8" fillId="0" borderId="1" xfId="0" applyFont="1" applyBorder="1"/>
    <xf numFmtId="0" fontId="0" fillId="0" borderId="0" xfId="0" applyNumberFormat="1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7</xdr:row>
      <xdr:rowOff>139700</xdr:rowOff>
    </xdr:from>
    <xdr:to>
      <xdr:col>6</xdr:col>
      <xdr:colOff>241300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40400" y="1295400"/>
          <a:ext cx="0" cy="8775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266700</xdr:colOff>
      <xdr:row>1</xdr:row>
      <xdr:rowOff>25400</xdr:rowOff>
    </xdr:from>
    <xdr:to>
      <xdr:col>22</xdr:col>
      <xdr:colOff>266700</xdr:colOff>
      <xdr:row>56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9380200" y="190500"/>
          <a:ext cx="0" cy="85725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c_Randolph" TargetMode="External"/><Relationship Id="rId2" Type="http://schemas.openxmlformats.org/officeDocument/2006/relationships/hyperlink" Target="https://en.wikipedia.org/wiki/Reed_Hastings" TargetMode="External"/><Relationship Id="rId1" Type="http://schemas.openxmlformats.org/officeDocument/2006/relationships/hyperlink" Target="https://en.wikipedia.org/wiki/Reed_Hasting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ir.netflix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netflix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0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J7" sqref="J7"/>
    </sheetView>
  </sheetViews>
  <sheetFormatPr baseColWidth="10" defaultRowHeight="13" x14ac:dyDescent="0.15"/>
  <cols>
    <col min="1" max="1" width="18" style="26" customWidth="1"/>
    <col min="2" max="16384" width="10.83203125" style="26"/>
  </cols>
  <sheetData>
    <row r="1" spans="1:22" x14ac:dyDescent="0.15">
      <c r="A1" s="1" t="s">
        <v>79</v>
      </c>
      <c r="B1" s="25" t="s">
        <v>68</v>
      </c>
    </row>
    <row r="2" spans="1:22" x14ac:dyDescent="0.15">
      <c r="B2" s="26" t="s">
        <v>64</v>
      </c>
      <c r="C2" s="27">
        <v>579.84</v>
      </c>
      <c r="D2" s="53">
        <v>43852</v>
      </c>
      <c r="E2" s="7" t="s">
        <v>37</v>
      </c>
      <c r="F2" s="28">
        <v>-5.0000000000000001E-3</v>
      </c>
      <c r="I2" s="38"/>
    </row>
    <row r="3" spans="1:22" x14ac:dyDescent="0.15">
      <c r="A3" s="25" t="s">
        <v>70</v>
      </c>
      <c r="B3" s="26" t="s">
        <v>17</v>
      </c>
      <c r="C3" s="29">
        <f>Reports!V26</f>
        <v>452.49400000000003</v>
      </c>
      <c r="D3" s="26" t="s">
        <v>104</v>
      </c>
      <c r="E3" s="7" t="s">
        <v>38</v>
      </c>
      <c r="F3" s="28">
        <v>0.01</v>
      </c>
      <c r="G3" s="30" t="s">
        <v>100</v>
      </c>
      <c r="I3" s="38"/>
    </row>
    <row r="4" spans="1:22" x14ac:dyDescent="0.15">
      <c r="A4" s="1" t="s">
        <v>72</v>
      </c>
      <c r="B4" s="26" t="s">
        <v>65</v>
      </c>
      <c r="C4" s="31">
        <f>C2*C3</f>
        <v>262374.12096000003</v>
      </c>
      <c r="E4" s="7" t="s">
        <v>39</v>
      </c>
      <c r="F4" s="28">
        <f>6%</f>
        <v>0.06</v>
      </c>
      <c r="G4" s="30" t="s">
        <v>101</v>
      </c>
      <c r="I4" s="48"/>
      <c r="L4" s="1" t="s">
        <v>102</v>
      </c>
    </row>
    <row r="5" spans="1:22" x14ac:dyDescent="0.15">
      <c r="B5" s="26" t="s">
        <v>33</v>
      </c>
      <c r="C5" s="29">
        <f>Reports!V37</f>
        <v>-9518</v>
      </c>
      <c r="D5" s="26" t="s">
        <v>104</v>
      </c>
      <c r="E5" s="7" t="s">
        <v>40</v>
      </c>
      <c r="F5" s="32">
        <f>NPV(F4,G28:DR28)</f>
        <v>477036.88675787434</v>
      </c>
      <c r="G5" s="30" t="s">
        <v>103</v>
      </c>
      <c r="I5" s="48"/>
    </row>
    <row r="6" spans="1:22" x14ac:dyDescent="0.15">
      <c r="A6" s="25" t="s">
        <v>71</v>
      </c>
      <c r="B6" s="26" t="s">
        <v>66</v>
      </c>
      <c r="C6" s="31">
        <f>C4-C5</f>
        <v>271892.12096000003</v>
      </c>
      <c r="E6" s="11" t="s">
        <v>41</v>
      </c>
      <c r="F6" s="33">
        <f>F5+C5</f>
        <v>467518.88675787434</v>
      </c>
      <c r="I6" s="48"/>
    </row>
    <row r="7" spans="1:22" x14ac:dyDescent="0.15">
      <c r="A7" s="1" t="s">
        <v>72</v>
      </c>
      <c r="B7" s="30" t="s">
        <v>67</v>
      </c>
      <c r="C7" s="34">
        <f>C6/C3</f>
        <v>600.874533054582</v>
      </c>
      <c r="E7" s="35" t="s">
        <v>67</v>
      </c>
      <c r="F7" s="34">
        <f>F6/C3</f>
        <v>1033.2046099127817</v>
      </c>
      <c r="G7" s="48">
        <f>F7/C2-1</f>
        <v>0.78187881124582925</v>
      </c>
    </row>
    <row r="8" spans="1:22" x14ac:dyDescent="0.15">
      <c r="A8" s="1" t="s">
        <v>73</v>
      </c>
      <c r="B8" s="8"/>
      <c r="C8" s="36"/>
      <c r="D8" s="37"/>
    </row>
    <row r="9" spans="1:22" s="58" customFormat="1" x14ac:dyDescent="0.15">
      <c r="B9" s="58">
        <v>2015</v>
      </c>
      <c r="C9" s="58">
        <v>2016</v>
      </c>
      <c r="D9" s="58">
        <v>2017</v>
      </c>
      <c r="E9" s="58">
        <f>D9+1</f>
        <v>2018</v>
      </c>
      <c r="F9" s="58">
        <f t="shared" ref="F9:V9" si="0">E9+1</f>
        <v>2019</v>
      </c>
      <c r="G9" s="58">
        <f t="shared" si="0"/>
        <v>2020</v>
      </c>
      <c r="H9" s="58">
        <f t="shared" si="0"/>
        <v>2021</v>
      </c>
      <c r="I9" s="58">
        <f t="shared" si="0"/>
        <v>2022</v>
      </c>
      <c r="J9" s="58">
        <f t="shared" si="0"/>
        <v>2023</v>
      </c>
      <c r="K9" s="58">
        <f t="shared" si="0"/>
        <v>2024</v>
      </c>
      <c r="L9" s="58">
        <f t="shared" si="0"/>
        <v>2025</v>
      </c>
      <c r="M9" s="58">
        <f t="shared" si="0"/>
        <v>2026</v>
      </c>
      <c r="N9" s="58">
        <f t="shared" si="0"/>
        <v>2027</v>
      </c>
      <c r="O9" s="58">
        <f t="shared" si="0"/>
        <v>2028</v>
      </c>
      <c r="P9" s="58">
        <f t="shared" si="0"/>
        <v>2029</v>
      </c>
      <c r="Q9" s="58">
        <f t="shared" si="0"/>
        <v>2030</v>
      </c>
      <c r="R9" s="58">
        <f t="shared" si="0"/>
        <v>2031</v>
      </c>
      <c r="S9" s="58">
        <f t="shared" si="0"/>
        <v>2032</v>
      </c>
      <c r="T9" s="58">
        <f t="shared" si="0"/>
        <v>2033</v>
      </c>
      <c r="U9" s="58">
        <f t="shared" si="0"/>
        <v>2034</v>
      </c>
      <c r="V9" s="58">
        <f t="shared" si="0"/>
        <v>2035</v>
      </c>
    </row>
    <row r="10" spans="1:22" x14ac:dyDescent="0.15">
      <c r="A10" s="7" t="s">
        <v>58</v>
      </c>
      <c r="B10" s="29">
        <f>SUM(Reports!B6:E6)</f>
        <v>4180.2000000000007</v>
      </c>
      <c r="C10" s="29">
        <f>SUM(Reports!F6:I6)</f>
        <v>5077.1000000000004</v>
      </c>
      <c r="D10" s="38">
        <f>SUM(Reports!J6:M6)</f>
        <v>6152.6</v>
      </c>
      <c r="E10" s="38">
        <f>SUM(Reports!N6:Q6)</f>
        <v>7646.6470000000008</v>
      </c>
      <c r="F10" s="38">
        <f>SUM(Reports!R6:U6)</f>
        <v>9243.6630000000005</v>
      </c>
    </row>
    <row r="11" spans="1:22" x14ac:dyDescent="0.15">
      <c r="A11" s="7" t="s">
        <v>59</v>
      </c>
      <c r="B11" s="29">
        <f>SUM(Reports!B7:E7)</f>
        <v>1953.1999999999998</v>
      </c>
      <c r="C11" s="29">
        <f>SUM(Reports!F7:I7)</f>
        <v>3210.9</v>
      </c>
      <c r="D11" s="38">
        <f>SUM(Reports!J7:M7)</f>
        <v>5088.8</v>
      </c>
      <c r="E11" s="38">
        <f>SUM(Reports!N7:Q7)</f>
        <v>7782.1049999999996</v>
      </c>
      <c r="F11" s="38">
        <f>SUM(Reports!R7:U7)</f>
        <v>10616.319</v>
      </c>
    </row>
    <row r="12" spans="1:22" x14ac:dyDescent="0.15">
      <c r="A12" s="7" t="s">
        <v>60</v>
      </c>
      <c r="B12" s="29">
        <f>SUM(Reports!B4:E4)</f>
        <v>645.6</v>
      </c>
      <c r="C12" s="29">
        <f>SUM(Reports!F4:I4)</f>
        <v>542.1</v>
      </c>
      <c r="D12" s="38">
        <f>SUM(Reports!J4:M4)</f>
        <v>450.35199999999998</v>
      </c>
      <c r="E12" s="38">
        <f>SUM(Reports!N4:Q4)</f>
        <v>365.589</v>
      </c>
      <c r="F12" s="38">
        <f>SUM(Reports!R4:U4)</f>
        <v>297.452</v>
      </c>
    </row>
    <row r="13" spans="1:22" x14ac:dyDescent="0.15">
      <c r="A13" s="7"/>
      <c r="B13" s="29"/>
      <c r="C13" s="29"/>
      <c r="D13" s="38"/>
    </row>
    <row r="14" spans="1:22" x14ac:dyDescent="0.15">
      <c r="A14" s="8" t="s">
        <v>75</v>
      </c>
      <c r="B14" s="38">
        <f>Reports!E10</f>
        <v>80</v>
      </c>
      <c r="C14" s="38">
        <f>Reports!I10</f>
        <v>97</v>
      </c>
      <c r="D14" s="38">
        <f>Reports!M10</f>
        <v>121</v>
      </c>
      <c r="E14" s="38">
        <f>Reports!Q10</f>
        <v>139</v>
      </c>
      <c r="F14" s="38">
        <f>Reports!U10</f>
        <v>167</v>
      </c>
      <c r="G14" s="38">
        <f>F14*1.2</f>
        <v>200.4</v>
      </c>
      <c r="H14" s="38">
        <f t="shared" ref="H14:K14" si="1">G14*1.2</f>
        <v>240.48</v>
      </c>
      <c r="I14" s="38">
        <f t="shared" si="1"/>
        <v>288.57599999999996</v>
      </c>
      <c r="J14" s="38">
        <f t="shared" si="1"/>
        <v>346.29119999999995</v>
      </c>
      <c r="K14" s="38">
        <f t="shared" si="1"/>
        <v>415.54943999999995</v>
      </c>
    </row>
    <row r="15" spans="1:22" x14ac:dyDescent="0.15">
      <c r="A15" s="8" t="s">
        <v>77</v>
      </c>
      <c r="B15" s="39">
        <f>SUM(B10:B12)/B14</f>
        <v>84.737500000000011</v>
      </c>
      <c r="C15" s="39">
        <f>SUM(C10:C12)/C14</f>
        <v>91.031958762886603</v>
      </c>
      <c r="D15" s="39">
        <f>SUM(D10:D12)/D14</f>
        <v>96.626049586776873</v>
      </c>
      <c r="E15" s="39">
        <f>SUM(E10:E12)/E14</f>
        <v>113.62835251798562</v>
      </c>
      <c r="F15" s="39">
        <f>SUM(F10:F12)/F14</f>
        <v>120.70319760479043</v>
      </c>
      <c r="G15" s="38">
        <f>F15*1.05</f>
        <v>126.73835748502997</v>
      </c>
      <c r="H15" s="38">
        <f t="shared" ref="H15:K15" si="2">G15*1.05</f>
        <v>133.07527535928148</v>
      </c>
      <c r="I15" s="38">
        <f t="shared" si="2"/>
        <v>139.72903912724556</v>
      </c>
      <c r="J15" s="38">
        <f t="shared" si="2"/>
        <v>146.71549108360784</v>
      </c>
      <c r="K15" s="38">
        <f t="shared" si="2"/>
        <v>154.05126563778825</v>
      </c>
    </row>
    <row r="17" spans="1:122" x14ac:dyDescent="0.15">
      <c r="A17" s="25" t="s">
        <v>4</v>
      </c>
      <c r="B17" s="40">
        <f>B15*B14</f>
        <v>6779.0000000000009</v>
      </c>
      <c r="C17" s="40">
        <f>C15*C14</f>
        <v>8830.1</v>
      </c>
      <c r="D17" s="40">
        <f>D15*D14</f>
        <v>11691.752000000002</v>
      </c>
      <c r="E17" s="40">
        <f>E15*E14</f>
        <v>15794.341</v>
      </c>
      <c r="F17" s="40">
        <f>F15*F14</f>
        <v>20157.434000000001</v>
      </c>
      <c r="G17" s="41">
        <f t="shared" ref="G17:J17" si="3">G14*G15</f>
        <v>25398.366840000006</v>
      </c>
      <c r="H17" s="41">
        <f t="shared" si="3"/>
        <v>32001.942218400007</v>
      </c>
      <c r="I17" s="41">
        <f t="shared" si="3"/>
        <v>40322.44719518401</v>
      </c>
      <c r="J17" s="41">
        <f t="shared" si="3"/>
        <v>50806.283465931854</v>
      </c>
      <c r="K17" s="41">
        <f>K14*K15</f>
        <v>64015.917167074142</v>
      </c>
      <c r="L17" s="41">
        <f t="shared" ref="L17:U17" si="4">K17*1.1</f>
        <v>70417.508883781557</v>
      </c>
      <c r="M17" s="41">
        <f t="shared" si="4"/>
        <v>77459.259772159712</v>
      </c>
      <c r="N17" s="41">
        <f t="shared" si="4"/>
        <v>85205.185749375683</v>
      </c>
      <c r="O17" s="41">
        <f t="shared" si="4"/>
        <v>93725.704324313265</v>
      </c>
      <c r="P17" s="41">
        <f t="shared" si="4"/>
        <v>103098.27475674461</v>
      </c>
      <c r="Q17" s="41">
        <f t="shared" si="4"/>
        <v>113408.10223241907</v>
      </c>
      <c r="R17" s="41">
        <f t="shared" si="4"/>
        <v>124748.91245566099</v>
      </c>
      <c r="S17" s="41">
        <f t="shared" si="4"/>
        <v>137223.80370122709</v>
      </c>
      <c r="T17" s="41">
        <f t="shared" si="4"/>
        <v>150946.18407134982</v>
      </c>
      <c r="U17" s="41">
        <f t="shared" si="4"/>
        <v>166040.80247848481</v>
      </c>
      <c r="V17" s="41"/>
    </row>
    <row r="18" spans="1:122" x14ac:dyDescent="0.15">
      <c r="A18" s="26" t="s">
        <v>5</v>
      </c>
      <c r="B18" s="29">
        <f>SUM(Reports!B14:E14)</f>
        <v>4591.3</v>
      </c>
      <c r="C18" s="29">
        <f>SUM(Reports!F14:I14)</f>
        <v>6029.7000000000007</v>
      </c>
      <c r="D18" s="38">
        <f>SUM(Reports!J14:M14)</f>
        <v>7659.2000000000007</v>
      </c>
      <c r="E18" s="29">
        <f>SUM(Reports!N14:Q14)</f>
        <v>9631.6880000000001</v>
      </c>
      <c r="F18" s="29">
        <f>SUM(Reports!R14:U14)</f>
        <v>12441</v>
      </c>
      <c r="G18" s="29">
        <f>G17-G19</f>
        <v>15675.660000000003</v>
      </c>
      <c r="H18" s="29">
        <f t="shared" ref="H18" si="5">H17-H19</f>
        <v>19751.331600000005</v>
      </c>
      <c r="I18" s="29">
        <f t="shared" ref="I18:Q18" si="6">I17-I19</f>
        <v>24886.677816000003</v>
      </c>
      <c r="J18" s="29">
        <f t="shared" si="6"/>
        <v>31357.214048160007</v>
      </c>
      <c r="K18" s="29">
        <f t="shared" si="6"/>
        <v>39510.089700681609</v>
      </c>
      <c r="L18" s="29">
        <f t="shared" si="6"/>
        <v>43461.09867074978</v>
      </c>
      <c r="M18" s="29">
        <f t="shared" si="6"/>
        <v>47807.208537824758</v>
      </c>
      <c r="N18" s="29">
        <f t="shared" si="6"/>
        <v>52587.929391607227</v>
      </c>
      <c r="O18" s="29">
        <f t="shared" si="6"/>
        <v>57846.72233076796</v>
      </c>
      <c r="P18" s="29">
        <f t="shared" si="6"/>
        <v>63631.394563844762</v>
      </c>
      <c r="Q18" s="29">
        <f t="shared" si="6"/>
        <v>69994.534020229243</v>
      </c>
      <c r="R18" s="29">
        <f t="shared" ref="R18:U18" si="7">R17-R19</f>
        <v>76993.987422252176</v>
      </c>
      <c r="S18" s="29">
        <f t="shared" si="7"/>
        <v>84693.386164477386</v>
      </c>
      <c r="T18" s="29">
        <f t="shared" si="7"/>
        <v>93162.724780925142</v>
      </c>
      <c r="U18" s="29">
        <f t="shared" si="7"/>
        <v>102478.99725901766</v>
      </c>
      <c r="V18" s="29"/>
    </row>
    <row r="19" spans="1:122" x14ac:dyDescent="0.15">
      <c r="A19" s="26" t="s">
        <v>6</v>
      </c>
      <c r="B19" s="31">
        <f>B17-B18</f>
        <v>2187.7000000000007</v>
      </c>
      <c r="C19" s="31">
        <f>C17-C18</f>
        <v>2800.3999999999996</v>
      </c>
      <c r="D19" s="31">
        <f>D17-D18</f>
        <v>4032.5520000000015</v>
      </c>
      <c r="E19" s="31">
        <f>E17-E18</f>
        <v>6162.6530000000002</v>
      </c>
      <c r="F19" s="31">
        <f>F17-F18</f>
        <v>7716.4340000000011</v>
      </c>
      <c r="G19" s="29">
        <f>G17*F32</f>
        <v>9722.7068400000026</v>
      </c>
      <c r="H19" s="29">
        <f t="shared" ref="H19:U19" si="8">H17*G32</f>
        <v>12250.610618400004</v>
      </c>
      <c r="I19" s="29">
        <f t="shared" si="8"/>
        <v>15435.769379184005</v>
      </c>
      <c r="J19" s="29">
        <f t="shared" si="8"/>
        <v>19449.069417771847</v>
      </c>
      <c r="K19" s="29">
        <f t="shared" si="8"/>
        <v>24505.827466392529</v>
      </c>
      <c r="L19" s="29">
        <f t="shared" si="8"/>
        <v>26956.410213031781</v>
      </c>
      <c r="M19" s="29">
        <f t="shared" si="8"/>
        <v>29652.051234334958</v>
      </c>
      <c r="N19" s="29">
        <f t="shared" si="8"/>
        <v>32617.256357768456</v>
      </c>
      <c r="O19" s="29">
        <f t="shared" si="8"/>
        <v>35878.981993545305</v>
      </c>
      <c r="P19" s="29">
        <f t="shared" si="8"/>
        <v>39466.880192899844</v>
      </c>
      <c r="Q19" s="29">
        <f t="shared" si="8"/>
        <v>43413.568212189828</v>
      </c>
      <c r="R19" s="29">
        <f t="shared" si="8"/>
        <v>47754.925033408814</v>
      </c>
      <c r="S19" s="29">
        <f t="shared" si="8"/>
        <v>52530.417536749701</v>
      </c>
      <c r="T19" s="29">
        <f t="shared" si="8"/>
        <v>57783.459290424675</v>
      </c>
      <c r="U19" s="29">
        <f t="shared" si="8"/>
        <v>63561.805219467147</v>
      </c>
      <c r="V19" s="29"/>
    </row>
    <row r="20" spans="1:122" x14ac:dyDescent="0.15">
      <c r="A20" s="26" t="s">
        <v>7</v>
      </c>
      <c r="B20" s="29">
        <f>SUM(Reports!B16:E16)</f>
        <v>650.6</v>
      </c>
      <c r="C20" s="29">
        <f>SUM(Reports!F16:I16)</f>
        <v>851.9</v>
      </c>
      <c r="D20" s="38">
        <f>SUM(Reports!J16:M16)</f>
        <v>1052.6509999999998</v>
      </c>
      <c r="E20" s="29">
        <f>SUM(Reports!N16:Q16)</f>
        <v>1276.758</v>
      </c>
      <c r="F20" s="29">
        <f>SUM(Reports!R16:U16)</f>
        <v>1544</v>
      </c>
      <c r="G20" s="29">
        <f>F20*1.15</f>
        <v>1775.6</v>
      </c>
      <c r="H20" s="29">
        <f t="shared" ref="H20:K20" si="9">G20*1.15</f>
        <v>2041.9399999999998</v>
      </c>
      <c r="I20" s="29">
        <f t="shared" si="9"/>
        <v>2348.2309999999998</v>
      </c>
      <c r="J20" s="29">
        <f t="shared" si="9"/>
        <v>2700.4656499999996</v>
      </c>
      <c r="K20" s="29">
        <f t="shared" si="9"/>
        <v>3105.5354974999996</v>
      </c>
      <c r="L20" s="29">
        <f>K20*1.1</f>
        <v>3416.08904725</v>
      </c>
      <c r="M20" s="29">
        <f t="shared" ref="M20:U20" si="10">L20*1.1</f>
        <v>3757.6979519750003</v>
      </c>
      <c r="N20" s="29">
        <f t="shared" si="10"/>
        <v>4133.4677471725008</v>
      </c>
      <c r="O20" s="29">
        <f t="shared" si="10"/>
        <v>4546.8145218897516</v>
      </c>
      <c r="P20" s="29">
        <f t="shared" si="10"/>
        <v>5001.4959740787272</v>
      </c>
      <c r="Q20" s="29">
        <f t="shared" si="10"/>
        <v>5501.6455714866006</v>
      </c>
      <c r="R20" s="29">
        <f t="shared" si="10"/>
        <v>6051.8101286352612</v>
      </c>
      <c r="S20" s="29">
        <f t="shared" si="10"/>
        <v>6656.9911414987882</v>
      </c>
      <c r="T20" s="29">
        <f t="shared" si="10"/>
        <v>7322.6902556486675</v>
      </c>
      <c r="U20" s="29">
        <f t="shared" si="10"/>
        <v>8054.9592812135352</v>
      </c>
      <c r="V20" s="29"/>
    </row>
    <row r="21" spans="1:122" x14ac:dyDescent="0.15">
      <c r="A21" s="26" t="s">
        <v>8</v>
      </c>
      <c r="B21" s="29">
        <f>SUM(Reports!B17:E17)</f>
        <v>823.9</v>
      </c>
      <c r="C21" s="29">
        <f>SUM(Reports!F17:I17)</f>
        <v>990.9</v>
      </c>
      <c r="D21" s="38">
        <f>SUM(Reports!J17:M17)</f>
        <v>1277.8389999999999</v>
      </c>
      <c r="E21" s="29">
        <f>SUM(Reports!N17:Q17)</f>
        <v>2171.6260000000002</v>
      </c>
      <c r="F21" s="29">
        <f>SUM(Reports!R17:U17)</f>
        <v>2653</v>
      </c>
      <c r="G21" s="29">
        <f>F21*1.05</f>
        <v>2785.65</v>
      </c>
      <c r="H21" s="29">
        <f t="shared" ref="H21:K21" si="11">G21*1.05</f>
        <v>2924.9325000000003</v>
      </c>
      <c r="I21" s="29">
        <f t="shared" si="11"/>
        <v>3071.1791250000006</v>
      </c>
      <c r="J21" s="29">
        <f t="shared" si="11"/>
        <v>3224.7380812500005</v>
      </c>
      <c r="K21" s="29">
        <f t="shared" si="11"/>
        <v>3385.9749853125008</v>
      </c>
      <c r="L21" s="29">
        <f t="shared" ref="L21:U21" si="12">K21*1.02</f>
        <v>3453.694485018751</v>
      </c>
      <c r="M21" s="29">
        <f t="shared" si="12"/>
        <v>3522.7683747191263</v>
      </c>
      <c r="N21" s="29">
        <f t="shared" si="12"/>
        <v>3593.223742213509</v>
      </c>
      <c r="O21" s="29">
        <f t="shared" si="12"/>
        <v>3665.0882170577793</v>
      </c>
      <c r="P21" s="29">
        <f t="shared" si="12"/>
        <v>3738.3899813989351</v>
      </c>
      <c r="Q21" s="29">
        <f t="shared" si="12"/>
        <v>3813.1577810269137</v>
      </c>
      <c r="R21" s="29">
        <f t="shared" si="12"/>
        <v>3889.420936647452</v>
      </c>
      <c r="S21" s="29">
        <f t="shared" si="12"/>
        <v>3967.2093553804011</v>
      </c>
      <c r="T21" s="29">
        <f t="shared" si="12"/>
        <v>4046.553542488009</v>
      </c>
      <c r="U21" s="29">
        <f t="shared" si="12"/>
        <v>4127.4846133377696</v>
      </c>
      <c r="V21" s="29"/>
    </row>
    <row r="22" spans="1:122" x14ac:dyDescent="0.15">
      <c r="A22" s="26" t="s">
        <v>9</v>
      </c>
      <c r="B22" s="29">
        <f>SUM(Reports!B18:E18)</f>
        <v>407.1</v>
      </c>
      <c r="C22" s="29">
        <f>SUM(Reports!F18:I18)</f>
        <v>577.70000000000005</v>
      </c>
      <c r="D22" s="38">
        <f>SUM(Reports!J18:M18)</f>
        <v>863.40800000000002</v>
      </c>
      <c r="E22" s="29">
        <f>SUM(Reports!N18:Q18)</f>
        <v>1109.0429999999999</v>
      </c>
      <c r="F22" s="29">
        <f>SUM(Reports!R18:U18)</f>
        <v>915</v>
      </c>
      <c r="G22" s="29">
        <f>F22*0.9</f>
        <v>823.5</v>
      </c>
      <c r="H22" s="29">
        <f t="shared" ref="H22:K22" si="13">G22*0.9</f>
        <v>741.15</v>
      </c>
      <c r="I22" s="29">
        <f t="shared" si="13"/>
        <v>667.03499999999997</v>
      </c>
      <c r="J22" s="29">
        <f t="shared" si="13"/>
        <v>600.33150000000001</v>
      </c>
      <c r="K22" s="29">
        <f t="shared" si="13"/>
        <v>540.29835000000003</v>
      </c>
      <c r="L22" s="29">
        <f t="shared" ref="L22:U22" si="14">K22*0.98</f>
        <v>529.49238300000002</v>
      </c>
      <c r="M22" s="29">
        <f t="shared" si="14"/>
        <v>518.90253533999999</v>
      </c>
      <c r="N22" s="29">
        <f t="shared" si="14"/>
        <v>508.52448463319996</v>
      </c>
      <c r="O22" s="29">
        <f t="shared" si="14"/>
        <v>498.35399494053593</v>
      </c>
      <c r="P22" s="29">
        <f t="shared" si="14"/>
        <v>488.38691504172522</v>
      </c>
      <c r="Q22" s="29">
        <f t="shared" si="14"/>
        <v>478.61917674089068</v>
      </c>
      <c r="R22" s="29">
        <f t="shared" si="14"/>
        <v>469.04679320607283</v>
      </c>
      <c r="S22" s="29">
        <f t="shared" si="14"/>
        <v>459.66585734195138</v>
      </c>
      <c r="T22" s="29">
        <f t="shared" si="14"/>
        <v>450.47254019511234</v>
      </c>
      <c r="U22" s="29">
        <f t="shared" si="14"/>
        <v>441.46308939121008</v>
      </c>
      <c r="V22" s="29"/>
    </row>
    <row r="23" spans="1:122" x14ac:dyDescent="0.15">
      <c r="A23" s="26" t="s">
        <v>10</v>
      </c>
      <c r="B23" s="31">
        <f>SUM(B20:B22)</f>
        <v>1881.6</v>
      </c>
      <c r="C23" s="31">
        <f>SUM(C20:C22)</f>
        <v>2420.5</v>
      </c>
      <c r="D23" s="31">
        <f>SUM(D20:D22)</f>
        <v>3193.8979999999997</v>
      </c>
      <c r="E23" s="31">
        <f>SUM(E20:E22)</f>
        <v>4557.4269999999997</v>
      </c>
      <c r="F23" s="31">
        <f>SUM(F20:F22)</f>
        <v>5112</v>
      </c>
      <c r="G23" s="29">
        <f t="shared" ref="G23:H23" si="15">SUM(G20:G22)</f>
        <v>5384.75</v>
      </c>
      <c r="H23" s="29">
        <f t="shared" si="15"/>
        <v>5708.0225</v>
      </c>
      <c r="I23" s="29">
        <f t="shared" ref="I23:Q23" si="16">SUM(I20:I22)</f>
        <v>6086.4451250000002</v>
      </c>
      <c r="J23" s="29">
        <f t="shared" si="16"/>
        <v>6525.5352312499999</v>
      </c>
      <c r="K23" s="29">
        <f t="shared" si="16"/>
        <v>7031.8088328125004</v>
      </c>
      <c r="L23" s="29">
        <f t="shared" si="16"/>
        <v>7399.2759152687513</v>
      </c>
      <c r="M23" s="29">
        <f t="shared" si="16"/>
        <v>7799.3688620341263</v>
      </c>
      <c r="N23" s="29">
        <f t="shared" si="16"/>
        <v>8235.215974019211</v>
      </c>
      <c r="O23" s="29">
        <f t="shared" si="16"/>
        <v>8710.2567338880672</v>
      </c>
      <c r="P23" s="29">
        <f t="shared" si="16"/>
        <v>9228.2728705193877</v>
      </c>
      <c r="Q23" s="29">
        <f t="shared" si="16"/>
        <v>9793.4225292544052</v>
      </c>
      <c r="R23" s="29">
        <f t="shared" ref="R23:U23" si="17">SUM(R20:R22)</f>
        <v>10410.277858488786</v>
      </c>
      <c r="S23" s="29">
        <f t="shared" si="17"/>
        <v>11083.866354221142</v>
      </c>
      <c r="T23" s="29">
        <f t="shared" si="17"/>
        <v>11819.716338331789</v>
      </c>
      <c r="U23" s="29">
        <f t="shared" si="17"/>
        <v>12623.906983942516</v>
      </c>
      <c r="V23" s="29"/>
    </row>
    <row r="24" spans="1:122" x14ac:dyDescent="0.15">
      <c r="A24" s="26" t="s">
        <v>11</v>
      </c>
      <c r="B24" s="31">
        <f>B19-B23</f>
        <v>306.10000000000082</v>
      </c>
      <c r="C24" s="31">
        <f>C19-C23</f>
        <v>379.89999999999964</v>
      </c>
      <c r="D24" s="31">
        <f>D19-D23</f>
        <v>838.65400000000182</v>
      </c>
      <c r="E24" s="31">
        <f>E19-E23</f>
        <v>1605.2260000000006</v>
      </c>
      <c r="F24" s="31">
        <f>F19-F23</f>
        <v>2604.4340000000011</v>
      </c>
      <c r="G24" s="29">
        <f t="shared" ref="G24:H24" si="18">G19-G23</f>
        <v>4337.9568400000026</v>
      </c>
      <c r="H24" s="29">
        <f t="shared" si="18"/>
        <v>6542.5881184000036</v>
      </c>
      <c r="I24" s="29">
        <f t="shared" ref="I24:Q24" si="19">I19-I23</f>
        <v>9349.3242541840045</v>
      </c>
      <c r="J24" s="29">
        <f t="shared" si="19"/>
        <v>12923.534186521847</v>
      </c>
      <c r="K24" s="29">
        <f t="shared" si="19"/>
        <v>17474.018633580028</v>
      </c>
      <c r="L24" s="29">
        <f t="shared" si="19"/>
        <v>19557.13429776303</v>
      </c>
      <c r="M24" s="29">
        <f t="shared" si="19"/>
        <v>21852.682372300831</v>
      </c>
      <c r="N24" s="29">
        <f t="shared" si="19"/>
        <v>24382.040383749245</v>
      </c>
      <c r="O24" s="29">
        <f t="shared" si="19"/>
        <v>27168.725259657236</v>
      </c>
      <c r="P24" s="29">
        <f t="shared" si="19"/>
        <v>30238.607322380456</v>
      </c>
      <c r="Q24" s="29">
        <f t="shared" si="19"/>
        <v>33620.145682935421</v>
      </c>
      <c r="R24" s="29">
        <f t="shared" ref="R24:U24" si="20">R19-R23</f>
        <v>37344.647174920028</v>
      </c>
      <c r="S24" s="29">
        <f t="shared" si="20"/>
        <v>41446.551182528558</v>
      </c>
      <c r="T24" s="29">
        <f t="shared" si="20"/>
        <v>45963.742952092885</v>
      </c>
      <c r="U24" s="29">
        <f t="shared" si="20"/>
        <v>50937.898235524633</v>
      </c>
      <c r="V24" s="29"/>
    </row>
    <row r="25" spans="1:122" x14ac:dyDescent="0.15">
      <c r="A25" s="26" t="s">
        <v>12</v>
      </c>
      <c r="B25" s="29">
        <f>SUM(Reports!B21:E21)</f>
        <v>-163.80000000000001</v>
      </c>
      <c r="C25" s="29">
        <f>SUM(Reports!F21:I21)</f>
        <v>-119.2</v>
      </c>
      <c r="D25" s="38">
        <f>SUM(Reports!J21:M21)</f>
        <v>-353.07299999999998</v>
      </c>
      <c r="E25" s="29">
        <f>SUM(Reports!N21:Q21)</f>
        <v>-378.76799999999997</v>
      </c>
      <c r="F25" s="29">
        <f>SUM(Reports!R21:U21)</f>
        <v>-541</v>
      </c>
      <c r="G25" s="29">
        <f t="shared" ref="G25:U25" si="21">E42*$F$3</f>
        <v>-65.655750000000012</v>
      </c>
      <c r="H25" s="29">
        <f t="shared" si="21"/>
        <v>-46.971409999999999</v>
      </c>
      <c r="I25" s="29">
        <f t="shared" si="21"/>
        <v>-10.656850734999971</v>
      </c>
      <c r="J25" s="29">
        <f t="shared" si="21"/>
        <v>44.555891286400055</v>
      </c>
      <c r="K25" s="29">
        <f t="shared" si="21"/>
        <v>123.93456421571661</v>
      </c>
      <c r="L25" s="29">
        <f t="shared" si="21"/>
        <v>234.16332987708668</v>
      </c>
      <c r="M25" s="29">
        <f t="shared" si="21"/>
        <v>383.74593205835055</v>
      </c>
      <c r="N25" s="29">
        <f t="shared" si="21"/>
        <v>551.97196189329156</v>
      </c>
      <c r="O25" s="29">
        <f t="shared" si="21"/>
        <v>740.98160248034458</v>
      </c>
      <c r="P25" s="29">
        <f t="shared" si="21"/>
        <v>952.92070741830616</v>
      </c>
      <c r="Q25" s="29">
        <f t="shared" si="21"/>
        <v>1190.1532157464756</v>
      </c>
      <c r="R25" s="29">
        <f t="shared" si="21"/>
        <v>1455.281203999765</v>
      </c>
      <c r="S25" s="29">
        <f t="shared" si="21"/>
        <v>1751.1687446385611</v>
      </c>
      <c r="T25" s="29">
        <f t="shared" si="21"/>
        <v>2080.9681358593793</v>
      </c>
      <c r="U25" s="29">
        <f t="shared" si="21"/>
        <v>2448.1487552403</v>
      </c>
      <c r="V25" s="29"/>
    </row>
    <row r="26" spans="1:122" x14ac:dyDescent="0.15">
      <c r="A26" s="26" t="s">
        <v>13</v>
      </c>
      <c r="B26" s="31">
        <f>SUM(Reports!B22:E22)</f>
        <v>-503.29999999999984</v>
      </c>
      <c r="C26" s="31">
        <f>C24+C25</f>
        <v>260.69999999999965</v>
      </c>
      <c r="D26" s="31">
        <f>D24+D25</f>
        <v>485.58100000000184</v>
      </c>
      <c r="E26" s="31">
        <f>E24+E25</f>
        <v>1226.4580000000005</v>
      </c>
      <c r="F26" s="31">
        <f>F24+F25</f>
        <v>2063.4340000000011</v>
      </c>
      <c r="G26" s="29">
        <f t="shared" ref="G26:H26" si="22">G24+G25</f>
        <v>4272.3010900000027</v>
      </c>
      <c r="H26" s="29">
        <f t="shared" si="22"/>
        <v>6495.6167084000035</v>
      </c>
      <c r="I26" s="29">
        <f t="shared" ref="I26:Q26" si="23">I24+I25</f>
        <v>9338.6674034490043</v>
      </c>
      <c r="J26" s="29">
        <f t="shared" si="23"/>
        <v>12968.090077808247</v>
      </c>
      <c r="K26" s="29">
        <f t="shared" si="23"/>
        <v>17597.953197795745</v>
      </c>
      <c r="L26" s="29">
        <f t="shared" si="23"/>
        <v>19791.297627640117</v>
      </c>
      <c r="M26" s="29">
        <f t="shared" si="23"/>
        <v>22236.428304359182</v>
      </c>
      <c r="N26" s="29">
        <f t="shared" si="23"/>
        <v>24934.012345642535</v>
      </c>
      <c r="O26" s="29">
        <f t="shared" si="23"/>
        <v>27909.70686213758</v>
      </c>
      <c r="P26" s="29">
        <f t="shared" si="23"/>
        <v>31191.528029798763</v>
      </c>
      <c r="Q26" s="29">
        <f t="shared" si="23"/>
        <v>34810.298898681896</v>
      </c>
      <c r="R26" s="29">
        <f t="shared" ref="R26:U26" si="24">R24+R25</f>
        <v>38799.928378919794</v>
      </c>
      <c r="S26" s="29">
        <f t="shared" si="24"/>
        <v>43197.71992716712</v>
      </c>
      <c r="T26" s="29">
        <f t="shared" si="24"/>
        <v>48044.711087952266</v>
      </c>
      <c r="U26" s="29">
        <f t="shared" si="24"/>
        <v>53386.046990764931</v>
      </c>
      <c r="V26" s="29"/>
    </row>
    <row r="27" spans="1:122" x14ac:dyDescent="0.15">
      <c r="A27" s="26" t="s">
        <v>14</v>
      </c>
      <c r="B27" s="29">
        <f>SUM(Reports!B23:E23)</f>
        <v>19.199999999999996</v>
      </c>
      <c r="C27" s="29">
        <f>SUM(Reports!F23:I23)</f>
        <v>73.7</v>
      </c>
      <c r="D27" s="38">
        <f>SUM(Reports!J23:M23)</f>
        <v>-73.486999999999995</v>
      </c>
      <c r="E27" s="29">
        <f>SUM(Reports!N23:Q23)</f>
        <v>15.215999999999998</v>
      </c>
      <c r="F27" s="29">
        <f>SUM(Reports!R23:U23)</f>
        <v>195</v>
      </c>
      <c r="G27" s="29">
        <f t="shared" ref="G27:Q27" si="25">G26*0.15</f>
        <v>640.84516350000035</v>
      </c>
      <c r="H27" s="29">
        <f t="shared" si="25"/>
        <v>974.3425062600005</v>
      </c>
      <c r="I27" s="29">
        <f t="shared" si="25"/>
        <v>1400.8001105173505</v>
      </c>
      <c r="J27" s="29">
        <f t="shared" si="25"/>
        <v>1945.213511671237</v>
      </c>
      <c r="K27" s="29">
        <f t="shared" si="25"/>
        <v>2639.6929796693616</v>
      </c>
      <c r="L27" s="29">
        <f t="shared" si="25"/>
        <v>2968.6946441460173</v>
      </c>
      <c r="M27" s="29">
        <f t="shared" si="25"/>
        <v>3335.4642456538772</v>
      </c>
      <c r="N27" s="29">
        <f t="shared" si="25"/>
        <v>3740.1018518463802</v>
      </c>
      <c r="O27" s="29">
        <f t="shared" si="25"/>
        <v>4186.4560293206368</v>
      </c>
      <c r="P27" s="29">
        <f t="shared" si="25"/>
        <v>4678.7292044698142</v>
      </c>
      <c r="Q27" s="29">
        <f t="shared" si="25"/>
        <v>5221.5448348022846</v>
      </c>
      <c r="R27" s="29">
        <f t="shared" ref="R27:U27" si="26">R26*0.15</f>
        <v>5819.9892568379692</v>
      </c>
      <c r="S27" s="29">
        <f t="shared" si="26"/>
        <v>6479.6579890750681</v>
      </c>
      <c r="T27" s="29">
        <f t="shared" si="26"/>
        <v>7206.7066631928401</v>
      </c>
      <c r="U27" s="29">
        <f t="shared" si="26"/>
        <v>8007.9070486147393</v>
      </c>
      <c r="V27" s="29"/>
    </row>
    <row r="28" spans="1:122" s="25" customFormat="1" x14ac:dyDescent="0.15">
      <c r="A28" s="25" t="s">
        <v>15</v>
      </c>
      <c r="B28" s="40">
        <f t="shared" ref="B28:G28" si="27">B26-B27</f>
        <v>-522.49999999999989</v>
      </c>
      <c r="C28" s="40">
        <f t="shared" si="27"/>
        <v>186.99999999999966</v>
      </c>
      <c r="D28" s="40">
        <f t="shared" si="27"/>
        <v>559.0680000000018</v>
      </c>
      <c r="E28" s="40">
        <f t="shared" si="27"/>
        <v>1211.2420000000006</v>
      </c>
      <c r="F28" s="40">
        <f>F26-F27</f>
        <v>1868.4340000000011</v>
      </c>
      <c r="G28" s="40">
        <f t="shared" si="27"/>
        <v>3631.4559265000025</v>
      </c>
      <c r="H28" s="40">
        <f t="shared" ref="H28" si="28">H26-H27</f>
        <v>5521.2742021400027</v>
      </c>
      <c r="I28" s="40">
        <f t="shared" ref="I28:Q28" si="29">I26-I27</f>
        <v>7937.8672929316535</v>
      </c>
      <c r="J28" s="40">
        <f t="shared" si="29"/>
        <v>11022.876566137009</v>
      </c>
      <c r="K28" s="40">
        <f t="shared" si="29"/>
        <v>14958.260218126383</v>
      </c>
      <c r="L28" s="40">
        <f t="shared" si="29"/>
        <v>16822.6029834941</v>
      </c>
      <c r="M28" s="40">
        <f t="shared" si="29"/>
        <v>18900.964058705304</v>
      </c>
      <c r="N28" s="40">
        <f t="shared" si="29"/>
        <v>21193.910493796157</v>
      </c>
      <c r="O28" s="40">
        <f t="shared" si="29"/>
        <v>23723.250832816942</v>
      </c>
      <c r="P28" s="40">
        <f t="shared" si="29"/>
        <v>26512.798825328948</v>
      </c>
      <c r="Q28" s="40">
        <f t="shared" si="29"/>
        <v>29588.754063879613</v>
      </c>
      <c r="R28" s="40">
        <f t="shared" ref="R28:U28" si="30">R26-R27</f>
        <v>32979.939122081822</v>
      </c>
      <c r="S28" s="40">
        <f t="shared" si="30"/>
        <v>36718.061938092054</v>
      </c>
      <c r="T28" s="40">
        <f t="shared" si="30"/>
        <v>40838.004424759427</v>
      </c>
      <c r="U28" s="40">
        <f t="shared" si="30"/>
        <v>45378.139942150192</v>
      </c>
      <c r="V28" s="40">
        <f t="shared" ref="V28:CD28" si="31">U28*(1+$F$2)</f>
        <v>45151.249242439444</v>
      </c>
      <c r="W28" s="40">
        <f t="shared" si="31"/>
        <v>44925.492996227244</v>
      </c>
      <c r="X28" s="40">
        <f t="shared" si="31"/>
        <v>44700.865531246105</v>
      </c>
      <c r="Y28" s="40">
        <f t="shared" si="31"/>
        <v>44477.361203589877</v>
      </c>
      <c r="Z28" s="40">
        <f t="shared" si="31"/>
        <v>44254.974397571925</v>
      </c>
      <c r="AA28" s="40">
        <f t="shared" si="31"/>
        <v>44033.699525584067</v>
      </c>
      <c r="AB28" s="40">
        <f t="shared" si="31"/>
        <v>43813.531027956145</v>
      </c>
      <c r="AC28" s="40">
        <f t="shared" si="31"/>
        <v>43594.463372816368</v>
      </c>
      <c r="AD28" s="40">
        <f t="shared" si="31"/>
        <v>43376.491055952283</v>
      </c>
      <c r="AE28" s="40">
        <f t="shared" si="31"/>
        <v>43159.608600672524</v>
      </c>
      <c r="AF28" s="40">
        <f t="shared" si="31"/>
        <v>42943.81055766916</v>
      </c>
      <c r="AG28" s="40">
        <f t="shared" si="31"/>
        <v>42729.091504880817</v>
      </c>
      <c r="AH28" s="40">
        <f t="shared" si="31"/>
        <v>42515.44604735641</v>
      </c>
      <c r="AI28" s="40">
        <f t="shared" si="31"/>
        <v>42302.868817119626</v>
      </c>
      <c r="AJ28" s="40">
        <f t="shared" si="31"/>
        <v>42091.354473034029</v>
      </c>
      <c r="AK28" s="40">
        <f t="shared" si="31"/>
        <v>41880.897700668858</v>
      </c>
      <c r="AL28" s="40">
        <f t="shared" si="31"/>
        <v>41671.493212165515</v>
      </c>
      <c r="AM28" s="40">
        <f t="shared" si="31"/>
        <v>41463.135746104686</v>
      </c>
      <c r="AN28" s="40">
        <f t="shared" si="31"/>
        <v>41255.820067374159</v>
      </c>
      <c r="AO28" s="40">
        <f t="shared" si="31"/>
        <v>41049.54096703729</v>
      </c>
      <c r="AP28" s="40">
        <f t="shared" si="31"/>
        <v>40844.293262202104</v>
      </c>
      <c r="AQ28" s="40">
        <f t="shared" si="31"/>
        <v>40640.07179589109</v>
      </c>
      <c r="AR28" s="40">
        <f t="shared" si="31"/>
        <v>40436.871436911635</v>
      </c>
      <c r="AS28" s="40">
        <f t="shared" si="31"/>
        <v>40234.687079727075</v>
      </c>
      <c r="AT28" s="40">
        <f t="shared" si="31"/>
        <v>40033.513644328443</v>
      </c>
      <c r="AU28" s="40">
        <f t="shared" si="31"/>
        <v>39833.346076106798</v>
      </c>
      <c r="AV28" s="40">
        <f t="shared" si="31"/>
        <v>39634.179345726261</v>
      </c>
      <c r="AW28" s="40">
        <f t="shared" si="31"/>
        <v>39436.008448997629</v>
      </c>
      <c r="AX28" s="40">
        <f t="shared" si="31"/>
        <v>39238.82840675264</v>
      </c>
      <c r="AY28" s="40">
        <f t="shared" si="31"/>
        <v>39042.634264718879</v>
      </c>
      <c r="AZ28" s="40">
        <f t="shared" si="31"/>
        <v>38847.421093395285</v>
      </c>
      <c r="BA28" s="40">
        <f t="shared" si="31"/>
        <v>38653.183987928307</v>
      </c>
      <c r="BB28" s="40">
        <f t="shared" si="31"/>
        <v>38459.918067988663</v>
      </c>
      <c r="BC28" s="40">
        <f t="shared" si="31"/>
        <v>38267.618477648721</v>
      </c>
      <c r="BD28" s="40">
        <f t="shared" si="31"/>
        <v>38076.280385260477</v>
      </c>
      <c r="BE28" s="40">
        <f t="shared" si="31"/>
        <v>37885.898983334177</v>
      </c>
      <c r="BF28" s="40">
        <f t="shared" si="31"/>
        <v>37696.469488417504</v>
      </c>
      <c r="BG28" s="40">
        <f t="shared" si="31"/>
        <v>37507.98714097542</v>
      </c>
      <c r="BH28" s="40">
        <f t="shared" si="31"/>
        <v>37320.447205270546</v>
      </c>
      <c r="BI28" s="40">
        <f t="shared" si="31"/>
        <v>37133.844969244194</v>
      </c>
      <c r="BJ28" s="40">
        <f t="shared" si="31"/>
        <v>36948.175744397973</v>
      </c>
      <c r="BK28" s="40">
        <f t="shared" si="31"/>
        <v>36763.434865675983</v>
      </c>
      <c r="BL28" s="40">
        <f t="shared" si="31"/>
        <v>36579.617691347601</v>
      </c>
      <c r="BM28" s="40">
        <f t="shared" si="31"/>
        <v>36396.719602890866</v>
      </c>
      <c r="BN28" s="40">
        <f t="shared" si="31"/>
        <v>36214.736004876409</v>
      </c>
      <c r="BO28" s="40">
        <f t="shared" si="31"/>
        <v>36033.662324852026</v>
      </c>
      <c r="BP28" s="40">
        <f t="shared" si="31"/>
        <v>35853.494013227762</v>
      </c>
      <c r="BQ28" s="40">
        <f t="shared" si="31"/>
        <v>35674.226543161625</v>
      </c>
      <c r="BR28" s="40">
        <f t="shared" si="31"/>
        <v>35495.855410445816</v>
      </c>
      <c r="BS28" s="40">
        <f t="shared" si="31"/>
        <v>35318.376133393584</v>
      </c>
      <c r="BT28" s="40">
        <f t="shared" si="31"/>
        <v>35141.784252726618</v>
      </c>
      <c r="BU28" s="40">
        <f t="shared" si="31"/>
        <v>34966.075331462984</v>
      </c>
      <c r="BV28" s="40">
        <f t="shared" si="31"/>
        <v>34791.244954805668</v>
      </c>
      <c r="BW28" s="40">
        <f t="shared" si="31"/>
        <v>34617.288730031643</v>
      </c>
      <c r="BX28" s="40">
        <f t="shared" si="31"/>
        <v>34444.202286381485</v>
      </c>
      <c r="BY28" s="40">
        <f t="shared" si="31"/>
        <v>34271.981274949576</v>
      </c>
      <c r="BZ28" s="40">
        <f t="shared" si="31"/>
        <v>34100.62136857483</v>
      </c>
      <c r="CA28" s="40">
        <f t="shared" si="31"/>
        <v>33930.118261731957</v>
      </c>
      <c r="CB28" s="40">
        <f t="shared" si="31"/>
        <v>33760.467670423299</v>
      </c>
      <c r="CC28" s="40">
        <f t="shared" si="31"/>
        <v>33591.665332071185</v>
      </c>
      <c r="CD28" s="40">
        <f t="shared" si="31"/>
        <v>33423.707005410826</v>
      </c>
      <c r="CE28" s="40">
        <f t="shared" ref="CE28:DR28" si="32">CD28*(1+$F$2)</f>
        <v>33256.588470383773</v>
      </c>
      <c r="CF28" s="40">
        <f t="shared" si="32"/>
        <v>33090.305528031851</v>
      </c>
      <c r="CG28" s="40">
        <f t="shared" si="32"/>
        <v>32924.854000391693</v>
      </c>
      <c r="CH28" s="40">
        <f t="shared" si="32"/>
        <v>32760.229730389736</v>
      </c>
      <c r="CI28" s="40">
        <f t="shared" si="32"/>
        <v>32596.428581737786</v>
      </c>
      <c r="CJ28" s="40">
        <f t="shared" si="32"/>
        <v>32433.446438829098</v>
      </c>
      <c r="CK28" s="40">
        <f t="shared" si="32"/>
        <v>32271.279206634954</v>
      </c>
      <c r="CL28" s="40">
        <f t="shared" si="32"/>
        <v>32109.92281060178</v>
      </c>
      <c r="CM28" s="40">
        <f t="shared" si="32"/>
        <v>31949.373196548771</v>
      </c>
      <c r="CN28" s="40">
        <f t="shared" si="32"/>
        <v>31789.626330566029</v>
      </c>
      <c r="CO28" s="40">
        <f t="shared" si="32"/>
        <v>31630.6781989132</v>
      </c>
      <c r="CP28" s="40">
        <f t="shared" si="32"/>
        <v>31472.524807918635</v>
      </c>
      <c r="CQ28" s="40">
        <f t="shared" si="32"/>
        <v>31315.162183879042</v>
      </c>
      <c r="CR28" s="40">
        <f t="shared" si="32"/>
        <v>31158.586372959646</v>
      </c>
      <c r="CS28" s="40">
        <f t="shared" si="32"/>
        <v>31002.793441094847</v>
      </c>
      <c r="CT28" s="40">
        <f t="shared" si="32"/>
        <v>30847.779473889372</v>
      </c>
      <c r="CU28" s="40">
        <f t="shared" si="32"/>
        <v>30693.540576519925</v>
      </c>
      <c r="CV28" s="40">
        <f t="shared" si="32"/>
        <v>30540.072873637324</v>
      </c>
      <c r="CW28" s="40">
        <f t="shared" si="32"/>
        <v>30387.372509269138</v>
      </c>
      <c r="CX28" s="40">
        <f t="shared" si="32"/>
        <v>30235.435646722792</v>
      </c>
      <c r="CY28" s="40">
        <f t="shared" si="32"/>
        <v>30084.258468489177</v>
      </c>
      <c r="CZ28" s="40">
        <f t="shared" si="32"/>
        <v>29933.837176146732</v>
      </c>
      <c r="DA28" s="40">
        <f t="shared" si="32"/>
        <v>29784.167990265996</v>
      </c>
      <c r="DB28" s="40">
        <f t="shared" si="32"/>
        <v>29635.247150314666</v>
      </c>
      <c r="DC28" s="40">
        <f t="shared" si="32"/>
        <v>29487.070914563094</v>
      </c>
      <c r="DD28" s="40">
        <f t="shared" si="32"/>
        <v>29339.635559990278</v>
      </c>
      <c r="DE28" s="40">
        <f t="shared" si="32"/>
        <v>29192.937382190328</v>
      </c>
      <c r="DF28" s="40">
        <f t="shared" si="32"/>
        <v>29046.972695279375</v>
      </c>
      <c r="DG28" s="40">
        <f t="shared" si="32"/>
        <v>28901.737831802977</v>
      </c>
      <c r="DH28" s="40">
        <f t="shared" si="32"/>
        <v>28757.229142643962</v>
      </c>
      <c r="DI28" s="40">
        <f t="shared" si="32"/>
        <v>28613.442996930742</v>
      </c>
      <c r="DJ28" s="40">
        <f t="shared" si="32"/>
        <v>28470.375781946088</v>
      </c>
      <c r="DK28" s="40">
        <f t="shared" si="32"/>
        <v>28328.023903036359</v>
      </c>
      <c r="DL28" s="40">
        <f t="shared" si="32"/>
        <v>28186.383783521178</v>
      </c>
      <c r="DM28" s="40">
        <f t="shared" si="32"/>
        <v>28045.451864603572</v>
      </c>
      <c r="DN28" s="40">
        <f t="shared" si="32"/>
        <v>27905.224605280553</v>
      </c>
      <c r="DO28" s="40">
        <f t="shared" si="32"/>
        <v>27765.698482254149</v>
      </c>
      <c r="DP28" s="40">
        <f t="shared" si="32"/>
        <v>27626.869989842879</v>
      </c>
      <c r="DQ28" s="40">
        <f t="shared" si="32"/>
        <v>27488.735639893664</v>
      </c>
      <c r="DR28" s="40">
        <f t="shared" si="32"/>
        <v>27351.291961694194</v>
      </c>
    </row>
    <row r="29" spans="1:122" x14ac:dyDescent="0.15">
      <c r="A29" s="26" t="s">
        <v>16</v>
      </c>
      <c r="B29" s="42">
        <f>B28/B30</f>
        <v>-1.1972960586617778</v>
      </c>
      <c r="C29" s="42">
        <f>C28/C30</f>
        <v>0.42638089266373974</v>
      </c>
      <c r="D29" s="42">
        <f>D28/D30</f>
        <v>1.2513818925352662</v>
      </c>
      <c r="E29" s="42">
        <f>E28/E30</f>
        <v>2.6849901134076393</v>
      </c>
      <c r="F29" s="43">
        <f>F28/F30</f>
        <v>4.1395006724018391</v>
      </c>
      <c r="G29" s="43">
        <f t="shared" ref="G29:H29" si="33">G28/G30</f>
        <v>8.0454617340213233</v>
      </c>
      <c r="H29" s="43">
        <f t="shared" si="33"/>
        <v>12.232339099092318</v>
      </c>
      <c r="I29" s="43">
        <f t="shared" ref="I29:Q29" si="34">I28/I30</f>
        <v>17.586281879117553</v>
      </c>
      <c r="J29" s="43">
        <f t="shared" si="34"/>
        <v>24.421095397175709</v>
      </c>
      <c r="K29" s="43">
        <f t="shared" si="34"/>
        <v>33.1399065907042</v>
      </c>
      <c r="L29" s="43">
        <f t="shared" si="34"/>
        <v>37.27034316530473</v>
      </c>
      <c r="M29" s="43">
        <f t="shared" si="34"/>
        <v>41.874935603855185</v>
      </c>
      <c r="N29" s="43">
        <f t="shared" si="34"/>
        <v>46.954940201202469</v>
      </c>
      <c r="O29" s="43">
        <f t="shared" si="34"/>
        <v>52.558673613305672</v>
      </c>
      <c r="P29" s="43">
        <f t="shared" si="34"/>
        <v>58.738895012991527</v>
      </c>
      <c r="Q29" s="43">
        <f t="shared" si="34"/>
        <v>65.553649389254446</v>
      </c>
      <c r="R29" s="43">
        <f t="shared" ref="R29:U29" si="35">R28/R30</f>
        <v>73.066792924785858</v>
      </c>
      <c r="S29" s="43">
        <f t="shared" si="35"/>
        <v>81.348574304484046</v>
      </c>
      <c r="T29" s="43">
        <f t="shared" si="35"/>
        <v>90.476274128944794</v>
      </c>
      <c r="U29" s="43">
        <f t="shared" si="35"/>
        <v>100.53490827231541</v>
      </c>
      <c r="V29" s="43"/>
    </row>
    <row r="30" spans="1:122" x14ac:dyDescent="0.15">
      <c r="A30" s="26" t="s">
        <v>17</v>
      </c>
      <c r="B30" s="29">
        <f>AVERAGE(Reports!B26:E26)</f>
        <v>436.40000000000003</v>
      </c>
      <c r="C30" s="29">
        <f>AVERAGE(Reports!F26:I26)</f>
        <v>438.57499999999999</v>
      </c>
      <c r="D30" s="29">
        <f>AVERAGE(Reports!J26:M26)</f>
        <v>446.76049999999998</v>
      </c>
      <c r="E30" s="29">
        <f>Reports!Q26</f>
        <v>451.11599999999999</v>
      </c>
      <c r="F30" s="29">
        <f>Reports!U26</f>
        <v>451.36700000000002</v>
      </c>
      <c r="G30" s="29">
        <f t="shared" ref="G30" si="36">F30</f>
        <v>451.36700000000002</v>
      </c>
      <c r="H30" s="29">
        <f t="shared" ref="H30" si="37">G30</f>
        <v>451.36700000000002</v>
      </c>
      <c r="I30" s="29">
        <f t="shared" ref="I30" si="38">H30</f>
        <v>451.36700000000002</v>
      </c>
      <c r="J30" s="29">
        <f t="shared" ref="J30" si="39">I30</f>
        <v>451.36700000000002</v>
      </c>
      <c r="K30" s="29">
        <f t="shared" ref="K30" si="40">J30</f>
        <v>451.36700000000002</v>
      </c>
      <c r="L30" s="29">
        <f t="shared" ref="L30" si="41">K30</f>
        <v>451.36700000000002</v>
      </c>
      <c r="M30" s="29">
        <f t="shared" ref="M30" si="42">L30</f>
        <v>451.36700000000002</v>
      </c>
      <c r="N30" s="29">
        <f t="shared" ref="N30" si="43">M30</f>
        <v>451.36700000000002</v>
      </c>
      <c r="O30" s="29">
        <f t="shared" ref="O30" si="44">N30</f>
        <v>451.36700000000002</v>
      </c>
      <c r="P30" s="29">
        <f t="shared" ref="P30" si="45">O30</f>
        <v>451.36700000000002</v>
      </c>
      <c r="Q30" s="29">
        <f t="shared" ref="Q30:U30" si="46">P30</f>
        <v>451.36700000000002</v>
      </c>
      <c r="R30" s="29">
        <f t="shared" si="46"/>
        <v>451.36700000000002</v>
      </c>
      <c r="S30" s="29">
        <f t="shared" si="46"/>
        <v>451.36700000000002</v>
      </c>
      <c r="T30" s="29">
        <f t="shared" si="46"/>
        <v>451.36700000000002</v>
      </c>
      <c r="U30" s="29">
        <f t="shared" si="46"/>
        <v>451.36700000000002</v>
      </c>
      <c r="V30" s="29"/>
    </row>
    <row r="31" spans="1:122" x14ac:dyDescent="0.15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122" x14ac:dyDescent="0.15">
      <c r="A32" s="26" t="s">
        <v>19</v>
      </c>
      <c r="B32" s="46">
        <f t="shared" ref="B32:Q32" si="47">IFERROR(B19/B17,0)</f>
        <v>0.32271721492845556</v>
      </c>
      <c r="C32" s="46">
        <f t="shared" si="47"/>
        <v>0.31714250121742671</v>
      </c>
      <c r="D32" s="46">
        <f t="shared" si="47"/>
        <v>0.34490570788706437</v>
      </c>
      <c r="E32" s="46">
        <f t="shared" si="47"/>
        <v>0.3901810781469135</v>
      </c>
      <c r="F32" s="46">
        <f t="shared" si="47"/>
        <v>0.38280834753074228</v>
      </c>
      <c r="G32" s="46">
        <f t="shared" si="47"/>
        <v>0.38280834753074228</v>
      </c>
      <c r="H32" s="46">
        <f t="shared" si="47"/>
        <v>0.38280834753074228</v>
      </c>
      <c r="I32" s="46">
        <f t="shared" si="47"/>
        <v>0.38280834753074228</v>
      </c>
      <c r="J32" s="46">
        <f t="shared" si="47"/>
        <v>0.38280834753074228</v>
      </c>
      <c r="K32" s="46">
        <f t="shared" si="47"/>
        <v>0.38280834753074228</v>
      </c>
      <c r="L32" s="46">
        <f t="shared" si="47"/>
        <v>0.38280834753074228</v>
      </c>
      <c r="M32" s="46">
        <f t="shared" si="47"/>
        <v>0.38280834753074228</v>
      </c>
      <c r="N32" s="46">
        <f t="shared" si="47"/>
        <v>0.38280834753074228</v>
      </c>
      <c r="O32" s="46">
        <f t="shared" si="47"/>
        <v>0.38280834753074228</v>
      </c>
      <c r="P32" s="46">
        <f t="shared" si="47"/>
        <v>0.38280834753074228</v>
      </c>
      <c r="Q32" s="46">
        <f t="shared" si="47"/>
        <v>0.38280834753074228</v>
      </c>
      <c r="R32" s="46">
        <f t="shared" ref="R32:U32" si="48">IFERROR(R19/R17,0)</f>
        <v>0.38280834753074228</v>
      </c>
      <c r="S32" s="46">
        <f t="shared" si="48"/>
        <v>0.38280834753074228</v>
      </c>
      <c r="T32" s="46">
        <f t="shared" si="48"/>
        <v>0.38280834753074228</v>
      </c>
      <c r="U32" s="46">
        <f t="shared" si="48"/>
        <v>0.38280834753074228</v>
      </c>
      <c r="V32" s="46"/>
    </row>
    <row r="33" spans="1:22" x14ac:dyDescent="0.15">
      <c r="A33" s="26" t="s">
        <v>20</v>
      </c>
      <c r="B33" s="45">
        <f t="shared" ref="B33:Q33" si="49">IFERROR(B24/B17,0)</f>
        <v>4.5154152529871774E-2</v>
      </c>
      <c r="C33" s="45">
        <f t="shared" si="49"/>
        <v>4.3023295319418765E-2</v>
      </c>
      <c r="D33" s="45">
        <f t="shared" si="49"/>
        <v>7.1730395923553777E-2</v>
      </c>
      <c r="E33" s="45">
        <f t="shared" si="49"/>
        <v>0.10163298361102882</v>
      </c>
      <c r="F33" s="45">
        <f t="shared" si="49"/>
        <v>0.1292046398365983</v>
      </c>
      <c r="G33" s="45">
        <f t="shared" si="49"/>
        <v>0.17079668418554117</v>
      </c>
      <c r="H33" s="45">
        <f t="shared" si="49"/>
        <v>0.20444347014157918</v>
      </c>
      <c r="I33" s="45">
        <f t="shared" si="49"/>
        <v>0.23186400887148187</v>
      </c>
      <c r="J33" s="45">
        <f t="shared" si="49"/>
        <v>0.25436881631359082</v>
      </c>
      <c r="K33" s="45">
        <f t="shared" si="49"/>
        <v>0.27296365352346447</v>
      </c>
      <c r="L33" s="45">
        <f t="shared" si="49"/>
        <v>0.27773112976831527</v>
      </c>
      <c r="M33" s="45">
        <f t="shared" si="49"/>
        <v>0.28211839922791371</v>
      </c>
      <c r="N33" s="45">
        <f t="shared" si="49"/>
        <v>0.28615676580375154</v>
      </c>
      <c r="O33" s="45">
        <f t="shared" si="49"/>
        <v>0.28987485829551063</v>
      </c>
      <c r="P33" s="45">
        <f t="shared" si="49"/>
        <v>0.29329886842167813</v>
      </c>
      <c r="Q33" s="45">
        <f t="shared" si="49"/>
        <v>0.29645276678763344</v>
      </c>
      <c r="R33" s="45">
        <f t="shared" ref="R33:U33" si="50">IFERROR(R24/R17,0)</f>
        <v>0.29935849892233157</v>
      </c>
      <c r="S33" s="45">
        <f t="shared" si="50"/>
        <v>0.30203616329400679</v>
      </c>
      <c r="T33" s="45">
        <f t="shared" si="50"/>
        <v>0.30450417302610688</v>
      </c>
      <c r="U33" s="45">
        <f t="shared" si="50"/>
        <v>0.30677940286469679</v>
      </c>
      <c r="V33" s="45"/>
    </row>
    <row r="34" spans="1:22" x14ac:dyDescent="0.15">
      <c r="A34" s="26" t="s">
        <v>21</v>
      </c>
      <c r="B34" s="45">
        <f t="shared" ref="B34:Q34" si="51">IFERROR(B27/B26,0)</f>
        <v>-3.8148221736538847E-2</v>
      </c>
      <c r="C34" s="45">
        <f t="shared" si="51"/>
        <v>0.28270042194092865</v>
      </c>
      <c r="D34" s="45">
        <f t="shared" si="51"/>
        <v>-0.15133829371412744</v>
      </c>
      <c r="E34" s="45">
        <f t="shared" si="51"/>
        <v>1.2406458272521351E-2</v>
      </c>
      <c r="F34" s="45">
        <f t="shared" si="51"/>
        <v>9.4502659159439992E-2</v>
      </c>
      <c r="G34" s="45">
        <f t="shared" si="51"/>
        <v>0.15</v>
      </c>
      <c r="H34" s="45">
        <f t="shared" si="51"/>
        <v>0.15</v>
      </c>
      <c r="I34" s="45">
        <f t="shared" si="51"/>
        <v>0.15</v>
      </c>
      <c r="J34" s="45">
        <f t="shared" si="51"/>
        <v>0.15</v>
      </c>
      <c r="K34" s="45">
        <f t="shared" si="51"/>
        <v>0.15</v>
      </c>
      <c r="L34" s="45">
        <f t="shared" si="51"/>
        <v>0.15</v>
      </c>
      <c r="M34" s="45">
        <f t="shared" si="51"/>
        <v>0.15</v>
      </c>
      <c r="N34" s="45">
        <f t="shared" si="51"/>
        <v>0.15</v>
      </c>
      <c r="O34" s="45">
        <f t="shared" si="51"/>
        <v>0.15</v>
      </c>
      <c r="P34" s="45">
        <f t="shared" si="51"/>
        <v>0.15</v>
      </c>
      <c r="Q34" s="45">
        <f t="shared" si="51"/>
        <v>0.15</v>
      </c>
      <c r="R34" s="45">
        <f t="shared" ref="R34:U34" si="52">IFERROR(R27/R26,0)</f>
        <v>0.15</v>
      </c>
      <c r="S34" s="45">
        <f t="shared" si="52"/>
        <v>0.15</v>
      </c>
      <c r="T34" s="45">
        <f t="shared" si="52"/>
        <v>0.15</v>
      </c>
      <c r="U34" s="45">
        <f t="shared" si="52"/>
        <v>0.15</v>
      </c>
      <c r="V34" s="45"/>
    </row>
    <row r="35" spans="1:22" x14ac:dyDescent="0.1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15">
      <c r="A36" s="25" t="s">
        <v>18</v>
      </c>
      <c r="B36" s="11"/>
      <c r="C36" s="44">
        <f t="shared" ref="C36:U36" si="53">C17/B17-1</f>
        <v>0.30256675025814994</v>
      </c>
      <c r="D36" s="44">
        <f t="shared" si="53"/>
        <v>0.32407922900080433</v>
      </c>
      <c r="E36" s="44">
        <f t="shared" si="53"/>
        <v>0.35089599916248626</v>
      </c>
      <c r="F36" s="44">
        <f>F17/E17-1</f>
        <v>0.27624406741629803</v>
      </c>
      <c r="G36" s="44">
        <f t="shared" si="53"/>
        <v>0.26000000000000023</v>
      </c>
      <c r="H36" s="44">
        <f t="shared" si="53"/>
        <v>0.26</v>
      </c>
      <c r="I36" s="44">
        <f t="shared" si="53"/>
        <v>0.26</v>
      </c>
      <c r="J36" s="44">
        <f t="shared" si="53"/>
        <v>0.26</v>
      </c>
      <c r="K36" s="44">
        <f t="shared" si="53"/>
        <v>0.26</v>
      </c>
      <c r="L36" s="44">
        <f t="shared" si="53"/>
        <v>0.10000000000000009</v>
      </c>
      <c r="M36" s="44">
        <f t="shared" si="53"/>
        <v>0.10000000000000009</v>
      </c>
      <c r="N36" s="44">
        <f t="shared" si="53"/>
        <v>0.10000000000000009</v>
      </c>
      <c r="O36" s="44">
        <f t="shared" si="53"/>
        <v>0.10000000000000009</v>
      </c>
      <c r="P36" s="44">
        <f t="shared" si="53"/>
        <v>0.10000000000000009</v>
      </c>
      <c r="Q36" s="44">
        <f t="shared" si="53"/>
        <v>0.10000000000000009</v>
      </c>
      <c r="R36" s="44">
        <f t="shared" si="53"/>
        <v>0.10000000000000009</v>
      </c>
      <c r="S36" s="44">
        <f t="shared" si="53"/>
        <v>0.10000000000000009</v>
      </c>
      <c r="T36" s="44">
        <f t="shared" si="53"/>
        <v>0.10000000000000009</v>
      </c>
      <c r="U36" s="44">
        <f t="shared" si="53"/>
        <v>0.10000000000000009</v>
      </c>
      <c r="V36" s="44"/>
    </row>
    <row r="37" spans="1:22" x14ac:dyDescent="0.15">
      <c r="A37" s="26" t="s">
        <v>61</v>
      </c>
      <c r="B37" s="7"/>
      <c r="C37" s="45">
        <f t="shared" ref="C37:U37" si="54">C20/B20-1</f>
        <v>0.30940670150630178</v>
      </c>
      <c r="D37" s="45">
        <f t="shared" si="54"/>
        <v>0.2356508979927221</v>
      </c>
      <c r="E37" s="45">
        <f t="shared" si="54"/>
        <v>0.21289772203702872</v>
      </c>
      <c r="F37" s="45">
        <f t="shared" si="54"/>
        <v>0.20931296298907065</v>
      </c>
      <c r="G37" s="45">
        <f t="shared" si="54"/>
        <v>0.14999999999999991</v>
      </c>
      <c r="H37" s="45">
        <f t="shared" si="54"/>
        <v>0.14999999999999991</v>
      </c>
      <c r="I37" s="45">
        <f t="shared" si="54"/>
        <v>0.14999999999999991</v>
      </c>
      <c r="J37" s="45">
        <f t="shared" si="54"/>
        <v>0.14999999999999991</v>
      </c>
      <c r="K37" s="45">
        <f t="shared" si="54"/>
        <v>0.14999999999999991</v>
      </c>
      <c r="L37" s="45">
        <f t="shared" si="54"/>
        <v>0.10000000000000009</v>
      </c>
      <c r="M37" s="45">
        <f t="shared" si="54"/>
        <v>0.10000000000000009</v>
      </c>
      <c r="N37" s="45">
        <f t="shared" si="54"/>
        <v>0.10000000000000009</v>
      </c>
      <c r="O37" s="45">
        <f t="shared" si="54"/>
        <v>0.10000000000000009</v>
      </c>
      <c r="P37" s="45">
        <f t="shared" si="54"/>
        <v>0.10000000000000009</v>
      </c>
      <c r="Q37" s="45">
        <f t="shared" si="54"/>
        <v>0.10000000000000009</v>
      </c>
      <c r="R37" s="45">
        <f t="shared" si="54"/>
        <v>0.10000000000000009</v>
      </c>
      <c r="S37" s="45">
        <f t="shared" si="54"/>
        <v>0.10000000000000009</v>
      </c>
      <c r="T37" s="45">
        <f t="shared" si="54"/>
        <v>0.10000000000000009</v>
      </c>
      <c r="U37" s="45">
        <f t="shared" si="54"/>
        <v>0.10000000000000009</v>
      </c>
      <c r="V37" s="45"/>
    </row>
    <row r="38" spans="1:22" x14ac:dyDescent="0.15">
      <c r="A38" s="26" t="s">
        <v>62</v>
      </c>
      <c r="B38" s="7"/>
      <c r="C38" s="45">
        <f t="shared" ref="C38:U38" si="55">C21/B21-1</f>
        <v>0.20269450175992243</v>
      </c>
      <c r="D38" s="45">
        <f t="shared" si="55"/>
        <v>0.2895741245332526</v>
      </c>
      <c r="E38" s="45">
        <f t="shared" si="55"/>
        <v>0.69945196538844123</v>
      </c>
      <c r="F38" s="45">
        <f t="shared" si="55"/>
        <v>0.22166524069982563</v>
      </c>
      <c r="G38" s="45">
        <f t="shared" si="55"/>
        <v>5.0000000000000044E-2</v>
      </c>
      <c r="H38" s="45">
        <f t="shared" si="55"/>
        <v>5.0000000000000044E-2</v>
      </c>
      <c r="I38" s="45">
        <f t="shared" si="55"/>
        <v>5.0000000000000044E-2</v>
      </c>
      <c r="J38" s="45">
        <f t="shared" si="55"/>
        <v>5.0000000000000044E-2</v>
      </c>
      <c r="K38" s="45">
        <f t="shared" si="55"/>
        <v>5.0000000000000044E-2</v>
      </c>
      <c r="L38" s="45">
        <f t="shared" si="55"/>
        <v>2.0000000000000018E-2</v>
      </c>
      <c r="M38" s="45">
        <f t="shared" si="55"/>
        <v>2.0000000000000018E-2</v>
      </c>
      <c r="N38" s="45">
        <f t="shared" si="55"/>
        <v>2.0000000000000018E-2</v>
      </c>
      <c r="O38" s="45">
        <f t="shared" si="55"/>
        <v>2.0000000000000018E-2</v>
      </c>
      <c r="P38" s="45">
        <f t="shared" si="55"/>
        <v>2.0000000000000018E-2</v>
      </c>
      <c r="Q38" s="45">
        <f t="shared" si="55"/>
        <v>2.0000000000000018E-2</v>
      </c>
      <c r="R38" s="45">
        <f t="shared" si="55"/>
        <v>2.0000000000000018E-2</v>
      </c>
      <c r="S38" s="45">
        <f t="shared" si="55"/>
        <v>2.0000000000000018E-2</v>
      </c>
      <c r="T38" s="45">
        <f t="shared" si="55"/>
        <v>2.0000000000000018E-2</v>
      </c>
      <c r="U38" s="45">
        <f t="shared" si="55"/>
        <v>2.0000000000000018E-2</v>
      </c>
      <c r="V38" s="45"/>
    </row>
    <row r="39" spans="1:22" x14ac:dyDescent="0.15">
      <c r="A39" s="26" t="s">
        <v>63</v>
      </c>
      <c r="B39" s="7"/>
      <c r="C39" s="45">
        <f t="shared" ref="C39:U39" si="56">C22/B22-1</f>
        <v>0.41906165561287145</v>
      </c>
      <c r="D39" s="45">
        <f t="shared" si="56"/>
        <v>0.4945611909295482</v>
      </c>
      <c r="E39" s="45">
        <f t="shared" si="56"/>
        <v>0.28449470007227151</v>
      </c>
      <c r="F39" s="45">
        <f t="shared" si="56"/>
        <v>-0.17496436116543712</v>
      </c>
      <c r="G39" s="45">
        <f t="shared" si="56"/>
        <v>-9.9999999999999978E-2</v>
      </c>
      <c r="H39" s="45">
        <f t="shared" si="56"/>
        <v>-9.9999999999999978E-2</v>
      </c>
      <c r="I39" s="45">
        <f t="shared" si="56"/>
        <v>-9.9999999999999978E-2</v>
      </c>
      <c r="J39" s="45">
        <f t="shared" si="56"/>
        <v>-9.9999999999999978E-2</v>
      </c>
      <c r="K39" s="45">
        <f t="shared" si="56"/>
        <v>-9.9999999999999978E-2</v>
      </c>
      <c r="L39" s="45">
        <f t="shared" si="56"/>
        <v>-2.0000000000000018E-2</v>
      </c>
      <c r="M39" s="45">
        <f t="shared" si="56"/>
        <v>-2.0000000000000018E-2</v>
      </c>
      <c r="N39" s="45">
        <f t="shared" si="56"/>
        <v>-2.0000000000000018E-2</v>
      </c>
      <c r="O39" s="45">
        <f t="shared" si="56"/>
        <v>-2.0000000000000018E-2</v>
      </c>
      <c r="P39" s="45">
        <f t="shared" si="56"/>
        <v>-2.0000000000000018E-2</v>
      </c>
      <c r="Q39" s="45">
        <f t="shared" si="56"/>
        <v>-2.0000000000000018E-2</v>
      </c>
      <c r="R39" s="45">
        <f t="shared" si="56"/>
        <v>-2.0000000000000018E-2</v>
      </c>
      <c r="S39" s="45">
        <f t="shared" si="56"/>
        <v>-2.0000000000000018E-2</v>
      </c>
      <c r="T39" s="45">
        <f t="shared" si="56"/>
        <v>-2.0000000000000018E-2</v>
      </c>
      <c r="U39" s="45">
        <f t="shared" si="56"/>
        <v>-2.0000000000000018E-2</v>
      </c>
      <c r="V39" s="45"/>
    </row>
    <row r="40" spans="1:22" s="30" customFormat="1" x14ac:dyDescent="0.15">
      <c r="A40" s="30" t="s">
        <v>98</v>
      </c>
      <c r="B40" s="35"/>
      <c r="C40" s="52">
        <f>C23/B23-1</f>
        <v>0.28640518707483009</v>
      </c>
      <c r="D40" s="52">
        <f>D23/C23-1</f>
        <v>0.31951993389795486</v>
      </c>
      <c r="E40" s="52">
        <f>E23/D23-1</f>
        <v>0.42691688964393992</v>
      </c>
      <c r="F40" s="52">
        <f>F23/E23-1</f>
        <v>0.12168554756883654</v>
      </c>
      <c r="G40" s="52">
        <f>G23/F23-1</f>
        <v>5.3354851330203346E-2</v>
      </c>
      <c r="H40" s="52">
        <f t="shared" ref="H40:U40" si="57">H23/G23-1</f>
        <v>6.0034820558057422E-2</v>
      </c>
      <c r="I40" s="52">
        <f t="shared" si="57"/>
        <v>6.6296624619121669E-2</v>
      </c>
      <c r="J40" s="52">
        <f t="shared" si="57"/>
        <v>7.214229278868256E-2</v>
      </c>
      <c r="K40" s="52">
        <f t="shared" si="57"/>
        <v>7.7583459995437254E-2</v>
      </c>
      <c r="L40" s="52">
        <f t="shared" si="57"/>
        <v>5.2257831689271894E-2</v>
      </c>
      <c r="M40" s="52">
        <f t="shared" si="57"/>
        <v>5.4071905325190572E-2</v>
      </c>
      <c r="N40" s="52">
        <f t="shared" si="57"/>
        <v>5.58823565976867E-2</v>
      </c>
      <c r="O40" s="52">
        <f t="shared" si="57"/>
        <v>5.7684068197790372E-2</v>
      </c>
      <c r="P40" s="52">
        <f t="shared" si="57"/>
        <v>5.9471971086217268E-2</v>
      </c>
      <c r="Q40" s="52">
        <f t="shared" si="57"/>
        <v>6.1241108348718543E-2</v>
      </c>
      <c r="R40" s="52">
        <f t="shared" si="57"/>
        <v>6.2986696161810851E-2</v>
      </c>
      <c r="S40" s="52">
        <f t="shared" si="57"/>
        <v>6.4704180319557603E-2</v>
      </c>
      <c r="T40" s="52">
        <f t="shared" si="57"/>
        <v>6.6389286968478123E-2</v>
      </c>
      <c r="U40" s="52">
        <f t="shared" si="57"/>
        <v>6.8038066446882928E-2</v>
      </c>
      <c r="V40" s="52"/>
    </row>
    <row r="41" spans="1:22" x14ac:dyDescent="0.1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15">
      <c r="A42" s="25" t="s">
        <v>33</v>
      </c>
      <c r="B42" s="40">
        <f>B43-B44</f>
        <v>-60.700000000000273</v>
      </c>
      <c r="C42" s="40">
        <f>C43-C44</f>
        <v>-1630.6000000000001</v>
      </c>
      <c r="D42" s="40">
        <f>D43-D44</f>
        <v>-3677</v>
      </c>
      <c r="E42" s="40">
        <f>E43-E44</f>
        <v>-6565.5750000000007</v>
      </c>
      <c r="F42" s="50">
        <f>E42+F28</f>
        <v>-4697.1409999999996</v>
      </c>
      <c r="G42" s="50">
        <f t="shared" ref="G42:U42" si="58">F42+G28</f>
        <v>-1065.6850734999971</v>
      </c>
      <c r="H42" s="50">
        <f t="shared" si="58"/>
        <v>4455.5891286400056</v>
      </c>
      <c r="I42" s="50">
        <f t="shared" si="58"/>
        <v>12393.45642157166</v>
      </c>
      <c r="J42" s="50">
        <f t="shared" si="58"/>
        <v>23416.332987708669</v>
      </c>
      <c r="K42" s="50">
        <f t="shared" si="58"/>
        <v>38374.593205835052</v>
      </c>
      <c r="L42" s="50">
        <f t="shared" si="58"/>
        <v>55197.196189329152</v>
      </c>
      <c r="M42" s="50">
        <f t="shared" si="58"/>
        <v>74098.160248034459</v>
      </c>
      <c r="N42" s="50">
        <f t="shared" si="58"/>
        <v>95292.070741830612</v>
      </c>
      <c r="O42" s="50">
        <f t="shared" si="58"/>
        <v>119015.32157464756</v>
      </c>
      <c r="P42" s="50">
        <f t="shared" si="58"/>
        <v>145528.1203999765</v>
      </c>
      <c r="Q42" s="50">
        <f t="shared" si="58"/>
        <v>175116.8744638561</v>
      </c>
      <c r="R42" s="50">
        <f t="shared" si="58"/>
        <v>208096.81358593793</v>
      </c>
      <c r="S42" s="50">
        <f t="shared" si="58"/>
        <v>244814.87552402998</v>
      </c>
      <c r="T42" s="50">
        <f t="shared" si="58"/>
        <v>285652.87994878943</v>
      </c>
      <c r="U42" s="50">
        <f t="shared" si="58"/>
        <v>331031.01989093964</v>
      </c>
      <c r="V42" s="41"/>
    </row>
    <row r="43" spans="1:22" x14ac:dyDescent="0.15">
      <c r="A43" s="26" t="s">
        <v>34</v>
      </c>
      <c r="B43" s="38">
        <f>Reports!E38</f>
        <v>2310.6</v>
      </c>
      <c r="C43" s="38">
        <f>Reports!I38</f>
        <v>1733.7</v>
      </c>
      <c r="D43" s="38">
        <f>Reports!M38</f>
        <v>2822</v>
      </c>
      <c r="E43" s="38">
        <f>Reports!Q38</f>
        <v>3794.4830000000002</v>
      </c>
    </row>
    <row r="44" spans="1:22" x14ac:dyDescent="0.15">
      <c r="A44" s="26" t="s">
        <v>35</v>
      </c>
      <c r="B44" s="38">
        <f>Reports!E39</f>
        <v>2371.3000000000002</v>
      </c>
      <c r="C44" s="38">
        <f>Reports!I39</f>
        <v>3364.3</v>
      </c>
      <c r="D44" s="38">
        <f>Reports!M39</f>
        <v>6499</v>
      </c>
      <c r="E44" s="38">
        <f>Reports!Q39</f>
        <v>10360.058000000001</v>
      </c>
    </row>
    <row r="45" spans="1:22" x14ac:dyDescent="0.1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15">
      <c r="A46" s="26" t="s">
        <v>80</v>
      </c>
      <c r="D46" s="38">
        <f>Reports!M41</f>
        <v>10371.055</v>
      </c>
      <c r="E46" s="38">
        <f>Reports!Q41</f>
        <v>14960.954</v>
      </c>
    </row>
    <row r="47" spans="1:22" x14ac:dyDescent="0.15">
      <c r="A47" s="26" t="s">
        <v>81</v>
      </c>
      <c r="D47" s="38">
        <f>Reports!M42</f>
        <v>19012.741999999998</v>
      </c>
      <c r="E47" s="38">
        <f>Reports!Q42</f>
        <v>25974.400000000001</v>
      </c>
    </row>
    <row r="48" spans="1:22" x14ac:dyDescent="0.15">
      <c r="A48" s="26" t="s">
        <v>82</v>
      </c>
      <c r="D48" s="38">
        <f>Reports!M43</f>
        <v>15430.786</v>
      </c>
      <c r="E48" s="38">
        <f>Reports!Q43</f>
        <v>20735.634999999998</v>
      </c>
    </row>
    <row r="50" spans="1:11" x14ac:dyDescent="0.15">
      <c r="A50" s="26" t="s">
        <v>83</v>
      </c>
      <c r="D50" s="9">
        <f>D47-D46-D43</f>
        <v>5819.6869999999981</v>
      </c>
      <c r="E50" s="9">
        <f>E47-E46-E43</f>
        <v>7218.9630000000016</v>
      </c>
    </row>
    <row r="51" spans="1:11" x14ac:dyDescent="0.15">
      <c r="A51" s="26" t="s">
        <v>84</v>
      </c>
      <c r="D51" s="9">
        <f>D47-D48</f>
        <v>3581.9559999999983</v>
      </c>
      <c r="E51" s="9">
        <f>E47-E48</f>
        <v>5238.7650000000031</v>
      </c>
    </row>
    <row r="53" spans="1:11" x14ac:dyDescent="0.15">
      <c r="A53" s="8" t="s">
        <v>86</v>
      </c>
      <c r="D53" s="48">
        <f>D28/D51</f>
        <v>0.1560789691442335</v>
      </c>
      <c r="E53" s="48">
        <f>E28/E51</f>
        <v>0.23120754605331598</v>
      </c>
    </row>
    <row r="54" spans="1:11" x14ac:dyDescent="0.15">
      <c r="A54" s="8" t="s">
        <v>87</v>
      </c>
      <c r="D54" s="48">
        <f>D28/D47</f>
        <v>2.940491171657417E-2</v>
      </c>
      <c r="E54" s="48">
        <f>E28/E47</f>
        <v>4.6632145497104864E-2</v>
      </c>
    </row>
    <row r="55" spans="1:11" x14ac:dyDescent="0.15">
      <c r="A55" s="8" t="s">
        <v>88</v>
      </c>
      <c r="D55" s="48">
        <f>D28/(D51-D46)</f>
        <v>-8.2347893291878888E-2</v>
      </c>
      <c r="E55" s="48">
        <f>E28/(E51-E46)</f>
        <v>-0.12458531715439816</v>
      </c>
    </row>
    <row r="56" spans="1:11" x14ac:dyDescent="0.15">
      <c r="A56" s="8" t="s">
        <v>89</v>
      </c>
      <c r="D56" s="48">
        <f>D28/D50</f>
        <v>9.6064960194594998E-2</v>
      </c>
      <c r="E56" s="48">
        <f>E28/E50</f>
        <v>0.16778614878618997</v>
      </c>
    </row>
    <row r="57" spans="1:11" x14ac:dyDescent="0.15">
      <c r="A57" s="8" t="s">
        <v>99</v>
      </c>
      <c r="D57" s="48">
        <f>(D46/D30)/$C$2</f>
        <v>4.0035015174347592E-2</v>
      </c>
      <c r="E57" s="48">
        <f>(E46/E30)/$C$2</f>
        <v>5.7195634896587189E-2</v>
      </c>
    </row>
    <row r="59" spans="1:11" x14ac:dyDescent="0.15">
      <c r="A59" s="8" t="s">
        <v>76</v>
      </c>
      <c r="C59" s="47">
        <f>C14/B14-1</f>
        <v>0.21249999999999991</v>
      </c>
      <c r="D59" s="47">
        <f>D14/C14-1</f>
        <v>0.24742268041237114</v>
      </c>
      <c r="E59" s="47">
        <f>E14/D14-1</f>
        <v>0.14876033057851235</v>
      </c>
      <c r="F59" s="47">
        <f>F14/E14-1</f>
        <v>0.20143884892086339</v>
      </c>
      <c r="G59" s="47">
        <f>G14/F14-1</f>
        <v>0.19999999999999996</v>
      </c>
      <c r="H59" s="47">
        <f t="shared" ref="H59:K59" si="59">H14/G14-1</f>
        <v>0.19999999999999996</v>
      </c>
      <c r="I59" s="47">
        <f t="shared" si="59"/>
        <v>0.19999999999999996</v>
      </c>
      <c r="J59" s="47">
        <f t="shared" si="59"/>
        <v>0.19999999999999996</v>
      </c>
      <c r="K59" s="47">
        <f t="shared" si="59"/>
        <v>0.19999999999999996</v>
      </c>
    </row>
    <row r="60" spans="1:11" x14ac:dyDescent="0.15">
      <c r="A60" s="8" t="s">
        <v>78</v>
      </c>
      <c r="C60" s="47">
        <f>C15/B15-1</f>
        <v>7.4281855883010284E-2</v>
      </c>
      <c r="D60" s="47">
        <f>D15/C15-1</f>
        <v>6.1451943909735629E-2</v>
      </c>
      <c r="E60" s="47">
        <f>E15/D15-1</f>
        <v>0.17595982660907095</v>
      </c>
      <c r="F60" s="47">
        <f t="shared" ref="F60:K60" si="60">F15/E15-1</f>
        <v>6.2263026172846958E-2</v>
      </c>
      <c r="G60" s="47">
        <f t="shared" si="60"/>
        <v>5.0000000000000044E-2</v>
      </c>
      <c r="H60" s="47">
        <f t="shared" si="60"/>
        <v>5.0000000000000044E-2</v>
      </c>
      <c r="I60" s="47">
        <f t="shared" si="60"/>
        <v>5.0000000000000044E-2</v>
      </c>
      <c r="J60" s="47">
        <f t="shared" si="60"/>
        <v>5.0000000000000044E-2</v>
      </c>
      <c r="K60" s="47">
        <f t="shared" si="60"/>
        <v>5.0000000000000044E-2</v>
      </c>
    </row>
  </sheetData>
  <phoneticPr fontId="4" type="noConversion"/>
  <hyperlinks>
    <hyperlink ref="A4" r:id="rId1" xr:uid="{00000000-0004-0000-0000-000000000000}"/>
    <hyperlink ref="A7" r:id="rId2" xr:uid="{00000000-0004-0000-0000-000001000000}"/>
    <hyperlink ref="A8" r:id="rId3" xr:uid="{00000000-0004-0000-0000-000002000000}"/>
    <hyperlink ref="A1" r:id="rId4" xr:uid="{00000000-0004-0000-0000-000003000000}"/>
    <hyperlink ref="L4" r:id="rId5" xr:uid="{F8532252-781E-2D47-89EC-39C2DE69DD6A}"/>
  </hyperlinks>
  <pageMargins left="0.7" right="0.7" top="0.75" bottom="0.75" header="0.3" footer="0.3"/>
  <pageSetup paperSize="9" orientation="portrait" horizontalDpi="0" verticalDpi="0"/>
  <ignoredErrors>
    <ignoredError sqref="B18" formulaRange="1"/>
  </ignoredError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5"/>
  <sheetViews>
    <sheetView workbookViewId="0">
      <pane xSplit="1" ySplit="2" topLeftCell="O6" activePane="bottomRight" state="frozen"/>
      <selection pane="topRight" activeCell="B1" sqref="B1"/>
      <selection pane="bottomLeft" activeCell="A3" sqref="A3"/>
      <selection pane="bottomRight" activeCell="X32" sqref="X32"/>
    </sheetView>
  </sheetViews>
  <sheetFormatPr baseColWidth="10" defaultRowHeight="13" x14ac:dyDescent="0.15"/>
  <cols>
    <col min="1" max="1" width="23.33203125" style="7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6"/>
    <col min="19" max="21" width="10.83203125" style="7"/>
    <col min="22" max="22" width="10.83203125" style="6"/>
    <col min="23" max="16384" width="10.83203125" style="7"/>
  </cols>
  <sheetData>
    <row r="1" spans="1:23" x14ac:dyDescent="0.15">
      <c r="A1" s="1" t="s">
        <v>69</v>
      </c>
      <c r="B1" s="2" t="s">
        <v>50</v>
      </c>
      <c r="C1" s="2" t="s">
        <v>51</v>
      </c>
      <c r="D1" s="2" t="s">
        <v>52</v>
      </c>
      <c r="E1" s="2" t="s">
        <v>53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42</v>
      </c>
      <c r="O1" s="5" t="s">
        <v>43</v>
      </c>
      <c r="P1" s="5" t="s">
        <v>44</v>
      </c>
      <c r="Q1" s="5" t="s">
        <v>45</v>
      </c>
      <c r="R1" s="4" t="s">
        <v>90</v>
      </c>
      <c r="S1" s="5" t="s">
        <v>91</v>
      </c>
      <c r="T1" s="5" t="s">
        <v>92</v>
      </c>
      <c r="U1" s="5" t="s">
        <v>93</v>
      </c>
      <c r="V1" s="56" t="s">
        <v>104</v>
      </c>
    </row>
    <row r="2" spans="1:23" x14ac:dyDescent="0.15">
      <c r="A2" s="1"/>
      <c r="B2" s="2" t="s">
        <v>54</v>
      </c>
      <c r="C2" s="2" t="s">
        <v>55</v>
      </c>
      <c r="D2" s="2" t="s">
        <v>56</v>
      </c>
      <c r="E2" s="2" t="s">
        <v>57</v>
      </c>
      <c r="F2" s="3" t="s">
        <v>29</v>
      </c>
      <c r="G2" s="2" t="s">
        <v>28</v>
      </c>
      <c r="H2" s="2" t="s">
        <v>27</v>
      </c>
      <c r="I2" s="2" t="s">
        <v>32</v>
      </c>
      <c r="J2" s="3" t="s">
        <v>31</v>
      </c>
      <c r="K2" s="2" t="s">
        <v>30</v>
      </c>
      <c r="L2" s="2" t="s">
        <v>26</v>
      </c>
      <c r="M2" s="2" t="s">
        <v>36</v>
      </c>
      <c r="N2" s="3" t="s">
        <v>46</v>
      </c>
      <c r="O2" s="2" t="s">
        <v>47</v>
      </c>
      <c r="P2" s="2" t="s">
        <v>48</v>
      </c>
      <c r="Q2" s="2" t="s">
        <v>49</v>
      </c>
      <c r="R2" s="3" t="s">
        <v>94</v>
      </c>
      <c r="S2" s="2" t="s">
        <v>95</v>
      </c>
      <c r="T2" s="2" t="s">
        <v>96</v>
      </c>
      <c r="U2" s="2" t="s">
        <v>97</v>
      </c>
      <c r="V2" s="3" t="s">
        <v>105</v>
      </c>
    </row>
    <row r="3" spans="1:23" x14ac:dyDescent="0.15">
      <c r="A3" s="7" t="s">
        <v>106</v>
      </c>
      <c r="R3" s="3"/>
      <c r="S3" s="2"/>
      <c r="T3" s="2"/>
      <c r="U3" s="2"/>
      <c r="V3" s="3">
        <v>5703.3630000000003</v>
      </c>
    </row>
    <row r="4" spans="1:23" x14ac:dyDescent="0.15">
      <c r="A4" s="7" t="s">
        <v>60</v>
      </c>
      <c r="B4" s="5">
        <v>173.2</v>
      </c>
      <c r="C4" s="5">
        <v>164</v>
      </c>
      <c r="D4" s="5">
        <v>157.5</v>
      </c>
      <c r="E4" s="5">
        <v>150.9</v>
      </c>
      <c r="F4" s="4">
        <v>144.69999999999999</v>
      </c>
      <c r="G4" s="5">
        <v>138.69999999999999</v>
      </c>
      <c r="H4" s="5">
        <v>132.30000000000001</v>
      </c>
      <c r="I4" s="5">
        <v>126.4</v>
      </c>
      <c r="J4" s="4">
        <v>120.3</v>
      </c>
      <c r="K4" s="5">
        <v>114.7</v>
      </c>
      <c r="L4" s="5">
        <v>110.2</v>
      </c>
      <c r="M4" s="5">
        <v>105.152</v>
      </c>
      <c r="N4" s="4">
        <v>98.751000000000005</v>
      </c>
      <c r="O4" s="5">
        <v>92.903999999999996</v>
      </c>
      <c r="P4" s="5">
        <v>88.777000000000001</v>
      </c>
      <c r="Q4" s="5">
        <v>85.156999999999996</v>
      </c>
      <c r="R4" s="4">
        <v>81</v>
      </c>
      <c r="S4" s="5">
        <v>76</v>
      </c>
      <c r="T4" s="5">
        <v>72</v>
      </c>
      <c r="U4" s="5">
        <v>68.451999999999998</v>
      </c>
      <c r="V4" s="56">
        <v>64.328000000000003</v>
      </c>
    </row>
    <row r="5" spans="1:23" x14ac:dyDescent="0.15">
      <c r="B5" s="5"/>
      <c r="C5" s="5"/>
      <c r="D5" s="5"/>
      <c r="E5" s="5"/>
      <c r="F5" s="4"/>
      <c r="G5" s="5"/>
      <c r="H5" s="5"/>
      <c r="I5" s="5"/>
      <c r="J5" s="4"/>
      <c r="K5" s="5"/>
      <c r="L5" s="5"/>
      <c r="M5" s="5"/>
      <c r="N5" s="4"/>
      <c r="O5" s="5"/>
      <c r="P5" s="5"/>
      <c r="Q5" s="5"/>
      <c r="R5" s="4"/>
      <c r="S5" s="5"/>
      <c r="T5" s="5"/>
      <c r="U5" s="5"/>
      <c r="V5" s="56"/>
    </row>
    <row r="6" spans="1:23" x14ac:dyDescent="0.15">
      <c r="A6" s="7" t="s">
        <v>58</v>
      </c>
      <c r="B6" s="5">
        <v>984.5</v>
      </c>
      <c r="C6" s="5">
        <v>1025.9000000000001</v>
      </c>
      <c r="D6" s="5">
        <v>1063.9000000000001</v>
      </c>
      <c r="E6" s="5">
        <v>1105.9000000000001</v>
      </c>
      <c r="F6" s="4">
        <v>1161.2</v>
      </c>
      <c r="G6" s="5">
        <v>1208.2</v>
      </c>
      <c r="H6" s="5">
        <v>1304.3</v>
      </c>
      <c r="I6" s="5">
        <v>1403.4</v>
      </c>
      <c r="J6" s="4">
        <v>1470</v>
      </c>
      <c r="K6" s="5">
        <v>1505.4</v>
      </c>
      <c r="L6" s="5">
        <v>1547.2</v>
      </c>
      <c r="M6" s="5">
        <v>1630</v>
      </c>
      <c r="N6" s="4">
        <v>1820.019</v>
      </c>
      <c r="O6" s="5">
        <v>1893.222</v>
      </c>
      <c r="P6" s="5">
        <v>1937.3140000000001</v>
      </c>
      <c r="Q6" s="5">
        <v>1996.0920000000001</v>
      </c>
      <c r="R6" s="4">
        <v>2074</v>
      </c>
      <c r="S6" s="5">
        <v>2299</v>
      </c>
      <c r="T6" s="5">
        <v>2413</v>
      </c>
      <c r="U6" s="5">
        <v>2457.663</v>
      </c>
    </row>
    <row r="7" spans="1:23" x14ac:dyDescent="0.15">
      <c r="A7" s="7" t="s">
        <v>59</v>
      </c>
      <c r="B7" s="5">
        <v>415.3</v>
      </c>
      <c r="C7" s="5">
        <v>454.7</v>
      </c>
      <c r="D7" s="5">
        <v>516.79999999999995</v>
      </c>
      <c r="E7" s="5">
        <v>566.4</v>
      </c>
      <c r="F7" s="4">
        <v>651.70000000000005</v>
      </c>
      <c r="G7" s="5">
        <v>758.2</v>
      </c>
      <c r="H7" s="5">
        <v>853.4</v>
      </c>
      <c r="I7" s="5">
        <v>947.6</v>
      </c>
      <c r="J7" s="4">
        <v>1046.2</v>
      </c>
      <c r="K7" s="5">
        <v>1165.2</v>
      </c>
      <c r="L7" s="5">
        <v>1327.4</v>
      </c>
      <c r="M7" s="5">
        <v>1550</v>
      </c>
      <c r="N7" s="4">
        <v>1782.086</v>
      </c>
      <c r="O7" s="5">
        <v>1921.144</v>
      </c>
      <c r="P7" s="5">
        <v>1973.2829999999999</v>
      </c>
      <c r="Q7" s="5">
        <v>2105.5920000000001</v>
      </c>
      <c r="R7" s="4">
        <v>2367</v>
      </c>
      <c r="S7" s="5">
        <v>2548</v>
      </c>
      <c r="T7" s="5">
        <v>2760</v>
      </c>
      <c r="U7" s="5">
        <v>2941.319</v>
      </c>
    </row>
    <row r="9" spans="1:23" x14ac:dyDescent="0.15">
      <c r="B9" s="5"/>
      <c r="C9" s="5"/>
      <c r="D9" s="5"/>
      <c r="E9" s="5"/>
      <c r="F9" s="4"/>
      <c r="G9" s="5"/>
      <c r="H9" s="5"/>
      <c r="I9" s="5"/>
      <c r="J9" s="4"/>
      <c r="K9" s="5"/>
      <c r="L9" s="5"/>
      <c r="M9" s="5"/>
      <c r="N9" s="4"/>
      <c r="O9" s="5"/>
      <c r="P9" s="5"/>
      <c r="Q9" s="5"/>
      <c r="R9" s="4"/>
      <c r="S9" s="5"/>
      <c r="T9" s="5"/>
      <c r="U9" s="5"/>
    </row>
    <row r="10" spans="1:23" x14ac:dyDescent="0.15">
      <c r="A10" s="8" t="s">
        <v>75</v>
      </c>
      <c r="B10" s="5">
        <f>41+21+6</f>
        <v>68</v>
      </c>
      <c r="C10" s="5">
        <f>42+23+5</f>
        <v>70</v>
      </c>
      <c r="D10" s="5">
        <f>43+26+5</f>
        <v>74</v>
      </c>
      <c r="E10" s="5">
        <f>45+30+5</f>
        <v>80</v>
      </c>
      <c r="F10" s="4">
        <f>47+35+5</f>
        <v>87</v>
      </c>
      <c r="G10" s="5">
        <f>47+36+4</f>
        <v>87</v>
      </c>
      <c r="H10" s="5">
        <f>47+39+4</f>
        <v>90</v>
      </c>
      <c r="I10" s="5">
        <f>49+44+4</f>
        <v>97</v>
      </c>
      <c r="J10" s="4">
        <f>51+48+4</f>
        <v>103</v>
      </c>
      <c r="K10" s="5">
        <f>52+52+4</f>
        <v>108</v>
      </c>
      <c r="L10" s="5">
        <f>53+56+4</f>
        <v>113</v>
      </c>
      <c r="M10" s="5">
        <f>55+63+3</f>
        <v>121</v>
      </c>
      <c r="N10" s="4">
        <f>57+68+3</f>
        <v>128</v>
      </c>
      <c r="O10" s="5">
        <f>57+73+3</f>
        <v>133</v>
      </c>
      <c r="P10" s="5">
        <f>58+79+3</f>
        <v>140</v>
      </c>
      <c r="Q10" s="5">
        <v>139</v>
      </c>
      <c r="R10" s="4">
        <f>60+89+3</f>
        <v>152</v>
      </c>
      <c r="S10" s="5">
        <v>152</v>
      </c>
      <c r="T10" s="5">
        <v>158</v>
      </c>
      <c r="U10" s="5">
        <v>167</v>
      </c>
      <c r="V10" s="56">
        <v>183</v>
      </c>
    </row>
    <row r="11" spans="1:23" x14ac:dyDescent="0.15">
      <c r="A11" s="8" t="s">
        <v>77</v>
      </c>
      <c r="B11" s="9">
        <f>SUM(B3:B8)/B10</f>
        <v>23.132352941176471</v>
      </c>
      <c r="C11" s="9">
        <f>SUM(C3:C8)/C10</f>
        <v>23.494285714285716</v>
      </c>
      <c r="D11" s="9">
        <f>SUM(D3:D8)/D10</f>
        <v>23.48918918918919</v>
      </c>
      <c r="E11" s="9">
        <f>SUM(E3:E8)/E10</f>
        <v>22.790000000000003</v>
      </c>
      <c r="F11" s="9">
        <f t="shared" ref="F11:V11" si="0">SUM(F3:F8)/F10</f>
        <v>22.501149425287359</v>
      </c>
      <c r="G11" s="9">
        <f t="shared" si="0"/>
        <v>24.196551724137937</v>
      </c>
      <c r="H11" s="9">
        <f t="shared" si="0"/>
        <v>25.444444444444443</v>
      </c>
      <c r="I11" s="9">
        <f t="shared" si="0"/>
        <v>25.540206185567012</v>
      </c>
      <c r="J11" s="10">
        <f t="shared" si="0"/>
        <v>25.597087378640776</v>
      </c>
      <c r="K11" s="9">
        <f t="shared" si="0"/>
        <v>25.789814814814818</v>
      </c>
      <c r="L11" s="9">
        <f t="shared" si="0"/>
        <v>26.4141592920354</v>
      </c>
      <c r="M11" s="9">
        <f t="shared" si="0"/>
        <v>27.150016528925619</v>
      </c>
      <c r="N11" s="10">
        <f t="shared" si="0"/>
        <v>28.912937499999998</v>
      </c>
      <c r="O11" s="9">
        <f t="shared" si="0"/>
        <v>29.377969924812032</v>
      </c>
      <c r="P11" s="9">
        <f t="shared" si="0"/>
        <v>28.566957142857142</v>
      </c>
      <c r="Q11" s="9">
        <f t="shared" si="0"/>
        <v>30.121158273381297</v>
      </c>
      <c r="R11" s="10">
        <f t="shared" si="0"/>
        <v>29.75</v>
      </c>
      <c r="S11" s="9">
        <f t="shared" si="0"/>
        <v>32.388157894736842</v>
      </c>
      <c r="T11" s="9">
        <f t="shared" si="0"/>
        <v>33.196202531645568</v>
      </c>
      <c r="U11" s="9">
        <f t="shared" si="0"/>
        <v>32.739125748502993</v>
      </c>
      <c r="V11" s="10">
        <f t="shared" si="0"/>
        <v>31.517437158469949</v>
      </c>
    </row>
    <row r="12" spans="1:23" s="35" customFormat="1" x14ac:dyDescent="0.15">
      <c r="B12" s="54"/>
      <c r="C12" s="54"/>
      <c r="D12" s="54"/>
      <c r="E12" s="54"/>
      <c r="F12" s="55"/>
      <c r="G12" s="54"/>
      <c r="H12" s="54"/>
      <c r="I12" s="51"/>
      <c r="J12" s="55"/>
      <c r="K12" s="54"/>
      <c r="L12" s="54"/>
      <c r="M12" s="54"/>
      <c r="N12" s="55"/>
      <c r="O12" s="54"/>
      <c r="P12" s="54"/>
      <c r="Q12" s="54"/>
      <c r="R12" s="55">
        <v>4521</v>
      </c>
      <c r="S12" s="54">
        <v>4923</v>
      </c>
      <c r="T12" s="54">
        <v>5245</v>
      </c>
      <c r="U12" s="54">
        <v>5467</v>
      </c>
      <c r="V12" s="57">
        <v>5768</v>
      </c>
      <c r="W12" s="35">
        <v>6048</v>
      </c>
    </row>
    <row r="13" spans="1:23" s="11" customFormat="1" x14ac:dyDescent="0.15">
      <c r="A13" s="11" t="s">
        <v>4</v>
      </c>
      <c r="B13" s="12">
        <f>SUM(B6:B8)</f>
        <v>1399.8</v>
      </c>
      <c r="C13" s="12">
        <f t="shared" ref="C13:L13" si="1">SUM(C6:C8)</f>
        <v>1480.6000000000001</v>
      </c>
      <c r="D13" s="12">
        <f t="shared" si="1"/>
        <v>1580.7</v>
      </c>
      <c r="E13" s="12">
        <f t="shared" si="1"/>
        <v>1672.3000000000002</v>
      </c>
      <c r="F13" s="13">
        <f t="shared" si="1"/>
        <v>1812.9</v>
      </c>
      <c r="G13" s="12">
        <f t="shared" si="1"/>
        <v>1966.4</v>
      </c>
      <c r="H13" s="12">
        <f t="shared" si="1"/>
        <v>2157.6999999999998</v>
      </c>
      <c r="I13" s="12">
        <f t="shared" si="1"/>
        <v>2351</v>
      </c>
      <c r="J13" s="13">
        <f>SUM(J6:J8)</f>
        <v>2516.1999999999998</v>
      </c>
      <c r="K13" s="12">
        <f t="shared" si="1"/>
        <v>2670.6000000000004</v>
      </c>
      <c r="L13" s="12">
        <f t="shared" si="1"/>
        <v>2874.6000000000004</v>
      </c>
      <c r="M13" s="12">
        <f>SUM(M6:M8)</f>
        <v>3180</v>
      </c>
      <c r="N13" s="13">
        <f>SUM(N6:N8)</f>
        <v>3602.105</v>
      </c>
      <c r="O13" s="12">
        <f>SUM(O6:O8)</f>
        <v>3814.366</v>
      </c>
      <c r="P13" s="12">
        <f>SUM(P6:P8)</f>
        <v>3910.5969999999998</v>
      </c>
      <c r="Q13" s="12">
        <f>SUM(Q6:Q8)</f>
        <v>4101.6840000000002</v>
      </c>
      <c r="R13" s="13">
        <f>R10*R11</f>
        <v>4522</v>
      </c>
      <c r="S13" s="12">
        <f>S10*S11</f>
        <v>4923</v>
      </c>
      <c r="T13" s="12">
        <f>T10*T11</f>
        <v>5245</v>
      </c>
      <c r="U13" s="12">
        <f>U10*U11</f>
        <v>5467.4340000000002</v>
      </c>
      <c r="V13" s="13">
        <f>V10*V11</f>
        <v>5767.6910000000007</v>
      </c>
    </row>
    <row r="14" spans="1:23" x14ac:dyDescent="0.15">
      <c r="A14" s="7" t="s">
        <v>5</v>
      </c>
      <c r="B14" s="5">
        <v>1046.4000000000001</v>
      </c>
      <c r="C14" s="5">
        <v>1121.7</v>
      </c>
      <c r="D14" s="5">
        <v>1173.9000000000001</v>
      </c>
      <c r="E14" s="5">
        <v>1249.3</v>
      </c>
      <c r="F14" s="4">
        <v>1369.5</v>
      </c>
      <c r="G14" s="5">
        <v>1473</v>
      </c>
      <c r="H14" s="5">
        <v>1532.8</v>
      </c>
      <c r="I14" s="5">
        <v>1654.4</v>
      </c>
      <c r="J14" s="4">
        <v>1657</v>
      </c>
      <c r="K14" s="5">
        <v>1902.3</v>
      </c>
      <c r="L14" s="5">
        <v>1992.9</v>
      </c>
      <c r="M14" s="5">
        <v>2107</v>
      </c>
      <c r="N14" s="4">
        <v>2196.0749999999998</v>
      </c>
      <c r="O14" s="5">
        <v>2289.8670000000002</v>
      </c>
      <c r="P14" s="5">
        <v>2412.346</v>
      </c>
      <c r="Q14" s="5">
        <v>2733.4</v>
      </c>
      <c r="R14" s="4">
        <v>2871</v>
      </c>
      <c r="S14" s="5">
        <v>3006</v>
      </c>
      <c r="T14" s="5">
        <v>3098</v>
      </c>
      <c r="U14" s="5">
        <v>3466</v>
      </c>
      <c r="V14" s="56">
        <v>3599.701</v>
      </c>
    </row>
    <row r="15" spans="1:23" x14ac:dyDescent="0.15">
      <c r="A15" s="7" t="s">
        <v>6</v>
      </c>
      <c r="B15" s="9">
        <f>B13-B14</f>
        <v>353.39999999999986</v>
      </c>
      <c r="C15" s="9">
        <f>C13-C14</f>
        <v>358.90000000000009</v>
      </c>
      <c r="D15" s="9">
        <f>D13-D14</f>
        <v>406.79999999999995</v>
      </c>
      <c r="E15" s="9">
        <f>E13-E14</f>
        <v>423.00000000000023</v>
      </c>
      <c r="F15" s="10">
        <f>F13-F14</f>
        <v>443.40000000000009</v>
      </c>
      <c r="G15" s="9">
        <f t="shared" ref="G15:L15" si="2">G13-G14</f>
        <v>493.40000000000009</v>
      </c>
      <c r="H15" s="9">
        <f t="shared" si="2"/>
        <v>624.89999999999986</v>
      </c>
      <c r="I15" s="9">
        <f t="shared" si="2"/>
        <v>696.59999999999991</v>
      </c>
      <c r="J15" s="10">
        <f t="shared" si="2"/>
        <v>859.19999999999982</v>
      </c>
      <c r="K15" s="9">
        <f t="shared" si="2"/>
        <v>768.30000000000041</v>
      </c>
      <c r="L15" s="9">
        <f t="shared" si="2"/>
        <v>881.70000000000027</v>
      </c>
      <c r="M15" s="9">
        <f t="shared" ref="M15:N15" si="3">M13-M14</f>
        <v>1073</v>
      </c>
      <c r="N15" s="10">
        <f t="shared" si="3"/>
        <v>1406.0300000000002</v>
      </c>
      <c r="O15" s="9">
        <f t="shared" ref="O15" si="4">O13-O14</f>
        <v>1524.4989999999998</v>
      </c>
      <c r="P15" s="9">
        <f t="shared" ref="P15:S15" si="5">P13-P14</f>
        <v>1498.2509999999997</v>
      </c>
      <c r="Q15" s="9">
        <f t="shared" si="5"/>
        <v>1368.2840000000001</v>
      </c>
      <c r="R15" s="10">
        <f t="shared" si="5"/>
        <v>1651</v>
      </c>
      <c r="S15" s="9">
        <f t="shared" si="5"/>
        <v>1917</v>
      </c>
      <c r="T15" s="9">
        <f t="shared" ref="T15:V15" si="6">T13-T14</f>
        <v>2147</v>
      </c>
      <c r="U15" s="9">
        <f t="shared" si="6"/>
        <v>2001.4340000000002</v>
      </c>
      <c r="V15" s="10">
        <f t="shared" si="6"/>
        <v>2167.9900000000007</v>
      </c>
    </row>
    <row r="16" spans="1:23" x14ac:dyDescent="0.15">
      <c r="A16" s="7" t="s">
        <v>7</v>
      </c>
      <c r="B16" s="5">
        <v>143.1</v>
      </c>
      <c r="C16" s="5">
        <v>155</v>
      </c>
      <c r="D16" s="5">
        <v>171.7</v>
      </c>
      <c r="E16" s="5">
        <v>180.8</v>
      </c>
      <c r="F16" s="4">
        <v>203.5</v>
      </c>
      <c r="G16" s="5">
        <v>207.3</v>
      </c>
      <c r="H16" s="5">
        <v>216</v>
      </c>
      <c r="I16" s="5">
        <v>225.1</v>
      </c>
      <c r="J16" s="4">
        <v>257.10000000000002</v>
      </c>
      <c r="K16" s="5">
        <v>267</v>
      </c>
      <c r="L16" s="5">
        <v>255.2</v>
      </c>
      <c r="M16" s="5">
        <v>273.351</v>
      </c>
      <c r="N16" s="4">
        <v>300.73</v>
      </c>
      <c r="O16" s="5">
        <v>317.21300000000002</v>
      </c>
      <c r="P16" s="5">
        <v>327.02600000000001</v>
      </c>
      <c r="Q16" s="5">
        <v>331.78899999999999</v>
      </c>
      <c r="R16" s="4">
        <v>372</v>
      </c>
      <c r="S16" s="5">
        <v>383</v>
      </c>
      <c r="T16" s="5">
        <v>380</v>
      </c>
      <c r="U16" s="5">
        <v>409</v>
      </c>
      <c r="V16" s="56">
        <v>454</v>
      </c>
    </row>
    <row r="17" spans="1:22" x14ac:dyDescent="0.15">
      <c r="A17" s="7" t="s">
        <v>8</v>
      </c>
      <c r="B17" s="5">
        <v>194.6</v>
      </c>
      <c r="C17" s="5">
        <v>197.1</v>
      </c>
      <c r="D17" s="5">
        <v>208.1</v>
      </c>
      <c r="E17" s="5">
        <v>224.1</v>
      </c>
      <c r="F17" s="4">
        <v>208</v>
      </c>
      <c r="G17" s="5">
        <v>216</v>
      </c>
      <c r="H17" s="5">
        <v>282</v>
      </c>
      <c r="I17" s="5">
        <v>284.89999999999998</v>
      </c>
      <c r="J17" s="4">
        <v>271.2</v>
      </c>
      <c r="K17" s="5">
        <v>274.3</v>
      </c>
      <c r="L17" s="5">
        <v>312.39999999999998</v>
      </c>
      <c r="M17" s="5">
        <v>419.93900000000002</v>
      </c>
      <c r="N17" s="4">
        <v>479.22199999999998</v>
      </c>
      <c r="O17" s="5">
        <v>526.78</v>
      </c>
      <c r="P17" s="5">
        <v>435.26900000000001</v>
      </c>
      <c r="Q17" s="5">
        <v>730.35500000000002</v>
      </c>
      <c r="R17" s="4">
        <v>617</v>
      </c>
      <c r="S17" s="5">
        <v>603</v>
      </c>
      <c r="T17" s="5">
        <v>554</v>
      </c>
      <c r="U17" s="5">
        <v>879</v>
      </c>
      <c r="V17" s="56">
        <v>504</v>
      </c>
    </row>
    <row r="18" spans="1:22" x14ac:dyDescent="0.15">
      <c r="A18" s="7" t="s">
        <v>9</v>
      </c>
      <c r="B18" s="5">
        <v>91.4</v>
      </c>
      <c r="C18" s="5">
        <v>95.9</v>
      </c>
      <c r="D18" s="5">
        <v>110.8</v>
      </c>
      <c r="E18" s="5">
        <v>109</v>
      </c>
      <c r="F18" s="4">
        <v>127.2</v>
      </c>
      <c r="G18" s="5">
        <v>138.4</v>
      </c>
      <c r="H18" s="5">
        <v>153.1</v>
      </c>
      <c r="I18" s="5">
        <v>159</v>
      </c>
      <c r="J18" s="4">
        <v>194.2</v>
      </c>
      <c r="K18" s="5">
        <v>213.9</v>
      </c>
      <c r="L18" s="5">
        <v>215.5</v>
      </c>
      <c r="M18" s="5">
        <v>239.80799999999999</v>
      </c>
      <c r="N18" s="4">
        <v>278.25099999999998</v>
      </c>
      <c r="O18" s="5">
        <v>311.197</v>
      </c>
      <c r="P18" s="5">
        <v>344.065</v>
      </c>
      <c r="Q18" s="5">
        <v>175.53</v>
      </c>
      <c r="R18" s="4">
        <v>202</v>
      </c>
      <c r="S18" s="5">
        <v>225</v>
      </c>
      <c r="T18" s="5">
        <v>233</v>
      </c>
      <c r="U18" s="5">
        <v>255</v>
      </c>
      <c r="V18" s="56">
        <v>252</v>
      </c>
    </row>
    <row r="19" spans="1:22" x14ac:dyDescent="0.15">
      <c r="A19" s="7" t="s">
        <v>10</v>
      </c>
      <c r="B19" s="9">
        <f>SUM(B16:B18)</f>
        <v>429.1</v>
      </c>
      <c r="C19" s="9">
        <f>SUM(C16:C18)</f>
        <v>448</v>
      </c>
      <c r="D19" s="9">
        <f>SUM(D16:D18)</f>
        <v>490.59999999999997</v>
      </c>
      <c r="E19" s="9">
        <f>SUM(E16:E18)</f>
        <v>513.9</v>
      </c>
      <c r="F19" s="10">
        <f>SUM(F16:F18)</f>
        <v>538.70000000000005</v>
      </c>
      <c r="G19" s="9">
        <f t="shared" ref="G19:L19" si="7">SUM(G16:G18)</f>
        <v>561.70000000000005</v>
      </c>
      <c r="H19" s="9">
        <f t="shared" si="7"/>
        <v>651.1</v>
      </c>
      <c r="I19" s="9">
        <f t="shared" si="7"/>
        <v>669</v>
      </c>
      <c r="J19" s="10">
        <f t="shared" si="7"/>
        <v>722.5</v>
      </c>
      <c r="K19" s="9">
        <f t="shared" si="7"/>
        <v>755.19999999999993</v>
      </c>
      <c r="L19" s="9">
        <f t="shared" si="7"/>
        <v>783.09999999999991</v>
      </c>
      <c r="M19" s="9">
        <f t="shared" ref="M19:N19" si="8">SUM(M16:M18)</f>
        <v>933.09799999999996</v>
      </c>
      <c r="N19" s="10">
        <f t="shared" si="8"/>
        <v>1058.203</v>
      </c>
      <c r="O19" s="9">
        <f t="shared" ref="O19" si="9">SUM(O16:O18)</f>
        <v>1155.19</v>
      </c>
      <c r="P19" s="9">
        <f t="shared" ref="P19:S19" si="10">SUM(P16:P18)</f>
        <v>1106.3600000000001</v>
      </c>
      <c r="Q19" s="9">
        <f t="shared" si="10"/>
        <v>1237.674</v>
      </c>
      <c r="R19" s="10">
        <f t="shared" si="10"/>
        <v>1191</v>
      </c>
      <c r="S19" s="9">
        <f t="shared" si="10"/>
        <v>1211</v>
      </c>
      <c r="T19" s="9">
        <f t="shared" ref="T19" si="11">SUM(T16:T18)</f>
        <v>1167</v>
      </c>
      <c r="U19" s="9">
        <f>SUM(U16:U18)</f>
        <v>1543</v>
      </c>
      <c r="V19" s="10">
        <f>SUM(V16:V18)</f>
        <v>1210</v>
      </c>
    </row>
    <row r="20" spans="1:22" x14ac:dyDescent="0.15">
      <c r="A20" s="7" t="s">
        <v>11</v>
      </c>
      <c r="B20" s="9">
        <f>B15-B19</f>
        <v>-75.700000000000159</v>
      </c>
      <c r="C20" s="9">
        <f>C15-C19</f>
        <v>-89.099999999999909</v>
      </c>
      <c r="D20" s="9">
        <f>D15-D19</f>
        <v>-83.800000000000011</v>
      </c>
      <c r="E20" s="9">
        <f>E15-E19</f>
        <v>-90.89999999999975</v>
      </c>
      <c r="F20" s="10">
        <f>F15-F19</f>
        <v>-95.299999999999955</v>
      </c>
      <c r="G20" s="9">
        <f t="shared" ref="G20:H20" si="12">G15-G19</f>
        <v>-68.299999999999955</v>
      </c>
      <c r="H20" s="9">
        <f t="shared" si="12"/>
        <v>-26.200000000000159</v>
      </c>
      <c r="I20" s="9">
        <f>I15-I19</f>
        <v>27.599999999999909</v>
      </c>
      <c r="J20" s="10">
        <f>J15-J19</f>
        <v>136.69999999999982</v>
      </c>
      <c r="K20" s="9">
        <f>K15-K19</f>
        <v>13.100000000000477</v>
      </c>
      <c r="L20" s="9">
        <f>L15-L19</f>
        <v>98.600000000000364</v>
      </c>
      <c r="M20" s="9">
        <f t="shared" ref="M20" si="13">M15-M19</f>
        <v>139.90200000000004</v>
      </c>
      <c r="N20" s="10">
        <f t="shared" ref="N20:U20" si="14">N15-N19</f>
        <v>347.82700000000023</v>
      </c>
      <c r="O20" s="9">
        <f t="shared" si="14"/>
        <v>369.30899999999974</v>
      </c>
      <c r="P20" s="9">
        <f t="shared" si="14"/>
        <v>391.89099999999962</v>
      </c>
      <c r="Q20" s="9">
        <f t="shared" si="14"/>
        <v>130.61000000000013</v>
      </c>
      <c r="R20" s="10">
        <f t="shared" si="14"/>
        <v>460</v>
      </c>
      <c r="S20" s="9">
        <f t="shared" si="14"/>
        <v>706</v>
      </c>
      <c r="T20" s="9">
        <f t="shared" si="14"/>
        <v>980</v>
      </c>
      <c r="U20" s="9">
        <f t="shared" si="14"/>
        <v>458.4340000000002</v>
      </c>
      <c r="V20" s="10">
        <f t="shared" ref="V20" si="15">V15-V19</f>
        <v>957.99000000000069</v>
      </c>
    </row>
    <row r="21" spans="1:22" x14ac:dyDescent="0.15">
      <c r="A21" s="7" t="s">
        <v>12</v>
      </c>
      <c r="B21" s="5">
        <f>-26.7-32.2</f>
        <v>-58.900000000000006</v>
      </c>
      <c r="C21" s="5">
        <f>-35.2+0.8</f>
        <v>-34.400000000000006</v>
      </c>
      <c r="D21" s="5">
        <f>-35.3+3.9</f>
        <v>-31.4</v>
      </c>
      <c r="E21" s="5">
        <f>-35.4-3.7</f>
        <v>-39.1</v>
      </c>
      <c r="F21" s="4">
        <f>-35.5+25.9</f>
        <v>-9.6000000000000014</v>
      </c>
      <c r="G21" s="5">
        <f>-35.5+16.3</f>
        <v>-19.2</v>
      </c>
      <c r="H21" s="5">
        <f>-35.5+8.6</f>
        <v>-26.9</v>
      </c>
      <c r="I21" s="5">
        <f>-43.5-20</f>
        <v>-63.5</v>
      </c>
      <c r="J21" s="4">
        <f>-46.7+13.6</f>
        <v>-33.1</v>
      </c>
      <c r="K21" s="5">
        <f>-55.4-58.3</f>
        <v>-113.69999999999999</v>
      </c>
      <c r="L21" s="5">
        <f>-60.6-31.7</f>
        <v>-92.3</v>
      </c>
      <c r="M21" s="5">
        <f>-75.292-38.681</f>
        <v>-113.973</v>
      </c>
      <c r="N21" s="4">
        <f>-81.219-65.743</f>
        <v>-146.96199999999999</v>
      </c>
      <c r="O21" s="5">
        <f>-101.605+68.028</f>
        <v>-33.576999999999998</v>
      </c>
      <c r="P21" s="5">
        <f>-108.862+7.004</f>
        <v>-101.85799999999999</v>
      </c>
      <c r="Q21" s="5">
        <f>-128.807+32.436</f>
        <v>-96.370999999999981</v>
      </c>
      <c r="R21" s="4">
        <f>-136+76</f>
        <v>-60</v>
      </c>
      <c r="S21" s="5">
        <f>+-152-53</f>
        <v>-205</v>
      </c>
      <c r="T21" s="5">
        <f>-160+193</f>
        <v>33</v>
      </c>
      <c r="U21" s="5">
        <f>-178-131</f>
        <v>-309</v>
      </c>
      <c r="V21" s="6">
        <f>+-184+22</f>
        <v>-162</v>
      </c>
    </row>
    <row r="22" spans="1:22" x14ac:dyDescent="0.15">
      <c r="A22" s="7" t="s">
        <v>13</v>
      </c>
      <c r="B22" s="9">
        <f>B20+B21</f>
        <v>-134.60000000000016</v>
      </c>
      <c r="C22" s="9">
        <f>C20+C21</f>
        <v>-123.49999999999991</v>
      </c>
      <c r="D22" s="9">
        <f>D20+D21</f>
        <v>-115.20000000000002</v>
      </c>
      <c r="E22" s="9">
        <f>E20+E21</f>
        <v>-129.99999999999974</v>
      </c>
      <c r="F22" s="10">
        <f>F20+F21</f>
        <v>-104.89999999999995</v>
      </c>
      <c r="G22" s="9">
        <f t="shared" ref="G22:I22" si="16">G20+G21</f>
        <v>-87.499999999999957</v>
      </c>
      <c r="H22" s="9">
        <f t="shared" si="16"/>
        <v>-53.100000000000158</v>
      </c>
      <c r="I22" s="9">
        <f t="shared" si="16"/>
        <v>-35.900000000000091</v>
      </c>
      <c r="J22" s="10">
        <f t="shared" ref="J22:K22" si="17">J20+J21</f>
        <v>103.59999999999982</v>
      </c>
      <c r="K22" s="9">
        <f t="shared" si="17"/>
        <v>-100.59999999999951</v>
      </c>
      <c r="L22" s="9">
        <f t="shared" ref="L22:N22" si="18">L20+L21</f>
        <v>6.3000000000003666</v>
      </c>
      <c r="M22" s="9">
        <f t="shared" si="18"/>
        <v>25.929000000000045</v>
      </c>
      <c r="N22" s="10">
        <f t="shared" si="18"/>
        <v>200.86500000000024</v>
      </c>
      <c r="O22" s="9">
        <f t="shared" ref="O22" si="19">O20+O21</f>
        <v>335.73199999999974</v>
      </c>
      <c r="P22" s="9">
        <f t="shared" ref="P22:S22" si="20">P20+P21</f>
        <v>290.03299999999962</v>
      </c>
      <c r="Q22" s="9">
        <f t="shared" si="20"/>
        <v>34.239000000000146</v>
      </c>
      <c r="R22" s="10">
        <f t="shared" si="20"/>
        <v>400</v>
      </c>
      <c r="S22" s="9">
        <f t="shared" si="20"/>
        <v>501</v>
      </c>
      <c r="T22" s="9">
        <f>T20+T21</f>
        <v>1013</v>
      </c>
      <c r="U22" s="9">
        <f>U20+U21</f>
        <v>149.4340000000002</v>
      </c>
      <c r="V22" s="10">
        <f>V20+V21</f>
        <v>795.99000000000069</v>
      </c>
    </row>
    <row r="23" spans="1:22" x14ac:dyDescent="0.15">
      <c r="A23" s="7" t="s">
        <v>14</v>
      </c>
      <c r="B23" s="5">
        <v>14.7</v>
      </c>
      <c r="C23" s="5">
        <v>14.1</v>
      </c>
      <c r="D23" s="5">
        <v>12.8</v>
      </c>
      <c r="E23" s="5">
        <v>-22.4</v>
      </c>
      <c r="F23" s="4">
        <v>12.2</v>
      </c>
      <c r="G23" s="5">
        <v>10.4</v>
      </c>
      <c r="H23" s="5">
        <v>27.6</v>
      </c>
      <c r="I23" s="5">
        <v>23.5</v>
      </c>
      <c r="J23" s="4">
        <v>45.6</v>
      </c>
      <c r="K23" s="5">
        <v>-51.6</v>
      </c>
      <c r="L23" s="5">
        <v>-13.3</v>
      </c>
      <c r="M23" s="5">
        <v>-54.186999999999998</v>
      </c>
      <c r="N23" s="4">
        <v>9.4920000000000009</v>
      </c>
      <c r="O23" s="5">
        <v>44.286999999999999</v>
      </c>
      <c r="P23" s="5">
        <v>-24.024999999999999</v>
      </c>
      <c r="Q23" s="5">
        <v>-14.538</v>
      </c>
      <c r="R23" s="4">
        <v>56</v>
      </c>
      <c r="S23" s="5">
        <v>230</v>
      </c>
      <c r="T23" s="5">
        <v>347</v>
      </c>
      <c r="U23" s="5">
        <v>-438</v>
      </c>
      <c r="V23" s="56">
        <v>87</v>
      </c>
    </row>
    <row r="24" spans="1:22" s="11" customFormat="1" x14ac:dyDescent="0.15">
      <c r="A24" s="11" t="s">
        <v>15</v>
      </c>
      <c r="B24" s="12">
        <f>B22-B23</f>
        <v>-149.30000000000015</v>
      </c>
      <c r="C24" s="12">
        <f>C22-C23</f>
        <v>-137.59999999999991</v>
      </c>
      <c r="D24" s="12">
        <f>D22-D23</f>
        <v>-128.00000000000003</v>
      </c>
      <c r="E24" s="12">
        <f>E22-E23</f>
        <v>-107.59999999999974</v>
      </c>
      <c r="F24" s="13">
        <f>F22-F23</f>
        <v>-117.09999999999995</v>
      </c>
      <c r="G24" s="12">
        <f t="shared" ref="G24:H24" si="21">G22-G23</f>
        <v>-97.899999999999963</v>
      </c>
      <c r="H24" s="12">
        <f t="shared" si="21"/>
        <v>-80.700000000000159</v>
      </c>
      <c r="I24" s="12">
        <f>I22-I23</f>
        <v>-59.400000000000091</v>
      </c>
      <c r="J24" s="13">
        <f>J22-J23</f>
        <v>57.999999999999822</v>
      </c>
      <c r="K24" s="12">
        <f>K22-K23</f>
        <v>-48.99999999999951</v>
      </c>
      <c r="L24" s="12">
        <f>L22-L23</f>
        <v>19.600000000000367</v>
      </c>
      <c r="M24" s="12">
        <f t="shared" ref="M24" si="22">M22-M23</f>
        <v>80.116000000000042</v>
      </c>
      <c r="N24" s="13">
        <f t="shared" ref="N24:V24" si="23">N22-N23</f>
        <v>191.37300000000025</v>
      </c>
      <c r="O24" s="12">
        <f t="shared" si="23"/>
        <v>291.44499999999977</v>
      </c>
      <c r="P24" s="12">
        <f t="shared" si="23"/>
        <v>314.05799999999959</v>
      </c>
      <c r="Q24" s="12">
        <f t="shared" si="23"/>
        <v>48.777000000000143</v>
      </c>
      <c r="R24" s="13">
        <f t="shared" si="23"/>
        <v>344</v>
      </c>
      <c r="S24" s="12">
        <f t="shared" si="23"/>
        <v>271</v>
      </c>
      <c r="T24" s="12">
        <f t="shared" si="23"/>
        <v>666</v>
      </c>
      <c r="U24" s="12">
        <f t="shared" si="23"/>
        <v>587.4340000000002</v>
      </c>
      <c r="V24" s="13">
        <f t="shared" si="23"/>
        <v>708.99000000000069</v>
      </c>
    </row>
    <row r="25" spans="1:22" x14ac:dyDescent="0.15">
      <c r="A25" s="7" t="s">
        <v>16</v>
      </c>
      <c r="B25" s="14">
        <f t="shared" ref="B25:H25" si="24">IFERROR(B24/B26,0)</f>
        <v>-0.34416781927155404</v>
      </c>
      <c r="C25" s="14">
        <f t="shared" si="24"/>
        <v>-0.31559633027522915</v>
      </c>
      <c r="D25" s="14">
        <f t="shared" si="24"/>
        <v>-0.29250457038391231</v>
      </c>
      <c r="E25" s="14">
        <f t="shared" si="24"/>
        <v>-0.24554997717936955</v>
      </c>
      <c r="F25" s="15">
        <f t="shared" si="24"/>
        <v>-0.26741265129024883</v>
      </c>
      <c r="G25" s="14">
        <f t="shared" si="24"/>
        <v>-0.22346496233736579</v>
      </c>
      <c r="H25" s="14">
        <f t="shared" si="24"/>
        <v>-0.18412046543463417</v>
      </c>
      <c r="I25" s="14">
        <f t="shared" ref="I25:L25" si="25">IFERROR(I24/I26,0)</f>
        <v>-0.1350000000000002</v>
      </c>
      <c r="J25" s="15">
        <f t="shared" si="25"/>
        <v>0.13022002694207416</v>
      </c>
      <c r="K25" s="14">
        <f t="shared" si="25"/>
        <v>-0.10981622590766363</v>
      </c>
      <c r="L25" s="14">
        <f t="shared" si="25"/>
        <v>4.3818466353678441E-2</v>
      </c>
      <c r="M25" s="14">
        <f t="shared" ref="M25:N25" si="26">IFERROR(M24/M26,0)</f>
        <v>0.17877369226718326</v>
      </c>
      <c r="N25" s="15">
        <f t="shared" si="26"/>
        <v>0.42493433016771121</v>
      </c>
      <c r="O25" s="14">
        <f t="shared" ref="O25" si="27">IFERROR(O24/O26,0)</f>
        <v>0.64542954078378512</v>
      </c>
      <c r="P25" s="14">
        <f t="shared" ref="P25:S25" si="28">IFERROR(P24/P26,0)</f>
        <v>0.69494312033793582</v>
      </c>
      <c r="Q25" s="14">
        <f t="shared" si="28"/>
        <v>0.10812518287979177</v>
      </c>
      <c r="R25" s="15">
        <f t="shared" si="28"/>
        <v>0.76119330326914814</v>
      </c>
      <c r="S25" s="14">
        <f t="shared" si="28"/>
        <v>0.59929897499972362</v>
      </c>
      <c r="T25" s="14">
        <f t="shared" ref="T25:V25" si="29">IFERROR(T24/T26,0)</f>
        <v>1.474913188292821</v>
      </c>
      <c r="U25" s="14">
        <f t="shared" si="29"/>
        <v>1.3014553567274527</v>
      </c>
      <c r="V25" s="15">
        <f t="shared" si="29"/>
        <v>1.5668495051868105</v>
      </c>
    </row>
    <row r="26" spans="1:22" x14ac:dyDescent="0.15">
      <c r="A26" s="7" t="s">
        <v>17</v>
      </c>
      <c r="B26" s="5">
        <v>433.8</v>
      </c>
      <c r="C26" s="5">
        <v>436</v>
      </c>
      <c r="D26" s="5">
        <v>437.6</v>
      </c>
      <c r="E26" s="5">
        <v>438.2</v>
      </c>
      <c r="F26" s="4">
        <v>437.9</v>
      </c>
      <c r="G26" s="5">
        <v>438.1</v>
      </c>
      <c r="H26" s="5">
        <v>438.3</v>
      </c>
      <c r="I26" s="5">
        <v>440</v>
      </c>
      <c r="J26" s="4">
        <v>445.4</v>
      </c>
      <c r="K26" s="5">
        <v>446.2</v>
      </c>
      <c r="L26" s="5">
        <v>447.3</v>
      </c>
      <c r="M26" s="5">
        <v>448.142</v>
      </c>
      <c r="N26" s="4">
        <v>450.35899999999998</v>
      </c>
      <c r="O26" s="5">
        <v>451.55200000000002</v>
      </c>
      <c r="P26" s="5">
        <v>451.91899999999998</v>
      </c>
      <c r="Q26" s="5">
        <v>451.11599999999999</v>
      </c>
      <c r="R26" s="4">
        <v>451.92200000000003</v>
      </c>
      <c r="S26" s="5">
        <v>452.19499999999999</v>
      </c>
      <c r="T26" s="5">
        <v>451.55200000000002</v>
      </c>
      <c r="U26" s="5">
        <v>451.36700000000002</v>
      </c>
      <c r="V26" s="4">
        <v>452.49400000000003</v>
      </c>
    </row>
    <row r="27" spans="1:22" x14ac:dyDescent="0.15">
      <c r="B27" s="5"/>
      <c r="C27" s="5"/>
      <c r="D27" s="5"/>
      <c r="E27" s="5"/>
      <c r="F27" s="4"/>
      <c r="G27" s="5"/>
      <c r="H27" s="5"/>
      <c r="I27" s="5"/>
      <c r="J27" s="4"/>
      <c r="K27" s="5"/>
      <c r="L27" s="5"/>
      <c r="M27" s="5"/>
      <c r="N27" s="4"/>
      <c r="O27" s="5"/>
      <c r="P27" s="5"/>
      <c r="Q27" s="5"/>
      <c r="R27" s="4"/>
      <c r="S27" s="5"/>
      <c r="T27" s="5"/>
      <c r="U27" s="5"/>
    </row>
    <row r="28" spans="1:22" x14ac:dyDescent="0.15">
      <c r="A28" s="7" t="s">
        <v>19</v>
      </c>
      <c r="B28" s="20">
        <f t="shared" ref="B28:Q28" si="30">IFERROR(B15/B13,0)</f>
        <v>0.25246463780540068</v>
      </c>
      <c r="C28" s="20">
        <f t="shared" si="30"/>
        <v>0.24240172902877216</v>
      </c>
      <c r="D28" s="20">
        <f t="shared" si="30"/>
        <v>0.25735433668627822</v>
      </c>
      <c r="E28" s="20">
        <f t="shared" si="30"/>
        <v>0.25294504574538074</v>
      </c>
      <c r="F28" s="21">
        <f t="shared" si="30"/>
        <v>0.24458050637100781</v>
      </c>
      <c r="G28" s="20">
        <f t="shared" si="30"/>
        <v>0.25091537835638733</v>
      </c>
      <c r="H28" s="20">
        <f t="shared" si="30"/>
        <v>0.28961394077026459</v>
      </c>
      <c r="I28" s="20">
        <f t="shared" si="30"/>
        <v>0.29629944704381111</v>
      </c>
      <c r="J28" s="21">
        <f t="shared" si="30"/>
        <v>0.34146729194817577</v>
      </c>
      <c r="K28" s="20">
        <f t="shared" si="30"/>
        <v>0.28768815996405311</v>
      </c>
      <c r="L28" s="20">
        <f t="shared" si="30"/>
        <v>0.30672093508662079</v>
      </c>
      <c r="M28" s="20">
        <f t="shared" si="30"/>
        <v>0.33742138364779872</v>
      </c>
      <c r="N28" s="21">
        <f t="shared" si="30"/>
        <v>0.39033565095964728</v>
      </c>
      <c r="O28" s="20">
        <f t="shared" si="30"/>
        <v>0.39967297317562073</v>
      </c>
      <c r="P28" s="20">
        <f t="shared" si="30"/>
        <v>0.38312590123707452</v>
      </c>
      <c r="Q28" s="20">
        <f t="shared" si="30"/>
        <v>0.33359078856391666</v>
      </c>
      <c r="R28" s="21">
        <f t="shared" ref="R28:U28" si="31">IFERROR(R15/R13,0)</f>
        <v>0.36510393631136667</v>
      </c>
      <c r="S28" s="20">
        <f t="shared" si="31"/>
        <v>0.38939670932358317</v>
      </c>
      <c r="T28" s="20">
        <f t="shared" si="31"/>
        <v>0.40934223069590087</v>
      </c>
      <c r="U28" s="20">
        <f t="shared" si="31"/>
        <v>0.36606459264071595</v>
      </c>
      <c r="V28" s="21">
        <f t="shared" ref="V28" si="32">IFERROR(V15/V13,0)</f>
        <v>0.37588525460188493</v>
      </c>
    </row>
    <row r="29" spans="1:22" x14ac:dyDescent="0.15">
      <c r="A29" s="7" t="s">
        <v>20</v>
      </c>
      <c r="B29" s="22">
        <f t="shared" ref="B29:Q29" si="33">IFERROR(B20/B13,0)</f>
        <v>-5.4079154164880815E-2</v>
      </c>
      <c r="C29" s="22">
        <f t="shared" si="33"/>
        <v>-6.0178306092124746E-2</v>
      </c>
      <c r="D29" s="22">
        <f t="shared" si="33"/>
        <v>-5.3014487252483082E-2</v>
      </c>
      <c r="E29" s="22">
        <f t="shared" si="33"/>
        <v>-5.4356275787836958E-2</v>
      </c>
      <c r="F29" s="23">
        <f t="shared" si="33"/>
        <v>-5.2567709195212066E-2</v>
      </c>
      <c r="G29" s="22">
        <f t="shared" si="33"/>
        <v>-3.4733523189585003E-2</v>
      </c>
      <c r="H29" s="22">
        <f t="shared" si="33"/>
        <v>-1.2142559206562618E-2</v>
      </c>
      <c r="I29" s="22">
        <f t="shared" si="33"/>
        <v>1.1739685240323228E-2</v>
      </c>
      <c r="J29" s="23">
        <f t="shared" si="33"/>
        <v>5.4327954852555371E-2</v>
      </c>
      <c r="K29" s="22">
        <f t="shared" si="33"/>
        <v>4.9052647345167663E-3</v>
      </c>
      <c r="L29" s="22">
        <f t="shared" si="33"/>
        <v>3.4300424406874121E-2</v>
      </c>
      <c r="M29" s="22">
        <f t="shared" si="33"/>
        <v>4.3994339622641522E-2</v>
      </c>
      <c r="N29" s="23">
        <f t="shared" si="33"/>
        <v>9.6562149076720477E-2</v>
      </c>
      <c r="O29" s="22">
        <f t="shared" si="33"/>
        <v>9.6820546324081047E-2</v>
      </c>
      <c r="P29" s="22">
        <f t="shared" si="33"/>
        <v>0.10021257623835943</v>
      </c>
      <c r="Q29" s="22">
        <f t="shared" si="33"/>
        <v>3.1843018623570252E-2</v>
      </c>
      <c r="R29" s="23">
        <f t="shared" ref="R29:T29" si="34">IFERROR(R20/R13,0)</f>
        <v>0.10172490048651039</v>
      </c>
      <c r="S29" s="22">
        <f t="shared" si="34"/>
        <v>0.14340849075766809</v>
      </c>
      <c r="T29" s="22">
        <f t="shared" si="34"/>
        <v>0.18684461391801716</v>
      </c>
      <c r="U29" s="22">
        <f>IFERROR(U20/U13,0)</f>
        <v>8.3848108637433971E-2</v>
      </c>
      <c r="V29" s="23">
        <f>IFERROR(V20/V13,0)</f>
        <v>0.16609592989638325</v>
      </c>
    </row>
    <row r="30" spans="1:22" x14ac:dyDescent="0.15">
      <c r="A30" s="7" t="s">
        <v>21</v>
      </c>
      <c r="B30" s="22">
        <f t="shared" ref="B30:Q30" si="35">IFERROR(B23/B22,0)</f>
        <v>-0.1092124814264486</v>
      </c>
      <c r="C30" s="22">
        <f t="shared" si="35"/>
        <v>-0.11417004048583003</v>
      </c>
      <c r="D30" s="22">
        <f t="shared" si="35"/>
        <v>-0.1111111111111111</v>
      </c>
      <c r="E30" s="22">
        <f t="shared" si="35"/>
        <v>0.17230769230769263</v>
      </c>
      <c r="F30" s="23">
        <f t="shared" si="35"/>
        <v>-0.11630123927550053</v>
      </c>
      <c r="G30" s="22">
        <f t="shared" si="35"/>
        <v>-0.11885714285714293</v>
      </c>
      <c r="H30" s="22">
        <f t="shared" si="35"/>
        <v>-0.51977401129943346</v>
      </c>
      <c r="I30" s="22">
        <f t="shared" si="35"/>
        <v>-0.65459610027854986</v>
      </c>
      <c r="J30" s="23">
        <f t="shared" si="35"/>
        <v>0.44015444015444094</v>
      </c>
      <c r="K30" s="22">
        <f t="shared" si="35"/>
        <v>0.51292246520875007</v>
      </c>
      <c r="L30" s="22">
        <f t="shared" si="35"/>
        <v>-2.1111111111109881</v>
      </c>
      <c r="M30" s="22">
        <f t="shared" si="35"/>
        <v>-2.0898222067954761</v>
      </c>
      <c r="N30" s="23">
        <f t="shared" si="35"/>
        <v>4.7255619445896443E-2</v>
      </c>
      <c r="O30" s="22">
        <f t="shared" si="35"/>
        <v>0.13191176295378465</v>
      </c>
      <c r="P30" s="22">
        <f t="shared" si="35"/>
        <v>-8.2835401488796201E-2</v>
      </c>
      <c r="Q30" s="22">
        <f t="shared" si="35"/>
        <v>-0.42460352229913079</v>
      </c>
      <c r="R30" s="23">
        <f t="shared" ref="R30:T30" si="36">IFERROR(R23/R22,0)</f>
        <v>0.14000000000000001</v>
      </c>
      <c r="S30" s="22">
        <f t="shared" si="36"/>
        <v>0.45908183632734528</v>
      </c>
      <c r="T30" s="22">
        <f t="shared" si="36"/>
        <v>0.34254689042448172</v>
      </c>
      <c r="U30" s="22">
        <f>IFERROR(U23/U22,0)</f>
        <v>-2.9310598658939693</v>
      </c>
      <c r="V30" s="23">
        <f>IFERROR(V23/V22,0)</f>
        <v>0.10929785550069715</v>
      </c>
    </row>
    <row r="31" spans="1:22" x14ac:dyDescent="0.15">
      <c r="R31" s="3"/>
      <c r="S31" s="2"/>
      <c r="T31" s="2"/>
      <c r="U31" s="2"/>
      <c r="V31" s="3"/>
    </row>
    <row r="32" spans="1:22" s="11" customFormat="1" x14ac:dyDescent="0.15">
      <c r="A32" s="11" t="s">
        <v>18</v>
      </c>
      <c r="B32" s="16"/>
      <c r="C32" s="16"/>
      <c r="D32" s="16"/>
      <c r="E32" s="16"/>
      <c r="F32" s="17">
        <f>IFERROR((F13/B13)-1,0)</f>
        <v>0.29511358765537943</v>
      </c>
      <c r="G32" s="16">
        <f>IFERROR((G13/C13)-1,0)</f>
        <v>0.32811022558422254</v>
      </c>
      <c r="H32" s="16">
        <f t="shared" ref="H32" si="37">IFERROR((H13/D13)-1,0)</f>
        <v>0.36502815208451933</v>
      </c>
      <c r="I32" s="16">
        <f>IFERROR((I13/E13)-1,0)</f>
        <v>0.40584823297255257</v>
      </c>
      <c r="J32" s="17">
        <f>IFERROR((J13/F13)-1,0)</f>
        <v>0.38794197142699516</v>
      </c>
      <c r="K32" s="16">
        <f t="shared" ref="K32" si="38">IFERROR((K13/G13)-1,0)</f>
        <v>0.3581163547599675</v>
      </c>
      <c r="L32" s="16">
        <f>IFERROR((L13/H13)-1,0)</f>
        <v>0.33225193493071359</v>
      </c>
      <c r="M32" s="16">
        <f t="shared" ref="M32" si="39">IFERROR((M13/I13)-1,0)</f>
        <v>0.3526159081242024</v>
      </c>
      <c r="N32" s="17">
        <f>IFERROR((N13/J13)-1,0)</f>
        <v>0.43156545584611727</v>
      </c>
      <c r="O32" s="16">
        <f t="shared" ref="O32" si="40">IFERROR((O13/K13)-1,0)</f>
        <v>0.42828053620909134</v>
      </c>
      <c r="P32" s="16">
        <f>IFERROR((P13/L13)-1,0)</f>
        <v>0.36039692478953578</v>
      </c>
      <c r="Q32" s="16">
        <f>IFERROR((Q13/M13)-1,0)</f>
        <v>0.2898377358490567</v>
      </c>
      <c r="R32" s="17">
        <f>IFERROR((R13/N13)-1,0)</f>
        <v>0.25537706424437934</v>
      </c>
      <c r="S32" s="16">
        <f t="shared" ref="S32" si="41">IFERROR((S13/O13)-1,0)</f>
        <v>0.29064699087607226</v>
      </c>
      <c r="T32" s="16">
        <f>IFERROR((T13/P13)-1,0)</f>
        <v>0.34122743918639542</v>
      </c>
      <c r="U32" s="16">
        <f>IFERROR((U13/Q13)-1,0)</f>
        <v>0.33297299353143739</v>
      </c>
      <c r="V32" s="17">
        <f>IFERROR((V13/R13)-1,0)</f>
        <v>0.27547346306943843</v>
      </c>
    </row>
    <row r="33" spans="1:22" x14ac:dyDescent="0.15">
      <c r="A33" s="7" t="s">
        <v>61</v>
      </c>
      <c r="B33" s="18"/>
      <c r="C33" s="18"/>
      <c r="D33" s="18"/>
      <c r="E33" s="18"/>
      <c r="F33" s="19">
        <f t="shared" ref="F33:Q35" si="42">F16/B16-1</f>
        <v>0.42208245981830883</v>
      </c>
      <c r="G33" s="18">
        <f t="shared" si="42"/>
        <v>0.33741935483870966</v>
      </c>
      <c r="H33" s="18">
        <f t="shared" si="42"/>
        <v>0.25800815375655217</v>
      </c>
      <c r="I33" s="18">
        <f t="shared" si="42"/>
        <v>0.24502212389380529</v>
      </c>
      <c r="J33" s="19">
        <f t="shared" si="42"/>
        <v>0.26339066339066353</v>
      </c>
      <c r="K33" s="18">
        <f t="shared" si="42"/>
        <v>0.28798842257597679</v>
      </c>
      <c r="L33" s="18">
        <f t="shared" si="42"/>
        <v>0.18148148148148135</v>
      </c>
      <c r="M33" s="18">
        <f t="shared" si="42"/>
        <v>0.21435362061306096</v>
      </c>
      <c r="N33" s="19">
        <f t="shared" si="42"/>
        <v>0.16970050563982886</v>
      </c>
      <c r="O33" s="18">
        <f t="shared" si="42"/>
        <v>0.18806367041198513</v>
      </c>
      <c r="P33" s="18">
        <f t="shared" si="42"/>
        <v>0.28144984326018818</v>
      </c>
      <c r="Q33" s="18">
        <f t="shared" si="42"/>
        <v>0.21378374324586336</v>
      </c>
      <c r="R33" s="19">
        <f t="shared" ref="R33:R35" si="43">R16/N16-1</f>
        <v>0.2369899910218467</v>
      </c>
      <c r="S33" s="18">
        <f t="shared" ref="S33:S35" si="44">S16/O16-1</f>
        <v>0.20739061766068856</v>
      </c>
      <c r="T33" s="18">
        <f t="shared" ref="T33:T35" si="45">T16/P16-1</f>
        <v>0.16198712029012974</v>
      </c>
      <c r="U33" s="18">
        <f t="shared" ref="U33:V35" si="46">U16/Q16-1</f>
        <v>0.23271115076147808</v>
      </c>
      <c r="V33" s="19">
        <f t="shared" si="46"/>
        <v>0.22043010752688175</v>
      </c>
    </row>
    <row r="34" spans="1:22" x14ac:dyDescent="0.15">
      <c r="A34" s="7" t="s">
        <v>62</v>
      </c>
      <c r="B34" s="18"/>
      <c r="C34" s="18"/>
      <c r="D34" s="18"/>
      <c r="E34" s="18"/>
      <c r="F34" s="19">
        <f t="shared" si="42"/>
        <v>6.8859198355601281E-2</v>
      </c>
      <c r="G34" s="18">
        <f t="shared" si="42"/>
        <v>9.5890410958904049E-2</v>
      </c>
      <c r="H34" s="18">
        <f t="shared" si="42"/>
        <v>0.35511773185968298</v>
      </c>
      <c r="I34" s="18">
        <f t="shared" si="42"/>
        <v>0.27130745203034357</v>
      </c>
      <c r="J34" s="19">
        <f t="shared" si="42"/>
        <v>0.30384615384615388</v>
      </c>
      <c r="K34" s="18">
        <f t="shared" si="42"/>
        <v>0.26990740740740748</v>
      </c>
      <c r="L34" s="18">
        <f t="shared" si="42"/>
        <v>0.10780141843971625</v>
      </c>
      <c r="M34" s="18">
        <f t="shared" si="42"/>
        <v>0.47398736398736419</v>
      </c>
      <c r="N34" s="19">
        <f t="shared" si="42"/>
        <v>0.76704277286135691</v>
      </c>
      <c r="O34" s="18">
        <f t="shared" si="42"/>
        <v>0.9204520597885526</v>
      </c>
      <c r="P34" s="18">
        <f t="shared" si="42"/>
        <v>0.39330665813060195</v>
      </c>
      <c r="Q34" s="18">
        <f t="shared" si="42"/>
        <v>0.73919307327969053</v>
      </c>
      <c r="R34" s="19">
        <f t="shared" si="43"/>
        <v>0.28750349524854868</v>
      </c>
      <c r="S34" s="18">
        <f t="shared" si="44"/>
        <v>0.14469038308212157</v>
      </c>
      <c r="T34" s="18">
        <f t="shared" si="45"/>
        <v>0.27277614532622363</v>
      </c>
      <c r="U34" s="18">
        <f t="shared" si="46"/>
        <v>0.20352431351876832</v>
      </c>
      <c r="V34" s="19">
        <f t="shared" si="46"/>
        <v>-0.18314424635332249</v>
      </c>
    </row>
    <row r="35" spans="1:22" x14ac:dyDescent="0.15">
      <c r="A35" s="7" t="s">
        <v>74</v>
      </c>
      <c r="B35" s="18"/>
      <c r="C35" s="18"/>
      <c r="D35" s="18"/>
      <c r="E35" s="18"/>
      <c r="F35" s="19">
        <f t="shared" si="42"/>
        <v>0.39168490153172852</v>
      </c>
      <c r="G35" s="18">
        <f t="shared" si="42"/>
        <v>0.44316996871741399</v>
      </c>
      <c r="H35" s="18">
        <f t="shared" si="42"/>
        <v>0.38176895306859193</v>
      </c>
      <c r="I35" s="18">
        <f t="shared" si="42"/>
        <v>0.45871559633027514</v>
      </c>
      <c r="J35" s="19">
        <f t="shared" si="42"/>
        <v>0.52672955974842761</v>
      </c>
      <c r="K35" s="18">
        <f t="shared" si="42"/>
        <v>0.54552023121387272</v>
      </c>
      <c r="L35" s="18">
        <f t="shared" si="42"/>
        <v>0.40757674722403658</v>
      </c>
      <c r="M35" s="18">
        <f t="shared" si="42"/>
        <v>0.50822641509433963</v>
      </c>
      <c r="N35" s="19">
        <f t="shared" si="42"/>
        <v>0.43280638516992798</v>
      </c>
      <c r="O35" s="18">
        <f t="shared" si="42"/>
        <v>0.45487143525011686</v>
      </c>
      <c r="P35" s="18">
        <f t="shared" si="42"/>
        <v>0.59658932714617174</v>
      </c>
      <c r="Q35" s="18">
        <f t="shared" si="42"/>
        <v>-0.26803943154523613</v>
      </c>
      <c r="R35" s="19">
        <f t="shared" si="43"/>
        <v>-0.27403675099101166</v>
      </c>
      <c r="S35" s="18">
        <f t="shared" si="44"/>
        <v>-0.2769853179818571</v>
      </c>
      <c r="T35" s="18">
        <f t="shared" si="45"/>
        <v>-0.32280237745774776</v>
      </c>
      <c r="U35" s="18">
        <f t="shared" si="46"/>
        <v>0.45274312083404555</v>
      </c>
      <c r="V35" s="19">
        <f t="shared" si="46"/>
        <v>0.24752475247524752</v>
      </c>
    </row>
    <row r="36" spans="1:22" x14ac:dyDescent="0.15">
      <c r="R36" s="3"/>
      <c r="S36" s="2"/>
      <c r="T36" s="2"/>
      <c r="U36" s="2"/>
      <c r="V36" s="3"/>
    </row>
    <row r="37" spans="1:22" s="11" customFormat="1" x14ac:dyDescent="0.15">
      <c r="A37" s="11" t="s">
        <v>33</v>
      </c>
      <c r="B37" s="12">
        <f>B38-B39</f>
        <v>557.59999999999991</v>
      </c>
      <c r="C37" s="12">
        <f>C38-C39</f>
        <v>396.60000000000036</v>
      </c>
      <c r="D37" s="12">
        <f>D38-D39</f>
        <v>209.59999999999991</v>
      </c>
      <c r="E37" s="12">
        <f>E38-E39</f>
        <v>-60.700000000000273</v>
      </c>
      <c r="F37" s="13">
        <f>F38-F39</f>
        <v>-299.79999999999973</v>
      </c>
      <c r="G37" s="12">
        <f t="shared" ref="G37:K37" si="47">G38-G39</f>
        <v>-538.79999999999995</v>
      </c>
      <c r="H37" s="12">
        <f t="shared" si="47"/>
        <v>-1030.7</v>
      </c>
      <c r="I37" s="12">
        <f t="shared" si="47"/>
        <v>-1630.6000000000001</v>
      </c>
      <c r="J37" s="13">
        <f t="shared" si="47"/>
        <v>-2024.2000000000003</v>
      </c>
      <c r="K37" s="12">
        <f t="shared" si="47"/>
        <v>-2671.7</v>
      </c>
      <c r="L37" s="12">
        <f>L38-L39</f>
        <v>-3142.2999999999997</v>
      </c>
      <c r="M37" s="12">
        <f t="shared" ref="M37:N37" si="48">M38-M39</f>
        <v>-3677</v>
      </c>
      <c r="N37" s="13">
        <f t="shared" si="48"/>
        <v>-3948.7069999999994</v>
      </c>
      <c r="O37" s="12">
        <f>O38-O39</f>
        <v>-4435.7099999999991</v>
      </c>
      <c r="P37" s="12">
        <f>P38-P39</f>
        <v>-5269.0519999999997</v>
      </c>
      <c r="Q37" s="12">
        <f>Q38-Q39</f>
        <v>-6565.5750000000007</v>
      </c>
      <c r="R37" s="13">
        <f t="shared" ref="R37" si="49">R38-R39</f>
        <v>-6956</v>
      </c>
      <c r="S37" s="12">
        <f>S38-S39</f>
        <v>-7590</v>
      </c>
      <c r="T37" s="12">
        <f>T38-T39</f>
        <v>-7991</v>
      </c>
      <c r="U37" s="12">
        <f>U38-U39</f>
        <v>-9741</v>
      </c>
      <c r="V37" s="13">
        <f>V38-V39</f>
        <v>-9518</v>
      </c>
    </row>
    <row r="38" spans="1:22" x14ac:dyDescent="0.15">
      <c r="A38" s="7" t="s">
        <v>34</v>
      </c>
      <c r="B38" s="5">
        <f>2454.7+502.9</f>
        <v>2957.6</v>
      </c>
      <c r="C38" s="5">
        <f>2293.8+502.8</f>
        <v>2796.6000000000004</v>
      </c>
      <c r="D38" s="5">
        <f>2115.4+494.2</f>
        <v>2609.6</v>
      </c>
      <c r="E38" s="5">
        <f>1809.3+501.3</f>
        <v>2310.6</v>
      </c>
      <c r="F38" s="4">
        <f>1605.2+467.2</f>
        <v>2072.4</v>
      </c>
      <c r="G38" s="5">
        <f>1390.9+443.3</f>
        <v>1834.2</v>
      </c>
      <c r="H38" s="5">
        <f>969.1+374.1</f>
        <v>1343.2</v>
      </c>
      <c r="I38" s="5">
        <f>1467.5+266.2</f>
        <v>1733.7</v>
      </c>
      <c r="J38" s="4">
        <f>1077.8+263.4</f>
        <v>1341.1999999999998</v>
      </c>
      <c r="K38" s="5">
        <f>1918.7+246.1</f>
        <v>2164.8000000000002</v>
      </c>
      <c r="L38" s="5">
        <v>1746.4</v>
      </c>
      <c r="M38" s="5">
        <v>2822</v>
      </c>
      <c r="N38" s="4">
        <v>2593.6660000000002</v>
      </c>
      <c r="O38" s="5">
        <v>3906.357</v>
      </c>
      <c r="P38" s="5">
        <v>3067.5340000000001</v>
      </c>
      <c r="Q38" s="5">
        <v>3794.4830000000002</v>
      </c>
      <c r="R38" s="4">
        <v>3349</v>
      </c>
      <c r="S38" s="5">
        <v>5004</v>
      </c>
      <c r="T38" s="5">
        <v>4435</v>
      </c>
      <c r="U38" s="5">
        <v>5018</v>
      </c>
      <c r="V38" s="4">
        <v>5152</v>
      </c>
    </row>
    <row r="39" spans="1:22" x14ac:dyDescent="0.15">
      <c r="A39" s="7" t="s">
        <v>35</v>
      </c>
      <c r="B39" s="5">
        <v>2400</v>
      </c>
      <c r="C39" s="5">
        <v>2400</v>
      </c>
      <c r="D39" s="5">
        <v>2400</v>
      </c>
      <c r="E39" s="5">
        <v>2371.3000000000002</v>
      </c>
      <c r="F39" s="4">
        <v>2372.1999999999998</v>
      </c>
      <c r="G39" s="5">
        <v>2373</v>
      </c>
      <c r="H39" s="5">
        <v>2373.9</v>
      </c>
      <c r="I39" s="5">
        <v>3364.3</v>
      </c>
      <c r="J39" s="4">
        <v>3365.4</v>
      </c>
      <c r="K39" s="5">
        <v>4836.5</v>
      </c>
      <c r="L39" s="5">
        <v>4888.7</v>
      </c>
      <c r="M39" s="5">
        <v>6499</v>
      </c>
      <c r="N39" s="4">
        <v>6542.3729999999996</v>
      </c>
      <c r="O39" s="5">
        <v>8342.0669999999991</v>
      </c>
      <c r="P39" s="5">
        <v>8336.5859999999993</v>
      </c>
      <c r="Q39" s="5">
        <v>10360.058000000001</v>
      </c>
      <c r="R39" s="4">
        <v>10305</v>
      </c>
      <c r="S39" s="5">
        <v>12594</v>
      </c>
      <c r="T39" s="5">
        <v>12426</v>
      </c>
      <c r="U39" s="5">
        <v>14759</v>
      </c>
      <c r="V39" s="4">
        <f>499+14171</f>
        <v>14670</v>
      </c>
    </row>
    <row r="40" spans="1:22" x14ac:dyDescent="0.15">
      <c r="R40" s="3"/>
      <c r="S40" s="2"/>
      <c r="T40" s="2"/>
      <c r="U40" s="2"/>
      <c r="V40" s="3"/>
    </row>
    <row r="41" spans="1:22" s="29" customFormat="1" x14ac:dyDescent="0.15">
      <c r="A41" s="29" t="s">
        <v>80</v>
      </c>
      <c r="B41" s="5"/>
      <c r="C41" s="5"/>
      <c r="D41" s="5"/>
      <c r="E41" s="5"/>
      <c r="F41" s="4"/>
      <c r="G41" s="5"/>
      <c r="H41" s="5"/>
      <c r="I41" s="5"/>
      <c r="J41" s="4"/>
      <c r="K41" s="5"/>
      <c r="L41" s="5"/>
      <c r="M41" s="5">
        <v>10371.055</v>
      </c>
      <c r="N41" s="4"/>
      <c r="O41" s="5"/>
      <c r="P41" s="5"/>
      <c r="Q41" s="5">
        <v>14960.954</v>
      </c>
      <c r="R41" s="4"/>
      <c r="S41" s="5"/>
      <c r="T41" s="5"/>
      <c r="U41" s="5">
        <v>24505</v>
      </c>
      <c r="V41" s="4">
        <v>25267</v>
      </c>
    </row>
    <row r="42" spans="1:22" s="29" customFormat="1" x14ac:dyDescent="0.15">
      <c r="A42" s="29" t="s">
        <v>81</v>
      </c>
      <c r="B42" s="5"/>
      <c r="C42" s="5"/>
      <c r="D42" s="5"/>
      <c r="E42" s="5"/>
      <c r="F42" s="4"/>
      <c r="G42" s="5"/>
      <c r="H42" s="5"/>
      <c r="I42" s="5"/>
      <c r="J42" s="4"/>
      <c r="K42" s="5"/>
      <c r="L42" s="5"/>
      <c r="M42" s="5">
        <v>19012.741999999998</v>
      </c>
      <c r="N42" s="4"/>
      <c r="O42" s="5"/>
      <c r="P42" s="5"/>
      <c r="Q42" s="5">
        <v>25974.400000000001</v>
      </c>
      <c r="R42" s="4"/>
      <c r="S42" s="5"/>
      <c r="T42" s="5"/>
      <c r="U42" s="5">
        <v>33976</v>
      </c>
      <c r="V42" s="4">
        <v>35060</v>
      </c>
    </row>
    <row r="43" spans="1:22" s="29" customFormat="1" x14ac:dyDescent="0.15">
      <c r="A43" s="29" t="s">
        <v>82</v>
      </c>
      <c r="B43" s="5"/>
      <c r="C43" s="5"/>
      <c r="D43" s="5"/>
      <c r="E43" s="5"/>
      <c r="F43" s="4"/>
      <c r="G43" s="5"/>
      <c r="H43" s="5"/>
      <c r="I43" s="5"/>
      <c r="J43" s="4"/>
      <c r="K43" s="5"/>
      <c r="L43" s="5"/>
      <c r="M43" s="5">
        <v>15430.786</v>
      </c>
      <c r="N43" s="4"/>
      <c r="O43" s="5"/>
      <c r="P43" s="5"/>
      <c r="Q43" s="5">
        <v>20735.634999999998</v>
      </c>
      <c r="R43" s="4"/>
      <c r="S43" s="5"/>
      <c r="T43" s="5"/>
      <c r="U43" s="5">
        <v>26394</v>
      </c>
      <c r="V43" s="4">
        <v>26651</v>
      </c>
    </row>
    <row r="44" spans="1:22" x14ac:dyDescent="0.15">
      <c r="R44" s="3"/>
      <c r="S44" s="2"/>
      <c r="T44" s="2"/>
      <c r="U44" s="2"/>
      <c r="V44" s="3"/>
    </row>
    <row r="45" spans="1:22" x14ac:dyDescent="0.15">
      <c r="A45" s="7" t="s">
        <v>83</v>
      </c>
      <c r="M45" s="9">
        <f>M42-M41-M38</f>
        <v>5819.6869999999981</v>
      </c>
      <c r="Q45" s="9">
        <f>Q42-Q41-Q38</f>
        <v>7218.9630000000016</v>
      </c>
      <c r="R45" s="3"/>
      <c r="S45" s="2"/>
      <c r="T45" s="2"/>
      <c r="U45" s="9">
        <f>U42-U41-U38</f>
        <v>4453</v>
      </c>
      <c r="V45" s="10">
        <f>V42-V41-V38</f>
        <v>4641</v>
      </c>
    </row>
    <row r="46" spans="1:22" x14ac:dyDescent="0.15">
      <c r="A46" s="7" t="s">
        <v>84</v>
      </c>
      <c r="M46" s="9">
        <f>M42-M43</f>
        <v>3581.9559999999983</v>
      </c>
      <c r="Q46" s="9">
        <f>Q42-Q43</f>
        <v>5238.7650000000031</v>
      </c>
      <c r="R46" s="3"/>
      <c r="S46" s="2"/>
      <c r="T46" s="2"/>
      <c r="U46" s="9">
        <f>U42-U43</f>
        <v>7582</v>
      </c>
      <c r="V46" s="10">
        <f>V42-V43</f>
        <v>8409</v>
      </c>
    </row>
    <row r="47" spans="1:22" x14ac:dyDescent="0.15">
      <c r="R47" s="3"/>
      <c r="S47" s="2"/>
      <c r="T47" s="2"/>
      <c r="U47" s="2"/>
      <c r="V47" s="3"/>
    </row>
    <row r="48" spans="1:22" s="11" customFormat="1" x14ac:dyDescent="0.15">
      <c r="A48" s="11" t="s">
        <v>85</v>
      </c>
      <c r="B48" s="49"/>
      <c r="C48" s="49"/>
      <c r="D48" s="49"/>
      <c r="E48" s="12">
        <f t="shared" ref="E48:Q48" si="50">SUM(B24:E24)</f>
        <v>-522.49999999999977</v>
      </c>
      <c r="F48" s="13">
        <f t="shared" si="50"/>
        <v>-490.29999999999961</v>
      </c>
      <c r="G48" s="12">
        <f t="shared" si="50"/>
        <v>-450.59999999999968</v>
      </c>
      <c r="H48" s="12">
        <f t="shared" si="50"/>
        <v>-403.29999999999984</v>
      </c>
      <c r="I48" s="12">
        <f t="shared" si="50"/>
        <v>-355.10000000000014</v>
      </c>
      <c r="J48" s="13">
        <f t="shared" si="50"/>
        <v>-180.0000000000004</v>
      </c>
      <c r="K48" s="12">
        <f t="shared" si="50"/>
        <v>-131.09999999999994</v>
      </c>
      <c r="L48" s="12">
        <f t="shared" si="50"/>
        <v>-30.799999999999411</v>
      </c>
      <c r="M48" s="12">
        <f t="shared" si="50"/>
        <v>108.71600000000072</v>
      </c>
      <c r="N48" s="13">
        <f t="shared" si="50"/>
        <v>242.08900000000114</v>
      </c>
      <c r="O48" s="12">
        <f t="shared" si="50"/>
        <v>582.53400000000033</v>
      </c>
      <c r="P48" s="12">
        <f t="shared" si="50"/>
        <v>876.99199999999951</v>
      </c>
      <c r="Q48" s="12">
        <f t="shared" si="50"/>
        <v>845.65299999999968</v>
      </c>
      <c r="R48" s="13">
        <f t="shared" ref="R48" si="51">SUM(O24:R24)</f>
        <v>998.27999999999952</v>
      </c>
      <c r="S48" s="12">
        <f t="shared" ref="S48" si="52">SUM(P24:S24)</f>
        <v>977.83499999999981</v>
      </c>
      <c r="T48" s="12">
        <f t="shared" ref="T48" si="53">SUM(Q24:T24)</f>
        <v>1329.777</v>
      </c>
      <c r="U48" s="12">
        <f t="shared" ref="U48:V48" si="54">SUM(R24:U24)</f>
        <v>1868.4340000000002</v>
      </c>
      <c r="V48" s="13">
        <f t="shared" si="54"/>
        <v>2233.4240000000009</v>
      </c>
    </row>
    <row r="49" spans="1:22" x14ac:dyDescent="0.15">
      <c r="A49" s="7" t="s">
        <v>86</v>
      </c>
      <c r="M49" s="20">
        <f>M48/M46</f>
        <v>3.0351014920339828E-2</v>
      </c>
      <c r="Q49" s="20">
        <f>Q48/Q46</f>
        <v>0.16142220542436991</v>
      </c>
      <c r="R49" s="3"/>
      <c r="S49" s="2"/>
      <c r="T49" s="2"/>
      <c r="U49" s="20">
        <f>U48/U46</f>
        <v>0.24643022949089952</v>
      </c>
      <c r="V49" s="21">
        <f>V48/V46</f>
        <v>0.26559923891069104</v>
      </c>
    </row>
    <row r="50" spans="1:22" x14ac:dyDescent="0.15">
      <c r="A50" s="7" t="s">
        <v>87</v>
      </c>
      <c r="M50" s="20">
        <f>M48/M42</f>
        <v>5.7180600252189151E-3</v>
      </c>
      <c r="Q50" s="20">
        <f>Q48/Q42</f>
        <v>3.2557171676727843E-2</v>
      </c>
      <c r="R50" s="3"/>
      <c r="S50" s="2"/>
      <c r="T50" s="2"/>
      <c r="U50" s="20">
        <f>U48/U42</f>
        <v>5.4992759595008246E-2</v>
      </c>
      <c r="V50" s="21">
        <f>V48/V42</f>
        <v>6.3702909298345725E-2</v>
      </c>
    </row>
    <row r="51" spans="1:22" x14ac:dyDescent="0.15">
      <c r="A51" s="7" t="s">
        <v>88</v>
      </c>
      <c r="M51" s="20">
        <f>M48/(M46-M41)</f>
        <v>-1.6013317820229266E-2</v>
      </c>
      <c r="Q51" s="20">
        <f>Q48/(Q46-Q41)</f>
        <v>-8.6981748657632557E-2</v>
      </c>
      <c r="R51" s="3"/>
      <c r="S51" s="2"/>
      <c r="T51" s="2"/>
      <c r="U51" s="20">
        <f>U48/(U46-U41)</f>
        <v>-0.11040796549075224</v>
      </c>
      <c r="V51" s="21">
        <f>V48/(V46-V41)</f>
        <v>-0.13248451773638634</v>
      </c>
    </row>
    <row r="52" spans="1:22" x14ac:dyDescent="0.15">
      <c r="A52" s="7" t="s">
        <v>89</v>
      </c>
      <c r="M52" s="20">
        <f>M48/M45</f>
        <v>1.8680729736839929E-2</v>
      </c>
      <c r="Q52" s="20">
        <f>Q48/Q45</f>
        <v>0.11714327944332163</v>
      </c>
      <c r="R52" s="3"/>
      <c r="S52" s="2"/>
      <c r="T52" s="2"/>
      <c r="U52" s="20">
        <f>U48/U45</f>
        <v>0.41958993936671912</v>
      </c>
      <c r="V52" s="21">
        <f>V48/V45</f>
        <v>0.48123766429648801</v>
      </c>
    </row>
    <row r="53" spans="1:22" x14ac:dyDescent="0.15">
      <c r="R53" s="3"/>
      <c r="S53" s="2"/>
      <c r="T53" s="2"/>
      <c r="U53" s="2"/>
      <c r="V53" s="3"/>
    </row>
    <row r="54" spans="1:22" x14ac:dyDescent="0.15">
      <c r="A54" s="8" t="s">
        <v>76</v>
      </c>
      <c r="C54" s="18"/>
      <c r="D54" s="18"/>
      <c r="E54" s="18"/>
      <c r="F54" s="19">
        <f>F10/B10-1</f>
        <v>0.27941176470588225</v>
      </c>
      <c r="G54" s="18">
        <f t="shared" ref="G54:Q54" si="55">G10/C10-1</f>
        <v>0.24285714285714288</v>
      </c>
      <c r="H54" s="18">
        <f t="shared" si="55"/>
        <v>0.21621621621621623</v>
      </c>
      <c r="I54" s="18">
        <f t="shared" si="55"/>
        <v>0.21249999999999991</v>
      </c>
      <c r="J54" s="19">
        <f t="shared" si="55"/>
        <v>0.18390804597701149</v>
      </c>
      <c r="K54" s="18">
        <f t="shared" si="55"/>
        <v>0.24137931034482762</v>
      </c>
      <c r="L54" s="18">
        <f t="shared" si="55"/>
        <v>0.25555555555555554</v>
      </c>
      <c r="M54" s="18">
        <f t="shared" si="55"/>
        <v>0.24742268041237114</v>
      </c>
      <c r="N54" s="19">
        <f t="shared" si="55"/>
        <v>0.24271844660194164</v>
      </c>
      <c r="O54" s="18">
        <f t="shared" si="55"/>
        <v>0.2314814814814814</v>
      </c>
      <c r="P54" s="18">
        <f t="shared" si="55"/>
        <v>0.23893805309734506</v>
      </c>
      <c r="Q54" s="18">
        <f t="shared" si="55"/>
        <v>0.14876033057851235</v>
      </c>
      <c r="R54" s="19">
        <f t="shared" ref="R54:R55" si="56">R10/N10-1</f>
        <v>0.1875</v>
      </c>
      <c r="S54" s="18">
        <f t="shared" ref="S54:S55" si="57">S10/O10-1</f>
        <v>0.14285714285714279</v>
      </c>
      <c r="T54" s="18">
        <f t="shared" ref="T54:T55" si="58">T10/P10-1</f>
        <v>0.12857142857142856</v>
      </c>
      <c r="U54" s="18">
        <f t="shared" ref="U54:V55" si="59">U10/Q10-1</f>
        <v>0.20143884892086339</v>
      </c>
      <c r="V54" s="19">
        <f t="shared" si="59"/>
        <v>0.20394736842105265</v>
      </c>
    </row>
    <row r="55" spans="1:22" x14ac:dyDescent="0.15">
      <c r="A55" s="8" t="s">
        <v>78</v>
      </c>
      <c r="B55" s="24"/>
      <c r="C55" s="24"/>
      <c r="D55" s="24"/>
      <c r="E55" s="24"/>
      <c r="F55" s="19">
        <f>F11/B11-1</f>
        <v>-2.7286610985670423E-2</v>
      </c>
      <c r="G55" s="18">
        <f t="shared" ref="G55:Q55" si="60">G11/C11-1</f>
        <v>2.9890928304545428E-2</v>
      </c>
      <c r="H55" s="18">
        <f t="shared" si="60"/>
        <v>8.3240644856108936E-2</v>
      </c>
      <c r="I55" s="18">
        <f t="shared" si="60"/>
        <v>0.12067600638731935</v>
      </c>
      <c r="J55" s="19">
        <f t="shared" si="60"/>
        <v>0.13759021349701017</v>
      </c>
      <c r="K55" s="18">
        <f t="shared" si="60"/>
        <v>6.5846700341498643E-2</v>
      </c>
      <c r="L55" s="18">
        <f t="shared" si="60"/>
        <v>3.8111063879120666E-2</v>
      </c>
      <c r="M55" s="18">
        <f t="shared" si="60"/>
        <v>6.3030436467984563E-2</v>
      </c>
      <c r="N55" s="19">
        <f t="shared" si="60"/>
        <v>0.12954013369998107</v>
      </c>
      <c r="O55" s="18">
        <f t="shared" si="60"/>
        <v>0.13913070472828748</v>
      </c>
      <c r="P55" s="18">
        <f t="shared" si="60"/>
        <v>8.1501660795650244E-2</v>
      </c>
      <c r="Q55" s="18">
        <f t="shared" si="60"/>
        <v>0.10943425177256239</v>
      </c>
      <c r="R55" s="19">
        <f t="shared" si="56"/>
        <v>2.895113995248666E-2</v>
      </c>
      <c r="S55" s="18">
        <f t="shared" si="57"/>
        <v>0.10246412456779286</v>
      </c>
      <c r="T55" s="18">
        <f t="shared" si="58"/>
        <v>0.16204894926815538</v>
      </c>
      <c r="U55" s="18">
        <f t="shared" si="59"/>
        <v>8.6914568535541692E-2</v>
      </c>
      <c r="V55" s="19">
        <f t="shared" si="59"/>
        <v>5.940965238554452E-2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2021-01-22T12:23:41Z</dcterms:modified>
</cp:coreProperties>
</file>