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1"/>
  <workbookPr/>
  <mc:AlternateContent xmlns:mc="http://schemas.openxmlformats.org/markup-compatibility/2006">
    <mc:Choice Requires="x15">
      <x15ac:absPath xmlns:x15ac="http://schemas.microsoft.com/office/spreadsheetml/2010/11/ac" url="/Users/michaelsjoeberg/Dropbox/_PROJECTS/_investing/stocks/"/>
    </mc:Choice>
  </mc:AlternateContent>
  <xr:revisionPtr revIDLastSave="0" documentId="13_ncr:1_{4A0E49B0-B713-4F4F-9A8C-D27DBB11F650}" xr6:coauthVersionLast="46" xr6:coauthVersionMax="46" xr10:uidLastSave="{00000000-0000-0000-0000-000000000000}"/>
  <bookViews>
    <workbookView xWindow="-68240" yWindow="-5940" windowWidth="28660" windowHeight="26980" tabRatio="500" xr2:uid="{00000000-000D-0000-FFFF-FFFF00000000}"/>
  </bookViews>
  <sheets>
    <sheet name="Main" sheetId="2" r:id="rId1"/>
    <sheet name="Reports" sheetId="1" r:id="rId2"/>
    <sheet name="Products" sheetId="3" r:id="rId3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" i="2" l="1"/>
  <c r="F35" i="2"/>
  <c r="G35" i="2"/>
  <c r="I13" i="2"/>
  <c r="J13" i="2" s="1"/>
  <c r="K13" i="2" s="1"/>
  <c r="H13" i="2"/>
  <c r="I14" i="2"/>
  <c r="J14" i="2" s="1"/>
  <c r="K14" i="2" s="1"/>
  <c r="H14" i="2"/>
  <c r="H20" i="2"/>
  <c r="I20" i="2" s="1"/>
  <c r="J20" i="2" s="1"/>
  <c r="K20" i="2" s="1"/>
  <c r="G20" i="2"/>
  <c r="I19" i="2"/>
  <c r="J19" i="2" s="1"/>
  <c r="K19" i="2" s="1"/>
  <c r="H19" i="2"/>
  <c r="G19" i="2"/>
  <c r="G24" i="2"/>
  <c r="G18" i="2"/>
  <c r="G17" i="2"/>
  <c r="G16" i="2"/>
  <c r="G22" i="2"/>
  <c r="W20" i="1"/>
  <c r="H16" i="2"/>
  <c r="E35" i="2"/>
  <c r="D35" i="2"/>
  <c r="C35" i="2"/>
  <c r="H21" i="2"/>
  <c r="I21" i="2" s="1"/>
  <c r="J21" i="2" s="1"/>
  <c r="K21" i="2" s="1"/>
  <c r="G21" i="2"/>
  <c r="C5" i="2"/>
  <c r="C3" i="2"/>
  <c r="G57" i="2"/>
  <c r="G58" i="2"/>
  <c r="H61" i="2"/>
  <c r="G61" i="2"/>
  <c r="F61" i="2"/>
  <c r="E61" i="2"/>
  <c r="D61" i="2"/>
  <c r="C61" i="2"/>
  <c r="G13" i="2"/>
  <c r="G11" i="2"/>
  <c r="G10" i="2"/>
  <c r="G14" i="2" s="1"/>
  <c r="Y28" i="1"/>
  <c r="Y9" i="1"/>
  <c r="Y7" i="1"/>
  <c r="Y6" i="1"/>
  <c r="Y4" i="1"/>
  <c r="Y3" i="1"/>
  <c r="Y52" i="1"/>
  <c r="Y51" i="1"/>
  <c r="Y55" i="1"/>
  <c r="Y54" i="1"/>
  <c r="F63" i="2"/>
  <c r="F64" i="2" s="1"/>
  <c r="E63" i="2"/>
  <c r="E64" i="2" s="1"/>
  <c r="D63" i="2"/>
  <c r="D64" i="2" s="1"/>
  <c r="C63" i="2"/>
  <c r="C64" i="2" s="1"/>
  <c r="B63" i="2"/>
  <c r="F13" i="2"/>
  <c r="F60" i="2" s="1"/>
  <c r="F11" i="2"/>
  <c r="F10" i="2"/>
  <c r="E13" i="2"/>
  <c r="E60" i="2" s="1"/>
  <c r="E11" i="2"/>
  <c r="E10" i="2"/>
  <c r="D13" i="2"/>
  <c r="D60" i="2" s="1"/>
  <c r="D11" i="2"/>
  <c r="D10" i="2"/>
  <c r="D14" i="2" s="1"/>
  <c r="C13" i="2"/>
  <c r="C60" i="2" s="1"/>
  <c r="C24" i="2"/>
  <c r="C21" i="2"/>
  <c r="C20" i="2"/>
  <c r="C19" i="2"/>
  <c r="C17" i="2"/>
  <c r="C11" i="2"/>
  <c r="C10" i="2"/>
  <c r="B29" i="2"/>
  <c r="B26" i="2"/>
  <c r="B24" i="2"/>
  <c r="B21" i="2"/>
  <c r="B20" i="2"/>
  <c r="B19" i="2"/>
  <c r="B17" i="2"/>
  <c r="B13" i="2"/>
  <c r="B11" i="2"/>
  <c r="B10" i="2"/>
  <c r="B14" i="2" s="1"/>
  <c r="B16" i="2" s="1"/>
  <c r="B17" i="1"/>
  <c r="B9" i="1"/>
  <c r="B7" i="1"/>
  <c r="F52" i="1"/>
  <c r="F51" i="1"/>
  <c r="J52" i="1"/>
  <c r="J51" i="1"/>
  <c r="G52" i="1"/>
  <c r="G51" i="1"/>
  <c r="C17" i="1"/>
  <c r="C9" i="1"/>
  <c r="C7" i="1"/>
  <c r="F17" i="1"/>
  <c r="F9" i="1"/>
  <c r="F7" i="1"/>
  <c r="H52" i="1"/>
  <c r="H51" i="1"/>
  <c r="K52" i="1"/>
  <c r="K51" i="1"/>
  <c r="D17" i="1"/>
  <c r="G17" i="1"/>
  <c r="G7" i="1"/>
  <c r="G9" i="1" s="1"/>
  <c r="D9" i="1"/>
  <c r="D7" i="1"/>
  <c r="I52" i="1"/>
  <c r="I51" i="1"/>
  <c r="L52" i="1"/>
  <c r="L51" i="1"/>
  <c r="E38" i="1"/>
  <c r="E35" i="1"/>
  <c r="E17" i="1"/>
  <c r="E9" i="1"/>
  <c r="E7" i="1"/>
  <c r="H17" i="1"/>
  <c r="H14" i="1"/>
  <c r="H9" i="1"/>
  <c r="H7" i="1"/>
  <c r="I54" i="1"/>
  <c r="H54" i="1"/>
  <c r="G54" i="1"/>
  <c r="F54" i="1"/>
  <c r="I58" i="1"/>
  <c r="H58" i="1"/>
  <c r="G58" i="1"/>
  <c r="F58" i="1"/>
  <c r="M52" i="1"/>
  <c r="M51" i="1"/>
  <c r="N52" i="1"/>
  <c r="N51" i="1"/>
  <c r="O52" i="1"/>
  <c r="P52" i="1"/>
  <c r="P51" i="1"/>
  <c r="Q52" i="1"/>
  <c r="Q51" i="1"/>
  <c r="R52" i="1"/>
  <c r="R51" i="1"/>
  <c r="S51" i="1"/>
  <c r="S52" i="1"/>
  <c r="T52" i="1"/>
  <c r="U52" i="1"/>
  <c r="V52" i="1"/>
  <c r="W52" i="1"/>
  <c r="X52" i="1"/>
  <c r="X51" i="1"/>
  <c r="M55" i="1"/>
  <c r="I17" i="1"/>
  <c r="I9" i="1"/>
  <c r="I7" i="1"/>
  <c r="M17" i="1"/>
  <c r="M9" i="1"/>
  <c r="M7" i="1"/>
  <c r="Q55" i="1" s="1"/>
  <c r="M54" i="1"/>
  <c r="L54" i="1"/>
  <c r="K54" i="1"/>
  <c r="J54" i="1"/>
  <c r="N55" i="1"/>
  <c r="N54" i="1"/>
  <c r="M58" i="1"/>
  <c r="L58" i="1"/>
  <c r="K58" i="1"/>
  <c r="J58" i="1"/>
  <c r="I38" i="1"/>
  <c r="J17" i="1"/>
  <c r="N17" i="1"/>
  <c r="N58" i="1"/>
  <c r="J7" i="1"/>
  <c r="J9" i="1" s="1"/>
  <c r="N7" i="1"/>
  <c r="N9" i="1" s="1"/>
  <c r="O58" i="1"/>
  <c r="O55" i="1"/>
  <c r="O54" i="1"/>
  <c r="K17" i="1"/>
  <c r="O17" i="1"/>
  <c r="K7" i="1"/>
  <c r="K9" i="1" s="1"/>
  <c r="O7" i="1"/>
  <c r="O9" i="1" s="1"/>
  <c r="M38" i="1"/>
  <c r="M35" i="1"/>
  <c r="L17" i="1"/>
  <c r="P17" i="1"/>
  <c r="L9" i="1"/>
  <c r="P9" i="1"/>
  <c r="P58" i="1"/>
  <c r="P54" i="1"/>
  <c r="L7" i="1"/>
  <c r="P7" i="1"/>
  <c r="Q38" i="1"/>
  <c r="Q35" i="1"/>
  <c r="Q54" i="1"/>
  <c r="Q58" i="1"/>
  <c r="Q17" i="1"/>
  <c r="U58" i="1"/>
  <c r="X58" i="1"/>
  <c r="W58" i="1"/>
  <c r="V58" i="1"/>
  <c r="U55" i="1"/>
  <c r="U54" i="1"/>
  <c r="U17" i="1"/>
  <c r="X9" i="1"/>
  <c r="W9" i="1"/>
  <c r="V9" i="1"/>
  <c r="U9" i="1"/>
  <c r="T9" i="1"/>
  <c r="S9" i="1"/>
  <c r="R9" i="1"/>
  <c r="Q9" i="1"/>
  <c r="U7" i="1"/>
  <c r="Q7" i="1"/>
  <c r="X38" i="1"/>
  <c r="X35" i="1"/>
  <c r="U38" i="1"/>
  <c r="U35" i="1"/>
  <c r="W38" i="1"/>
  <c r="W35" i="1"/>
  <c r="V38" i="1"/>
  <c r="V35" i="1"/>
  <c r="R17" i="1"/>
  <c r="V17" i="1"/>
  <c r="R58" i="1"/>
  <c r="R54" i="1"/>
  <c r="V54" i="1"/>
  <c r="R7" i="1"/>
  <c r="R55" i="1" s="1"/>
  <c r="V7" i="1"/>
  <c r="V55" i="1" s="1"/>
  <c r="W54" i="1"/>
  <c r="X54" i="1"/>
  <c r="W55" i="1"/>
  <c r="X55" i="1"/>
  <c r="W7" i="1"/>
  <c r="S17" i="1"/>
  <c r="S54" i="1"/>
  <c r="S58" i="1"/>
  <c r="S7" i="1"/>
  <c r="T54" i="1"/>
  <c r="T58" i="1"/>
  <c r="T7" i="1"/>
  <c r="X7" i="1"/>
  <c r="T17" i="1"/>
  <c r="W17" i="1"/>
  <c r="X17" i="1"/>
  <c r="I61" i="2" l="1"/>
  <c r="I16" i="2"/>
  <c r="J16" i="2"/>
  <c r="J61" i="2"/>
  <c r="E14" i="2"/>
  <c r="E16" i="2" s="1"/>
  <c r="G60" i="2"/>
  <c r="F14" i="2"/>
  <c r="F16" i="2" s="1"/>
  <c r="K60" i="2"/>
  <c r="J60" i="2"/>
  <c r="I60" i="2"/>
  <c r="H60" i="2"/>
  <c r="C14" i="2"/>
  <c r="D16" i="2"/>
  <c r="C16" i="2"/>
  <c r="S55" i="1"/>
  <c r="P55" i="1"/>
  <c r="T55" i="1"/>
  <c r="X43" i="1"/>
  <c r="X34" i="1"/>
  <c r="X30" i="1"/>
  <c r="X29" i="1"/>
  <c r="X15" i="1"/>
  <c r="X11" i="1"/>
  <c r="K61" i="2" l="1"/>
  <c r="K16" i="2"/>
  <c r="X16" i="1"/>
  <c r="X24" i="1"/>
  <c r="X42" i="1"/>
  <c r="W51" i="1"/>
  <c r="W43" i="1"/>
  <c r="W34" i="1"/>
  <c r="W30" i="1"/>
  <c r="W29" i="1"/>
  <c r="W11" i="1"/>
  <c r="W24" i="1" s="1"/>
  <c r="W42" i="1" l="1"/>
  <c r="W15" i="1"/>
  <c r="X18" i="1"/>
  <c r="X25" i="1"/>
  <c r="F47" i="2"/>
  <c r="F46" i="2"/>
  <c r="F29" i="2"/>
  <c r="F26" i="2"/>
  <c r="F24" i="2"/>
  <c r="F20" i="2"/>
  <c r="L20" i="2" s="1"/>
  <c r="M20" i="2" s="1"/>
  <c r="N20" i="2" s="1"/>
  <c r="O20" i="2" s="1"/>
  <c r="P20" i="2" s="1"/>
  <c r="Q20" i="2" s="1"/>
  <c r="F19" i="2"/>
  <c r="L19" i="2" s="1"/>
  <c r="M19" i="2" s="1"/>
  <c r="N19" i="2" s="1"/>
  <c r="O19" i="2" s="1"/>
  <c r="P19" i="2" s="1"/>
  <c r="Q19" i="2" s="1"/>
  <c r="F17" i="2"/>
  <c r="F42" i="2"/>
  <c r="U15" i="1"/>
  <c r="U51" i="1"/>
  <c r="U43" i="1"/>
  <c r="U30" i="1"/>
  <c r="U29" i="1"/>
  <c r="F50" i="2" l="1"/>
  <c r="Q37" i="2"/>
  <c r="R20" i="2"/>
  <c r="Q36" i="2"/>
  <c r="R19" i="2"/>
  <c r="U34" i="1"/>
  <c r="V42" i="1"/>
  <c r="X20" i="1"/>
  <c r="X21" i="1" s="1"/>
  <c r="X26" i="1"/>
  <c r="U42" i="1"/>
  <c r="F43" i="2"/>
  <c r="F41" i="2" s="1"/>
  <c r="W16" i="1"/>
  <c r="U11" i="1"/>
  <c r="U24" i="1" s="1"/>
  <c r="F45" i="2"/>
  <c r="G36" i="2"/>
  <c r="R37" i="2" l="1"/>
  <c r="S20" i="2"/>
  <c r="R36" i="2"/>
  <c r="S19" i="2"/>
  <c r="W25" i="1"/>
  <c r="W18" i="1"/>
  <c r="U16" i="1"/>
  <c r="F49" i="2"/>
  <c r="F18" i="2"/>
  <c r="S37" i="2" l="1"/>
  <c r="T20" i="2"/>
  <c r="S36" i="2"/>
  <c r="T19" i="2"/>
  <c r="U25" i="1"/>
  <c r="U18" i="1"/>
  <c r="W26" i="1"/>
  <c r="W21" i="1"/>
  <c r="U19" i="2" l="1"/>
  <c r="T36" i="2"/>
  <c r="T37" i="2"/>
  <c r="U20" i="2"/>
  <c r="U37" i="2" s="1"/>
  <c r="U20" i="1"/>
  <c r="U26" i="1"/>
  <c r="U36" i="2" l="1"/>
  <c r="U21" i="1"/>
  <c r="T51" i="1"/>
  <c r="X31" i="1"/>
  <c r="X28" i="1"/>
  <c r="V51" i="1"/>
  <c r="V43" i="1"/>
  <c r="V30" i="1"/>
  <c r="V29" i="1"/>
  <c r="V15" i="1"/>
  <c r="T11" i="1" l="1"/>
  <c r="T15" i="1"/>
  <c r="V11" i="1"/>
  <c r="V34" i="1"/>
  <c r="C4" i="2"/>
  <c r="T29" i="1"/>
  <c r="T30" i="1"/>
  <c r="W31" i="1"/>
  <c r="S30" i="1"/>
  <c r="S29" i="1"/>
  <c r="E20" i="2"/>
  <c r="E19" i="2"/>
  <c r="E17" i="2"/>
  <c r="F58" i="2"/>
  <c r="F57" i="2"/>
  <c r="D26" i="2"/>
  <c r="D24" i="2"/>
  <c r="D19" i="2"/>
  <c r="D20" i="2"/>
  <c r="D17" i="2"/>
  <c r="B15" i="1"/>
  <c r="C15" i="1"/>
  <c r="G15" i="1"/>
  <c r="C11" i="1"/>
  <c r="F11" i="1"/>
  <c r="D15" i="1"/>
  <c r="H15" i="1"/>
  <c r="B45" i="2"/>
  <c r="B42" i="2"/>
  <c r="C42" i="2"/>
  <c r="E15" i="1"/>
  <c r="I15" i="1"/>
  <c r="O15" i="1"/>
  <c r="L15" i="1"/>
  <c r="P15" i="1"/>
  <c r="D45" i="2"/>
  <c r="D42" i="2"/>
  <c r="M15" i="1"/>
  <c r="U31" i="1"/>
  <c r="E45" i="2"/>
  <c r="E42" i="2"/>
  <c r="P11" i="1"/>
  <c r="P24" i="1" s="1"/>
  <c r="O11" i="1"/>
  <c r="N15" i="1"/>
  <c r="R30" i="1"/>
  <c r="R29" i="1"/>
  <c r="N11" i="1"/>
  <c r="N24" i="1" s="1"/>
  <c r="R11" i="1"/>
  <c r="V31" i="1"/>
  <c r="J15" i="1"/>
  <c r="E46" i="2"/>
  <c r="E24" i="2"/>
  <c r="E26" i="2"/>
  <c r="Q43" i="1"/>
  <c r="E43" i="2"/>
  <c r="E47" i="2"/>
  <c r="E29" i="2"/>
  <c r="D43" i="2"/>
  <c r="O51" i="1"/>
  <c r="E11" i="1"/>
  <c r="E43" i="1"/>
  <c r="B46" i="2"/>
  <c r="B47" i="2"/>
  <c r="C26" i="2"/>
  <c r="C46" i="2"/>
  <c r="C47" i="2"/>
  <c r="B43" i="2"/>
  <c r="C43" i="2"/>
  <c r="D46" i="2"/>
  <c r="D47" i="2"/>
  <c r="J11" i="1"/>
  <c r="I43" i="1"/>
  <c r="M43" i="1"/>
  <c r="B11" i="1"/>
  <c r="B24" i="1" s="1"/>
  <c r="D11" i="1"/>
  <c r="Q30" i="1"/>
  <c r="Q29" i="1"/>
  <c r="N30" i="1"/>
  <c r="N29" i="1"/>
  <c r="O30" i="1"/>
  <c r="O29" i="1"/>
  <c r="P30" i="1"/>
  <c r="P29" i="1"/>
  <c r="D29" i="2"/>
  <c r="C29" i="2"/>
  <c r="G29" i="2"/>
  <c r="H29" i="2" s="1"/>
  <c r="I29" i="2" s="1"/>
  <c r="J29" i="2" s="1"/>
  <c r="K29" i="2" s="1"/>
  <c r="L29" i="2" s="1"/>
  <c r="M29" i="2" s="1"/>
  <c r="N29" i="2" s="1"/>
  <c r="O29" i="2" s="1"/>
  <c r="P29" i="2" s="1"/>
  <c r="Q29" i="2" s="1"/>
  <c r="R29" i="2" s="1"/>
  <c r="S29" i="2" s="1"/>
  <c r="T29" i="2" s="1"/>
  <c r="U29" i="2" s="1"/>
  <c r="F29" i="1"/>
  <c r="I29" i="1"/>
  <c r="M29" i="1"/>
  <c r="K29" i="1"/>
  <c r="J29" i="1"/>
  <c r="H29" i="1"/>
  <c r="L29" i="1"/>
  <c r="H30" i="1"/>
  <c r="I30" i="1"/>
  <c r="J30" i="1"/>
  <c r="K30" i="1"/>
  <c r="L30" i="1"/>
  <c r="M30" i="1"/>
  <c r="L31" i="1"/>
  <c r="G30" i="1"/>
  <c r="G29" i="1"/>
  <c r="F30" i="1"/>
  <c r="E9" i="2"/>
  <c r="F9" i="2" s="1"/>
  <c r="G9" i="2" s="1"/>
  <c r="H9" i="2" s="1"/>
  <c r="I9" i="2" s="1"/>
  <c r="J9" i="2" s="1"/>
  <c r="K9" i="2" s="1"/>
  <c r="L9" i="2" s="1"/>
  <c r="M9" i="2" s="1"/>
  <c r="N9" i="2" s="1"/>
  <c r="O9" i="2" s="1"/>
  <c r="P9" i="2" s="1"/>
  <c r="Q9" i="2" s="1"/>
  <c r="R9" i="2" s="1"/>
  <c r="S9" i="2" s="1"/>
  <c r="T9" i="2" s="1"/>
  <c r="U9" i="2" s="1"/>
  <c r="G28" i="1" l="1"/>
  <c r="L32" i="1"/>
  <c r="M11" i="1"/>
  <c r="M24" i="1" s="1"/>
  <c r="Q28" i="1"/>
  <c r="C16" i="1"/>
  <c r="C25" i="1" s="1"/>
  <c r="I28" i="1"/>
  <c r="M32" i="1"/>
  <c r="R28" i="1"/>
  <c r="L28" i="1"/>
  <c r="Q42" i="1"/>
  <c r="J31" i="1"/>
  <c r="B18" i="2"/>
  <c r="B31" i="2" s="1"/>
  <c r="M31" i="1"/>
  <c r="I34" i="1"/>
  <c r="S11" i="1"/>
  <c r="S24" i="1" s="1"/>
  <c r="W28" i="1"/>
  <c r="Q11" i="1"/>
  <c r="Q24" i="1" s="1"/>
  <c r="U28" i="1"/>
  <c r="D18" i="2"/>
  <c r="D31" i="2" s="1"/>
  <c r="D21" i="2"/>
  <c r="D22" i="2" s="1"/>
  <c r="K28" i="1"/>
  <c r="R15" i="1"/>
  <c r="V32" i="1" s="1"/>
  <c r="F21" i="2"/>
  <c r="I31" i="1"/>
  <c r="P31" i="1"/>
  <c r="H11" i="1"/>
  <c r="H24" i="1" s="1"/>
  <c r="F28" i="1"/>
  <c r="N31" i="1"/>
  <c r="J28" i="1"/>
  <c r="Q15" i="1"/>
  <c r="J16" i="1"/>
  <c r="J25" i="1" s="1"/>
  <c r="C37" i="2"/>
  <c r="V28" i="1"/>
  <c r="P28" i="1"/>
  <c r="G31" i="1"/>
  <c r="Q31" i="1"/>
  <c r="T16" i="1"/>
  <c r="T18" i="1" s="1"/>
  <c r="T20" i="1" s="1"/>
  <c r="X32" i="1"/>
  <c r="C50" i="2"/>
  <c r="E36" i="2"/>
  <c r="E41" i="2"/>
  <c r="E58" i="2"/>
  <c r="B41" i="2"/>
  <c r="D50" i="2"/>
  <c r="C58" i="2"/>
  <c r="E37" i="2"/>
  <c r="V16" i="1"/>
  <c r="V24" i="1"/>
  <c r="O16" i="1"/>
  <c r="O18" i="1" s="1"/>
  <c r="O24" i="1"/>
  <c r="C41" i="2"/>
  <c r="E57" i="2"/>
  <c r="O31" i="1"/>
  <c r="K31" i="1"/>
  <c r="M28" i="1"/>
  <c r="E50" i="2"/>
  <c r="E49" i="2"/>
  <c r="M16" i="1"/>
  <c r="M25" i="1" s="1"/>
  <c r="D57" i="2"/>
  <c r="B22" i="2"/>
  <c r="D37" i="2"/>
  <c r="M42" i="1"/>
  <c r="D41" i="2"/>
  <c r="I42" i="1"/>
  <c r="D58" i="2"/>
  <c r="J24" i="1"/>
  <c r="B50" i="2"/>
  <c r="N28" i="1"/>
  <c r="Q34" i="1"/>
  <c r="P32" i="1"/>
  <c r="E34" i="1"/>
  <c r="D36" i="2"/>
  <c r="E24" i="1"/>
  <c r="E16" i="1"/>
  <c r="D24" i="1"/>
  <c r="D16" i="1"/>
  <c r="N32" i="1"/>
  <c r="T31" i="1"/>
  <c r="F24" i="1"/>
  <c r="D49" i="2"/>
  <c r="P16" i="1"/>
  <c r="F31" i="1"/>
  <c r="C57" i="2"/>
  <c r="B16" i="1"/>
  <c r="B49" i="2"/>
  <c r="C45" i="2"/>
  <c r="C24" i="1"/>
  <c r="L11" i="1"/>
  <c r="N16" i="1"/>
  <c r="K15" i="1"/>
  <c r="K32" i="1" s="1"/>
  <c r="G11" i="1"/>
  <c r="M34" i="1"/>
  <c r="S28" i="1"/>
  <c r="S15" i="1"/>
  <c r="E42" i="1"/>
  <c r="E21" i="2"/>
  <c r="H28" i="1"/>
  <c r="C18" i="2"/>
  <c r="R31" i="1"/>
  <c r="C6" i="2"/>
  <c r="C7" i="2" s="1"/>
  <c r="K11" i="1"/>
  <c r="R24" i="1"/>
  <c r="F15" i="1"/>
  <c r="J32" i="1" s="1"/>
  <c r="S31" i="1"/>
  <c r="I11" i="1"/>
  <c r="H31" i="1"/>
  <c r="O28" i="1"/>
  <c r="C36" i="2"/>
  <c r="T32" i="1"/>
  <c r="C18" i="1" l="1"/>
  <c r="C20" i="1" s="1"/>
  <c r="C21" i="1" s="1"/>
  <c r="E38" i="2"/>
  <c r="J18" i="1"/>
  <c r="J20" i="1" s="1"/>
  <c r="Q16" i="1"/>
  <c r="O25" i="1"/>
  <c r="L21" i="2"/>
  <c r="M21" i="2" s="1"/>
  <c r="N21" i="2" s="1"/>
  <c r="O21" i="2" s="1"/>
  <c r="P21" i="2" s="1"/>
  <c r="Q21" i="2" s="1"/>
  <c r="F22" i="2"/>
  <c r="F23" i="2" s="1"/>
  <c r="F25" i="2" s="1"/>
  <c r="T21" i="1"/>
  <c r="H16" i="1"/>
  <c r="H18" i="1" s="1"/>
  <c r="R16" i="1"/>
  <c r="R18" i="1" s="1"/>
  <c r="R26" i="1" s="1"/>
  <c r="U32" i="1"/>
  <c r="Q32" i="1"/>
  <c r="R32" i="1"/>
  <c r="B23" i="2"/>
  <c r="B32" i="2" s="1"/>
  <c r="S32" i="1"/>
  <c r="W32" i="1"/>
  <c r="C49" i="2"/>
  <c r="C38" i="2"/>
  <c r="V25" i="1"/>
  <c r="V18" i="1"/>
  <c r="F16" i="1"/>
  <c r="F18" i="1" s="1"/>
  <c r="O32" i="1"/>
  <c r="M18" i="1"/>
  <c r="M20" i="1" s="1"/>
  <c r="O20" i="1"/>
  <c r="O26" i="1"/>
  <c r="T28" i="1"/>
  <c r="I24" i="1"/>
  <c r="I16" i="1"/>
  <c r="H25" i="1"/>
  <c r="K16" i="1"/>
  <c r="K24" i="1"/>
  <c r="J26" i="1"/>
  <c r="D23" i="2"/>
  <c r="D18" i="1"/>
  <c r="D25" i="1"/>
  <c r="E25" i="1"/>
  <c r="E18" i="1"/>
  <c r="N25" i="1"/>
  <c r="N18" i="1"/>
  <c r="L24" i="1"/>
  <c r="L16" i="1"/>
  <c r="C31" i="2"/>
  <c r="B25" i="1"/>
  <c r="B18" i="1"/>
  <c r="F37" i="2"/>
  <c r="G16" i="1"/>
  <c r="G24" i="1"/>
  <c r="Q25" i="1"/>
  <c r="Q18" i="1"/>
  <c r="P18" i="1"/>
  <c r="P25" i="1"/>
  <c r="E18" i="2"/>
  <c r="D38" i="2"/>
  <c r="S16" i="1"/>
  <c r="E22" i="2"/>
  <c r="E39" i="2" s="1"/>
  <c r="C22" i="2"/>
  <c r="C39" i="2" s="1"/>
  <c r="C26" i="1" l="1"/>
  <c r="M26" i="1"/>
  <c r="F25" i="1"/>
  <c r="R20" i="1"/>
  <c r="R21" i="1" s="1"/>
  <c r="Q38" i="2"/>
  <c r="R21" i="2"/>
  <c r="Q22" i="2"/>
  <c r="B25" i="2"/>
  <c r="B33" i="2" s="1"/>
  <c r="R25" i="1"/>
  <c r="V20" i="1"/>
  <c r="V26" i="1"/>
  <c r="F36" i="2"/>
  <c r="I25" i="1"/>
  <c r="I18" i="1"/>
  <c r="F26" i="1"/>
  <c r="F20" i="1"/>
  <c r="H20" i="1"/>
  <c r="H21" i="1" s="1"/>
  <c r="H26" i="1"/>
  <c r="S18" i="1"/>
  <c r="S25" i="1"/>
  <c r="D20" i="1"/>
  <c r="D21" i="1" s="1"/>
  <c r="D26" i="1"/>
  <c r="G25" i="1"/>
  <c r="G18" i="1"/>
  <c r="G37" i="2"/>
  <c r="C23" i="2"/>
  <c r="D32" i="2"/>
  <c r="D25" i="2"/>
  <c r="B26" i="1"/>
  <c r="B20" i="1"/>
  <c r="P20" i="1"/>
  <c r="P26" i="1"/>
  <c r="D39" i="2"/>
  <c r="T24" i="1"/>
  <c r="L25" i="1"/>
  <c r="L18" i="1"/>
  <c r="M21" i="1"/>
  <c r="J21" i="1"/>
  <c r="F38" i="2"/>
  <c r="E23" i="2"/>
  <c r="E31" i="2"/>
  <c r="N26" i="1"/>
  <c r="N20" i="1"/>
  <c r="Q26" i="1"/>
  <c r="Q20" i="1"/>
  <c r="E26" i="1"/>
  <c r="E20" i="1"/>
  <c r="K25" i="1"/>
  <c r="K18" i="1"/>
  <c r="O21" i="1"/>
  <c r="F39" i="2"/>
  <c r="B27" i="2" l="1"/>
  <c r="R38" i="2"/>
  <c r="S21" i="2"/>
  <c r="R22" i="2"/>
  <c r="R39" i="2" s="1"/>
  <c r="Q21" i="1"/>
  <c r="X45" i="1"/>
  <c r="W45" i="1"/>
  <c r="V21" i="1"/>
  <c r="T25" i="1"/>
  <c r="G38" i="2"/>
  <c r="H22" i="2"/>
  <c r="S26" i="1"/>
  <c r="S20" i="1"/>
  <c r="E45" i="1"/>
  <c r="B21" i="1"/>
  <c r="E21" i="1"/>
  <c r="E49" i="1"/>
  <c r="E48" i="1"/>
  <c r="E47" i="1"/>
  <c r="E46" i="1"/>
  <c r="I20" i="1"/>
  <c r="I21" i="1" s="1"/>
  <c r="I26" i="1"/>
  <c r="D27" i="2"/>
  <c r="D33" i="2"/>
  <c r="C32" i="2"/>
  <c r="C25" i="2"/>
  <c r="H37" i="2"/>
  <c r="P21" i="1"/>
  <c r="K20" i="1"/>
  <c r="K26" i="1"/>
  <c r="L26" i="1"/>
  <c r="L20" i="1"/>
  <c r="N21" i="1"/>
  <c r="Q45" i="1"/>
  <c r="E32" i="2"/>
  <c r="E25" i="2"/>
  <c r="F21" i="1"/>
  <c r="G39" i="2"/>
  <c r="G20" i="1"/>
  <c r="G21" i="1" s="1"/>
  <c r="G26" i="1"/>
  <c r="B54" i="2" l="1"/>
  <c r="B55" i="2"/>
  <c r="B52" i="2"/>
  <c r="B28" i="2"/>
  <c r="B53" i="2"/>
  <c r="S38" i="2"/>
  <c r="T21" i="2"/>
  <c r="S22" i="2"/>
  <c r="S39" i="2" s="1"/>
  <c r="S21" i="1"/>
  <c r="U45" i="1"/>
  <c r="W49" i="1"/>
  <c r="W46" i="1"/>
  <c r="W48" i="1"/>
  <c r="W47" i="1"/>
  <c r="I45" i="1"/>
  <c r="I49" i="1" s="1"/>
  <c r="X49" i="1"/>
  <c r="X47" i="1"/>
  <c r="X48" i="1"/>
  <c r="X46" i="1"/>
  <c r="H39" i="2"/>
  <c r="H36" i="2"/>
  <c r="F31" i="2"/>
  <c r="D55" i="2"/>
  <c r="D52" i="2"/>
  <c r="D54" i="2"/>
  <c r="D28" i="2"/>
  <c r="D53" i="2"/>
  <c r="H38" i="2"/>
  <c r="I37" i="2"/>
  <c r="C33" i="2"/>
  <c r="C27" i="2"/>
  <c r="E33" i="2"/>
  <c r="E27" i="2"/>
  <c r="Q49" i="1"/>
  <c r="Q48" i="1"/>
  <c r="Q47" i="1"/>
  <c r="Q46" i="1"/>
  <c r="L21" i="1"/>
  <c r="K21" i="1"/>
  <c r="M45" i="1"/>
  <c r="T38" i="2" l="1"/>
  <c r="U21" i="2"/>
  <c r="T22" i="2"/>
  <c r="T39" i="2" s="1"/>
  <c r="I48" i="1"/>
  <c r="I47" i="1"/>
  <c r="U49" i="1"/>
  <c r="U47" i="1"/>
  <c r="U48" i="1"/>
  <c r="U46" i="1"/>
  <c r="I46" i="1"/>
  <c r="C53" i="2"/>
  <c r="C52" i="2"/>
  <c r="C54" i="2"/>
  <c r="I22" i="2"/>
  <c r="I39" i="2" s="1"/>
  <c r="E55" i="2"/>
  <c r="E54" i="2"/>
  <c r="E52" i="2"/>
  <c r="I36" i="2"/>
  <c r="M49" i="1"/>
  <c r="M48" i="1"/>
  <c r="M47" i="1"/>
  <c r="M46" i="1"/>
  <c r="H35" i="2"/>
  <c r="T26" i="1"/>
  <c r="E28" i="2"/>
  <c r="E53" i="2"/>
  <c r="J37" i="2"/>
  <c r="C55" i="2"/>
  <c r="C28" i="2"/>
  <c r="F32" i="2"/>
  <c r="I38" i="2"/>
  <c r="U38" i="2" l="1"/>
  <c r="U22" i="2"/>
  <c r="U39" i="2" s="1"/>
  <c r="G23" i="2"/>
  <c r="G32" i="2" s="1"/>
  <c r="G31" i="2"/>
  <c r="H18" i="2" s="1"/>
  <c r="H23" i="2" s="1"/>
  <c r="J22" i="2"/>
  <c r="J39" i="2" s="1"/>
  <c r="L16" i="2"/>
  <c r="M16" i="2" s="1"/>
  <c r="N16" i="2" s="1"/>
  <c r="O16" i="2" s="1"/>
  <c r="P16" i="2" s="1"/>
  <c r="Q16" i="2" s="1"/>
  <c r="R16" i="2" s="1"/>
  <c r="S16" i="2" s="1"/>
  <c r="T16" i="2" s="1"/>
  <c r="U16" i="2" s="1"/>
  <c r="J36" i="2"/>
  <c r="F33" i="2"/>
  <c r="I35" i="2"/>
  <c r="K37" i="2"/>
  <c r="J38" i="2"/>
  <c r="H17" i="2" l="1"/>
  <c r="H31" i="2"/>
  <c r="I18" i="2" s="1"/>
  <c r="I17" i="2" s="1"/>
  <c r="F27" i="2"/>
  <c r="V45" i="1"/>
  <c r="K36" i="2"/>
  <c r="J35" i="2"/>
  <c r="K38" i="2"/>
  <c r="K22" i="2"/>
  <c r="K39" i="2" s="1"/>
  <c r="L37" i="2"/>
  <c r="H32" i="2"/>
  <c r="I31" i="2" l="1"/>
  <c r="J18" i="2" s="1"/>
  <c r="J17" i="2" s="1"/>
  <c r="I23" i="2"/>
  <c r="I32" i="2" s="1"/>
  <c r="V48" i="1"/>
  <c r="V49" i="1"/>
  <c r="F28" i="2"/>
  <c r="F52" i="2"/>
  <c r="F54" i="2"/>
  <c r="F53" i="2"/>
  <c r="F55" i="2"/>
  <c r="G25" i="2"/>
  <c r="V47" i="1"/>
  <c r="V46" i="1"/>
  <c r="L36" i="2"/>
  <c r="M22" i="2"/>
  <c r="L38" i="2"/>
  <c r="J23" i="2"/>
  <c r="J31" i="2"/>
  <c r="K18" i="2" s="1"/>
  <c r="K17" i="2" s="1"/>
  <c r="K35" i="2"/>
  <c r="L22" i="2"/>
  <c r="L39" i="2" s="1"/>
  <c r="M37" i="2"/>
  <c r="G26" i="2" l="1"/>
  <c r="G27" i="2" s="1"/>
  <c r="M36" i="2"/>
  <c r="J32" i="2"/>
  <c r="K23" i="2"/>
  <c r="K31" i="2"/>
  <c r="L18" i="2" s="1"/>
  <c r="L35" i="2"/>
  <c r="M39" i="2"/>
  <c r="N37" i="2"/>
  <c r="M38" i="2"/>
  <c r="G33" i="2" l="1"/>
  <c r="N36" i="2"/>
  <c r="M35" i="2"/>
  <c r="O37" i="2"/>
  <c r="L23" i="2"/>
  <c r="L31" i="2"/>
  <c r="M18" i="2" s="1"/>
  <c r="K32" i="2"/>
  <c r="L17" i="2"/>
  <c r="N38" i="2"/>
  <c r="N22" i="2"/>
  <c r="N39" i="2" s="1"/>
  <c r="G28" i="2" l="1"/>
  <c r="G41" i="2"/>
  <c r="O36" i="2"/>
  <c r="M23" i="2"/>
  <c r="M31" i="2"/>
  <c r="N18" i="2" s="1"/>
  <c r="M17" i="2"/>
  <c r="O38" i="2"/>
  <c r="L32" i="2"/>
  <c r="O22" i="2"/>
  <c r="O39" i="2" s="1"/>
  <c r="P37" i="2"/>
  <c r="P22" i="2"/>
  <c r="Q39" i="2" s="1"/>
  <c r="N35" i="2"/>
  <c r="P36" i="2" l="1"/>
  <c r="N31" i="2"/>
  <c r="O18" i="2" s="1"/>
  <c r="O17" i="2" s="1"/>
  <c r="N23" i="2"/>
  <c r="N17" i="2"/>
  <c r="O35" i="2"/>
  <c r="P39" i="2"/>
  <c r="H24" i="2"/>
  <c r="H25" i="2" s="1"/>
  <c r="P38" i="2"/>
  <c r="M32" i="2"/>
  <c r="Q35" i="2" l="1"/>
  <c r="H33" i="2"/>
  <c r="N32" i="2"/>
  <c r="P35" i="2"/>
  <c r="O23" i="2"/>
  <c r="O31" i="2"/>
  <c r="P18" i="2" s="1"/>
  <c r="R35" i="2" l="1"/>
  <c r="H27" i="2"/>
  <c r="P23" i="2"/>
  <c r="P31" i="2"/>
  <c r="Q18" i="2" s="1"/>
  <c r="P17" i="2"/>
  <c r="O32" i="2"/>
  <c r="Q23" i="2" l="1"/>
  <c r="Q31" i="2"/>
  <c r="R18" i="2" s="1"/>
  <c r="Q17" i="2"/>
  <c r="S35" i="2"/>
  <c r="H28" i="2"/>
  <c r="H41" i="2"/>
  <c r="I24" i="2" s="1"/>
  <c r="I25" i="2" s="1"/>
  <c r="P32" i="2"/>
  <c r="T35" i="2" l="1"/>
  <c r="R31" i="2"/>
  <c r="S18" i="2" s="1"/>
  <c r="R23" i="2"/>
  <c r="R17" i="2"/>
  <c r="Q32" i="2"/>
  <c r="I33" i="2"/>
  <c r="R32" i="2" l="1"/>
  <c r="S31" i="2"/>
  <c r="T18" i="2" s="1"/>
  <c r="S23" i="2"/>
  <c r="S17" i="2"/>
  <c r="U35" i="2"/>
  <c r="I27" i="2"/>
  <c r="I41" i="2" l="1"/>
  <c r="S32" i="2"/>
  <c r="T17" i="2"/>
  <c r="T31" i="2"/>
  <c r="U18" i="2" s="1"/>
  <c r="T23" i="2"/>
  <c r="I28" i="2"/>
  <c r="J24" i="2"/>
  <c r="J25" i="2" s="1"/>
  <c r="T32" i="2" l="1"/>
  <c r="U31" i="2"/>
  <c r="U23" i="2"/>
  <c r="U17" i="2"/>
  <c r="J33" i="2"/>
  <c r="U32" i="2" l="1"/>
  <c r="J27" i="2"/>
  <c r="J28" i="2" l="1"/>
  <c r="J41" i="2"/>
  <c r="K24" i="2" s="1"/>
  <c r="K25" i="2" s="1"/>
  <c r="K33" i="2" l="1"/>
  <c r="K27" i="2" l="1"/>
  <c r="K41" i="2" s="1"/>
  <c r="K28" i="2" l="1"/>
  <c r="L24" i="2"/>
  <c r="L25" i="2" s="1"/>
  <c r="L26" i="2" l="1"/>
  <c r="L33" i="2" s="1"/>
  <c r="L27" i="2" l="1"/>
  <c r="L28" i="2" s="1"/>
  <c r="L41" i="2" l="1"/>
  <c r="M24" i="2"/>
  <c r="M25" i="2" s="1"/>
  <c r="M26" i="2" l="1"/>
  <c r="M33" i="2" s="1"/>
  <c r="M27" i="2" l="1"/>
  <c r="M28" i="2" l="1"/>
  <c r="M41" i="2"/>
  <c r="N24" i="2" l="1"/>
  <c r="N25" i="2" s="1"/>
  <c r="N26" i="2" l="1"/>
  <c r="N33" i="2" s="1"/>
  <c r="N27" i="2" l="1"/>
  <c r="N28" i="2" s="1"/>
  <c r="N41" i="2"/>
  <c r="O24" i="2" l="1"/>
  <c r="O25" i="2" s="1"/>
  <c r="O26" i="2" l="1"/>
  <c r="O33" i="2" s="1"/>
  <c r="O27" i="2" l="1"/>
  <c r="O28" i="2" s="1"/>
  <c r="O41" i="2" l="1"/>
  <c r="P24" i="2" s="1"/>
  <c r="P25" i="2" s="1"/>
  <c r="P26" i="2" l="1"/>
  <c r="P33" i="2" s="1"/>
  <c r="P27" i="2" l="1"/>
  <c r="P28" i="2" l="1"/>
  <c r="P41" i="2"/>
  <c r="Q24" i="2" l="1"/>
  <c r="Q25" i="2" s="1"/>
  <c r="Q26" i="2" l="1"/>
  <c r="Q33" i="2" s="1"/>
  <c r="Q27" i="2" l="1"/>
  <c r="Q28" i="2"/>
  <c r="Q41" i="2"/>
  <c r="R24" i="2" l="1"/>
  <c r="R25" i="2" s="1"/>
  <c r="R26" i="2" l="1"/>
  <c r="R33" i="2" s="1"/>
  <c r="R27" i="2"/>
  <c r="R28" i="2" l="1"/>
  <c r="R41" i="2"/>
  <c r="S24" i="2" l="1"/>
  <c r="S25" i="2" s="1"/>
  <c r="S26" i="2" l="1"/>
  <c r="S33" i="2" s="1"/>
  <c r="S27" i="2" l="1"/>
  <c r="S28" i="2" l="1"/>
  <c r="S41" i="2"/>
  <c r="T24" i="2" l="1"/>
  <c r="T25" i="2" s="1"/>
  <c r="T26" i="2" l="1"/>
  <c r="T33" i="2" s="1"/>
  <c r="T27" i="2" l="1"/>
  <c r="T28" i="2" s="1"/>
  <c r="T41" i="2"/>
  <c r="U24" i="2" l="1"/>
  <c r="U25" i="2" s="1"/>
  <c r="U26" i="2" l="1"/>
  <c r="U33" i="2" s="1"/>
  <c r="U27" i="2" l="1"/>
  <c r="U28" i="2" l="1"/>
  <c r="V27" i="2"/>
  <c r="W27" i="2" s="1"/>
  <c r="X27" i="2" s="1"/>
  <c r="Y27" i="2" s="1"/>
  <c r="Z27" i="2" s="1"/>
  <c r="AA27" i="2" s="1"/>
  <c r="AB27" i="2" s="1"/>
  <c r="AC27" i="2" s="1"/>
  <c r="AD27" i="2" s="1"/>
  <c r="AE27" i="2" s="1"/>
  <c r="AF27" i="2" s="1"/>
  <c r="AG27" i="2" s="1"/>
  <c r="AH27" i="2" s="1"/>
  <c r="AI27" i="2" s="1"/>
  <c r="AJ27" i="2" s="1"/>
  <c r="AK27" i="2" s="1"/>
  <c r="AL27" i="2" s="1"/>
  <c r="AM27" i="2" s="1"/>
  <c r="AN27" i="2" s="1"/>
  <c r="AO27" i="2" s="1"/>
  <c r="AP27" i="2" s="1"/>
  <c r="AQ27" i="2" s="1"/>
  <c r="AR27" i="2" s="1"/>
  <c r="AS27" i="2" s="1"/>
  <c r="AT27" i="2" s="1"/>
  <c r="AU27" i="2" s="1"/>
  <c r="AV27" i="2" s="1"/>
  <c r="AW27" i="2" s="1"/>
  <c r="AX27" i="2" s="1"/>
  <c r="AY27" i="2" s="1"/>
  <c r="AZ27" i="2" s="1"/>
  <c r="BA27" i="2" s="1"/>
  <c r="BB27" i="2" s="1"/>
  <c r="BC27" i="2" s="1"/>
  <c r="BD27" i="2" s="1"/>
  <c r="BE27" i="2" s="1"/>
  <c r="BF27" i="2" s="1"/>
  <c r="BG27" i="2" s="1"/>
  <c r="BH27" i="2" s="1"/>
  <c r="BI27" i="2" s="1"/>
  <c r="BJ27" i="2" s="1"/>
  <c r="BK27" i="2" s="1"/>
  <c r="BL27" i="2" s="1"/>
  <c r="BM27" i="2" s="1"/>
  <c r="BN27" i="2" s="1"/>
  <c r="BO27" i="2" s="1"/>
  <c r="BP27" i="2" s="1"/>
  <c r="BQ27" i="2" s="1"/>
  <c r="BR27" i="2" s="1"/>
  <c r="BS27" i="2" s="1"/>
  <c r="BT27" i="2" s="1"/>
  <c r="BU27" i="2" s="1"/>
  <c r="BV27" i="2" s="1"/>
  <c r="BW27" i="2" s="1"/>
  <c r="BX27" i="2" s="1"/>
  <c r="BY27" i="2" s="1"/>
  <c r="BZ27" i="2" s="1"/>
  <c r="CA27" i="2" s="1"/>
  <c r="CB27" i="2" s="1"/>
  <c r="CC27" i="2" s="1"/>
  <c r="CD27" i="2" s="1"/>
  <c r="CE27" i="2" s="1"/>
  <c r="CF27" i="2" s="1"/>
  <c r="CG27" i="2" s="1"/>
  <c r="CH27" i="2" s="1"/>
  <c r="CI27" i="2" s="1"/>
  <c r="CJ27" i="2" s="1"/>
  <c r="CK27" i="2" s="1"/>
  <c r="CL27" i="2" s="1"/>
  <c r="CM27" i="2" s="1"/>
  <c r="CN27" i="2" s="1"/>
  <c r="CO27" i="2" s="1"/>
  <c r="CP27" i="2" s="1"/>
  <c r="CQ27" i="2" s="1"/>
  <c r="CR27" i="2" s="1"/>
  <c r="CS27" i="2" s="1"/>
  <c r="CT27" i="2" s="1"/>
  <c r="CU27" i="2" s="1"/>
  <c r="CV27" i="2" s="1"/>
  <c r="CW27" i="2" s="1"/>
  <c r="CX27" i="2" s="1"/>
  <c r="CY27" i="2" s="1"/>
  <c r="CZ27" i="2" s="1"/>
  <c r="DA27" i="2" s="1"/>
  <c r="DB27" i="2" s="1"/>
  <c r="DC27" i="2" s="1"/>
  <c r="DD27" i="2" s="1"/>
  <c r="DE27" i="2" s="1"/>
  <c r="DF27" i="2" s="1"/>
  <c r="DG27" i="2" s="1"/>
  <c r="DH27" i="2" s="1"/>
  <c r="DI27" i="2" s="1"/>
  <c r="DJ27" i="2" s="1"/>
  <c r="DK27" i="2" s="1"/>
  <c r="DL27" i="2" s="1"/>
  <c r="DM27" i="2" s="1"/>
  <c r="DN27" i="2" s="1"/>
  <c r="DO27" i="2" s="1"/>
  <c r="DP27" i="2" s="1"/>
  <c r="DQ27" i="2" s="1"/>
  <c r="DR27" i="2" s="1"/>
  <c r="DS27" i="2" s="1"/>
  <c r="DT27" i="2" s="1"/>
  <c r="DU27" i="2" s="1"/>
  <c r="DV27" i="2" s="1"/>
  <c r="DW27" i="2" s="1"/>
  <c r="DX27" i="2" s="1"/>
  <c r="DY27" i="2" s="1"/>
  <c r="DZ27" i="2" s="1"/>
  <c r="EA27" i="2" s="1"/>
  <c r="EB27" i="2" s="1"/>
  <c r="EC27" i="2" s="1"/>
  <c r="ED27" i="2" s="1"/>
  <c r="EE27" i="2" s="1"/>
  <c r="EF27" i="2" s="1"/>
  <c r="EG27" i="2" s="1"/>
  <c r="EH27" i="2" s="1"/>
  <c r="EI27" i="2" s="1"/>
  <c r="EJ27" i="2" s="1"/>
  <c r="EK27" i="2" s="1"/>
  <c r="EL27" i="2" s="1"/>
  <c r="EM27" i="2" s="1"/>
  <c r="EN27" i="2" s="1"/>
  <c r="EO27" i="2" s="1"/>
  <c r="EP27" i="2" s="1"/>
  <c r="EQ27" i="2" s="1"/>
  <c r="ER27" i="2" s="1"/>
  <c r="ES27" i="2" s="1"/>
  <c r="ET27" i="2" s="1"/>
  <c r="EU27" i="2" s="1"/>
  <c r="EV27" i="2" s="1"/>
  <c r="EW27" i="2" s="1"/>
  <c r="EX27" i="2" s="1"/>
  <c r="EY27" i="2" s="1"/>
  <c r="EZ27" i="2" s="1"/>
  <c r="FA27" i="2" s="1"/>
  <c r="FB27" i="2" s="1"/>
  <c r="FC27" i="2" s="1"/>
  <c r="FD27" i="2" s="1"/>
  <c r="FE27" i="2" s="1"/>
  <c r="FF27" i="2" s="1"/>
  <c r="FG27" i="2" s="1"/>
  <c r="FH27" i="2" s="1"/>
  <c r="FI27" i="2" s="1"/>
  <c r="FJ27" i="2" s="1"/>
  <c r="FK27" i="2" s="1"/>
  <c r="FL27" i="2" s="1"/>
  <c r="FM27" i="2" s="1"/>
  <c r="FN27" i="2" s="1"/>
  <c r="FO27" i="2" s="1"/>
  <c r="FP27" i="2" s="1"/>
  <c r="FQ27" i="2" s="1"/>
  <c r="FR27" i="2" s="1"/>
  <c r="FS27" i="2" s="1"/>
  <c r="FT27" i="2" s="1"/>
  <c r="FU27" i="2" s="1"/>
  <c r="FV27" i="2" s="1"/>
  <c r="FW27" i="2" s="1"/>
  <c r="FX27" i="2" s="1"/>
  <c r="FY27" i="2" s="1"/>
  <c r="FZ27" i="2" s="1"/>
  <c r="GA27" i="2" s="1"/>
  <c r="GB27" i="2" s="1"/>
  <c r="GC27" i="2" s="1"/>
  <c r="GD27" i="2" s="1"/>
  <c r="GE27" i="2" s="1"/>
  <c r="GF27" i="2" s="1"/>
  <c r="GG27" i="2" s="1"/>
  <c r="GH27" i="2" s="1"/>
  <c r="GI27" i="2" s="1"/>
  <c r="GJ27" i="2" s="1"/>
  <c r="GK27" i="2" s="1"/>
  <c r="GL27" i="2" s="1"/>
  <c r="GM27" i="2" s="1"/>
  <c r="GN27" i="2" s="1"/>
  <c r="GO27" i="2" s="1"/>
  <c r="GP27" i="2" s="1"/>
  <c r="GQ27" i="2" s="1"/>
  <c r="GR27" i="2" s="1"/>
  <c r="U41" i="2"/>
  <c r="F6" i="2" l="1"/>
  <c r="F7" i="2" s="1"/>
  <c r="G7" i="2" s="1"/>
</calcChain>
</file>

<file path=xl/sharedStrings.xml><?xml version="1.0" encoding="utf-8"?>
<sst xmlns="http://schemas.openxmlformats.org/spreadsheetml/2006/main" count="149" uniqueCount="103">
  <si>
    <t>Q117</t>
  </si>
  <si>
    <t>Q217</t>
  </si>
  <si>
    <t>Q317</t>
  </si>
  <si>
    <t>Q417</t>
  </si>
  <si>
    <t>Revenue</t>
  </si>
  <si>
    <t>COGS</t>
  </si>
  <si>
    <t>Gross Profit</t>
  </si>
  <si>
    <t>R&amp;D</t>
  </si>
  <si>
    <t>S&amp;M</t>
  </si>
  <si>
    <t>G&amp;A</t>
  </si>
  <si>
    <t>Operating Expenses</t>
  </si>
  <si>
    <t>Operating Income</t>
  </si>
  <si>
    <t>Interest Income</t>
  </si>
  <si>
    <t>Pretax Income</t>
  </si>
  <si>
    <t>Taxes</t>
  </si>
  <si>
    <t>Net Income</t>
  </si>
  <si>
    <t>EPS</t>
  </si>
  <si>
    <t>Shares</t>
  </si>
  <si>
    <t>Revenue y/y</t>
  </si>
  <si>
    <t>Gross Margin</t>
  </si>
  <si>
    <t>Operating Margin</t>
  </si>
  <si>
    <t>Tax Rate</t>
  </si>
  <si>
    <t>Q116</t>
  </si>
  <si>
    <t>Q216</t>
  </si>
  <si>
    <t>Q316</t>
  </si>
  <si>
    <t>Q416</t>
  </si>
  <si>
    <t>Net Cash</t>
  </si>
  <si>
    <t>Cash</t>
  </si>
  <si>
    <t>Debt</t>
  </si>
  <si>
    <t>Maturity</t>
  </si>
  <si>
    <t>ROIC</t>
  </si>
  <si>
    <t>Discount</t>
  </si>
  <si>
    <t>NPV</t>
  </si>
  <si>
    <t>Value</t>
  </si>
  <si>
    <t>Q118</t>
  </si>
  <si>
    <t>Q218</t>
  </si>
  <si>
    <t>Q318</t>
  </si>
  <si>
    <t>Q418</t>
  </si>
  <si>
    <t>Q115</t>
  </si>
  <si>
    <t>Q215</t>
  </si>
  <si>
    <t>Q315</t>
  </si>
  <si>
    <t>Q415</t>
  </si>
  <si>
    <t>R&amp;D y/y</t>
  </si>
  <si>
    <t>S&amp;M y/y</t>
  </si>
  <si>
    <t>G&amp;A y/y</t>
  </si>
  <si>
    <t>EDGAR</t>
  </si>
  <si>
    <t>CEO</t>
  </si>
  <si>
    <t>Founder</t>
  </si>
  <si>
    <t>Price</t>
  </si>
  <si>
    <t>Market Cap</t>
  </si>
  <si>
    <t>EV</t>
  </si>
  <si>
    <t>per share</t>
  </si>
  <si>
    <t>Q119</t>
  </si>
  <si>
    <t>Q219</t>
  </si>
  <si>
    <t>Q319</t>
  </si>
  <si>
    <t>Q419</t>
  </si>
  <si>
    <t>Intangibles</t>
  </si>
  <si>
    <t>Total assets</t>
  </si>
  <si>
    <t>Total liabilities</t>
  </si>
  <si>
    <t>TWC</t>
  </si>
  <si>
    <t>Equity</t>
  </si>
  <si>
    <t>NI 12M</t>
  </si>
  <si>
    <t>ROE</t>
  </si>
  <si>
    <t>ROA</t>
  </si>
  <si>
    <t>ROTB</t>
  </si>
  <si>
    <t>ROTWC</t>
  </si>
  <si>
    <t>Investor Relations</t>
  </si>
  <si>
    <t>Expected return on invested capital (innovation grade)</t>
  </si>
  <si>
    <t>Operating Expenses y/y</t>
  </si>
  <si>
    <t>Q120</t>
  </si>
  <si>
    <t>Q420</t>
  </si>
  <si>
    <t>Risk-free rate + market premium (opportunity cost)</t>
  </si>
  <si>
    <t>http://www.worldgovernmentbonds.com/country/united-states/</t>
  </si>
  <si>
    <t>Net present value on future net income (terminal value)</t>
  </si>
  <si>
    <t>Q220</t>
  </si>
  <si>
    <t>Q320</t>
  </si>
  <si>
    <t>Zynga Inc (ZNGA)</t>
  </si>
  <si>
    <t>GAMES</t>
  </si>
  <si>
    <t>CSR Racing 2</t>
  </si>
  <si>
    <t>Empires and Puzzles</t>
  </si>
  <si>
    <t>Harry Potter: Puzzles and Spells</t>
  </si>
  <si>
    <t>Merge Dragons!</t>
  </si>
  <si>
    <t>Merge Magic!</t>
  </si>
  <si>
    <t>Toon Blast!</t>
  </si>
  <si>
    <t>Toy Blast</t>
  </si>
  <si>
    <t>Words With Friends</t>
  </si>
  <si>
    <t>Zynga Poker</t>
  </si>
  <si>
    <t>DAU</t>
  </si>
  <si>
    <t>ARPU</t>
  </si>
  <si>
    <t>MAU</t>
  </si>
  <si>
    <t>MAU y/y</t>
  </si>
  <si>
    <t>DAU y/y</t>
  </si>
  <si>
    <t>ARPU y/y</t>
  </si>
  <si>
    <t>Online games</t>
  </si>
  <si>
    <t>Advertising and other</t>
  </si>
  <si>
    <t>Online game y/y</t>
  </si>
  <si>
    <t>Advertising and other  y/y</t>
  </si>
  <si>
    <t>Online games y/y</t>
  </si>
  <si>
    <t>Advertising and other y/y</t>
  </si>
  <si>
    <t>OE y/y</t>
  </si>
  <si>
    <t>Frank Gibeau</t>
  </si>
  <si>
    <t>Mark Pincus</t>
  </si>
  <si>
    <t>Justin Waldron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</si>
</sst>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_ ;[Red]\-#,##0\ "/>
    <numFmt numFmtId="165" formatCode="0.0%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0"/>
      <color theme="1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i/>
      <sz val="10"/>
      <color theme="1"/>
      <name val="Arial"/>
      <family val="2"/>
    </font>
    <font>
      <b/>
      <u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72">
    <xf numFmtId="0" fontId="0" fillId="0" borderId="0" xfId="0"/>
    <xf numFmtId="0" fontId="4" fillId="0" borderId="0" xfId="4" applyFont="1" applyBorder="1"/>
    <xf numFmtId="0" fontId="5" fillId="0" borderId="0" xfId="0" applyFont="1"/>
    <xf numFmtId="0" fontId="6" fillId="0" borderId="0" xfId="0" applyFont="1"/>
    <xf numFmtId="4" fontId="6" fillId="0" borderId="0" xfId="0" applyNumberFormat="1" applyFont="1" applyBorder="1"/>
    <xf numFmtId="0" fontId="7" fillId="0" borderId="0" xfId="0" applyFont="1"/>
    <xf numFmtId="0" fontId="6" fillId="0" borderId="0" xfId="0" applyFont="1" applyBorder="1"/>
    <xf numFmtId="10" fontId="6" fillId="0" borderId="0" xfId="0" applyNumberFormat="1" applyFont="1"/>
    <xf numFmtId="3" fontId="6" fillId="0" borderId="0" xfId="0" applyNumberFormat="1" applyFont="1" applyBorder="1"/>
    <xf numFmtId="0" fontId="4" fillId="0" borderId="0" xfId="4" applyFont="1"/>
    <xf numFmtId="3" fontId="6" fillId="2" borderId="0" xfId="0" applyNumberFormat="1" applyFont="1" applyFill="1" applyBorder="1"/>
    <xf numFmtId="164" fontId="6" fillId="2" borderId="0" xfId="0" applyNumberFormat="1" applyFont="1" applyFill="1"/>
    <xf numFmtId="0" fontId="5" fillId="0" borderId="0" xfId="0" applyFont="1" applyBorder="1"/>
    <xf numFmtId="164" fontId="5" fillId="2" borderId="0" xfId="0" applyNumberFormat="1" applyFont="1" applyFill="1"/>
    <xf numFmtId="0" fontId="7" fillId="0" borderId="0" xfId="0" applyFont="1" applyBorder="1"/>
    <xf numFmtId="164" fontId="6" fillId="0" borderId="0" xfId="0" applyNumberFormat="1" applyFont="1"/>
    <xf numFmtId="3" fontId="6" fillId="0" borderId="0" xfId="0" applyNumberFormat="1" applyFont="1"/>
    <xf numFmtId="3" fontId="5" fillId="0" borderId="0" xfId="0" applyNumberFormat="1" applyFont="1" applyBorder="1"/>
    <xf numFmtId="0" fontId="6" fillId="0" borderId="0" xfId="0" applyFont="1" applyFill="1" applyBorder="1"/>
    <xf numFmtId="9" fontId="6" fillId="0" borderId="0" xfId="0" applyNumberFormat="1" applyFont="1"/>
    <xf numFmtId="0" fontId="6" fillId="0" borderId="0" xfId="0" applyFont="1" applyBorder="1" applyAlignment="1">
      <alignment horizontal="right"/>
    </xf>
    <xf numFmtId="0" fontId="6" fillId="0" borderId="1" xfId="0" applyFont="1" applyBorder="1" applyAlignment="1">
      <alignment horizontal="right"/>
    </xf>
    <xf numFmtId="3" fontId="6" fillId="0" borderId="1" xfId="0" applyNumberFormat="1" applyFont="1" applyBorder="1" applyAlignment="1">
      <alignment horizontal="right"/>
    </xf>
    <xf numFmtId="3" fontId="6" fillId="0" borderId="0" xfId="0" applyNumberFormat="1" applyFont="1" applyBorder="1" applyAlignment="1">
      <alignment horizontal="right"/>
    </xf>
    <xf numFmtId="3" fontId="5" fillId="2" borderId="0" xfId="0" applyNumberFormat="1" applyFont="1" applyFill="1" applyBorder="1" applyAlignment="1">
      <alignment horizontal="right"/>
    </xf>
    <xf numFmtId="3" fontId="5" fillId="2" borderId="1" xfId="0" applyNumberFormat="1" applyFont="1" applyFill="1" applyBorder="1" applyAlignment="1">
      <alignment horizontal="right"/>
    </xf>
    <xf numFmtId="0" fontId="5" fillId="0" borderId="0" xfId="0" applyFont="1" applyBorder="1" applyAlignment="1">
      <alignment horizontal="right"/>
    </xf>
    <xf numFmtId="3" fontId="6" fillId="2" borderId="0" xfId="0" applyNumberFormat="1" applyFont="1" applyFill="1" applyBorder="1" applyAlignment="1">
      <alignment horizontal="right"/>
    </xf>
    <xf numFmtId="3" fontId="6" fillId="2" borderId="1" xfId="0" applyNumberFormat="1" applyFont="1" applyFill="1" applyBorder="1" applyAlignment="1">
      <alignment horizontal="right"/>
    </xf>
    <xf numFmtId="2" fontId="6" fillId="2" borderId="0" xfId="0" applyNumberFormat="1" applyFont="1" applyFill="1" applyBorder="1" applyAlignment="1">
      <alignment horizontal="right"/>
    </xf>
    <xf numFmtId="9" fontId="5" fillId="0" borderId="0" xfId="1" applyNumberFormat="1" applyFont="1" applyBorder="1" applyAlignment="1">
      <alignment horizontal="right"/>
    </xf>
    <xf numFmtId="9" fontId="5" fillId="0" borderId="1" xfId="1" applyNumberFormat="1" applyFont="1" applyBorder="1" applyAlignment="1">
      <alignment horizontal="right"/>
    </xf>
    <xf numFmtId="9" fontId="6" fillId="0" borderId="0" xfId="1" applyNumberFormat="1" applyFont="1" applyBorder="1" applyAlignment="1">
      <alignment horizontal="right"/>
    </xf>
    <xf numFmtId="9" fontId="6" fillId="0" borderId="1" xfId="1" applyNumberFormat="1" applyFont="1" applyBorder="1" applyAlignment="1">
      <alignment horizontal="right"/>
    </xf>
    <xf numFmtId="9" fontId="6" fillId="0" borderId="0" xfId="0" applyNumberFormat="1" applyFont="1" applyBorder="1" applyAlignment="1">
      <alignment horizontal="right"/>
    </xf>
    <xf numFmtId="9" fontId="6" fillId="0" borderId="1" xfId="0" applyNumberFormat="1" applyFont="1" applyBorder="1" applyAlignment="1">
      <alignment horizontal="right"/>
    </xf>
    <xf numFmtId="9" fontId="6" fillId="0" borderId="0" xfId="1" applyFont="1" applyBorder="1" applyAlignment="1">
      <alignment horizontal="right"/>
    </xf>
    <xf numFmtId="9" fontId="6" fillId="0" borderId="1" xfId="1" applyFont="1" applyBorder="1" applyAlignment="1">
      <alignment horizontal="right"/>
    </xf>
    <xf numFmtId="3" fontId="6" fillId="0" borderId="0" xfId="0" applyNumberFormat="1" applyFont="1" applyAlignment="1">
      <alignment horizontal="right"/>
    </xf>
    <xf numFmtId="0" fontId="6" fillId="0" borderId="0" xfId="0" applyFont="1" applyAlignment="1">
      <alignment horizontal="right"/>
    </xf>
    <xf numFmtId="3" fontId="7" fillId="0" borderId="0" xfId="0" applyNumberFormat="1" applyFont="1" applyBorder="1" applyAlignment="1">
      <alignment horizontal="right"/>
    </xf>
    <xf numFmtId="3" fontId="7" fillId="0" borderId="1" xfId="0" applyNumberFormat="1" applyFont="1" applyBorder="1" applyAlignment="1">
      <alignment horizontal="right"/>
    </xf>
    <xf numFmtId="0" fontId="7" fillId="0" borderId="0" xfId="0" applyFont="1" applyBorder="1" applyAlignment="1">
      <alignment horizontal="right"/>
    </xf>
    <xf numFmtId="4" fontId="6" fillId="2" borderId="0" xfId="0" applyNumberFormat="1" applyFont="1" applyFill="1"/>
    <xf numFmtId="4" fontId="6" fillId="2" borderId="0" xfId="0" applyNumberFormat="1" applyFont="1" applyFill="1" applyBorder="1"/>
    <xf numFmtId="9" fontId="7" fillId="0" borderId="0" xfId="0" applyNumberFormat="1" applyFont="1" applyBorder="1" applyAlignment="1">
      <alignment horizontal="right"/>
    </xf>
    <xf numFmtId="9" fontId="7" fillId="0" borderId="1" xfId="0" applyNumberFormat="1" applyFont="1" applyBorder="1" applyAlignment="1">
      <alignment horizontal="right"/>
    </xf>
    <xf numFmtId="3" fontId="5" fillId="0" borderId="0" xfId="0" applyNumberFormat="1" applyFont="1" applyBorder="1" applyAlignment="1">
      <alignment horizontal="right"/>
    </xf>
    <xf numFmtId="2" fontId="6" fillId="0" borderId="0" xfId="0" applyNumberFormat="1" applyFont="1" applyBorder="1" applyAlignment="1">
      <alignment horizontal="right"/>
    </xf>
    <xf numFmtId="9" fontId="5" fillId="0" borderId="0" xfId="1" applyFont="1" applyBorder="1" applyAlignment="1">
      <alignment horizontal="right"/>
    </xf>
    <xf numFmtId="3" fontId="5" fillId="0" borderId="0" xfId="0" applyNumberFormat="1" applyFont="1" applyFill="1" applyBorder="1" applyAlignment="1">
      <alignment horizontal="right"/>
    </xf>
    <xf numFmtId="3" fontId="6" fillId="0" borderId="0" xfId="0" applyNumberFormat="1" applyFont="1" applyFill="1" applyBorder="1" applyAlignment="1">
      <alignment horizontal="right"/>
    </xf>
    <xf numFmtId="165" fontId="6" fillId="0" borderId="0" xfId="0" applyNumberFormat="1" applyFont="1" applyFill="1" applyAlignment="1">
      <alignment horizontal="right"/>
    </xf>
    <xf numFmtId="165" fontId="6" fillId="0" borderId="0" xfId="0" applyNumberFormat="1" applyFont="1" applyAlignment="1">
      <alignment horizontal="right"/>
    </xf>
    <xf numFmtId="3" fontId="6" fillId="0" borderId="0" xfId="0" applyNumberFormat="1" applyFont="1" applyFill="1" applyAlignment="1">
      <alignment horizontal="right"/>
    </xf>
    <xf numFmtId="3" fontId="6" fillId="2" borderId="0" xfId="0" applyNumberFormat="1" applyFont="1" applyFill="1" applyAlignment="1">
      <alignment horizontal="right"/>
    </xf>
    <xf numFmtId="9" fontId="6" fillId="0" borderId="0" xfId="0" applyNumberFormat="1" applyFont="1" applyAlignment="1">
      <alignment horizontal="right"/>
    </xf>
    <xf numFmtId="0" fontId="7" fillId="0" borderId="1" xfId="0" applyFont="1" applyBorder="1" applyAlignment="1">
      <alignment horizontal="right"/>
    </xf>
    <xf numFmtId="14" fontId="6" fillId="0" borderId="0" xfId="0" applyNumberFormat="1" applyFont="1" applyBorder="1" applyAlignment="1">
      <alignment horizontal="right"/>
    </xf>
    <xf numFmtId="14" fontId="6" fillId="0" borderId="1" xfId="0" applyNumberFormat="1" applyFont="1" applyBorder="1" applyAlignment="1">
      <alignment horizontal="right"/>
    </xf>
    <xf numFmtId="4" fontId="6" fillId="2" borderId="0" xfId="0" applyNumberFormat="1" applyFont="1" applyFill="1" applyBorder="1" applyAlignment="1">
      <alignment horizontal="right"/>
    </xf>
    <xf numFmtId="4" fontId="6" fillId="2" borderId="1" xfId="0" applyNumberFormat="1" applyFont="1" applyFill="1" applyBorder="1" applyAlignment="1">
      <alignment horizontal="right"/>
    </xf>
    <xf numFmtId="4" fontId="6" fillId="0" borderId="0" xfId="0" applyNumberFormat="1" applyFont="1" applyFill="1" applyBorder="1" applyAlignment="1">
      <alignment horizontal="right"/>
    </xf>
    <xf numFmtId="3" fontId="6" fillId="0" borderId="0" xfId="0" applyNumberFormat="1" applyFont="1" applyFill="1" applyBorder="1"/>
    <xf numFmtId="3" fontId="5" fillId="0" borderId="0" xfId="0" applyNumberFormat="1" applyFont="1" applyFill="1" applyBorder="1"/>
    <xf numFmtId="14" fontId="6" fillId="0" borderId="0" xfId="0" applyNumberFormat="1" applyFont="1" applyAlignment="1">
      <alignment horizontal="left"/>
    </xf>
    <xf numFmtId="0" fontId="6" fillId="0" borderId="0" xfId="0" applyFont="1" applyAlignment="1">
      <alignment horizontal="left"/>
    </xf>
    <xf numFmtId="0" fontId="4" fillId="0" borderId="0" xfId="4" applyBorder="1"/>
    <xf numFmtId="0" fontId="8" fillId="0" borderId="0" xfId="0" applyFont="1"/>
    <xf numFmtId="9" fontId="6" fillId="0" borderId="0" xfId="0" applyNumberFormat="1" applyFont="1" applyBorder="1"/>
    <xf numFmtId="0" fontId="4" fillId="0" borderId="0" xfId="4"/>
    <xf numFmtId="0" fontId="4" fillId="0" borderId="0" xfId="4" applyAlignment="1">
      <alignment horizontal="left"/>
    </xf>
  </cellXfs>
  <cellStyles count="5">
    <cellStyle name="Followed Hyperlink" xfId="3" builtinId="9" hidden="1"/>
    <cellStyle name="Hyperlink" xfId="2" builtinId="8" hidden="1"/>
    <cellStyle name="Hyperlink" xfId="4" builtinId="8" customBuiltin="1"/>
    <cellStyle name="Normal" xfId="0" builtinId="0"/>
    <cellStyle name="Per 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236220</xdr:colOff>
      <xdr:row>7</xdr:row>
      <xdr:rowOff>152400</xdr:rowOff>
    </xdr:from>
    <xdr:to>
      <xdr:col>6</xdr:col>
      <xdr:colOff>236220</xdr:colOff>
      <xdr:row>65</xdr:row>
      <xdr:rowOff>10160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>
          <a:off x="5905500" y="1290320"/>
          <a:ext cx="0" cy="9286240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165100</xdr:colOff>
      <xdr:row>0</xdr:row>
      <xdr:rowOff>152400</xdr:rowOff>
    </xdr:from>
    <xdr:to>
      <xdr:col>24</xdr:col>
      <xdr:colOff>165100</xdr:colOff>
      <xdr:row>59</xdr:row>
      <xdr:rowOff>10160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CxnSpPr/>
      </xdr:nvCxnSpPr>
      <xdr:spPr>
        <a:xfrm>
          <a:off x="20698460" y="152400"/>
          <a:ext cx="0" cy="9448800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twitter.com/frankgibeauea" TargetMode="External"/><Relationship Id="rId2" Type="http://schemas.openxmlformats.org/officeDocument/2006/relationships/hyperlink" Target="http://www.worldgovernmentbonds.com/country/united-states/" TargetMode="External"/><Relationship Id="rId1" Type="http://schemas.openxmlformats.org/officeDocument/2006/relationships/hyperlink" Target="https://www.adobe.com/investor-relations.html?promoid=2XBSC4VN&amp;mv=other" TargetMode="External"/><Relationship Id="rId6" Type="http://schemas.openxmlformats.org/officeDocument/2006/relationships/drawing" Target="../drawings/drawing1.xml"/><Relationship Id="rId5" Type="http://schemas.openxmlformats.org/officeDocument/2006/relationships/hyperlink" Target="https://twitter.com/jtwald" TargetMode="External"/><Relationship Id="rId4" Type="http://schemas.openxmlformats.org/officeDocument/2006/relationships/hyperlink" Target="https://twitter.com/markpinc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www.sec.gov/cgi-bin/browse-edgar?CIK=1439404&amp;owner=exclud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R64"/>
  <sheetViews>
    <sheetView tabSelected="1" zoomScale="125" zoomScaleNormal="125" workbookViewId="0">
      <pane xSplit="1" ySplit="9" topLeftCell="B10" activePane="bottomRight" state="frozen"/>
      <selection pane="topRight" activeCell="B1" sqref="B1"/>
      <selection pane="bottomLeft" activeCell="A11" sqref="A11"/>
      <selection pane="bottomRight" activeCell="H45" sqref="H45"/>
    </sheetView>
  </sheetViews>
  <sheetFormatPr baseColWidth="10" defaultRowHeight="13" x14ac:dyDescent="0.15"/>
  <cols>
    <col min="1" max="1" width="20.33203125" style="3" bestFit="1" customWidth="1"/>
    <col min="2" max="16384" width="10.83203125" style="3"/>
  </cols>
  <sheetData>
    <row r="1" spans="1:117" x14ac:dyDescent="0.15">
      <c r="A1" s="1" t="s">
        <v>66</v>
      </c>
      <c r="B1" s="2" t="s">
        <v>76</v>
      </c>
    </row>
    <row r="2" spans="1:117" x14ac:dyDescent="0.15">
      <c r="B2" s="3" t="s">
        <v>48</v>
      </c>
      <c r="C2" s="4">
        <v>12.12</v>
      </c>
      <c r="D2" s="65">
        <v>44238</v>
      </c>
      <c r="E2" s="6" t="s">
        <v>29</v>
      </c>
      <c r="F2" s="7">
        <v>-0.01</v>
      </c>
      <c r="I2" s="16"/>
      <c r="L2" s="2"/>
    </row>
    <row r="3" spans="1:117" x14ac:dyDescent="0.15">
      <c r="A3" s="2" t="s">
        <v>46</v>
      </c>
      <c r="B3" s="3" t="s">
        <v>17</v>
      </c>
      <c r="C3" s="8">
        <f>Reports!X22</f>
        <v>1076.68</v>
      </c>
      <c r="D3" s="66" t="s">
        <v>75</v>
      </c>
      <c r="E3" s="6" t="s">
        <v>30</v>
      </c>
      <c r="F3" s="7">
        <v>0.02</v>
      </c>
      <c r="G3" s="5" t="s">
        <v>67</v>
      </c>
      <c r="I3" s="16"/>
    </row>
    <row r="4" spans="1:117" x14ac:dyDescent="0.15">
      <c r="A4" s="70" t="s">
        <v>100</v>
      </c>
      <c r="B4" s="3" t="s">
        <v>49</v>
      </c>
      <c r="C4" s="10">
        <f>C2*C3</f>
        <v>13049.3616</v>
      </c>
      <c r="D4" s="66"/>
      <c r="E4" s="6" t="s">
        <v>31</v>
      </c>
      <c r="F4" s="7">
        <v>0.06</v>
      </c>
      <c r="G4" s="5" t="s">
        <v>71</v>
      </c>
      <c r="I4" s="19"/>
      <c r="L4" s="9" t="s">
        <v>72</v>
      </c>
    </row>
    <row r="5" spans="1:117" x14ac:dyDescent="0.15">
      <c r="B5" s="3" t="s">
        <v>26</v>
      </c>
      <c r="C5" s="8">
        <f>Reports!X34</f>
        <v>941</v>
      </c>
      <c r="D5" s="66" t="s">
        <v>75</v>
      </c>
      <c r="E5" s="6" t="s">
        <v>32</v>
      </c>
      <c r="F5" s="11">
        <f>NPV(F4,G27:GR27)</f>
        <v>12412.263702116174</v>
      </c>
      <c r="G5" s="5" t="s">
        <v>73</v>
      </c>
      <c r="I5" s="19"/>
    </row>
    <row r="6" spans="1:117" x14ac:dyDescent="0.15">
      <c r="A6" s="2" t="s">
        <v>47</v>
      </c>
      <c r="B6" s="3" t="s">
        <v>50</v>
      </c>
      <c r="C6" s="10">
        <f>C4-C5</f>
        <v>12108.3616</v>
      </c>
      <c r="D6" s="66"/>
      <c r="E6" s="12" t="s">
        <v>33</v>
      </c>
      <c r="F6" s="13">
        <f>F5+C5</f>
        <v>13353.263702116174</v>
      </c>
      <c r="I6" s="19"/>
    </row>
    <row r="7" spans="1:117" x14ac:dyDescent="0.15">
      <c r="A7" s="70" t="s">
        <v>101</v>
      </c>
      <c r="B7" s="5" t="s">
        <v>51</v>
      </c>
      <c r="C7" s="44">
        <f>C6/C3</f>
        <v>11.24601701526916</v>
      </c>
      <c r="D7" s="66"/>
      <c r="E7" s="14" t="s">
        <v>51</v>
      </c>
      <c r="F7" s="43">
        <f>F6/C3</f>
        <v>12.402258518887852</v>
      </c>
      <c r="G7" s="19">
        <f>F7/C2-1</f>
        <v>2.328865667391522E-2</v>
      </c>
    </row>
    <row r="8" spans="1:117" x14ac:dyDescent="0.15">
      <c r="A8" s="71" t="s">
        <v>102</v>
      </c>
      <c r="E8" s="6"/>
      <c r="F8" s="15"/>
    </row>
    <row r="9" spans="1:117" x14ac:dyDescent="0.15">
      <c r="B9" s="39">
        <v>2015</v>
      </c>
      <c r="C9" s="39">
        <v>2016</v>
      </c>
      <c r="D9" s="39">
        <v>2017</v>
      </c>
      <c r="E9" s="39">
        <f>D9+1</f>
        <v>2018</v>
      </c>
      <c r="F9" s="39">
        <f t="shared" ref="F9:U9" si="0">E9+1</f>
        <v>2019</v>
      </c>
      <c r="G9" s="39">
        <f t="shared" si="0"/>
        <v>2020</v>
      </c>
      <c r="H9" s="39">
        <f t="shared" si="0"/>
        <v>2021</v>
      </c>
      <c r="I9" s="39">
        <f t="shared" si="0"/>
        <v>2022</v>
      </c>
      <c r="J9" s="39">
        <f t="shared" si="0"/>
        <v>2023</v>
      </c>
      <c r="K9" s="39">
        <f t="shared" si="0"/>
        <v>2024</v>
      </c>
      <c r="L9" s="39">
        <f t="shared" si="0"/>
        <v>2025</v>
      </c>
      <c r="M9" s="39">
        <f t="shared" si="0"/>
        <v>2026</v>
      </c>
      <c r="N9" s="39">
        <f t="shared" si="0"/>
        <v>2027</v>
      </c>
      <c r="O9" s="39">
        <f t="shared" si="0"/>
        <v>2028</v>
      </c>
      <c r="P9" s="39">
        <f t="shared" si="0"/>
        <v>2029</v>
      </c>
      <c r="Q9" s="39">
        <f t="shared" si="0"/>
        <v>2030</v>
      </c>
      <c r="R9" s="39">
        <f t="shared" si="0"/>
        <v>2031</v>
      </c>
      <c r="S9" s="39">
        <f t="shared" si="0"/>
        <v>2032</v>
      </c>
      <c r="T9" s="39">
        <f t="shared" si="0"/>
        <v>2033</v>
      </c>
      <c r="U9" s="39">
        <f t="shared" si="0"/>
        <v>2034</v>
      </c>
      <c r="V9" s="39"/>
      <c r="W9" s="39"/>
      <c r="X9" s="39"/>
      <c r="Y9" s="39"/>
      <c r="Z9" s="39"/>
      <c r="AA9" s="39"/>
      <c r="AB9" s="39"/>
      <c r="AC9" s="39"/>
      <c r="AD9" s="39"/>
      <c r="AE9" s="39"/>
      <c r="AF9" s="39"/>
      <c r="AG9" s="39"/>
      <c r="AH9" s="39"/>
      <c r="AI9" s="39"/>
      <c r="AJ9" s="39"/>
      <c r="AK9" s="39"/>
      <c r="AL9" s="39"/>
      <c r="AM9" s="39"/>
      <c r="AN9" s="39"/>
      <c r="AO9" s="39"/>
      <c r="AP9" s="39"/>
      <c r="AQ9" s="39"/>
      <c r="AR9" s="39"/>
      <c r="AS9" s="39"/>
      <c r="AT9" s="39"/>
      <c r="AU9" s="39"/>
      <c r="AV9" s="39"/>
      <c r="AW9" s="39"/>
      <c r="AX9" s="39"/>
      <c r="AY9" s="39"/>
      <c r="AZ9" s="39"/>
      <c r="BA9" s="39"/>
      <c r="BB9" s="39"/>
      <c r="BC9" s="39"/>
      <c r="BD9" s="39"/>
      <c r="BE9" s="39"/>
      <c r="BF9" s="39"/>
      <c r="BG9" s="39"/>
      <c r="BH9" s="39"/>
      <c r="BI9" s="39"/>
      <c r="BJ9" s="39"/>
      <c r="BK9" s="39"/>
      <c r="BL9" s="39"/>
      <c r="BM9" s="39"/>
      <c r="BN9" s="39"/>
      <c r="BO9" s="39"/>
      <c r="BP9" s="39"/>
      <c r="BQ9" s="39"/>
      <c r="BR9" s="39"/>
      <c r="BS9" s="39"/>
      <c r="BT9" s="39"/>
      <c r="BU9" s="39"/>
      <c r="BV9" s="39"/>
      <c r="BW9" s="39"/>
      <c r="BX9" s="39"/>
      <c r="BY9" s="39"/>
      <c r="BZ9" s="39"/>
      <c r="CA9" s="39"/>
      <c r="CB9" s="39"/>
      <c r="CC9" s="39"/>
      <c r="CD9" s="39"/>
      <c r="CE9" s="39"/>
      <c r="CF9" s="39"/>
      <c r="CG9" s="39"/>
      <c r="CH9" s="39"/>
      <c r="CI9" s="39"/>
      <c r="CJ9" s="39"/>
      <c r="CK9" s="39"/>
      <c r="CL9" s="39"/>
      <c r="CM9" s="39"/>
      <c r="CN9" s="39"/>
      <c r="CO9" s="39"/>
      <c r="CP9" s="39"/>
      <c r="CQ9" s="39"/>
      <c r="CR9" s="39"/>
      <c r="CS9" s="39"/>
      <c r="CT9" s="39"/>
      <c r="CU9" s="39"/>
      <c r="CV9" s="39"/>
      <c r="CW9" s="39"/>
      <c r="CX9" s="39"/>
      <c r="CY9" s="39"/>
      <c r="CZ9" s="39"/>
      <c r="DA9" s="39"/>
      <c r="DB9" s="39"/>
      <c r="DC9" s="39"/>
      <c r="DD9" s="39"/>
      <c r="DE9" s="39"/>
      <c r="DF9" s="39"/>
      <c r="DG9" s="39"/>
      <c r="DH9" s="39"/>
      <c r="DI9" s="39"/>
      <c r="DJ9" s="39"/>
      <c r="DK9" s="39"/>
      <c r="DL9" s="39"/>
      <c r="DM9" s="39"/>
    </row>
    <row r="10" spans="1:117" x14ac:dyDescent="0.15">
      <c r="A10" s="8" t="s">
        <v>93</v>
      </c>
      <c r="B10" s="23">
        <f>SUM(Reports!B3:E3)</f>
        <v>591.41</v>
      </c>
      <c r="C10" s="23">
        <f>SUM(Reports!F3:I3)</f>
        <v>547.29100000000005</v>
      </c>
      <c r="D10" s="38">
        <f>SUM(Reports!J3:M3)</f>
        <v>665.59299999999996</v>
      </c>
      <c r="E10" s="38">
        <f>SUM(Reports!N3:Q3)</f>
        <v>670.87699999999995</v>
      </c>
      <c r="F10" s="38">
        <f>SUM(Reports!R3:U3)</f>
        <v>1047.2369999999999</v>
      </c>
      <c r="G10" s="38">
        <f>SUM(Reports!V3:Y3)</f>
        <v>1655.623</v>
      </c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  <c r="AA10" s="38"/>
      <c r="AB10" s="38"/>
      <c r="AC10" s="38"/>
      <c r="AD10" s="38"/>
      <c r="AE10" s="38"/>
      <c r="AF10" s="38"/>
      <c r="AG10" s="38"/>
      <c r="AH10" s="38"/>
      <c r="AI10" s="38"/>
      <c r="AJ10" s="38"/>
      <c r="AK10" s="38"/>
      <c r="AL10" s="38"/>
      <c r="AM10" s="38"/>
      <c r="AN10" s="38"/>
      <c r="AO10" s="38"/>
      <c r="AP10" s="38"/>
      <c r="AQ10" s="38"/>
      <c r="AR10" s="38"/>
      <c r="AS10" s="38"/>
      <c r="AT10" s="38"/>
      <c r="AU10" s="38"/>
      <c r="AV10" s="38"/>
      <c r="AW10" s="38"/>
      <c r="AX10" s="38"/>
      <c r="AY10" s="38"/>
      <c r="AZ10" s="38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38"/>
      <c r="BW10" s="38"/>
      <c r="BX10" s="38"/>
      <c r="BY10" s="38"/>
      <c r="BZ10" s="38"/>
      <c r="CA10" s="38"/>
      <c r="CB10" s="38"/>
      <c r="CC10" s="38"/>
      <c r="CD10" s="38"/>
      <c r="CE10" s="38"/>
      <c r="CF10" s="38"/>
      <c r="CG10" s="38"/>
      <c r="CH10" s="38"/>
      <c r="CI10" s="38"/>
      <c r="CJ10" s="38"/>
      <c r="CK10" s="38"/>
      <c r="CL10" s="38"/>
      <c r="CM10" s="38"/>
      <c r="CN10" s="38"/>
      <c r="CO10" s="38"/>
      <c r="CP10" s="38"/>
      <c r="CQ10" s="38"/>
      <c r="CR10" s="38"/>
      <c r="CS10" s="38"/>
      <c r="CT10" s="38"/>
      <c r="CU10" s="38"/>
      <c r="CV10" s="38"/>
      <c r="CW10" s="38"/>
      <c r="CX10" s="38"/>
      <c r="CY10" s="38"/>
      <c r="CZ10" s="38"/>
      <c r="DA10" s="38"/>
      <c r="DB10" s="38"/>
      <c r="DC10" s="38"/>
      <c r="DD10" s="38"/>
      <c r="DE10" s="38"/>
      <c r="DF10" s="38"/>
      <c r="DG10" s="38"/>
      <c r="DH10" s="38"/>
      <c r="DI10" s="38"/>
      <c r="DJ10" s="38"/>
      <c r="DK10" s="38"/>
      <c r="DL10" s="38"/>
      <c r="DM10" s="38"/>
    </row>
    <row r="11" spans="1:117" x14ac:dyDescent="0.15">
      <c r="A11" s="8" t="s">
        <v>94</v>
      </c>
      <c r="B11" s="23">
        <f>SUM(Reports!B4:E4)</f>
        <v>173.96199999999999</v>
      </c>
      <c r="C11" s="23">
        <f>SUM(Reports!F4:I4)</f>
        <v>194.12899999999999</v>
      </c>
      <c r="D11" s="38">
        <f>SUM(Reports!J4:M4)</f>
        <v>195.79699999999997</v>
      </c>
      <c r="E11" s="38">
        <f>SUM(Reports!N4:Q4)</f>
        <v>236.33100000000002</v>
      </c>
      <c r="F11" s="38">
        <f>SUM(Reports!R4:U4)</f>
        <v>274.28700000000003</v>
      </c>
      <c r="G11" s="38">
        <f>SUM(Reports!V4:Y4)</f>
        <v>273.97145</v>
      </c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  <c r="AA11" s="38"/>
      <c r="AB11" s="38"/>
      <c r="AC11" s="38"/>
      <c r="AD11" s="38"/>
      <c r="AE11" s="38"/>
      <c r="AF11" s="38"/>
      <c r="AG11" s="38"/>
      <c r="AH11" s="38"/>
      <c r="AI11" s="38"/>
      <c r="AJ11" s="38"/>
      <c r="AK11" s="38"/>
      <c r="AL11" s="38"/>
      <c r="AM11" s="38"/>
      <c r="AN11" s="38"/>
      <c r="AO11" s="38"/>
      <c r="AP11" s="38"/>
      <c r="AQ11" s="38"/>
      <c r="AR11" s="38"/>
      <c r="AS11" s="38"/>
      <c r="AT11" s="38"/>
      <c r="AU11" s="38"/>
      <c r="AV11" s="38"/>
      <c r="AW11" s="38"/>
      <c r="AX11" s="38"/>
      <c r="AY11" s="38"/>
      <c r="AZ11" s="38"/>
      <c r="BA11" s="38"/>
      <c r="BB11" s="38"/>
      <c r="BC11" s="38"/>
      <c r="BD11" s="38"/>
      <c r="BE11" s="38"/>
      <c r="BF11" s="38"/>
      <c r="BG11" s="38"/>
      <c r="BH11" s="38"/>
      <c r="BI11" s="38"/>
      <c r="BJ11" s="38"/>
      <c r="BK11" s="38"/>
      <c r="BL11" s="38"/>
      <c r="BM11" s="38"/>
      <c r="BN11" s="38"/>
      <c r="BO11" s="38"/>
      <c r="BP11" s="38"/>
      <c r="BQ11" s="38"/>
      <c r="BR11" s="38"/>
      <c r="BS11" s="38"/>
      <c r="BT11" s="38"/>
      <c r="BU11" s="38"/>
      <c r="BV11" s="38"/>
      <c r="BW11" s="38"/>
      <c r="BX11" s="38"/>
      <c r="BY11" s="38"/>
      <c r="BZ11" s="38"/>
      <c r="CA11" s="38"/>
      <c r="CB11" s="38"/>
      <c r="CC11" s="38"/>
      <c r="CD11" s="38"/>
      <c r="CE11" s="38"/>
      <c r="CF11" s="38"/>
      <c r="CG11" s="38"/>
      <c r="CH11" s="38"/>
      <c r="CI11" s="38"/>
      <c r="CJ11" s="38"/>
      <c r="CK11" s="38"/>
      <c r="CL11" s="38"/>
      <c r="CM11" s="38"/>
      <c r="CN11" s="38"/>
      <c r="CO11" s="38"/>
      <c r="CP11" s="38"/>
      <c r="CQ11" s="38"/>
      <c r="CR11" s="38"/>
      <c r="CS11" s="38"/>
      <c r="CT11" s="38"/>
      <c r="CU11" s="38"/>
      <c r="CV11" s="38"/>
      <c r="CW11" s="38"/>
      <c r="CX11" s="38"/>
      <c r="CY11" s="38"/>
      <c r="CZ11" s="38"/>
      <c r="DA11" s="38"/>
      <c r="DB11" s="38"/>
      <c r="DC11" s="38"/>
      <c r="DD11" s="38"/>
      <c r="DE11" s="38"/>
      <c r="DF11" s="38"/>
      <c r="DG11" s="38"/>
      <c r="DH11" s="38"/>
      <c r="DI11" s="38"/>
      <c r="DJ11" s="38"/>
      <c r="DK11" s="38"/>
      <c r="DL11" s="38"/>
      <c r="DM11" s="38"/>
    </row>
    <row r="12" spans="1:117" x14ac:dyDescent="0.15">
      <c r="A12" s="8"/>
      <c r="B12" s="23"/>
      <c r="C12" s="23"/>
      <c r="D12" s="38"/>
      <c r="E12" s="38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38"/>
      <c r="AG12" s="38"/>
      <c r="AH12" s="38"/>
      <c r="AI12" s="38"/>
      <c r="AJ12" s="38"/>
      <c r="AK12" s="38"/>
      <c r="AL12" s="38"/>
      <c r="AM12" s="38"/>
      <c r="AN12" s="38"/>
      <c r="AO12" s="38"/>
      <c r="AP12" s="38"/>
      <c r="AQ12" s="38"/>
      <c r="AR12" s="38"/>
      <c r="AS12" s="38"/>
      <c r="AT12" s="38"/>
      <c r="AU12" s="38"/>
      <c r="AV12" s="38"/>
      <c r="AW12" s="38"/>
      <c r="AX12" s="38"/>
      <c r="AY12" s="38"/>
      <c r="AZ12" s="38"/>
      <c r="BA12" s="38"/>
      <c r="BB12" s="38"/>
      <c r="BC12" s="38"/>
      <c r="BD12" s="38"/>
      <c r="BE12" s="38"/>
      <c r="BF12" s="38"/>
      <c r="BG12" s="38"/>
      <c r="BH12" s="38"/>
      <c r="BI12" s="38"/>
      <c r="BJ12" s="38"/>
      <c r="BK12" s="38"/>
      <c r="BL12" s="38"/>
      <c r="BM12" s="38"/>
      <c r="BN12" s="38"/>
      <c r="BO12" s="38"/>
      <c r="BP12" s="38"/>
      <c r="BQ12" s="38"/>
      <c r="BR12" s="38"/>
      <c r="BS12" s="38"/>
      <c r="BT12" s="38"/>
      <c r="BU12" s="38"/>
      <c r="BV12" s="38"/>
      <c r="BW12" s="38"/>
      <c r="BX12" s="38"/>
      <c r="BY12" s="38"/>
      <c r="BZ12" s="38"/>
      <c r="CA12" s="38"/>
      <c r="CB12" s="38"/>
      <c r="CC12" s="38"/>
      <c r="CD12" s="38"/>
      <c r="CE12" s="38"/>
      <c r="CF12" s="38"/>
      <c r="CG12" s="38"/>
      <c r="CH12" s="38"/>
      <c r="CI12" s="38"/>
      <c r="CJ12" s="38"/>
      <c r="CK12" s="38"/>
      <c r="CL12" s="38"/>
      <c r="CM12" s="38"/>
      <c r="CN12" s="38"/>
      <c r="CO12" s="38"/>
      <c r="CP12" s="38"/>
      <c r="CQ12" s="38"/>
      <c r="CR12" s="38"/>
      <c r="CS12" s="38"/>
      <c r="CT12" s="38"/>
      <c r="CU12" s="38"/>
      <c r="CV12" s="38"/>
      <c r="CW12" s="38"/>
      <c r="CX12" s="38"/>
      <c r="CY12" s="38"/>
      <c r="CZ12" s="38"/>
      <c r="DA12" s="38"/>
      <c r="DB12" s="38"/>
      <c r="DC12" s="38"/>
      <c r="DD12" s="38"/>
      <c r="DE12" s="38"/>
      <c r="DF12" s="38"/>
      <c r="DG12" s="38"/>
      <c r="DH12" s="38"/>
      <c r="DI12" s="38"/>
      <c r="DJ12" s="38"/>
      <c r="DK12" s="38"/>
      <c r="DL12" s="38"/>
      <c r="DM12" s="38"/>
    </row>
    <row r="13" spans="1:117" x14ac:dyDescent="0.15">
      <c r="A13" s="8" t="s">
        <v>87</v>
      </c>
      <c r="B13" s="23">
        <f>Reports!E6</f>
        <v>18</v>
      </c>
      <c r="C13" s="23">
        <f>Reports!I6</f>
        <v>18</v>
      </c>
      <c r="D13" s="38">
        <f>Reports!M6</f>
        <v>22</v>
      </c>
      <c r="E13" s="38">
        <f>Reports!Q6</f>
        <v>21</v>
      </c>
      <c r="F13" s="38">
        <f>Reports!U6</f>
        <v>20</v>
      </c>
      <c r="G13" s="38">
        <f>Reports!Y6</f>
        <v>30</v>
      </c>
      <c r="H13" s="38">
        <f>G13*1.15</f>
        <v>34.5</v>
      </c>
      <c r="I13" s="38">
        <f t="shared" ref="I13:K13" si="1">H13*1.15</f>
        <v>39.674999999999997</v>
      </c>
      <c r="J13" s="38">
        <f t="shared" si="1"/>
        <v>45.626249999999992</v>
      </c>
      <c r="K13" s="38">
        <f t="shared" si="1"/>
        <v>52.470187499999987</v>
      </c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  <c r="AA13" s="38"/>
      <c r="AB13" s="38"/>
      <c r="AC13" s="38"/>
      <c r="AD13" s="38"/>
      <c r="AE13" s="38"/>
      <c r="AF13" s="38"/>
      <c r="AG13" s="38"/>
      <c r="AH13" s="38"/>
      <c r="AI13" s="38"/>
      <c r="AJ13" s="38"/>
      <c r="AK13" s="38"/>
      <c r="AL13" s="38"/>
      <c r="AM13" s="38"/>
      <c r="AN13" s="38"/>
      <c r="AO13" s="38"/>
      <c r="AP13" s="38"/>
      <c r="AQ13" s="38"/>
      <c r="AR13" s="38"/>
      <c r="AS13" s="38"/>
      <c r="AT13" s="38"/>
      <c r="AU13" s="38"/>
      <c r="AV13" s="38"/>
      <c r="AW13" s="38"/>
      <c r="AX13" s="38"/>
      <c r="AY13" s="38"/>
      <c r="AZ13" s="38"/>
      <c r="BA13" s="38"/>
      <c r="BB13" s="38"/>
      <c r="BC13" s="38"/>
      <c r="BD13" s="38"/>
      <c r="BE13" s="38"/>
      <c r="BF13" s="38"/>
      <c r="BG13" s="38"/>
      <c r="BH13" s="38"/>
      <c r="BI13" s="38"/>
      <c r="BJ13" s="38"/>
      <c r="BK13" s="38"/>
      <c r="BL13" s="38"/>
      <c r="BM13" s="38"/>
      <c r="BN13" s="38"/>
      <c r="BO13" s="38"/>
      <c r="BP13" s="38"/>
      <c r="BQ13" s="38"/>
      <c r="BR13" s="38"/>
      <c r="BS13" s="38"/>
      <c r="BT13" s="38"/>
      <c r="BU13" s="38"/>
      <c r="BV13" s="38"/>
      <c r="BW13" s="38"/>
      <c r="BX13" s="38"/>
      <c r="BY13" s="38"/>
      <c r="BZ13" s="38"/>
      <c r="CA13" s="38"/>
      <c r="CB13" s="38"/>
      <c r="CC13" s="38"/>
      <c r="CD13" s="38"/>
      <c r="CE13" s="38"/>
      <c r="CF13" s="38"/>
      <c r="CG13" s="38"/>
      <c r="CH13" s="38"/>
      <c r="CI13" s="38"/>
      <c r="CJ13" s="38"/>
      <c r="CK13" s="38"/>
      <c r="CL13" s="38"/>
      <c r="CM13" s="38"/>
      <c r="CN13" s="38"/>
      <c r="CO13" s="38"/>
      <c r="CP13" s="38"/>
      <c r="CQ13" s="38"/>
      <c r="CR13" s="38"/>
      <c r="CS13" s="38"/>
      <c r="CT13" s="38"/>
      <c r="CU13" s="38"/>
      <c r="CV13" s="38"/>
      <c r="CW13" s="38"/>
      <c r="CX13" s="38"/>
      <c r="CY13" s="38"/>
      <c r="CZ13" s="38"/>
      <c r="DA13" s="38"/>
      <c r="DB13" s="38"/>
      <c r="DC13" s="38"/>
      <c r="DD13" s="38"/>
      <c r="DE13" s="38"/>
      <c r="DF13" s="38"/>
      <c r="DG13" s="38"/>
      <c r="DH13" s="38"/>
      <c r="DI13" s="38"/>
      <c r="DJ13" s="38"/>
      <c r="DK13" s="38"/>
      <c r="DL13" s="38"/>
      <c r="DM13" s="38"/>
    </row>
    <row r="14" spans="1:117" x14ac:dyDescent="0.15">
      <c r="A14" s="8" t="s">
        <v>88</v>
      </c>
      <c r="B14" s="27">
        <f>SUM(B10:B11)/B13</f>
        <v>42.520666666666664</v>
      </c>
      <c r="C14" s="27">
        <f>SUM(C10:C11)/C13</f>
        <v>41.190000000000005</v>
      </c>
      <c r="D14" s="27">
        <f>SUM(D10:D11)/D13</f>
        <v>39.154090909090904</v>
      </c>
      <c r="E14" s="27">
        <f>SUM(E10:E11)/E13</f>
        <v>43.200380952380954</v>
      </c>
      <c r="F14" s="27">
        <f>SUM(F10:F11)/F13</f>
        <v>66.0762</v>
      </c>
      <c r="G14" s="27">
        <f>SUM(G10:G11)/G13</f>
        <v>64.319815000000006</v>
      </c>
      <c r="H14" s="38">
        <f>G14*1.05</f>
        <v>67.535805750000009</v>
      </c>
      <c r="I14" s="38">
        <f t="shared" ref="I14:K14" si="2">H14*1.05</f>
        <v>70.912596037500009</v>
      </c>
      <c r="J14" s="38">
        <f t="shared" si="2"/>
        <v>74.458225839375018</v>
      </c>
      <c r="K14" s="38">
        <f t="shared" si="2"/>
        <v>78.181137131343775</v>
      </c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8"/>
      <c r="AB14" s="38"/>
      <c r="AC14" s="38"/>
      <c r="AD14" s="38"/>
      <c r="AE14" s="38"/>
      <c r="AF14" s="38"/>
      <c r="AG14" s="38"/>
      <c r="AH14" s="38"/>
      <c r="AI14" s="38"/>
      <c r="AJ14" s="38"/>
      <c r="AK14" s="38"/>
      <c r="AL14" s="38"/>
      <c r="AM14" s="38"/>
      <c r="AN14" s="38"/>
      <c r="AO14" s="38"/>
      <c r="AP14" s="38"/>
      <c r="AQ14" s="38"/>
      <c r="AR14" s="38"/>
      <c r="AS14" s="38"/>
      <c r="AT14" s="38"/>
      <c r="AU14" s="38"/>
      <c r="AV14" s="38"/>
      <c r="AW14" s="38"/>
      <c r="AX14" s="38"/>
      <c r="AY14" s="38"/>
      <c r="AZ14" s="38"/>
      <c r="BA14" s="38"/>
      <c r="BB14" s="38"/>
      <c r="BC14" s="38"/>
      <c r="BD14" s="38"/>
      <c r="BE14" s="38"/>
      <c r="BF14" s="38"/>
      <c r="BG14" s="38"/>
      <c r="BH14" s="38"/>
      <c r="BI14" s="38"/>
      <c r="BJ14" s="38"/>
      <c r="BK14" s="38"/>
      <c r="BL14" s="38"/>
      <c r="BM14" s="38"/>
      <c r="BN14" s="38"/>
      <c r="BO14" s="38"/>
      <c r="BP14" s="38"/>
      <c r="BQ14" s="38"/>
      <c r="BR14" s="38"/>
      <c r="BS14" s="38"/>
      <c r="BT14" s="38"/>
      <c r="BU14" s="38"/>
      <c r="BV14" s="38"/>
      <c r="BW14" s="38"/>
      <c r="BX14" s="38"/>
      <c r="BY14" s="38"/>
      <c r="BZ14" s="38"/>
      <c r="CA14" s="38"/>
      <c r="CB14" s="38"/>
      <c r="CC14" s="38"/>
      <c r="CD14" s="38"/>
      <c r="CE14" s="38"/>
      <c r="CF14" s="38"/>
      <c r="CG14" s="38"/>
      <c r="CH14" s="38"/>
      <c r="CI14" s="38"/>
      <c r="CJ14" s="38"/>
      <c r="CK14" s="38"/>
      <c r="CL14" s="38"/>
      <c r="CM14" s="38"/>
      <c r="CN14" s="38"/>
      <c r="CO14" s="38"/>
      <c r="CP14" s="38"/>
      <c r="CQ14" s="38"/>
      <c r="CR14" s="38"/>
      <c r="CS14" s="38"/>
      <c r="CT14" s="38"/>
      <c r="CU14" s="38"/>
      <c r="CV14" s="38"/>
      <c r="CW14" s="38"/>
      <c r="CX14" s="38"/>
      <c r="CY14" s="38"/>
      <c r="CZ14" s="38"/>
      <c r="DA14" s="38"/>
      <c r="DB14" s="38"/>
      <c r="DC14" s="38"/>
      <c r="DD14" s="38"/>
      <c r="DE14" s="38"/>
      <c r="DF14" s="38"/>
      <c r="DG14" s="38"/>
      <c r="DH14" s="38"/>
      <c r="DI14" s="38"/>
      <c r="DJ14" s="38"/>
      <c r="DK14" s="38"/>
      <c r="DL14" s="38"/>
      <c r="DM14" s="38"/>
    </row>
    <row r="15" spans="1:117" s="39" customFormat="1" x14ac:dyDescent="0.15">
      <c r="F15" s="38"/>
      <c r="G15" s="38">
        <v>1930</v>
      </c>
      <c r="H15" s="38"/>
      <c r="I15" s="38"/>
    </row>
    <row r="16" spans="1:117" x14ac:dyDescent="0.15">
      <c r="A16" s="2" t="s">
        <v>4</v>
      </c>
      <c r="B16" s="24">
        <f>B13*B14</f>
        <v>765.37199999999996</v>
      </c>
      <c r="C16" s="24">
        <f>C13*C14</f>
        <v>741.42000000000007</v>
      </c>
      <c r="D16" s="24">
        <f>D13*D14</f>
        <v>861.38999999999987</v>
      </c>
      <c r="E16" s="24">
        <f>E13*E14</f>
        <v>907.20800000000008</v>
      </c>
      <c r="F16" s="24">
        <f>F13*F14</f>
        <v>1321.5239999999999</v>
      </c>
      <c r="G16" s="24">
        <f>G13*G14</f>
        <v>1929.5944500000001</v>
      </c>
      <c r="H16" s="47">
        <f>H13*H14</f>
        <v>2329.9852983750002</v>
      </c>
      <c r="I16" s="47">
        <f>I13*I14</f>
        <v>2813.4572477878128</v>
      </c>
      <c r="J16" s="47">
        <f>J13*J14</f>
        <v>3397.2496267037836</v>
      </c>
      <c r="K16" s="47">
        <f>K13*K14</f>
        <v>4102.1789242448194</v>
      </c>
      <c r="L16" s="47">
        <f>K16*1.1</f>
        <v>4512.3968166693021</v>
      </c>
      <c r="M16" s="47">
        <f t="shared" ref="M16:P16" si="3">L16*1.1</f>
        <v>4963.6364983362328</v>
      </c>
      <c r="N16" s="47">
        <f t="shared" si="3"/>
        <v>5460.0001481698564</v>
      </c>
      <c r="O16" s="47">
        <f t="shared" si="3"/>
        <v>6006.000162986843</v>
      </c>
      <c r="P16" s="47">
        <f t="shared" si="3"/>
        <v>6606.6001792855277</v>
      </c>
      <c r="Q16" s="47">
        <f t="shared" ref="Q16:U16" si="4">P16*1.05</f>
        <v>6936.9301882498048</v>
      </c>
      <c r="R16" s="47">
        <f t="shared" si="4"/>
        <v>7283.7766976622952</v>
      </c>
      <c r="S16" s="47">
        <f t="shared" si="4"/>
        <v>7647.9655325454105</v>
      </c>
      <c r="T16" s="47">
        <f t="shared" si="4"/>
        <v>8030.3638091726816</v>
      </c>
      <c r="U16" s="47">
        <f t="shared" si="4"/>
        <v>8431.8819996313159</v>
      </c>
      <c r="V16" s="39"/>
      <c r="W16" s="39"/>
      <c r="X16" s="39"/>
      <c r="Y16" s="39"/>
      <c r="Z16" s="39"/>
      <c r="AA16" s="39"/>
      <c r="AB16" s="39"/>
      <c r="AC16" s="39"/>
      <c r="AD16" s="39"/>
      <c r="AE16" s="39"/>
      <c r="AF16" s="39"/>
      <c r="AG16" s="39"/>
      <c r="AH16" s="39"/>
      <c r="AI16" s="39"/>
      <c r="AJ16" s="39"/>
      <c r="AK16" s="39"/>
      <c r="AL16" s="39"/>
      <c r="AM16" s="39"/>
      <c r="AN16" s="39"/>
      <c r="AO16" s="39"/>
      <c r="AP16" s="39"/>
      <c r="AQ16" s="39"/>
      <c r="AR16" s="39"/>
      <c r="AS16" s="39"/>
      <c r="AT16" s="39"/>
      <c r="AU16" s="39"/>
      <c r="AV16" s="39"/>
      <c r="AW16" s="39"/>
      <c r="AX16" s="39"/>
      <c r="AY16" s="39"/>
      <c r="AZ16" s="39"/>
      <c r="BA16" s="39"/>
      <c r="BB16" s="39"/>
      <c r="BC16" s="39"/>
      <c r="BD16" s="39"/>
      <c r="BE16" s="39"/>
      <c r="BF16" s="39"/>
      <c r="BG16" s="39"/>
      <c r="BH16" s="39"/>
      <c r="BI16" s="39"/>
      <c r="BJ16" s="39"/>
      <c r="BK16" s="39"/>
      <c r="BL16" s="39"/>
      <c r="BM16" s="39"/>
      <c r="BN16" s="39"/>
      <c r="BO16" s="39"/>
      <c r="BP16" s="39"/>
      <c r="BQ16" s="39"/>
      <c r="BR16" s="39"/>
      <c r="BS16" s="39"/>
      <c r="BT16" s="39"/>
      <c r="BU16" s="39"/>
      <c r="BV16" s="39"/>
      <c r="BW16" s="39"/>
      <c r="BX16" s="39"/>
      <c r="BY16" s="39"/>
      <c r="BZ16" s="39"/>
      <c r="CA16" s="39"/>
      <c r="CB16" s="39"/>
      <c r="CC16" s="39"/>
      <c r="CD16" s="39"/>
      <c r="CE16" s="39"/>
      <c r="CF16" s="39"/>
      <c r="CG16" s="39"/>
      <c r="CH16" s="39"/>
      <c r="CI16" s="39"/>
      <c r="CJ16" s="39"/>
      <c r="CK16" s="39"/>
      <c r="CL16" s="39"/>
      <c r="CM16" s="39"/>
      <c r="CN16" s="39"/>
      <c r="CO16" s="39"/>
      <c r="CP16" s="39"/>
      <c r="CQ16" s="39"/>
      <c r="CR16" s="39"/>
      <c r="CS16" s="39"/>
      <c r="CT16" s="39"/>
      <c r="CU16" s="39"/>
      <c r="CV16" s="39"/>
      <c r="CW16" s="39"/>
      <c r="CX16" s="39"/>
      <c r="CY16" s="39"/>
      <c r="CZ16" s="39"/>
      <c r="DA16" s="39"/>
      <c r="DB16" s="39"/>
      <c r="DC16" s="39"/>
      <c r="DD16" s="39"/>
      <c r="DE16" s="39"/>
      <c r="DF16" s="39"/>
      <c r="DG16" s="39"/>
      <c r="DH16" s="39"/>
      <c r="DI16" s="39"/>
      <c r="DJ16" s="39"/>
      <c r="DK16" s="39"/>
      <c r="DL16" s="39"/>
      <c r="DM16" s="39"/>
    </row>
    <row r="17" spans="1:200" x14ac:dyDescent="0.15">
      <c r="A17" s="3" t="s">
        <v>5</v>
      </c>
      <c r="B17" s="23">
        <f>SUM(Reports!B10:E10)</f>
        <v>235.98500000000001</v>
      </c>
      <c r="C17" s="23">
        <f>SUM(Reports!F10:I10)</f>
        <v>238.54599999999999</v>
      </c>
      <c r="D17" s="38">
        <f>SUM(Reports!J10:M10)</f>
        <v>258.97099999999995</v>
      </c>
      <c r="E17" s="38">
        <f>SUM(Reports!N10:Q10)</f>
        <v>304.65799999999996</v>
      </c>
      <c r="F17" s="38">
        <f>SUM(Reports!R10:U10)</f>
        <v>524.08900000000006</v>
      </c>
      <c r="G17" s="23">
        <f>G16-G18</f>
        <v>765.23712449115578</v>
      </c>
      <c r="H17" s="23">
        <f t="shared" ref="H17" si="5">H16-H18</f>
        <v>924.02382782307063</v>
      </c>
      <c r="I17" s="23">
        <f t="shared" ref="I17:P17" si="6">I16-I18</f>
        <v>1115.7587720963579</v>
      </c>
      <c r="J17" s="23">
        <f t="shared" si="6"/>
        <v>1347.2787173063521</v>
      </c>
      <c r="K17" s="23">
        <f>K16-K18</f>
        <v>1626.8390511474204</v>
      </c>
      <c r="L17" s="23">
        <f t="shared" si="6"/>
        <v>1789.5229562621626</v>
      </c>
      <c r="M17" s="23">
        <f t="shared" si="6"/>
        <v>1968.4752518883788</v>
      </c>
      <c r="N17" s="23">
        <f t="shared" si="6"/>
        <v>2165.3227770772169</v>
      </c>
      <c r="O17" s="23">
        <f t="shared" si="6"/>
        <v>2381.8550547849391</v>
      </c>
      <c r="P17" s="23">
        <f t="shared" si="6"/>
        <v>2620.0405602634332</v>
      </c>
      <c r="Q17" s="23">
        <f t="shared" ref="Q17:U17" si="7">Q16-Q18</f>
        <v>2751.0425882766049</v>
      </c>
      <c r="R17" s="23">
        <f t="shared" si="7"/>
        <v>2888.5947176904356</v>
      </c>
      <c r="S17" s="23">
        <f t="shared" si="7"/>
        <v>3033.0244535749571</v>
      </c>
      <c r="T17" s="23">
        <f t="shared" si="7"/>
        <v>3184.6756762537052</v>
      </c>
      <c r="U17" s="23">
        <f t="shared" si="7"/>
        <v>3343.9094600663911</v>
      </c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  <c r="AG17" s="39"/>
      <c r="AH17" s="39"/>
      <c r="AI17" s="39"/>
      <c r="AJ17" s="39"/>
      <c r="AK17" s="39"/>
      <c r="AL17" s="39"/>
      <c r="AM17" s="39"/>
      <c r="AN17" s="39"/>
      <c r="AO17" s="39"/>
      <c r="AP17" s="39"/>
      <c r="AQ17" s="39"/>
      <c r="AR17" s="39"/>
      <c r="AS17" s="39"/>
      <c r="AT17" s="39"/>
      <c r="AU17" s="39"/>
      <c r="AV17" s="39"/>
      <c r="AW17" s="39"/>
      <c r="AX17" s="39"/>
      <c r="AY17" s="39"/>
      <c r="AZ17" s="39"/>
      <c r="BA17" s="39"/>
      <c r="BB17" s="39"/>
      <c r="BC17" s="39"/>
      <c r="BD17" s="39"/>
      <c r="BE17" s="39"/>
      <c r="BF17" s="39"/>
      <c r="BG17" s="39"/>
      <c r="BH17" s="39"/>
      <c r="BI17" s="39"/>
      <c r="BJ17" s="39"/>
      <c r="BK17" s="39"/>
      <c r="BL17" s="39"/>
      <c r="BM17" s="39"/>
      <c r="BN17" s="39"/>
      <c r="BO17" s="39"/>
      <c r="BP17" s="39"/>
      <c r="BQ17" s="39"/>
      <c r="BR17" s="39"/>
      <c r="BS17" s="39"/>
      <c r="BT17" s="39"/>
      <c r="BU17" s="39"/>
      <c r="BV17" s="39"/>
      <c r="BW17" s="39"/>
      <c r="BX17" s="39"/>
      <c r="BY17" s="39"/>
      <c r="BZ17" s="39"/>
      <c r="CA17" s="39"/>
      <c r="CB17" s="39"/>
      <c r="CC17" s="39"/>
      <c r="CD17" s="39"/>
      <c r="CE17" s="39"/>
      <c r="CF17" s="39"/>
      <c r="CG17" s="39"/>
      <c r="CH17" s="39"/>
      <c r="CI17" s="39"/>
      <c r="CJ17" s="39"/>
      <c r="CK17" s="39"/>
      <c r="CL17" s="39"/>
      <c r="CM17" s="39"/>
      <c r="CN17" s="39"/>
      <c r="CO17" s="39"/>
      <c r="CP17" s="39"/>
      <c r="CQ17" s="39"/>
      <c r="CR17" s="39"/>
      <c r="CS17" s="39"/>
      <c r="CT17" s="39"/>
      <c r="CU17" s="39"/>
      <c r="CV17" s="39"/>
      <c r="CW17" s="39"/>
      <c r="CX17" s="39"/>
      <c r="CY17" s="39"/>
      <c r="CZ17" s="39"/>
      <c r="DA17" s="39"/>
      <c r="DB17" s="39"/>
      <c r="DC17" s="39"/>
      <c r="DD17" s="39"/>
      <c r="DE17" s="39"/>
      <c r="DF17" s="39"/>
      <c r="DG17" s="39"/>
      <c r="DH17" s="39"/>
      <c r="DI17" s="39"/>
      <c r="DJ17" s="39"/>
      <c r="DK17" s="39"/>
      <c r="DL17" s="39"/>
      <c r="DM17" s="39"/>
    </row>
    <row r="18" spans="1:200" x14ac:dyDescent="0.15">
      <c r="A18" s="3" t="s">
        <v>6</v>
      </c>
      <c r="B18" s="27">
        <f>B16-B17</f>
        <v>529.38699999999994</v>
      </c>
      <c r="C18" s="27">
        <f>C16-C17</f>
        <v>502.87400000000008</v>
      </c>
      <c r="D18" s="27">
        <f>D16-D17</f>
        <v>602.41899999999987</v>
      </c>
      <c r="E18" s="27">
        <f>E16-E17</f>
        <v>602.55000000000018</v>
      </c>
      <c r="F18" s="27">
        <f>F16-F17</f>
        <v>797.43499999999983</v>
      </c>
      <c r="G18" s="23">
        <f>G16*F31</f>
        <v>1164.3573255088443</v>
      </c>
      <c r="H18" s="23">
        <f t="shared" ref="H18:U18" si="8">H16*G31</f>
        <v>1405.9614705519296</v>
      </c>
      <c r="I18" s="23">
        <f t="shared" si="8"/>
        <v>1697.6984756914549</v>
      </c>
      <c r="J18" s="23">
        <f t="shared" si="8"/>
        <v>2049.9709093974316</v>
      </c>
      <c r="K18" s="23">
        <f>K16*J31</f>
        <v>2475.339873097399</v>
      </c>
      <c r="L18" s="23">
        <f t="shared" si="8"/>
        <v>2722.8738604071395</v>
      </c>
      <c r="M18" s="23">
        <f t="shared" si="8"/>
        <v>2995.161246447854</v>
      </c>
      <c r="N18" s="23">
        <f t="shared" si="8"/>
        <v>3294.6773710926395</v>
      </c>
      <c r="O18" s="23">
        <f t="shared" si="8"/>
        <v>3624.1451082019039</v>
      </c>
      <c r="P18" s="23">
        <f t="shared" si="8"/>
        <v>3986.5596190220945</v>
      </c>
      <c r="Q18" s="23">
        <f t="shared" si="8"/>
        <v>4185.8875999731999</v>
      </c>
      <c r="R18" s="23">
        <f t="shared" si="8"/>
        <v>4395.1819799718596</v>
      </c>
      <c r="S18" s="23">
        <f t="shared" si="8"/>
        <v>4614.9410789704534</v>
      </c>
      <c r="T18" s="23">
        <f t="shared" si="8"/>
        <v>4845.6881329189764</v>
      </c>
      <c r="U18" s="23">
        <f t="shared" si="8"/>
        <v>5087.9725395649248</v>
      </c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  <c r="AG18" s="39"/>
      <c r="AH18" s="39"/>
      <c r="AI18" s="39"/>
      <c r="AJ18" s="39"/>
      <c r="AK18" s="39"/>
      <c r="AL18" s="39"/>
      <c r="AM18" s="39"/>
      <c r="AN18" s="39"/>
      <c r="AO18" s="39"/>
      <c r="AP18" s="39"/>
      <c r="AQ18" s="39"/>
      <c r="AR18" s="39"/>
      <c r="AS18" s="39"/>
      <c r="AT18" s="39"/>
      <c r="AU18" s="39"/>
      <c r="AV18" s="39"/>
      <c r="AW18" s="39"/>
      <c r="AX18" s="39"/>
      <c r="AY18" s="39"/>
      <c r="AZ18" s="39"/>
      <c r="BA18" s="39"/>
      <c r="BB18" s="39"/>
      <c r="BC18" s="39"/>
      <c r="BD18" s="39"/>
      <c r="BE18" s="39"/>
      <c r="BF18" s="39"/>
      <c r="BG18" s="39"/>
      <c r="BH18" s="39"/>
      <c r="BI18" s="39"/>
      <c r="BJ18" s="39"/>
      <c r="BK18" s="39"/>
      <c r="BL18" s="39"/>
      <c r="BM18" s="39"/>
      <c r="BN18" s="39"/>
      <c r="BO18" s="39"/>
      <c r="BP18" s="39"/>
      <c r="BQ18" s="39"/>
      <c r="BR18" s="39"/>
      <c r="BS18" s="39"/>
      <c r="BT18" s="39"/>
      <c r="BU18" s="39"/>
      <c r="BV18" s="39"/>
      <c r="BW18" s="39"/>
      <c r="BX18" s="39"/>
      <c r="BY18" s="39"/>
      <c r="BZ18" s="39"/>
      <c r="CA18" s="39"/>
      <c r="CB18" s="39"/>
      <c r="CC18" s="39"/>
      <c r="CD18" s="39"/>
      <c r="CE18" s="39"/>
      <c r="CF18" s="39"/>
      <c r="CG18" s="39"/>
      <c r="CH18" s="39"/>
      <c r="CI18" s="39"/>
      <c r="CJ18" s="39"/>
      <c r="CK18" s="39"/>
      <c r="CL18" s="39"/>
      <c r="CM18" s="39"/>
      <c r="CN18" s="39"/>
      <c r="CO18" s="39"/>
      <c r="CP18" s="39"/>
      <c r="CQ18" s="39"/>
      <c r="CR18" s="39"/>
      <c r="CS18" s="39"/>
      <c r="CT18" s="39"/>
      <c r="CU18" s="39"/>
      <c r="CV18" s="39"/>
      <c r="CW18" s="39"/>
      <c r="CX18" s="39"/>
      <c r="CY18" s="39"/>
      <c r="CZ18" s="39"/>
      <c r="DA18" s="39"/>
      <c r="DB18" s="39"/>
      <c r="DC18" s="39"/>
      <c r="DD18" s="39"/>
      <c r="DE18" s="39"/>
      <c r="DF18" s="39"/>
      <c r="DG18" s="39"/>
      <c r="DH18" s="39"/>
      <c r="DI18" s="39"/>
      <c r="DJ18" s="39"/>
      <c r="DK18" s="39"/>
      <c r="DL18" s="39"/>
      <c r="DM18" s="39"/>
    </row>
    <row r="19" spans="1:200" x14ac:dyDescent="0.15">
      <c r="A19" s="3" t="s">
        <v>7</v>
      </c>
      <c r="B19" s="23">
        <f>SUM(Reports!B12:E12)</f>
        <v>362</v>
      </c>
      <c r="C19" s="23">
        <f>SUM(Reports!F12:I12)</f>
        <v>320</v>
      </c>
      <c r="D19" s="38">
        <f>SUM(Reports!J12:M12)</f>
        <v>256</v>
      </c>
      <c r="E19" s="38">
        <f>SUM(Reports!N12:Q12)</f>
        <v>270</v>
      </c>
      <c r="F19" s="38">
        <f>SUM(Reports!R12:U12)</f>
        <v>505</v>
      </c>
      <c r="G19" s="23">
        <f>F19*1.2</f>
        <v>606</v>
      </c>
      <c r="H19" s="23">
        <f t="shared" ref="H19:K19" si="9">G19*1.2</f>
        <v>727.19999999999993</v>
      </c>
      <c r="I19" s="23">
        <f t="shared" si="9"/>
        <v>872.63999999999987</v>
      </c>
      <c r="J19" s="23">
        <f t="shared" si="9"/>
        <v>1047.1679999999999</v>
      </c>
      <c r="K19" s="23">
        <f t="shared" si="9"/>
        <v>1256.6015999999997</v>
      </c>
      <c r="L19" s="23">
        <f>K19*1.1</f>
        <v>1382.2617599999999</v>
      </c>
      <c r="M19" s="23">
        <f t="shared" ref="M19:P19" si="10">L19*1.1</f>
        <v>1520.487936</v>
      </c>
      <c r="N19" s="23">
        <f t="shared" si="10"/>
        <v>1672.5367296000002</v>
      </c>
      <c r="O19" s="23">
        <f t="shared" si="10"/>
        <v>1839.7904025600003</v>
      </c>
      <c r="P19" s="23">
        <f t="shared" si="10"/>
        <v>2023.7694428160005</v>
      </c>
      <c r="Q19" s="23">
        <f t="shared" ref="Q19:U19" si="11">P19*1.08</f>
        <v>2185.6709982412808</v>
      </c>
      <c r="R19" s="23">
        <f t="shared" si="11"/>
        <v>2360.5246781005835</v>
      </c>
      <c r="S19" s="23">
        <f t="shared" si="11"/>
        <v>2549.3666523486304</v>
      </c>
      <c r="T19" s="23">
        <f t="shared" si="11"/>
        <v>2753.3159845365212</v>
      </c>
      <c r="U19" s="23">
        <f t="shared" si="11"/>
        <v>2973.581263299443</v>
      </c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  <c r="AK19" s="39"/>
      <c r="AL19" s="39"/>
      <c r="AM19" s="39"/>
      <c r="AN19" s="39"/>
      <c r="AO19" s="39"/>
      <c r="AP19" s="39"/>
      <c r="AQ19" s="39"/>
      <c r="AR19" s="39"/>
      <c r="AS19" s="39"/>
      <c r="AT19" s="39"/>
      <c r="AU19" s="39"/>
      <c r="AV19" s="39"/>
      <c r="AW19" s="39"/>
      <c r="AX19" s="39"/>
      <c r="AY19" s="39"/>
      <c r="AZ19" s="39"/>
      <c r="BA19" s="39"/>
      <c r="BB19" s="39"/>
      <c r="BC19" s="39"/>
      <c r="BD19" s="39"/>
      <c r="BE19" s="39"/>
      <c r="BF19" s="39"/>
      <c r="BG19" s="39"/>
      <c r="BH19" s="39"/>
      <c r="BI19" s="39"/>
      <c r="BJ19" s="39"/>
      <c r="BK19" s="39"/>
      <c r="BL19" s="39"/>
      <c r="BM19" s="39"/>
      <c r="BN19" s="39"/>
      <c r="BO19" s="39"/>
      <c r="BP19" s="39"/>
      <c r="BQ19" s="39"/>
      <c r="BR19" s="39"/>
      <c r="BS19" s="39"/>
      <c r="BT19" s="39"/>
      <c r="BU19" s="39"/>
      <c r="BV19" s="39"/>
      <c r="BW19" s="39"/>
      <c r="BX19" s="39"/>
      <c r="BY19" s="39"/>
      <c r="BZ19" s="39"/>
      <c r="CA19" s="39"/>
      <c r="CB19" s="39"/>
      <c r="CC19" s="39"/>
      <c r="CD19" s="39"/>
      <c r="CE19" s="39"/>
      <c r="CF19" s="39"/>
      <c r="CG19" s="39"/>
      <c r="CH19" s="39"/>
      <c r="CI19" s="39"/>
      <c r="CJ19" s="39"/>
      <c r="CK19" s="39"/>
      <c r="CL19" s="39"/>
      <c r="CM19" s="39"/>
      <c r="CN19" s="39"/>
      <c r="CO19" s="39"/>
      <c r="CP19" s="39"/>
      <c r="CQ19" s="39"/>
      <c r="CR19" s="39"/>
      <c r="CS19" s="39"/>
      <c r="CT19" s="39"/>
      <c r="CU19" s="39"/>
      <c r="CV19" s="39"/>
      <c r="CW19" s="39"/>
      <c r="CX19" s="39"/>
      <c r="CY19" s="39"/>
      <c r="CZ19" s="39"/>
      <c r="DA19" s="39"/>
      <c r="DB19" s="39"/>
      <c r="DC19" s="39"/>
      <c r="DD19" s="39"/>
      <c r="DE19" s="39"/>
      <c r="DF19" s="39"/>
      <c r="DG19" s="39"/>
      <c r="DH19" s="39"/>
      <c r="DI19" s="39"/>
      <c r="DJ19" s="39"/>
      <c r="DK19" s="39"/>
      <c r="DL19" s="39"/>
      <c r="DM19" s="39"/>
    </row>
    <row r="20" spans="1:200" x14ac:dyDescent="0.15">
      <c r="A20" s="3" t="s">
        <v>8</v>
      </c>
      <c r="B20" s="23">
        <f>SUM(Reports!B13:E13)</f>
        <v>170</v>
      </c>
      <c r="C20" s="23">
        <f>SUM(Reports!F13:I13)</f>
        <v>184</v>
      </c>
      <c r="D20" s="38">
        <f>SUM(Reports!J13:M13)</f>
        <v>212</v>
      </c>
      <c r="E20" s="38">
        <f>SUM(Reports!N13:Q13)</f>
        <v>227</v>
      </c>
      <c r="F20" s="38">
        <f>SUM(Reports!R13:U13)</f>
        <v>465</v>
      </c>
      <c r="G20" s="23">
        <f>F20*1.1</f>
        <v>511.50000000000006</v>
      </c>
      <c r="H20" s="23">
        <f t="shared" ref="H20:K20" si="12">G20*1.1</f>
        <v>562.65000000000009</v>
      </c>
      <c r="I20" s="23">
        <f t="shared" si="12"/>
        <v>618.91500000000019</v>
      </c>
      <c r="J20" s="23">
        <f t="shared" si="12"/>
        <v>680.80650000000026</v>
      </c>
      <c r="K20" s="23">
        <f t="shared" si="12"/>
        <v>748.88715000000036</v>
      </c>
      <c r="L20" s="23">
        <f>K20*1.05</f>
        <v>786.33150750000038</v>
      </c>
      <c r="M20" s="23">
        <f t="shared" ref="M20:P20" si="13">L20*1.05</f>
        <v>825.64808287500045</v>
      </c>
      <c r="N20" s="23">
        <f t="shared" si="13"/>
        <v>866.93048701875057</v>
      </c>
      <c r="O20" s="23">
        <f t="shared" si="13"/>
        <v>910.27701136968813</v>
      </c>
      <c r="P20" s="23">
        <f t="shared" si="13"/>
        <v>955.79086193817261</v>
      </c>
      <c r="Q20" s="23">
        <f t="shared" ref="Q20:U20" si="14">P20*0.98</f>
        <v>936.67504469940911</v>
      </c>
      <c r="R20" s="23">
        <f t="shared" si="14"/>
        <v>917.94154380542091</v>
      </c>
      <c r="S20" s="23">
        <f t="shared" si="14"/>
        <v>899.58271292931249</v>
      </c>
      <c r="T20" s="23">
        <f t="shared" si="14"/>
        <v>881.59105867072617</v>
      </c>
      <c r="U20" s="23">
        <f t="shared" si="14"/>
        <v>863.95923749731162</v>
      </c>
      <c r="V20" s="39"/>
      <c r="W20" s="39"/>
      <c r="X20" s="39"/>
      <c r="Y20" s="39"/>
      <c r="Z20" s="39"/>
      <c r="AA20" s="39"/>
      <c r="AB20" s="39"/>
      <c r="AC20" s="39"/>
      <c r="AD20" s="39"/>
      <c r="AE20" s="39"/>
      <c r="AF20" s="39"/>
      <c r="AG20" s="39"/>
      <c r="AH20" s="39"/>
      <c r="AI20" s="39"/>
      <c r="AJ20" s="39"/>
      <c r="AK20" s="39"/>
      <c r="AL20" s="39"/>
      <c r="AM20" s="39"/>
      <c r="AN20" s="39"/>
      <c r="AO20" s="39"/>
      <c r="AP20" s="39"/>
      <c r="AQ20" s="39"/>
      <c r="AR20" s="39"/>
      <c r="AS20" s="39"/>
      <c r="AT20" s="39"/>
      <c r="AU20" s="39"/>
      <c r="AV20" s="39"/>
      <c r="AW20" s="39"/>
      <c r="AX20" s="39"/>
      <c r="AY20" s="39"/>
      <c r="AZ20" s="39"/>
      <c r="BA20" s="39"/>
      <c r="BB20" s="39"/>
      <c r="BC20" s="39"/>
      <c r="BD20" s="39"/>
      <c r="BE20" s="39"/>
      <c r="BF20" s="39"/>
      <c r="BG20" s="39"/>
      <c r="BH20" s="39"/>
      <c r="BI20" s="39"/>
      <c r="BJ20" s="39"/>
      <c r="BK20" s="39"/>
      <c r="BL20" s="39"/>
      <c r="BM20" s="39"/>
      <c r="BN20" s="39"/>
      <c r="BO20" s="39"/>
      <c r="BP20" s="39"/>
      <c r="BQ20" s="39"/>
      <c r="BR20" s="39"/>
      <c r="BS20" s="39"/>
      <c r="BT20" s="39"/>
      <c r="BU20" s="39"/>
      <c r="BV20" s="39"/>
      <c r="BW20" s="39"/>
      <c r="BX20" s="39"/>
      <c r="BY20" s="39"/>
      <c r="BZ20" s="39"/>
      <c r="CA20" s="39"/>
      <c r="CB20" s="39"/>
      <c r="CC20" s="39"/>
      <c r="CD20" s="39"/>
      <c r="CE20" s="39"/>
      <c r="CF20" s="39"/>
      <c r="CG20" s="39"/>
      <c r="CH20" s="39"/>
      <c r="CI20" s="39"/>
      <c r="CJ20" s="39"/>
      <c r="CK20" s="39"/>
      <c r="CL20" s="39"/>
      <c r="CM20" s="39"/>
      <c r="CN20" s="39"/>
      <c r="CO20" s="39"/>
      <c r="CP20" s="39"/>
      <c r="CQ20" s="39"/>
      <c r="CR20" s="39"/>
      <c r="CS20" s="39"/>
      <c r="CT20" s="39"/>
      <c r="CU20" s="39"/>
      <c r="CV20" s="39"/>
      <c r="CW20" s="39"/>
      <c r="CX20" s="39"/>
      <c r="CY20" s="39"/>
      <c r="CZ20" s="39"/>
      <c r="DA20" s="39"/>
      <c r="DB20" s="39"/>
      <c r="DC20" s="39"/>
      <c r="DD20" s="39"/>
      <c r="DE20" s="39"/>
      <c r="DF20" s="39"/>
      <c r="DG20" s="39"/>
      <c r="DH20" s="39"/>
      <c r="DI20" s="39"/>
      <c r="DJ20" s="39"/>
      <c r="DK20" s="39"/>
      <c r="DL20" s="39"/>
      <c r="DM20" s="39"/>
    </row>
    <row r="21" spans="1:200" x14ac:dyDescent="0.15">
      <c r="A21" s="3" t="s">
        <v>9</v>
      </c>
      <c r="B21" s="23">
        <f>SUM(Reports!B14:E14)</f>
        <v>143</v>
      </c>
      <c r="C21" s="23">
        <f>SUM(Reports!F14:I14)</f>
        <v>113</v>
      </c>
      <c r="D21" s="38">
        <f>SUM(Reports!J14:M14)</f>
        <v>110</v>
      </c>
      <c r="E21" s="38">
        <f>SUM(Reports!N14:Q14)</f>
        <v>99</v>
      </c>
      <c r="F21" s="38">
        <f>SUM(Reports!R14:U14)</f>
        <v>100</v>
      </c>
      <c r="G21" s="23">
        <f>F21*0.95</f>
        <v>95</v>
      </c>
      <c r="H21" s="23">
        <f t="shared" ref="H21:K21" si="15">G21*0.95</f>
        <v>90.25</v>
      </c>
      <c r="I21" s="23">
        <f t="shared" si="15"/>
        <v>85.737499999999997</v>
      </c>
      <c r="J21" s="23">
        <f t="shared" si="15"/>
        <v>81.450624999999988</v>
      </c>
      <c r="K21" s="23">
        <f t="shared" si="15"/>
        <v>77.378093749999991</v>
      </c>
      <c r="L21" s="23">
        <f>K21*1.05</f>
        <v>81.246998437499997</v>
      </c>
      <c r="M21" s="23">
        <f t="shared" ref="M21:P21" si="16">L21*1.05</f>
        <v>85.309348359374994</v>
      </c>
      <c r="N21" s="23">
        <f t="shared" si="16"/>
        <v>89.574815777343744</v>
      </c>
      <c r="O21" s="23">
        <f t="shared" si="16"/>
        <v>94.053556566210929</v>
      </c>
      <c r="P21" s="23">
        <f t="shared" si="16"/>
        <v>98.756234394521485</v>
      </c>
      <c r="Q21" s="23">
        <f t="shared" ref="Q21:U21" si="17">P21*0.98</f>
        <v>96.781109706631057</v>
      </c>
      <c r="R21" s="23">
        <f t="shared" si="17"/>
        <v>94.845487512498437</v>
      </c>
      <c r="S21" s="23">
        <f t="shared" si="17"/>
        <v>92.948577762248462</v>
      </c>
      <c r="T21" s="23">
        <f t="shared" si="17"/>
        <v>91.089606207003484</v>
      </c>
      <c r="U21" s="23">
        <f t="shared" si="17"/>
        <v>89.26781408286341</v>
      </c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  <c r="AG21" s="39"/>
      <c r="AH21" s="39"/>
      <c r="AI21" s="39"/>
      <c r="AJ21" s="39"/>
      <c r="AK21" s="39"/>
      <c r="AL21" s="39"/>
      <c r="AM21" s="39"/>
      <c r="AN21" s="39"/>
      <c r="AO21" s="39"/>
      <c r="AP21" s="39"/>
      <c r="AQ21" s="39"/>
      <c r="AR21" s="39"/>
      <c r="AS21" s="39"/>
      <c r="AT21" s="39"/>
      <c r="AU21" s="39"/>
      <c r="AV21" s="39"/>
      <c r="AW21" s="39"/>
      <c r="AX21" s="39"/>
      <c r="AY21" s="39"/>
      <c r="AZ21" s="39"/>
      <c r="BA21" s="39"/>
      <c r="BB21" s="39"/>
      <c r="BC21" s="39"/>
      <c r="BD21" s="39"/>
      <c r="BE21" s="39"/>
      <c r="BF21" s="39"/>
      <c r="BG21" s="39"/>
      <c r="BH21" s="39"/>
      <c r="BI21" s="39"/>
      <c r="BJ21" s="39"/>
      <c r="BK21" s="39"/>
      <c r="BL21" s="39"/>
      <c r="BM21" s="39"/>
      <c r="BN21" s="39"/>
      <c r="BO21" s="39"/>
      <c r="BP21" s="39"/>
      <c r="BQ21" s="39"/>
      <c r="BR21" s="39"/>
      <c r="BS21" s="39"/>
      <c r="BT21" s="39"/>
      <c r="BU21" s="39"/>
      <c r="BV21" s="39"/>
      <c r="BW21" s="39"/>
      <c r="BX21" s="39"/>
      <c r="BY21" s="39"/>
      <c r="BZ21" s="39"/>
      <c r="CA21" s="39"/>
      <c r="CB21" s="39"/>
      <c r="CC21" s="39"/>
      <c r="CD21" s="39"/>
      <c r="CE21" s="39"/>
      <c r="CF21" s="39"/>
      <c r="CG21" s="39"/>
      <c r="CH21" s="39"/>
      <c r="CI21" s="39"/>
      <c r="CJ21" s="39"/>
      <c r="CK21" s="39"/>
      <c r="CL21" s="39"/>
      <c r="CM21" s="39"/>
      <c r="CN21" s="39"/>
      <c r="CO21" s="39"/>
      <c r="CP21" s="39"/>
      <c r="CQ21" s="39"/>
      <c r="CR21" s="39"/>
      <c r="CS21" s="39"/>
      <c r="CT21" s="39"/>
      <c r="CU21" s="39"/>
      <c r="CV21" s="39"/>
      <c r="CW21" s="39"/>
      <c r="CX21" s="39"/>
      <c r="CY21" s="39"/>
      <c r="CZ21" s="39"/>
      <c r="DA21" s="39"/>
      <c r="DB21" s="39"/>
      <c r="DC21" s="39"/>
      <c r="DD21" s="39"/>
      <c r="DE21" s="39"/>
      <c r="DF21" s="39"/>
      <c r="DG21" s="39"/>
      <c r="DH21" s="39"/>
      <c r="DI21" s="39"/>
      <c r="DJ21" s="39"/>
      <c r="DK21" s="39"/>
      <c r="DL21" s="39"/>
      <c r="DM21" s="39"/>
    </row>
    <row r="22" spans="1:200" x14ac:dyDescent="0.15">
      <c r="A22" s="3" t="s">
        <v>10</v>
      </c>
      <c r="B22" s="27">
        <f>SUM(B19:B21)</f>
        <v>675</v>
      </c>
      <c r="C22" s="27">
        <f>SUM(C19:C21)</f>
        <v>617</v>
      </c>
      <c r="D22" s="27">
        <f>SUM(D19:D21)</f>
        <v>578</v>
      </c>
      <c r="E22" s="27">
        <f>SUM(E19:E21)</f>
        <v>596</v>
      </c>
      <c r="F22" s="27">
        <f>SUM(F19:F21)</f>
        <v>1070</v>
      </c>
      <c r="G22" s="23">
        <f>SUM(G19:G21)</f>
        <v>1212.5</v>
      </c>
      <c r="H22" s="23">
        <f t="shared" ref="G22:H22" si="18">SUM(H19:H21)</f>
        <v>1380.1</v>
      </c>
      <c r="I22" s="23">
        <f t="shared" ref="I22:P22" si="19">SUM(I19:I21)</f>
        <v>1577.2925</v>
      </c>
      <c r="J22" s="23">
        <f t="shared" si="19"/>
        <v>1809.4251250000002</v>
      </c>
      <c r="K22" s="23">
        <f t="shared" si="19"/>
        <v>2082.86684375</v>
      </c>
      <c r="L22" s="23">
        <f t="shared" si="19"/>
        <v>2249.8402659375006</v>
      </c>
      <c r="M22" s="23">
        <f t="shared" si="19"/>
        <v>2431.4453672343752</v>
      </c>
      <c r="N22" s="23">
        <f t="shared" si="19"/>
        <v>2629.0420323960943</v>
      </c>
      <c r="O22" s="23">
        <f t="shared" si="19"/>
        <v>2844.1209704958992</v>
      </c>
      <c r="P22" s="23">
        <f t="shared" si="19"/>
        <v>3078.3165391486946</v>
      </c>
      <c r="Q22" s="23">
        <f t="shared" ref="Q22:U22" si="20">SUM(Q19:Q21)</f>
        <v>3219.1271526473211</v>
      </c>
      <c r="R22" s="23">
        <f t="shared" si="20"/>
        <v>3373.3117094185031</v>
      </c>
      <c r="S22" s="23">
        <f t="shared" si="20"/>
        <v>3541.8979430401914</v>
      </c>
      <c r="T22" s="23">
        <f t="shared" si="20"/>
        <v>3725.9966494142509</v>
      </c>
      <c r="U22" s="23">
        <f t="shared" si="20"/>
        <v>3926.8083148796181</v>
      </c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H22" s="39"/>
      <c r="AI22" s="39"/>
      <c r="AJ22" s="39"/>
      <c r="AK22" s="39"/>
      <c r="AL22" s="39"/>
      <c r="AM22" s="39"/>
      <c r="AN22" s="39"/>
      <c r="AO22" s="39"/>
      <c r="AP22" s="39"/>
      <c r="AQ22" s="39"/>
      <c r="AR22" s="39"/>
      <c r="AS22" s="39"/>
      <c r="AT22" s="39"/>
      <c r="AU22" s="39"/>
      <c r="AV22" s="39"/>
      <c r="AW22" s="39"/>
      <c r="AX22" s="39"/>
      <c r="AY22" s="39"/>
      <c r="AZ22" s="39"/>
      <c r="BA22" s="39"/>
      <c r="BB22" s="39"/>
      <c r="BC22" s="39"/>
      <c r="BD22" s="39"/>
      <c r="BE22" s="39"/>
      <c r="BF22" s="39"/>
      <c r="BG22" s="39"/>
      <c r="BH22" s="39"/>
      <c r="BI22" s="39"/>
      <c r="BJ22" s="39"/>
      <c r="BK22" s="39"/>
      <c r="BL22" s="39"/>
      <c r="BM22" s="39"/>
      <c r="BN22" s="39"/>
      <c r="BO22" s="39"/>
      <c r="BP22" s="39"/>
      <c r="BQ22" s="39"/>
      <c r="BR22" s="39"/>
      <c r="BS22" s="39"/>
      <c r="BT22" s="39"/>
      <c r="BU22" s="39"/>
      <c r="BV22" s="39"/>
      <c r="BW22" s="39"/>
      <c r="BX22" s="39"/>
      <c r="BY22" s="39"/>
      <c r="BZ22" s="39"/>
      <c r="CA22" s="39"/>
      <c r="CB22" s="39"/>
      <c r="CC22" s="39"/>
      <c r="CD22" s="39"/>
      <c r="CE22" s="39"/>
      <c r="CF22" s="39"/>
      <c r="CG22" s="39"/>
      <c r="CH22" s="39"/>
      <c r="CI22" s="39"/>
      <c r="CJ22" s="39"/>
      <c r="CK22" s="39"/>
      <c r="CL22" s="39"/>
      <c r="CM22" s="39"/>
      <c r="CN22" s="39"/>
      <c r="CO22" s="39"/>
      <c r="CP22" s="39"/>
      <c r="CQ22" s="39"/>
      <c r="CR22" s="39"/>
      <c r="CS22" s="39"/>
      <c r="CT22" s="39"/>
      <c r="CU22" s="39"/>
      <c r="CV22" s="39"/>
      <c r="CW22" s="39"/>
      <c r="CX22" s="39"/>
      <c r="CY22" s="39"/>
      <c r="CZ22" s="39"/>
      <c r="DA22" s="39"/>
      <c r="DB22" s="39"/>
      <c r="DC22" s="39"/>
      <c r="DD22" s="39"/>
      <c r="DE22" s="39"/>
      <c r="DF22" s="39"/>
      <c r="DG22" s="39"/>
      <c r="DH22" s="39"/>
      <c r="DI22" s="39"/>
      <c r="DJ22" s="39"/>
      <c r="DK22" s="39"/>
      <c r="DL22" s="39"/>
      <c r="DM22" s="39"/>
    </row>
    <row r="23" spans="1:200" x14ac:dyDescent="0.15">
      <c r="A23" s="3" t="s">
        <v>11</v>
      </c>
      <c r="B23" s="27">
        <f>B18-B22</f>
        <v>-145.61300000000006</v>
      </c>
      <c r="C23" s="27">
        <f>C18-C22</f>
        <v>-114.12599999999992</v>
      </c>
      <c r="D23" s="27">
        <f>D18-D22</f>
        <v>24.418999999999869</v>
      </c>
      <c r="E23" s="27">
        <f>E18-E22</f>
        <v>6.5500000000001819</v>
      </c>
      <c r="F23" s="27">
        <f>F18-F22</f>
        <v>-272.56500000000017</v>
      </c>
      <c r="G23" s="23">
        <f t="shared" ref="G23:H23" si="21">G18-G22</f>
        <v>-48.142674491155731</v>
      </c>
      <c r="H23" s="23">
        <f t="shared" si="21"/>
        <v>25.861470551929642</v>
      </c>
      <c r="I23" s="23">
        <f t="shared" ref="I23:P23" si="22">I18-I22</f>
        <v>120.40597569145484</v>
      </c>
      <c r="J23" s="23">
        <f t="shared" si="22"/>
        <v>240.54578439743136</v>
      </c>
      <c r="K23" s="23">
        <f t="shared" si="22"/>
        <v>392.47302934739901</v>
      </c>
      <c r="L23" s="23">
        <f t="shared" si="22"/>
        <v>473.03359446963896</v>
      </c>
      <c r="M23" s="23">
        <f t="shared" si="22"/>
        <v>563.71587921347873</v>
      </c>
      <c r="N23" s="23">
        <f t="shared" si="22"/>
        <v>665.6353386965452</v>
      </c>
      <c r="O23" s="23">
        <f t="shared" si="22"/>
        <v>780.02413770600469</v>
      </c>
      <c r="P23" s="23">
        <f t="shared" si="22"/>
        <v>908.24307987339989</v>
      </c>
      <c r="Q23" s="23">
        <f t="shared" ref="Q23:U23" si="23">Q18-Q22</f>
        <v>966.76044732587889</v>
      </c>
      <c r="R23" s="23">
        <f t="shared" si="23"/>
        <v>1021.8702705533565</v>
      </c>
      <c r="S23" s="23">
        <f t="shared" si="23"/>
        <v>1073.043135930262</v>
      </c>
      <c r="T23" s="23">
        <f t="shared" si="23"/>
        <v>1119.6914835047255</v>
      </c>
      <c r="U23" s="23">
        <f t="shared" si="23"/>
        <v>1161.1642246853066</v>
      </c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39"/>
      <c r="AG23" s="39"/>
      <c r="AH23" s="39"/>
      <c r="AI23" s="39"/>
      <c r="AJ23" s="39"/>
      <c r="AK23" s="39"/>
      <c r="AL23" s="39"/>
      <c r="AM23" s="39"/>
      <c r="AN23" s="39"/>
      <c r="AO23" s="39"/>
      <c r="AP23" s="39"/>
      <c r="AQ23" s="39"/>
      <c r="AR23" s="39"/>
      <c r="AS23" s="39"/>
      <c r="AT23" s="39"/>
      <c r="AU23" s="39"/>
      <c r="AV23" s="39"/>
      <c r="AW23" s="39"/>
      <c r="AX23" s="39"/>
      <c r="AY23" s="39"/>
      <c r="AZ23" s="39"/>
      <c r="BA23" s="39"/>
      <c r="BB23" s="39"/>
      <c r="BC23" s="39"/>
      <c r="BD23" s="39"/>
      <c r="BE23" s="39"/>
      <c r="BF23" s="39"/>
      <c r="BG23" s="39"/>
      <c r="BH23" s="39"/>
      <c r="BI23" s="39"/>
      <c r="BJ23" s="39"/>
      <c r="BK23" s="39"/>
      <c r="BL23" s="39"/>
      <c r="BM23" s="39"/>
      <c r="BN23" s="39"/>
      <c r="BO23" s="39"/>
      <c r="BP23" s="39"/>
      <c r="BQ23" s="39"/>
      <c r="BR23" s="39"/>
      <c r="BS23" s="39"/>
      <c r="BT23" s="39"/>
      <c r="BU23" s="39"/>
      <c r="BV23" s="39"/>
      <c r="BW23" s="39"/>
      <c r="BX23" s="39"/>
      <c r="BY23" s="39"/>
      <c r="BZ23" s="39"/>
      <c r="CA23" s="39"/>
      <c r="CB23" s="39"/>
      <c r="CC23" s="39"/>
      <c r="CD23" s="39"/>
      <c r="CE23" s="39"/>
      <c r="CF23" s="39"/>
      <c r="CG23" s="39"/>
      <c r="CH23" s="39"/>
      <c r="CI23" s="39"/>
      <c r="CJ23" s="39"/>
      <c r="CK23" s="39"/>
      <c r="CL23" s="39"/>
      <c r="CM23" s="39"/>
      <c r="CN23" s="39"/>
      <c r="CO23" s="39"/>
      <c r="CP23" s="39"/>
      <c r="CQ23" s="39"/>
      <c r="CR23" s="39"/>
      <c r="CS23" s="39"/>
      <c r="CT23" s="39"/>
      <c r="CU23" s="39"/>
      <c r="CV23" s="39"/>
      <c r="CW23" s="39"/>
      <c r="CX23" s="39"/>
      <c r="CY23" s="39"/>
      <c r="CZ23" s="39"/>
      <c r="DA23" s="39"/>
      <c r="DB23" s="39"/>
      <c r="DC23" s="39"/>
      <c r="DD23" s="39"/>
      <c r="DE23" s="39"/>
      <c r="DF23" s="39"/>
      <c r="DG23" s="39"/>
      <c r="DH23" s="39"/>
      <c r="DI23" s="39"/>
      <c r="DJ23" s="39"/>
      <c r="DK23" s="39"/>
      <c r="DL23" s="39"/>
      <c r="DM23" s="39"/>
    </row>
    <row r="24" spans="1:200" x14ac:dyDescent="0.15">
      <c r="A24" s="3" t="s">
        <v>12</v>
      </c>
      <c r="B24" s="23">
        <f>SUM(Reports!B17:E17)</f>
        <v>16</v>
      </c>
      <c r="C24" s="23">
        <f>SUM(Reports!F17:I17)</f>
        <v>10</v>
      </c>
      <c r="D24" s="38">
        <f>SUM(Reports!J17:M17)</f>
        <v>12</v>
      </c>
      <c r="E24" s="23">
        <f>SUM(Reports!N17:Q17)</f>
        <v>20</v>
      </c>
      <c r="F24" s="38">
        <f>SUM(Reports!R17:U17)</f>
        <v>319</v>
      </c>
      <c r="G24" s="23">
        <f>F41*$F$3</f>
        <v>19.32</v>
      </c>
      <c r="H24" s="23">
        <f t="shared" ref="H24:U24" si="24">G41*$F$3</f>
        <v>18.801191859159196</v>
      </c>
      <c r="I24" s="23">
        <f t="shared" si="24"/>
        <v>19.694445107380972</v>
      </c>
      <c r="J24" s="23">
        <f t="shared" si="24"/>
        <v>22.49645352335769</v>
      </c>
      <c r="K24" s="23">
        <f t="shared" si="24"/>
        <v>27.757298281773473</v>
      </c>
      <c r="L24" s="23">
        <f t="shared" si="24"/>
        <v>36.161904834356925</v>
      </c>
      <c r="M24" s="23">
        <f t="shared" si="24"/>
        <v>45.327423821828852</v>
      </c>
      <c r="N24" s="23">
        <f t="shared" si="24"/>
        <v>56.290203276464389</v>
      </c>
      <c r="O24" s="23">
        <f t="shared" si="24"/>
        <v>69.284863031978574</v>
      </c>
      <c r="P24" s="23">
        <f t="shared" si="24"/>
        <v>84.572425045262264</v>
      </c>
      <c r="Q24" s="23">
        <f t="shared" si="24"/>
        <v>102.44310413379819</v>
      </c>
      <c r="R24" s="23">
        <f t="shared" si="24"/>
        <v>121.68876806007238</v>
      </c>
      <c r="S24" s="23">
        <f t="shared" si="24"/>
        <v>142.27283075511411</v>
      </c>
      <c r="T24" s="23">
        <f t="shared" si="24"/>
        <v>164.14851815545089</v>
      </c>
      <c r="U24" s="23">
        <f t="shared" si="24"/>
        <v>187.25763818533403</v>
      </c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39"/>
      <c r="AG24" s="39"/>
      <c r="AH24" s="39"/>
      <c r="AI24" s="39"/>
      <c r="AJ24" s="39"/>
      <c r="AK24" s="39"/>
      <c r="AL24" s="39"/>
      <c r="AM24" s="39"/>
      <c r="AN24" s="39"/>
      <c r="AO24" s="39"/>
      <c r="AP24" s="39"/>
      <c r="AQ24" s="39"/>
      <c r="AR24" s="39"/>
      <c r="AS24" s="39"/>
      <c r="AT24" s="39"/>
      <c r="AU24" s="39"/>
      <c r="AV24" s="39"/>
      <c r="AW24" s="39"/>
      <c r="AX24" s="39"/>
      <c r="AY24" s="39"/>
      <c r="AZ24" s="39"/>
      <c r="BA24" s="39"/>
      <c r="BB24" s="39"/>
      <c r="BC24" s="39"/>
      <c r="BD24" s="39"/>
      <c r="BE24" s="39"/>
      <c r="BF24" s="39"/>
      <c r="BG24" s="39"/>
      <c r="BH24" s="39"/>
      <c r="BI24" s="39"/>
      <c r="BJ24" s="39"/>
      <c r="BK24" s="39"/>
      <c r="BL24" s="39"/>
      <c r="BM24" s="39"/>
      <c r="BN24" s="39"/>
      <c r="BO24" s="39"/>
      <c r="BP24" s="39"/>
      <c r="BQ24" s="39"/>
      <c r="BR24" s="39"/>
      <c r="BS24" s="39"/>
      <c r="BT24" s="39"/>
      <c r="BU24" s="39"/>
      <c r="BV24" s="39"/>
      <c r="BW24" s="39"/>
      <c r="BX24" s="39"/>
      <c r="BY24" s="39"/>
      <c r="BZ24" s="39"/>
      <c r="CA24" s="39"/>
      <c r="CB24" s="39"/>
      <c r="CC24" s="39"/>
      <c r="CD24" s="39"/>
      <c r="CE24" s="39"/>
      <c r="CF24" s="39"/>
      <c r="CG24" s="39"/>
      <c r="CH24" s="39"/>
      <c r="CI24" s="39"/>
      <c r="CJ24" s="39"/>
      <c r="CK24" s="39"/>
      <c r="CL24" s="39"/>
      <c r="CM24" s="39"/>
      <c r="CN24" s="39"/>
      <c r="CO24" s="39"/>
      <c r="CP24" s="39"/>
      <c r="CQ24" s="39"/>
      <c r="CR24" s="39"/>
      <c r="CS24" s="39"/>
      <c r="CT24" s="39"/>
      <c r="CU24" s="39"/>
      <c r="CV24" s="39"/>
      <c r="CW24" s="39"/>
      <c r="CX24" s="39"/>
      <c r="CY24" s="39"/>
      <c r="CZ24" s="39"/>
      <c r="DA24" s="39"/>
      <c r="DB24" s="39"/>
      <c r="DC24" s="39"/>
      <c r="DD24" s="39"/>
      <c r="DE24" s="39"/>
      <c r="DF24" s="39"/>
      <c r="DG24" s="39"/>
      <c r="DH24" s="39"/>
      <c r="DI24" s="39"/>
      <c r="DJ24" s="39"/>
      <c r="DK24" s="39"/>
      <c r="DL24" s="39"/>
      <c r="DM24" s="39"/>
    </row>
    <row r="25" spans="1:200" x14ac:dyDescent="0.15">
      <c r="A25" s="3" t="s">
        <v>13</v>
      </c>
      <c r="B25" s="27">
        <f>B23+B24</f>
        <v>-129.61300000000006</v>
      </c>
      <c r="C25" s="27">
        <f>C23+C24</f>
        <v>-104.12599999999992</v>
      </c>
      <c r="D25" s="27">
        <f>D23+D24</f>
        <v>36.418999999999869</v>
      </c>
      <c r="E25" s="27">
        <f>E23+E24</f>
        <v>26.550000000000182</v>
      </c>
      <c r="F25" s="27">
        <f>F23+F24</f>
        <v>46.434999999999832</v>
      </c>
      <c r="G25" s="23">
        <f t="shared" ref="G25:H25" si="25">G23+G24</f>
        <v>-28.82267449115573</v>
      </c>
      <c r="H25" s="23">
        <f t="shared" si="25"/>
        <v>44.662662411088839</v>
      </c>
      <c r="I25" s="23">
        <f t="shared" ref="I25" si="26">I23+I24</f>
        <v>140.10042079883581</v>
      </c>
      <c r="J25" s="23">
        <f t="shared" ref="J25" si="27">J23+J24</f>
        <v>263.04223792078903</v>
      </c>
      <c r="K25" s="23">
        <f t="shared" ref="K25" si="28">K23+K24</f>
        <v>420.23032762917251</v>
      </c>
      <c r="L25" s="23">
        <f t="shared" ref="L25" si="29">L23+L24</f>
        <v>509.19549930399586</v>
      </c>
      <c r="M25" s="23">
        <f t="shared" ref="M25" si="30">M23+M24</f>
        <v>609.04330303530753</v>
      </c>
      <c r="N25" s="23">
        <f t="shared" ref="N25" si="31">N23+N24</f>
        <v>721.92554197300956</v>
      </c>
      <c r="O25" s="23">
        <f t="shared" ref="O25" si="32">O23+O24</f>
        <v>849.3090007379833</v>
      </c>
      <c r="P25" s="23">
        <f t="shared" ref="P25:Q25" si="33">P23+P24</f>
        <v>992.8155049186621</v>
      </c>
      <c r="Q25" s="23">
        <f t="shared" si="33"/>
        <v>1069.2035514596771</v>
      </c>
      <c r="R25" s="23">
        <f t="shared" ref="R25:U25" si="34">R23+R24</f>
        <v>1143.5590386134288</v>
      </c>
      <c r="S25" s="23">
        <f t="shared" si="34"/>
        <v>1215.3159666853762</v>
      </c>
      <c r="T25" s="23">
        <f t="shared" si="34"/>
        <v>1283.8400016601763</v>
      </c>
      <c r="U25" s="23">
        <f t="shared" si="34"/>
        <v>1348.4218628706408</v>
      </c>
      <c r="V25" s="39"/>
      <c r="W25" s="39"/>
      <c r="X25" s="39"/>
      <c r="Y25" s="39"/>
      <c r="Z25" s="39"/>
      <c r="AA25" s="39"/>
      <c r="AB25" s="39"/>
      <c r="AC25" s="39"/>
      <c r="AD25" s="39"/>
      <c r="AE25" s="39"/>
      <c r="AF25" s="39"/>
      <c r="AG25" s="39"/>
      <c r="AH25" s="39"/>
      <c r="AI25" s="39"/>
      <c r="AJ25" s="39"/>
      <c r="AK25" s="39"/>
      <c r="AL25" s="39"/>
      <c r="AM25" s="39"/>
      <c r="AN25" s="39"/>
      <c r="AO25" s="39"/>
      <c r="AP25" s="39"/>
      <c r="AQ25" s="39"/>
      <c r="AR25" s="39"/>
      <c r="AS25" s="39"/>
      <c r="AT25" s="39"/>
      <c r="AU25" s="39"/>
      <c r="AV25" s="39"/>
      <c r="AW25" s="39"/>
      <c r="AX25" s="39"/>
      <c r="AY25" s="39"/>
      <c r="AZ25" s="39"/>
      <c r="BA25" s="39"/>
      <c r="BB25" s="39"/>
      <c r="BC25" s="39"/>
      <c r="BD25" s="39"/>
      <c r="BE25" s="39"/>
      <c r="BF25" s="39"/>
      <c r="BG25" s="39"/>
      <c r="BH25" s="39"/>
      <c r="BI25" s="39"/>
      <c r="BJ25" s="39"/>
      <c r="BK25" s="39"/>
      <c r="BL25" s="39"/>
      <c r="BM25" s="39"/>
      <c r="BN25" s="39"/>
      <c r="BO25" s="39"/>
      <c r="BP25" s="39"/>
      <c r="BQ25" s="39"/>
      <c r="BR25" s="39"/>
      <c r="BS25" s="39"/>
      <c r="BT25" s="39"/>
      <c r="BU25" s="39"/>
      <c r="BV25" s="39"/>
      <c r="BW25" s="39"/>
      <c r="BX25" s="39"/>
      <c r="BY25" s="39"/>
      <c r="BZ25" s="39"/>
      <c r="CA25" s="39"/>
      <c r="CB25" s="39"/>
      <c r="CC25" s="39"/>
      <c r="CD25" s="39"/>
      <c r="CE25" s="39"/>
      <c r="CF25" s="39"/>
      <c r="CG25" s="39"/>
      <c r="CH25" s="39"/>
      <c r="CI25" s="39"/>
      <c r="CJ25" s="39"/>
      <c r="CK25" s="39"/>
      <c r="CL25" s="39"/>
      <c r="CM25" s="39"/>
      <c r="CN25" s="39"/>
      <c r="CO25" s="39"/>
      <c r="CP25" s="39"/>
      <c r="CQ25" s="39"/>
      <c r="CR25" s="39"/>
      <c r="CS25" s="39"/>
      <c r="CT25" s="39"/>
      <c r="CU25" s="39"/>
      <c r="CV25" s="39"/>
      <c r="CW25" s="39"/>
      <c r="CX25" s="39"/>
      <c r="CY25" s="39"/>
      <c r="CZ25" s="39"/>
      <c r="DA25" s="39"/>
      <c r="DB25" s="39"/>
      <c r="DC25" s="39"/>
      <c r="DD25" s="39"/>
      <c r="DE25" s="39"/>
      <c r="DF25" s="39"/>
      <c r="DG25" s="39"/>
      <c r="DH25" s="39"/>
      <c r="DI25" s="39"/>
      <c r="DJ25" s="39"/>
      <c r="DK25" s="39"/>
      <c r="DL25" s="39"/>
      <c r="DM25" s="39"/>
    </row>
    <row r="26" spans="1:200" x14ac:dyDescent="0.15">
      <c r="A26" s="3" t="s">
        <v>14</v>
      </c>
      <c r="B26" s="23">
        <f>SUM(Reports!B19:E19)</f>
        <v>-8</v>
      </c>
      <c r="C26" s="23">
        <f>SUM(Reports!F19:I19)</f>
        <v>3</v>
      </c>
      <c r="D26" s="38">
        <f>SUM(Reports!J19:M19)</f>
        <v>11</v>
      </c>
      <c r="E26" s="23">
        <f>SUM(Reports!N19:Q19)</f>
        <v>11</v>
      </c>
      <c r="F26" s="38">
        <f>SUM(Reports!R19:U19)</f>
        <v>6</v>
      </c>
      <c r="G26" s="23">
        <f>G25*0.1</f>
        <v>-2.8822674491155733</v>
      </c>
      <c r="H26" s="23">
        <v>0</v>
      </c>
      <c r="I26" s="23">
        <v>0</v>
      </c>
      <c r="J26" s="23">
        <v>0</v>
      </c>
      <c r="K26" s="23">
        <v>0</v>
      </c>
      <c r="L26" s="23">
        <f t="shared" ref="H26:P26" si="35">L25*0.1</f>
        <v>50.91954993039959</v>
      </c>
      <c r="M26" s="23">
        <f t="shared" si="35"/>
        <v>60.904330303530756</v>
      </c>
      <c r="N26" s="23">
        <f t="shared" si="35"/>
        <v>72.192554197300964</v>
      </c>
      <c r="O26" s="23">
        <f t="shared" si="35"/>
        <v>84.930900073798341</v>
      </c>
      <c r="P26" s="23">
        <f t="shared" si="35"/>
        <v>99.281550491866213</v>
      </c>
      <c r="Q26" s="23">
        <f t="shared" ref="Q26:U26" si="36">Q25*0.1</f>
        <v>106.92035514596772</v>
      </c>
      <c r="R26" s="23">
        <f t="shared" si="36"/>
        <v>114.35590386134288</v>
      </c>
      <c r="S26" s="23">
        <f t="shared" si="36"/>
        <v>121.53159666853763</v>
      </c>
      <c r="T26" s="23">
        <f t="shared" si="36"/>
        <v>128.38400016601764</v>
      </c>
      <c r="U26" s="23">
        <f t="shared" si="36"/>
        <v>134.8421862870641</v>
      </c>
      <c r="V26" s="39"/>
      <c r="W26" s="39"/>
      <c r="X26" s="39"/>
      <c r="Y26" s="39"/>
      <c r="Z26" s="39"/>
      <c r="AA26" s="39"/>
      <c r="AB26" s="39"/>
      <c r="AC26" s="39"/>
      <c r="AD26" s="39"/>
      <c r="AE26" s="39"/>
      <c r="AF26" s="39"/>
      <c r="AG26" s="39"/>
      <c r="AH26" s="39"/>
      <c r="AI26" s="39"/>
      <c r="AJ26" s="39"/>
      <c r="AK26" s="39"/>
      <c r="AL26" s="39"/>
      <c r="AM26" s="39"/>
      <c r="AN26" s="39"/>
      <c r="AO26" s="39"/>
      <c r="AP26" s="39"/>
      <c r="AQ26" s="39"/>
      <c r="AR26" s="39"/>
      <c r="AS26" s="39"/>
      <c r="AT26" s="39"/>
      <c r="AU26" s="39"/>
      <c r="AV26" s="39"/>
      <c r="AW26" s="39"/>
      <c r="AX26" s="39"/>
      <c r="AY26" s="39"/>
      <c r="AZ26" s="39"/>
      <c r="BA26" s="39"/>
      <c r="BB26" s="39"/>
      <c r="BC26" s="39"/>
      <c r="BD26" s="39"/>
      <c r="BE26" s="39"/>
      <c r="BF26" s="39"/>
      <c r="BG26" s="39"/>
      <c r="BH26" s="39"/>
      <c r="BI26" s="39"/>
      <c r="BJ26" s="39"/>
      <c r="BK26" s="39"/>
      <c r="BL26" s="39"/>
      <c r="BM26" s="39"/>
      <c r="BN26" s="39"/>
      <c r="BO26" s="39"/>
      <c r="BP26" s="39"/>
      <c r="BQ26" s="39"/>
      <c r="BR26" s="39"/>
      <c r="BS26" s="39"/>
      <c r="BT26" s="39"/>
      <c r="BU26" s="39"/>
      <c r="BV26" s="39"/>
      <c r="BW26" s="39"/>
      <c r="BX26" s="39"/>
      <c r="BY26" s="39"/>
      <c r="BZ26" s="39"/>
      <c r="CA26" s="39"/>
      <c r="CB26" s="39"/>
      <c r="CC26" s="39"/>
      <c r="CD26" s="39"/>
      <c r="CE26" s="39"/>
      <c r="CF26" s="39"/>
      <c r="CG26" s="39"/>
      <c r="CH26" s="39"/>
      <c r="CI26" s="39"/>
      <c r="CJ26" s="39"/>
      <c r="CK26" s="39"/>
      <c r="CL26" s="39"/>
      <c r="CM26" s="39"/>
      <c r="CN26" s="39"/>
      <c r="CO26" s="39"/>
      <c r="CP26" s="39"/>
      <c r="CQ26" s="39"/>
      <c r="CR26" s="39"/>
      <c r="CS26" s="39"/>
      <c r="CT26" s="39"/>
      <c r="CU26" s="39"/>
      <c r="CV26" s="39"/>
      <c r="CW26" s="39"/>
      <c r="CX26" s="39"/>
      <c r="CY26" s="39"/>
      <c r="CZ26" s="39"/>
      <c r="DA26" s="39"/>
      <c r="DB26" s="39"/>
      <c r="DC26" s="39"/>
      <c r="DD26" s="39"/>
      <c r="DE26" s="39"/>
      <c r="DF26" s="39"/>
      <c r="DG26" s="39"/>
      <c r="DH26" s="39"/>
      <c r="DI26" s="39"/>
      <c r="DJ26" s="39"/>
      <c r="DK26" s="39"/>
      <c r="DL26" s="39"/>
      <c r="DM26" s="39"/>
    </row>
    <row r="27" spans="1:200" s="2" customFormat="1" x14ac:dyDescent="0.15">
      <c r="A27" s="2" t="s">
        <v>15</v>
      </c>
      <c r="B27" s="24">
        <f>B25-B26</f>
        <v>-121.61300000000006</v>
      </c>
      <c r="C27" s="24">
        <f>C25-C26</f>
        <v>-107.12599999999992</v>
      </c>
      <c r="D27" s="24">
        <f>D25-D26</f>
        <v>25.418999999999869</v>
      </c>
      <c r="E27" s="24">
        <f>E25-E26</f>
        <v>15.550000000000182</v>
      </c>
      <c r="F27" s="24">
        <f t="shared" ref="F27:H27" si="37">F25-F26</f>
        <v>40.434999999999832</v>
      </c>
      <c r="G27" s="24">
        <f>G25-G26</f>
        <v>-25.940407042040157</v>
      </c>
      <c r="H27" s="24">
        <f t="shared" si="37"/>
        <v>44.662662411088839</v>
      </c>
      <c r="I27" s="24">
        <f t="shared" ref="I27:P27" si="38">I25-I26</f>
        <v>140.10042079883581</v>
      </c>
      <c r="J27" s="24">
        <f t="shared" si="38"/>
        <v>263.04223792078903</v>
      </c>
      <c r="K27" s="24">
        <f t="shared" si="38"/>
        <v>420.23032762917251</v>
      </c>
      <c r="L27" s="24">
        <f t="shared" si="38"/>
        <v>458.27594937359629</v>
      </c>
      <c r="M27" s="24">
        <f t="shared" si="38"/>
        <v>548.13897273177679</v>
      </c>
      <c r="N27" s="24">
        <f t="shared" si="38"/>
        <v>649.73298777570858</v>
      </c>
      <c r="O27" s="24">
        <f t="shared" si="38"/>
        <v>764.37810066418501</v>
      </c>
      <c r="P27" s="24">
        <f t="shared" si="38"/>
        <v>893.53395442679584</v>
      </c>
      <c r="Q27" s="24">
        <f t="shared" ref="Q27:U27" si="39">Q25-Q26</f>
        <v>962.28319631370937</v>
      </c>
      <c r="R27" s="24">
        <f t="shared" si="39"/>
        <v>1029.203134752086</v>
      </c>
      <c r="S27" s="24">
        <f t="shared" si="39"/>
        <v>1093.7843700168387</v>
      </c>
      <c r="T27" s="24">
        <f t="shared" si="39"/>
        <v>1155.4560014941587</v>
      </c>
      <c r="U27" s="24">
        <f t="shared" si="39"/>
        <v>1213.5796765835767</v>
      </c>
      <c r="V27" s="24">
        <f t="shared" ref="V27:BY27" si="40">U27*($F$2+1)</f>
        <v>1201.4438798177409</v>
      </c>
      <c r="W27" s="24">
        <f t="shared" si="40"/>
        <v>1189.4294410195635</v>
      </c>
      <c r="X27" s="24">
        <f t="shared" si="40"/>
        <v>1177.5351466093678</v>
      </c>
      <c r="Y27" s="24">
        <f t="shared" si="40"/>
        <v>1165.759795143274</v>
      </c>
      <c r="Z27" s="24">
        <f t="shared" si="40"/>
        <v>1154.1021971918412</v>
      </c>
      <c r="AA27" s="24">
        <f t="shared" si="40"/>
        <v>1142.5611752199229</v>
      </c>
      <c r="AB27" s="24">
        <f t="shared" si="40"/>
        <v>1131.1355634677236</v>
      </c>
      <c r="AC27" s="24">
        <f t="shared" si="40"/>
        <v>1119.8242078330463</v>
      </c>
      <c r="AD27" s="24">
        <f t="shared" si="40"/>
        <v>1108.6259657547159</v>
      </c>
      <c r="AE27" s="24">
        <f t="shared" si="40"/>
        <v>1097.5397060971688</v>
      </c>
      <c r="AF27" s="24">
        <f t="shared" si="40"/>
        <v>1086.5643090361971</v>
      </c>
      <c r="AG27" s="24">
        <f t="shared" si="40"/>
        <v>1075.698665945835</v>
      </c>
      <c r="AH27" s="24">
        <f t="shared" si="40"/>
        <v>1064.9416792863767</v>
      </c>
      <c r="AI27" s="24">
        <f t="shared" si="40"/>
        <v>1054.2922624935129</v>
      </c>
      <c r="AJ27" s="24">
        <f t="shared" si="40"/>
        <v>1043.7493398685779</v>
      </c>
      <c r="AK27" s="24">
        <f t="shared" si="40"/>
        <v>1033.3118464698921</v>
      </c>
      <c r="AL27" s="24">
        <f t="shared" si="40"/>
        <v>1022.9787280051931</v>
      </c>
      <c r="AM27" s="24">
        <f t="shared" si="40"/>
        <v>1012.7489407251412</v>
      </c>
      <c r="AN27" s="24">
        <f t="shared" si="40"/>
        <v>1002.6214513178898</v>
      </c>
      <c r="AO27" s="24">
        <f t="shared" si="40"/>
        <v>992.59523680471079</v>
      </c>
      <c r="AP27" s="24">
        <f t="shared" si="40"/>
        <v>982.6692844366637</v>
      </c>
      <c r="AQ27" s="24">
        <f t="shared" si="40"/>
        <v>972.84259159229703</v>
      </c>
      <c r="AR27" s="24">
        <f t="shared" si="40"/>
        <v>963.114165676374</v>
      </c>
      <c r="AS27" s="24">
        <f t="shared" si="40"/>
        <v>953.4830240196103</v>
      </c>
      <c r="AT27" s="24">
        <f t="shared" si="40"/>
        <v>943.94819377941417</v>
      </c>
      <c r="AU27" s="24">
        <f t="shared" si="40"/>
        <v>934.50871184161997</v>
      </c>
      <c r="AV27" s="24">
        <f t="shared" si="40"/>
        <v>925.16362472320372</v>
      </c>
      <c r="AW27" s="24">
        <f t="shared" si="40"/>
        <v>915.91198847597173</v>
      </c>
      <c r="AX27" s="24">
        <f t="shared" si="40"/>
        <v>906.75286859121195</v>
      </c>
      <c r="AY27" s="24">
        <f t="shared" si="40"/>
        <v>897.68533990529977</v>
      </c>
      <c r="AZ27" s="24">
        <f t="shared" si="40"/>
        <v>888.7084865062468</v>
      </c>
      <c r="BA27" s="24">
        <f t="shared" si="40"/>
        <v>879.82140164118437</v>
      </c>
      <c r="BB27" s="24">
        <f t="shared" si="40"/>
        <v>871.0231876247725</v>
      </c>
      <c r="BC27" s="24">
        <f t="shared" si="40"/>
        <v>862.31295574852481</v>
      </c>
      <c r="BD27" s="24">
        <f t="shared" si="40"/>
        <v>853.68982619103951</v>
      </c>
      <c r="BE27" s="24">
        <f t="shared" si="40"/>
        <v>845.15292792912908</v>
      </c>
      <c r="BF27" s="24">
        <f t="shared" si="40"/>
        <v>836.70139864983776</v>
      </c>
      <c r="BG27" s="24">
        <f t="shared" si="40"/>
        <v>828.33438466333939</v>
      </c>
      <c r="BH27" s="24">
        <f t="shared" si="40"/>
        <v>820.05104081670595</v>
      </c>
      <c r="BI27" s="24">
        <f t="shared" si="40"/>
        <v>811.85053040853893</v>
      </c>
      <c r="BJ27" s="24">
        <f t="shared" si="40"/>
        <v>803.73202510445356</v>
      </c>
      <c r="BK27" s="24">
        <f t="shared" si="40"/>
        <v>795.69470485340901</v>
      </c>
      <c r="BL27" s="24">
        <f t="shared" si="40"/>
        <v>787.73775780487495</v>
      </c>
      <c r="BM27" s="24">
        <f t="shared" si="40"/>
        <v>779.86038022682624</v>
      </c>
      <c r="BN27" s="24">
        <f t="shared" si="40"/>
        <v>772.06177642455793</v>
      </c>
      <c r="BO27" s="24">
        <f t="shared" si="40"/>
        <v>764.34115866031232</v>
      </c>
      <c r="BP27" s="24">
        <f t="shared" si="40"/>
        <v>756.69774707370914</v>
      </c>
      <c r="BQ27" s="24">
        <f t="shared" si="40"/>
        <v>749.13076960297201</v>
      </c>
      <c r="BR27" s="24">
        <f t="shared" si="40"/>
        <v>741.6394619069423</v>
      </c>
      <c r="BS27" s="24">
        <f t="shared" si="40"/>
        <v>734.22306728787282</v>
      </c>
      <c r="BT27" s="24">
        <f t="shared" si="40"/>
        <v>726.88083661499411</v>
      </c>
      <c r="BU27" s="24">
        <f t="shared" si="40"/>
        <v>719.61202824884413</v>
      </c>
      <c r="BV27" s="24">
        <f t="shared" si="40"/>
        <v>712.41590796635569</v>
      </c>
      <c r="BW27" s="24">
        <f t="shared" si="40"/>
        <v>705.29174888669218</v>
      </c>
      <c r="BX27" s="24">
        <f t="shared" si="40"/>
        <v>698.23883139782527</v>
      </c>
      <c r="BY27" s="24">
        <f t="shared" si="40"/>
        <v>691.25644308384699</v>
      </c>
      <c r="BZ27" s="24">
        <f t="shared" ref="BZ27:DM27" si="41">BY27*($F$2+1)</f>
        <v>684.34387865300846</v>
      </c>
      <c r="CA27" s="24">
        <f t="shared" si="41"/>
        <v>677.50043986647836</v>
      </c>
      <c r="CB27" s="24">
        <f t="shared" si="41"/>
        <v>670.72543546781355</v>
      </c>
      <c r="CC27" s="24">
        <f t="shared" si="41"/>
        <v>664.01818111313537</v>
      </c>
      <c r="CD27" s="24">
        <f t="shared" si="41"/>
        <v>657.37799930200401</v>
      </c>
      <c r="CE27" s="24">
        <f t="shared" si="41"/>
        <v>650.80421930898399</v>
      </c>
      <c r="CF27" s="24">
        <f t="shared" si="41"/>
        <v>644.29617711589412</v>
      </c>
      <c r="CG27" s="24">
        <f t="shared" si="41"/>
        <v>637.85321534473519</v>
      </c>
      <c r="CH27" s="24">
        <f t="shared" si="41"/>
        <v>631.4746831912878</v>
      </c>
      <c r="CI27" s="24">
        <f t="shared" si="41"/>
        <v>625.15993635937491</v>
      </c>
      <c r="CJ27" s="24">
        <f t="shared" si="41"/>
        <v>618.90833699578116</v>
      </c>
      <c r="CK27" s="24">
        <f t="shared" si="41"/>
        <v>612.71925362582328</v>
      </c>
      <c r="CL27" s="24">
        <f t="shared" si="41"/>
        <v>606.59206108956505</v>
      </c>
      <c r="CM27" s="24">
        <f t="shared" si="41"/>
        <v>600.52614047866939</v>
      </c>
      <c r="CN27" s="24">
        <f t="shared" si="41"/>
        <v>594.52087907388272</v>
      </c>
      <c r="CO27" s="24">
        <f t="shared" si="41"/>
        <v>588.57567028314384</v>
      </c>
      <c r="CP27" s="24">
        <f t="shared" si="41"/>
        <v>582.68991358031235</v>
      </c>
      <c r="CQ27" s="24">
        <f t="shared" si="41"/>
        <v>576.86301444450919</v>
      </c>
      <c r="CR27" s="24">
        <f t="shared" si="41"/>
        <v>571.09438430006412</v>
      </c>
      <c r="CS27" s="24">
        <f t="shared" si="41"/>
        <v>565.38344045706344</v>
      </c>
      <c r="CT27" s="24">
        <f t="shared" si="41"/>
        <v>559.72960605249284</v>
      </c>
      <c r="CU27" s="24">
        <f t="shared" si="41"/>
        <v>554.13230999196787</v>
      </c>
      <c r="CV27" s="24">
        <f t="shared" si="41"/>
        <v>548.59098689204814</v>
      </c>
      <c r="CW27" s="24">
        <f t="shared" si="41"/>
        <v>543.10507702312771</v>
      </c>
      <c r="CX27" s="24">
        <f t="shared" si="41"/>
        <v>537.6740262528964</v>
      </c>
      <c r="CY27" s="24">
        <f t="shared" si="41"/>
        <v>532.29728599036741</v>
      </c>
      <c r="CZ27" s="24">
        <f t="shared" si="41"/>
        <v>526.97431313046377</v>
      </c>
      <c r="DA27" s="24">
        <f t="shared" si="41"/>
        <v>521.70456999915916</v>
      </c>
      <c r="DB27" s="24">
        <f t="shared" si="41"/>
        <v>516.4875242991676</v>
      </c>
      <c r="DC27" s="24">
        <f t="shared" si="41"/>
        <v>511.32264905617592</v>
      </c>
      <c r="DD27" s="24">
        <f t="shared" si="41"/>
        <v>506.20942256561415</v>
      </c>
      <c r="DE27" s="24">
        <f t="shared" si="41"/>
        <v>501.14732833995799</v>
      </c>
      <c r="DF27" s="24">
        <f t="shared" si="41"/>
        <v>496.1358550565584</v>
      </c>
      <c r="DG27" s="24">
        <f t="shared" si="41"/>
        <v>491.17449650599281</v>
      </c>
      <c r="DH27" s="24">
        <f t="shared" si="41"/>
        <v>486.26275154093287</v>
      </c>
      <c r="DI27" s="24">
        <f t="shared" si="41"/>
        <v>481.40012402552355</v>
      </c>
      <c r="DJ27" s="24">
        <f t="shared" si="41"/>
        <v>476.58612278526829</v>
      </c>
      <c r="DK27" s="24">
        <f t="shared" si="41"/>
        <v>471.82026155741562</v>
      </c>
      <c r="DL27" s="24">
        <f t="shared" si="41"/>
        <v>467.10205894184145</v>
      </c>
      <c r="DM27" s="24">
        <f t="shared" si="41"/>
        <v>462.431038352423</v>
      </c>
      <c r="DN27" s="24">
        <f t="shared" ref="DN27" si="42">DM27*($F$2+1)</f>
        <v>457.80672796889877</v>
      </c>
      <c r="DO27" s="24">
        <f t="shared" ref="DO27" si="43">DN27*($F$2+1)</f>
        <v>453.22866068920979</v>
      </c>
      <c r="DP27" s="24">
        <f t="shared" ref="DP27" si="44">DO27*($F$2+1)</f>
        <v>448.69637408231767</v>
      </c>
      <c r="DQ27" s="24">
        <f t="shared" ref="DQ27" si="45">DP27*($F$2+1)</f>
        <v>444.2094103414945</v>
      </c>
      <c r="DR27" s="24">
        <f t="shared" ref="DR27" si="46">DQ27*($F$2+1)</f>
        <v>439.76731623807956</v>
      </c>
      <c r="DS27" s="24">
        <f t="shared" ref="DS27" si="47">DR27*($F$2+1)</f>
        <v>435.36964307569878</v>
      </c>
      <c r="DT27" s="24">
        <f t="shared" ref="DT27" si="48">DS27*($F$2+1)</f>
        <v>431.01594664494178</v>
      </c>
      <c r="DU27" s="24">
        <f t="shared" ref="DU27" si="49">DT27*($F$2+1)</f>
        <v>426.70578717849236</v>
      </c>
      <c r="DV27" s="24">
        <f t="shared" ref="DV27" si="50">DU27*($F$2+1)</f>
        <v>422.43872930670744</v>
      </c>
      <c r="DW27" s="24">
        <f t="shared" ref="DW27" si="51">DV27*($F$2+1)</f>
        <v>418.21434201364036</v>
      </c>
      <c r="DX27" s="24">
        <f t="shared" ref="DX27" si="52">DW27*($F$2+1)</f>
        <v>414.03219859350395</v>
      </c>
      <c r="DY27" s="24">
        <f t="shared" ref="DY27" si="53">DX27*($F$2+1)</f>
        <v>409.89187660756892</v>
      </c>
      <c r="DZ27" s="24">
        <f t="shared" ref="DZ27" si="54">DY27*($F$2+1)</f>
        <v>405.79295784149321</v>
      </c>
      <c r="EA27" s="24">
        <f t="shared" ref="EA27" si="55">DZ27*($F$2+1)</f>
        <v>401.73502826307828</v>
      </c>
      <c r="EB27" s="24">
        <f t="shared" ref="EB27" si="56">EA27*($F$2+1)</f>
        <v>397.71767798044749</v>
      </c>
      <c r="EC27" s="24">
        <f t="shared" ref="EC27" si="57">EB27*($F$2+1)</f>
        <v>393.740501200643</v>
      </c>
      <c r="ED27" s="24">
        <f t="shared" ref="ED27" si="58">EC27*($F$2+1)</f>
        <v>389.80309618863657</v>
      </c>
      <c r="EE27" s="24">
        <f t="shared" ref="EE27" si="59">ED27*($F$2+1)</f>
        <v>385.9050652267502</v>
      </c>
      <c r="EF27" s="24">
        <f t="shared" ref="EF27" si="60">EE27*($F$2+1)</f>
        <v>382.04601457448268</v>
      </c>
      <c r="EG27" s="24">
        <f t="shared" ref="EG27" si="61">EF27*($F$2+1)</f>
        <v>378.22555442873784</v>
      </c>
      <c r="EH27" s="24">
        <f t="shared" ref="EH27" si="62">EG27*($F$2+1)</f>
        <v>374.44329888445043</v>
      </c>
      <c r="EI27" s="24">
        <f t="shared" ref="EI27" si="63">EH27*($F$2+1)</f>
        <v>370.69886589560593</v>
      </c>
      <c r="EJ27" s="24">
        <f t="shared" ref="EJ27" si="64">EI27*($F$2+1)</f>
        <v>366.99187723664988</v>
      </c>
      <c r="EK27" s="24">
        <f t="shared" ref="EK27" si="65">EJ27*($F$2+1)</f>
        <v>363.3219584642834</v>
      </c>
      <c r="EL27" s="24">
        <f t="shared" ref="EL27" si="66">EK27*($F$2+1)</f>
        <v>359.68873887964054</v>
      </c>
      <c r="EM27" s="24">
        <f t="shared" ref="EM27" si="67">EL27*($F$2+1)</f>
        <v>356.09185149084414</v>
      </c>
      <c r="EN27" s="24">
        <f t="shared" ref="EN27" si="68">EM27*($F$2+1)</f>
        <v>352.53093297593568</v>
      </c>
      <c r="EO27" s="24">
        <f t="shared" ref="EO27" si="69">EN27*($F$2+1)</f>
        <v>349.00562364617633</v>
      </c>
      <c r="EP27" s="24">
        <f t="shared" ref="EP27" si="70">EO27*($F$2+1)</f>
        <v>345.51556740971455</v>
      </c>
      <c r="EQ27" s="24">
        <f t="shared" ref="EQ27" si="71">EP27*($F$2+1)</f>
        <v>342.06041173561738</v>
      </c>
      <c r="ER27" s="24">
        <f t="shared" ref="ER27" si="72">EQ27*($F$2+1)</f>
        <v>338.63980761826122</v>
      </c>
      <c r="ES27" s="24">
        <f t="shared" ref="ES27" si="73">ER27*($F$2+1)</f>
        <v>335.2534095420786</v>
      </c>
      <c r="ET27" s="24">
        <f t="shared" ref="ET27" si="74">ES27*($F$2+1)</f>
        <v>331.90087544665784</v>
      </c>
      <c r="EU27" s="24">
        <f t="shared" ref="EU27" si="75">ET27*($F$2+1)</f>
        <v>328.58186669219123</v>
      </c>
      <c r="EV27" s="24">
        <f t="shared" ref="EV27" si="76">EU27*($F$2+1)</f>
        <v>325.29604802526933</v>
      </c>
      <c r="EW27" s="24">
        <f t="shared" ref="EW27" si="77">EV27*($F$2+1)</f>
        <v>322.04308754501665</v>
      </c>
      <c r="EX27" s="24">
        <f t="shared" ref="EX27" si="78">EW27*($F$2+1)</f>
        <v>318.82265666956647</v>
      </c>
      <c r="EY27" s="24">
        <f t="shared" ref="EY27" si="79">EX27*($F$2+1)</f>
        <v>315.63443010287079</v>
      </c>
      <c r="EZ27" s="24">
        <f t="shared" ref="EZ27" si="80">EY27*($F$2+1)</f>
        <v>312.4780858018421</v>
      </c>
      <c r="FA27" s="24">
        <f t="shared" ref="FA27" si="81">EZ27*($F$2+1)</f>
        <v>309.35330494382367</v>
      </c>
      <c r="FB27" s="24">
        <f t="shared" ref="FB27" si="82">FA27*($F$2+1)</f>
        <v>306.25977189438544</v>
      </c>
      <c r="FC27" s="24">
        <f t="shared" ref="FC27" si="83">FB27*($F$2+1)</f>
        <v>303.1971741754416</v>
      </c>
      <c r="FD27" s="24">
        <f t="shared" ref="FD27" si="84">FC27*($F$2+1)</f>
        <v>300.16520243368717</v>
      </c>
      <c r="FE27" s="24">
        <f t="shared" ref="FE27" si="85">FD27*($F$2+1)</f>
        <v>297.16355040935031</v>
      </c>
      <c r="FF27" s="24">
        <f t="shared" ref="FF27" si="86">FE27*($F$2+1)</f>
        <v>294.19191490525679</v>
      </c>
      <c r="FG27" s="24">
        <f t="shared" ref="FG27" si="87">FF27*($F$2+1)</f>
        <v>291.24999575620421</v>
      </c>
      <c r="FH27" s="24">
        <f t="shared" ref="FH27" si="88">FG27*($F$2+1)</f>
        <v>288.33749579864218</v>
      </c>
      <c r="FI27" s="24">
        <f t="shared" ref="FI27" si="89">FH27*($F$2+1)</f>
        <v>285.45412084065578</v>
      </c>
      <c r="FJ27" s="24">
        <f t="shared" ref="FJ27" si="90">FI27*($F$2+1)</f>
        <v>282.59957963224923</v>
      </c>
      <c r="FK27" s="24">
        <f t="shared" ref="FK27" si="91">FJ27*($F$2+1)</f>
        <v>279.77358383592673</v>
      </c>
      <c r="FL27" s="24">
        <f t="shared" ref="FL27" si="92">FK27*($F$2+1)</f>
        <v>276.97584799756748</v>
      </c>
      <c r="FM27" s="24">
        <f t="shared" ref="FM27" si="93">FL27*($F$2+1)</f>
        <v>274.20608951759181</v>
      </c>
      <c r="FN27" s="24">
        <f t="shared" ref="FN27" si="94">FM27*($F$2+1)</f>
        <v>271.46402862241587</v>
      </c>
      <c r="FO27" s="24">
        <f t="shared" ref="FO27" si="95">FN27*($F$2+1)</f>
        <v>268.74938833619171</v>
      </c>
      <c r="FP27" s="24">
        <f t="shared" ref="FP27" si="96">FO27*($F$2+1)</f>
        <v>266.06189445282979</v>
      </c>
      <c r="FQ27" s="24">
        <f t="shared" ref="FQ27" si="97">FP27*($F$2+1)</f>
        <v>263.40127550830147</v>
      </c>
      <c r="FR27" s="24">
        <f t="shared" ref="FR27" si="98">FQ27*($F$2+1)</f>
        <v>260.76726275321846</v>
      </c>
      <c r="FS27" s="24">
        <f t="shared" ref="FS27" si="99">FR27*($F$2+1)</f>
        <v>258.15959012568629</v>
      </c>
      <c r="FT27" s="24">
        <f t="shared" ref="FT27" si="100">FS27*($F$2+1)</f>
        <v>255.57799422442943</v>
      </c>
      <c r="FU27" s="24">
        <f t="shared" ref="FU27" si="101">FT27*($F$2+1)</f>
        <v>253.02221428218513</v>
      </c>
      <c r="FV27" s="24">
        <f t="shared" ref="FV27" si="102">FU27*($F$2+1)</f>
        <v>250.49199213936328</v>
      </c>
      <c r="FW27" s="24">
        <f t="shared" ref="FW27" si="103">FV27*($F$2+1)</f>
        <v>247.98707221796965</v>
      </c>
      <c r="FX27" s="24">
        <f t="shared" ref="FX27" si="104">FW27*($F$2+1)</f>
        <v>245.50720149578996</v>
      </c>
      <c r="FY27" s="24">
        <f t="shared" ref="FY27" si="105">FX27*($F$2+1)</f>
        <v>243.05212948083206</v>
      </c>
      <c r="FZ27" s="24">
        <f t="shared" ref="FZ27" si="106">FY27*($F$2+1)</f>
        <v>240.62160818602374</v>
      </c>
      <c r="GA27" s="24">
        <f t="shared" ref="GA27" si="107">FZ27*($F$2+1)</f>
        <v>238.2153921041635</v>
      </c>
      <c r="GB27" s="24">
        <f t="shared" ref="GB27" si="108">GA27*($F$2+1)</f>
        <v>235.83323818312186</v>
      </c>
      <c r="GC27" s="24">
        <f t="shared" ref="GC27" si="109">GB27*($F$2+1)</f>
        <v>233.47490580129065</v>
      </c>
      <c r="GD27" s="24">
        <f t="shared" ref="GD27" si="110">GC27*($F$2+1)</f>
        <v>231.14015674327774</v>
      </c>
      <c r="GE27" s="24">
        <f t="shared" ref="GE27" si="111">GD27*($F$2+1)</f>
        <v>228.82875517584498</v>
      </c>
      <c r="GF27" s="24">
        <f t="shared" ref="GF27" si="112">GE27*($F$2+1)</f>
        <v>226.54046762408652</v>
      </c>
      <c r="GG27" s="24">
        <f t="shared" ref="GG27" si="113">GF27*($F$2+1)</f>
        <v>224.27506294784564</v>
      </c>
      <c r="GH27" s="24">
        <f t="shared" ref="GH27" si="114">GG27*($F$2+1)</f>
        <v>222.03231231836719</v>
      </c>
      <c r="GI27" s="24">
        <f t="shared" ref="GI27" si="115">GH27*($F$2+1)</f>
        <v>219.81198919518351</v>
      </c>
      <c r="GJ27" s="24">
        <f t="shared" ref="GJ27" si="116">GI27*($F$2+1)</f>
        <v>217.61386930323167</v>
      </c>
      <c r="GK27" s="24">
        <f t="shared" ref="GK27" si="117">GJ27*($F$2+1)</f>
        <v>215.43773061019934</v>
      </c>
      <c r="GL27" s="24">
        <f t="shared" ref="GL27" si="118">GK27*($F$2+1)</f>
        <v>213.28335330409735</v>
      </c>
      <c r="GM27" s="24">
        <f t="shared" ref="GM27" si="119">GL27*($F$2+1)</f>
        <v>211.15051977105637</v>
      </c>
      <c r="GN27" s="24">
        <f t="shared" ref="GN27" si="120">GM27*($F$2+1)</f>
        <v>209.03901457334581</v>
      </c>
      <c r="GO27" s="24">
        <f t="shared" ref="GO27" si="121">GN27*($F$2+1)</f>
        <v>206.94862442761234</v>
      </c>
      <c r="GP27" s="24">
        <f t="shared" ref="GP27" si="122">GO27*($F$2+1)</f>
        <v>204.87913818333621</v>
      </c>
      <c r="GQ27" s="24">
        <f t="shared" ref="GQ27" si="123">GP27*($F$2+1)</f>
        <v>202.83034680150286</v>
      </c>
      <c r="GR27" s="24">
        <f t="shared" ref="GR27" si="124">GQ27*($F$2+1)</f>
        <v>200.80204333348783</v>
      </c>
    </row>
    <row r="28" spans="1:200" x14ac:dyDescent="0.15">
      <c r="A28" s="3" t="s">
        <v>16</v>
      </c>
      <c r="B28" s="29">
        <f t="shared" ref="B28:G28" si="125">B27/B29</f>
        <v>-0.1318240943482126</v>
      </c>
      <c r="C28" s="29">
        <f t="shared" si="125"/>
        <v>-0.12060044671001666</v>
      </c>
      <c r="D28" s="29">
        <f t="shared" si="125"/>
        <v>2.8293318195478534E-2</v>
      </c>
      <c r="E28" s="29">
        <f t="shared" si="125"/>
        <v>1.7615027260812492E-2</v>
      </c>
      <c r="F28" s="29">
        <f t="shared" si="125"/>
        <v>4.2669472253498805E-2</v>
      </c>
      <c r="G28" s="48">
        <f t="shared" si="125"/>
        <v>-2.7373895845797008E-2</v>
      </c>
      <c r="H28" s="48">
        <f t="shared" ref="H28" si="126">H27/H29</f>
        <v>4.713075886032761E-2</v>
      </c>
      <c r="I28" s="48">
        <f t="shared" ref="I28:P28" si="127">I27/I29</f>
        <v>0.14784248838826403</v>
      </c>
      <c r="J28" s="48">
        <f t="shared" si="127"/>
        <v>0.27757817416741398</v>
      </c>
      <c r="K28" s="48">
        <f t="shared" si="127"/>
        <v>0.44345261048229906</v>
      </c>
      <c r="L28" s="48">
        <f t="shared" si="127"/>
        <v>0.48360066541962582</v>
      </c>
      <c r="M28" s="48">
        <f t="shared" si="127"/>
        <v>0.57842959535155147</v>
      </c>
      <c r="N28" s="48">
        <f t="shared" si="127"/>
        <v>0.68563778147838728</v>
      </c>
      <c r="O28" s="48">
        <f t="shared" si="127"/>
        <v>0.80661828014029169</v>
      </c>
      <c r="P28" s="48">
        <f t="shared" si="127"/>
        <v>0.94291139547355973</v>
      </c>
      <c r="Q28" s="48">
        <f t="shared" ref="Q28:U28" si="128">Q27/Q29</f>
        <v>1.0154597785363209</v>
      </c>
      <c r="R28" s="48">
        <f t="shared" si="128"/>
        <v>1.0860777692968544</v>
      </c>
      <c r="S28" s="48">
        <f t="shared" si="128"/>
        <v>1.1542278181709993</v>
      </c>
      <c r="T28" s="48">
        <f t="shared" si="128"/>
        <v>1.2193074760948159</v>
      </c>
      <c r="U28" s="48">
        <f t="shared" si="128"/>
        <v>1.2806431145639467</v>
      </c>
      <c r="V28" s="39"/>
      <c r="W28" s="39"/>
      <c r="X28" s="39"/>
      <c r="Y28" s="39"/>
      <c r="Z28" s="39"/>
      <c r="AA28" s="39"/>
      <c r="AB28" s="39"/>
      <c r="AC28" s="39"/>
      <c r="AD28" s="39"/>
      <c r="AE28" s="39"/>
      <c r="AF28" s="39"/>
      <c r="AG28" s="39"/>
      <c r="AH28" s="39"/>
      <c r="AI28" s="39"/>
      <c r="AJ28" s="39"/>
      <c r="AK28" s="39"/>
      <c r="AL28" s="39"/>
      <c r="AM28" s="39"/>
      <c r="AN28" s="39"/>
      <c r="AO28" s="39"/>
      <c r="AP28" s="39"/>
      <c r="AQ28" s="39"/>
      <c r="AR28" s="39"/>
      <c r="AS28" s="39"/>
      <c r="AT28" s="39"/>
      <c r="AU28" s="39"/>
      <c r="AV28" s="39"/>
      <c r="AW28" s="39"/>
      <c r="AX28" s="39"/>
      <c r="AY28" s="39"/>
      <c r="AZ28" s="39"/>
      <c r="BA28" s="39"/>
      <c r="BB28" s="39"/>
      <c r="BC28" s="39"/>
      <c r="BD28" s="39"/>
      <c r="BE28" s="39"/>
      <c r="BF28" s="39"/>
      <c r="BG28" s="39"/>
      <c r="BH28" s="39"/>
      <c r="BI28" s="39"/>
      <c r="BJ28" s="39"/>
      <c r="BK28" s="39"/>
      <c r="BL28" s="39"/>
      <c r="BM28" s="39"/>
      <c r="BN28" s="39"/>
      <c r="BO28" s="39"/>
      <c r="BP28" s="39"/>
      <c r="BQ28" s="39"/>
      <c r="BR28" s="39"/>
      <c r="BS28" s="39"/>
      <c r="BT28" s="39"/>
      <c r="BU28" s="39"/>
      <c r="BV28" s="39"/>
      <c r="BW28" s="39"/>
      <c r="BX28" s="39"/>
      <c r="BY28" s="39"/>
      <c r="BZ28" s="39"/>
      <c r="CA28" s="39"/>
      <c r="CB28" s="39"/>
      <c r="CC28" s="39"/>
      <c r="CD28" s="39"/>
      <c r="CE28" s="39"/>
      <c r="CF28" s="39"/>
      <c r="CG28" s="39"/>
      <c r="CH28" s="39"/>
      <c r="CI28" s="39"/>
      <c r="CJ28" s="39"/>
      <c r="CK28" s="39"/>
      <c r="CL28" s="39"/>
      <c r="CM28" s="39"/>
      <c r="CN28" s="39"/>
      <c r="CO28" s="39"/>
      <c r="CP28" s="39"/>
      <c r="CQ28" s="39"/>
      <c r="CR28" s="39"/>
      <c r="CS28" s="39"/>
      <c r="CT28" s="39"/>
      <c r="CU28" s="39"/>
      <c r="CV28" s="39"/>
      <c r="CW28" s="39"/>
      <c r="CX28" s="39"/>
      <c r="CY28" s="39"/>
      <c r="CZ28" s="39"/>
      <c r="DA28" s="39"/>
      <c r="DB28" s="39"/>
      <c r="DC28" s="39"/>
      <c r="DD28" s="39"/>
      <c r="DE28" s="39"/>
      <c r="DF28" s="39"/>
      <c r="DG28" s="39"/>
      <c r="DH28" s="39"/>
      <c r="DI28" s="39"/>
      <c r="DJ28" s="39"/>
      <c r="DK28" s="39"/>
      <c r="DL28" s="39"/>
      <c r="DM28" s="39"/>
    </row>
    <row r="29" spans="1:200" s="16" customFormat="1" x14ac:dyDescent="0.15">
      <c r="A29" s="16" t="s">
        <v>17</v>
      </c>
      <c r="B29" s="23">
        <f>Reports!E22</f>
        <v>922.54</v>
      </c>
      <c r="C29" s="23">
        <f>Reports!I22</f>
        <v>888.27200000000005</v>
      </c>
      <c r="D29" s="23">
        <f>Reports!M22</f>
        <v>898.41</v>
      </c>
      <c r="E29" s="23">
        <f>Reports!Q22</f>
        <v>882.76900000000001</v>
      </c>
      <c r="F29" s="23">
        <f>Reports!U22</f>
        <v>947.63300000000004</v>
      </c>
      <c r="G29" s="23">
        <f t="shared" ref="G29" si="129">F29</f>
        <v>947.63300000000004</v>
      </c>
      <c r="H29" s="23">
        <f t="shared" ref="H29" si="130">G29</f>
        <v>947.63300000000004</v>
      </c>
      <c r="I29" s="23">
        <f t="shared" ref="I29" si="131">H29</f>
        <v>947.63300000000004</v>
      </c>
      <c r="J29" s="23">
        <f t="shared" ref="J29" si="132">I29</f>
        <v>947.63300000000004</v>
      </c>
      <c r="K29" s="23">
        <f t="shared" ref="K29" si="133">J29</f>
        <v>947.63300000000004</v>
      </c>
      <c r="L29" s="23">
        <f t="shared" ref="L29" si="134">K29</f>
        <v>947.63300000000004</v>
      </c>
      <c r="M29" s="23">
        <f t="shared" ref="M29" si="135">L29</f>
        <v>947.63300000000004</v>
      </c>
      <c r="N29" s="23">
        <f t="shared" ref="N29" si="136">M29</f>
        <v>947.63300000000004</v>
      </c>
      <c r="O29" s="23">
        <f t="shared" ref="O29" si="137">N29</f>
        <v>947.63300000000004</v>
      </c>
      <c r="P29" s="23">
        <f t="shared" ref="P29:U29" si="138">O29</f>
        <v>947.63300000000004</v>
      </c>
      <c r="Q29" s="23">
        <f t="shared" si="138"/>
        <v>947.63300000000004</v>
      </c>
      <c r="R29" s="23">
        <f t="shared" si="138"/>
        <v>947.63300000000004</v>
      </c>
      <c r="S29" s="23">
        <f t="shared" si="138"/>
        <v>947.63300000000004</v>
      </c>
      <c r="T29" s="23">
        <f t="shared" si="138"/>
        <v>947.63300000000004</v>
      </c>
      <c r="U29" s="23">
        <f t="shared" si="138"/>
        <v>947.63300000000004</v>
      </c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  <c r="AI29" s="38"/>
      <c r="AJ29" s="38"/>
      <c r="AK29" s="38"/>
      <c r="AL29" s="38"/>
      <c r="AM29" s="38"/>
      <c r="AN29" s="38"/>
      <c r="AO29" s="38"/>
      <c r="AP29" s="38"/>
      <c r="AQ29" s="38"/>
      <c r="AR29" s="38"/>
      <c r="AS29" s="38"/>
      <c r="AT29" s="38"/>
      <c r="AU29" s="38"/>
      <c r="AV29" s="38"/>
      <c r="AW29" s="38"/>
      <c r="AX29" s="38"/>
      <c r="AY29" s="38"/>
      <c r="AZ29" s="38"/>
      <c r="BA29" s="38"/>
      <c r="BB29" s="38"/>
      <c r="BC29" s="38"/>
      <c r="BD29" s="38"/>
      <c r="BE29" s="38"/>
      <c r="BF29" s="38"/>
      <c r="BG29" s="38"/>
      <c r="BH29" s="38"/>
      <c r="BI29" s="38"/>
      <c r="BJ29" s="38"/>
      <c r="BK29" s="38"/>
      <c r="BL29" s="38"/>
      <c r="BM29" s="38"/>
      <c r="BN29" s="38"/>
      <c r="BO29" s="38"/>
      <c r="BP29" s="38"/>
      <c r="BQ29" s="38"/>
      <c r="BR29" s="38"/>
      <c r="BS29" s="38"/>
      <c r="BT29" s="38"/>
      <c r="BU29" s="38"/>
      <c r="BV29" s="38"/>
      <c r="BW29" s="38"/>
      <c r="BX29" s="38"/>
      <c r="BY29" s="38"/>
      <c r="BZ29" s="38"/>
      <c r="CA29" s="38"/>
      <c r="CB29" s="38"/>
      <c r="CC29" s="38"/>
      <c r="CD29" s="38"/>
      <c r="CE29" s="38"/>
      <c r="CF29" s="38"/>
      <c r="CG29" s="38"/>
      <c r="CH29" s="38"/>
      <c r="CI29" s="38"/>
      <c r="CJ29" s="38"/>
      <c r="CK29" s="38"/>
      <c r="CL29" s="38"/>
      <c r="CM29" s="38"/>
      <c r="CN29" s="38"/>
      <c r="CO29" s="38"/>
      <c r="CP29" s="38"/>
      <c r="CQ29" s="38"/>
      <c r="CR29" s="38"/>
      <c r="CS29" s="38"/>
      <c r="CT29" s="38"/>
      <c r="CU29" s="38"/>
      <c r="CV29" s="38"/>
      <c r="CW29" s="38"/>
      <c r="CX29" s="38"/>
      <c r="CY29" s="38"/>
      <c r="CZ29" s="38"/>
      <c r="DA29" s="38"/>
      <c r="DB29" s="38"/>
      <c r="DC29" s="38"/>
      <c r="DD29" s="38"/>
      <c r="DE29" s="38"/>
      <c r="DF29" s="38"/>
      <c r="DG29" s="38"/>
      <c r="DH29" s="38"/>
      <c r="DI29" s="38"/>
      <c r="DJ29" s="38"/>
      <c r="DK29" s="38"/>
      <c r="DL29" s="38"/>
      <c r="DM29" s="38"/>
    </row>
    <row r="30" spans="1:200" x14ac:dyDescent="0.15"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39"/>
      <c r="AK30" s="39"/>
      <c r="AL30" s="39"/>
      <c r="AM30" s="39"/>
      <c r="AN30" s="39"/>
      <c r="AO30" s="39"/>
      <c r="AP30" s="39"/>
      <c r="AQ30" s="39"/>
      <c r="AR30" s="39"/>
      <c r="AS30" s="39"/>
      <c r="AT30" s="39"/>
      <c r="AU30" s="39"/>
      <c r="AV30" s="39"/>
      <c r="AW30" s="39"/>
      <c r="AX30" s="39"/>
      <c r="AY30" s="39"/>
      <c r="AZ30" s="39"/>
      <c r="BA30" s="39"/>
      <c r="BB30" s="39"/>
      <c r="BC30" s="39"/>
      <c r="BD30" s="39"/>
      <c r="BE30" s="39"/>
      <c r="BF30" s="39"/>
      <c r="BG30" s="39"/>
      <c r="BH30" s="39"/>
      <c r="BI30" s="39"/>
      <c r="BJ30" s="39"/>
      <c r="BK30" s="39"/>
      <c r="BL30" s="39"/>
      <c r="BM30" s="39"/>
      <c r="BN30" s="39"/>
      <c r="BO30" s="39"/>
      <c r="BP30" s="39"/>
      <c r="BQ30" s="39"/>
      <c r="BR30" s="39"/>
      <c r="BS30" s="39"/>
      <c r="BT30" s="39"/>
      <c r="BU30" s="39"/>
      <c r="BV30" s="39"/>
      <c r="BW30" s="39"/>
      <c r="BX30" s="39"/>
      <c r="BY30" s="39"/>
      <c r="BZ30" s="39"/>
      <c r="CA30" s="39"/>
      <c r="CB30" s="39"/>
      <c r="CC30" s="39"/>
      <c r="CD30" s="39"/>
      <c r="CE30" s="39"/>
      <c r="CF30" s="39"/>
      <c r="CG30" s="39"/>
      <c r="CH30" s="39"/>
      <c r="CI30" s="39"/>
      <c r="CJ30" s="39"/>
      <c r="CK30" s="39"/>
      <c r="CL30" s="39"/>
      <c r="CM30" s="39"/>
      <c r="CN30" s="39"/>
      <c r="CO30" s="39"/>
      <c r="CP30" s="39"/>
      <c r="CQ30" s="39"/>
      <c r="CR30" s="39"/>
      <c r="CS30" s="39"/>
      <c r="CT30" s="39"/>
      <c r="CU30" s="39"/>
      <c r="CV30" s="39"/>
      <c r="CW30" s="39"/>
      <c r="CX30" s="39"/>
      <c r="CY30" s="39"/>
      <c r="CZ30" s="39"/>
      <c r="DA30" s="39"/>
      <c r="DB30" s="39"/>
      <c r="DC30" s="39"/>
      <c r="DD30" s="39"/>
      <c r="DE30" s="39"/>
      <c r="DF30" s="39"/>
      <c r="DG30" s="39"/>
      <c r="DH30" s="39"/>
      <c r="DI30" s="39"/>
      <c r="DJ30" s="39"/>
      <c r="DK30" s="39"/>
      <c r="DL30" s="39"/>
      <c r="DM30" s="39"/>
    </row>
    <row r="31" spans="1:200" x14ac:dyDescent="0.15">
      <c r="A31" s="3" t="s">
        <v>19</v>
      </c>
      <c r="B31" s="34">
        <f t="shared" ref="B31:P31" si="139">IFERROR(B18/B16,0)</f>
        <v>0.69167280747139948</v>
      </c>
      <c r="C31" s="34">
        <f t="shared" si="139"/>
        <v>0.67825793747133878</v>
      </c>
      <c r="D31" s="34">
        <f t="shared" si="139"/>
        <v>0.69935685345778331</v>
      </c>
      <c r="E31" s="34">
        <f>IFERROR(E18/E16,0)</f>
        <v>0.66418065096427736</v>
      </c>
      <c r="F31" s="34">
        <f t="shared" si="139"/>
        <v>0.60342074756114905</v>
      </c>
      <c r="G31" s="34">
        <f t="shared" si="139"/>
        <v>0.60342074756114905</v>
      </c>
      <c r="H31" s="34">
        <f>IFERROR(H18/H16,0)</f>
        <v>0.60342074756114905</v>
      </c>
      <c r="I31" s="34">
        <f t="shared" si="139"/>
        <v>0.60342074756114905</v>
      </c>
      <c r="J31" s="34">
        <f t="shared" si="139"/>
        <v>0.60342074756114905</v>
      </c>
      <c r="K31" s="34">
        <f t="shared" si="139"/>
        <v>0.60342074756114905</v>
      </c>
      <c r="L31" s="34">
        <f t="shared" si="139"/>
        <v>0.60342074756114905</v>
      </c>
      <c r="M31" s="34">
        <f t="shared" si="139"/>
        <v>0.60342074756114905</v>
      </c>
      <c r="N31" s="34">
        <f t="shared" si="139"/>
        <v>0.60342074756114905</v>
      </c>
      <c r="O31" s="34">
        <f t="shared" si="139"/>
        <v>0.60342074756114905</v>
      </c>
      <c r="P31" s="34">
        <f t="shared" si="139"/>
        <v>0.60342074756114905</v>
      </c>
      <c r="Q31" s="34">
        <f t="shared" ref="Q31:U31" si="140">IFERROR(Q18/Q16,0)</f>
        <v>0.60342074756114905</v>
      </c>
      <c r="R31" s="34">
        <f t="shared" si="140"/>
        <v>0.60342074756114905</v>
      </c>
      <c r="S31" s="34">
        <f t="shared" si="140"/>
        <v>0.60342074756114905</v>
      </c>
      <c r="T31" s="34">
        <f t="shared" si="140"/>
        <v>0.60342074756114905</v>
      </c>
      <c r="U31" s="34">
        <f t="shared" si="140"/>
        <v>0.60342074756114905</v>
      </c>
      <c r="V31" s="39"/>
      <c r="W31" s="39"/>
      <c r="X31" s="39"/>
      <c r="Y31" s="39"/>
      <c r="Z31" s="39"/>
      <c r="AA31" s="39"/>
      <c r="AB31" s="39"/>
      <c r="AC31" s="39"/>
      <c r="AD31" s="39"/>
      <c r="AE31" s="39"/>
      <c r="AF31" s="39"/>
      <c r="AG31" s="39"/>
      <c r="AH31" s="39"/>
      <c r="AI31" s="39"/>
      <c r="AJ31" s="39"/>
      <c r="AK31" s="39"/>
      <c r="AL31" s="39"/>
      <c r="AM31" s="39"/>
      <c r="AN31" s="39"/>
      <c r="AO31" s="39"/>
      <c r="AP31" s="39"/>
      <c r="AQ31" s="39"/>
      <c r="AR31" s="39"/>
      <c r="AS31" s="39"/>
      <c r="AT31" s="39"/>
      <c r="AU31" s="39"/>
      <c r="AV31" s="39"/>
      <c r="AW31" s="39"/>
      <c r="AX31" s="39"/>
      <c r="AY31" s="39"/>
      <c r="AZ31" s="39"/>
      <c r="BA31" s="39"/>
      <c r="BB31" s="39"/>
      <c r="BC31" s="39"/>
      <c r="BD31" s="39"/>
      <c r="BE31" s="39"/>
      <c r="BF31" s="39"/>
      <c r="BG31" s="39"/>
      <c r="BH31" s="39"/>
      <c r="BI31" s="39"/>
      <c r="BJ31" s="39"/>
      <c r="BK31" s="39"/>
      <c r="BL31" s="39"/>
      <c r="BM31" s="39"/>
      <c r="BN31" s="39"/>
      <c r="BO31" s="39"/>
      <c r="BP31" s="39"/>
      <c r="BQ31" s="39"/>
      <c r="BR31" s="39"/>
      <c r="BS31" s="39"/>
      <c r="BT31" s="39"/>
      <c r="BU31" s="39"/>
      <c r="BV31" s="39"/>
      <c r="BW31" s="39"/>
      <c r="BX31" s="39"/>
      <c r="BY31" s="39"/>
      <c r="BZ31" s="39"/>
      <c r="CA31" s="39"/>
      <c r="CB31" s="39"/>
      <c r="CC31" s="39"/>
      <c r="CD31" s="39"/>
      <c r="CE31" s="39"/>
      <c r="CF31" s="39"/>
      <c r="CG31" s="39"/>
      <c r="CH31" s="39"/>
      <c r="CI31" s="39"/>
      <c r="CJ31" s="39"/>
      <c r="CK31" s="39"/>
      <c r="CL31" s="39"/>
      <c r="CM31" s="39"/>
      <c r="CN31" s="39"/>
      <c r="CO31" s="39"/>
      <c r="CP31" s="39"/>
      <c r="CQ31" s="39"/>
      <c r="CR31" s="39"/>
      <c r="CS31" s="39"/>
      <c r="CT31" s="39"/>
      <c r="CU31" s="39"/>
      <c r="CV31" s="39"/>
      <c r="CW31" s="39"/>
      <c r="CX31" s="39"/>
      <c r="CY31" s="39"/>
      <c r="CZ31" s="39"/>
      <c r="DA31" s="39"/>
      <c r="DB31" s="39"/>
      <c r="DC31" s="39"/>
      <c r="DD31" s="39"/>
      <c r="DE31" s="39"/>
      <c r="DF31" s="39"/>
      <c r="DG31" s="39"/>
      <c r="DH31" s="39"/>
      <c r="DI31" s="39"/>
      <c r="DJ31" s="39"/>
      <c r="DK31" s="39"/>
      <c r="DL31" s="39"/>
      <c r="DM31" s="39"/>
    </row>
    <row r="32" spans="1:200" x14ac:dyDescent="0.15">
      <c r="A32" s="3" t="s">
        <v>20</v>
      </c>
      <c r="B32" s="36">
        <f t="shared" ref="B32:P32" si="141">IFERROR(B23/B16,0)</f>
        <v>-0.190251276503452</v>
      </c>
      <c r="C32" s="36">
        <f t="shared" si="141"/>
        <v>-0.15392894715545832</v>
      </c>
      <c r="D32" s="36">
        <f t="shared" si="141"/>
        <v>2.8348367173986085E-2</v>
      </c>
      <c r="E32" s="36">
        <f>IFERROR(E23/E16,0)</f>
        <v>7.2199539686600882E-3</v>
      </c>
      <c r="F32" s="36">
        <f t="shared" si="141"/>
        <v>-0.20625051077392478</v>
      </c>
      <c r="G32" s="36">
        <f>IFERROR(G23/G16,0)</f>
        <v>-2.4949633582930199E-2</v>
      </c>
      <c r="H32" s="36">
        <f t="shared" si="141"/>
        <v>1.1099413618603596E-2</v>
      </c>
      <c r="I32" s="36">
        <f t="shared" si="141"/>
        <v>4.279644760414561E-2</v>
      </c>
      <c r="J32" s="36">
        <f t="shared" si="141"/>
        <v>7.0806037480037456E-2</v>
      </c>
      <c r="K32" s="36">
        <f t="shared" si="141"/>
        <v>9.5674283495484139E-2</v>
      </c>
      <c r="L32" s="36">
        <f t="shared" si="141"/>
        <v>0.10482978640579649</v>
      </c>
      <c r="M32" s="36">
        <f t="shared" si="141"/>
        <v>0.11356913009291299</v>
      </c>
      <c r="N32" s="36">
        <f t="shared" si="141"/>
        <v>0.12191123088516037</v>
      </c>
      <c r="O32" s="36">
        <f t="shared" si="141"/>
        <v>0.1298741452777602</v>
      </c>
      <c r="P32" s="36">
        <f t="shared" si="141"/>
        <v>0.13747510901615087</v>
      </c>
      <c r="Q32" s="36">
        <f t="shared" ref="Q32:U32" si="142">IFERROR(Q23/Q16,0)</f>
        <v>0.13936430396307528</v>
      </c>
      <c r="R32" s="36">
        <f t="shared" si="142"/>
        <v>0.14029401407669767</v>
      </c>
      <c r="S32" s="36">
        <f t="shared" si="142"/>
        <v>0.14030438962675734</v>
      </c>
      <c r="T32" s="36">
        <f t="shared" si="142"/>
        <v>0.13943222375874903</v>
      </c>
      <c r="U32" s="36">
        <f t="shared" si="142"/>
        <v>0.13771115686107543</v>
      </c>
      <c r="V32" s="39"/>
      <c r="W32" s="39"/>
      <c r="X32" s="39"/>
      <c r="Y32" s="39"/>
      <c r="Z32" s="39"/>
      <c r="AA32" s="39"/>
      <c r="AB32" s="39"/>
      <c r="AC32" s="39"/>
      <c r="AD32" s="39"/>
      <c r="AE32" s="39"/>
      <c r="AF32" s="39"/>
      <c r="AG32" s="39"/>
      <c r="AH32" s="39"/>
      <c r="AI32" s="39"/>
      <c r="AJ32" s="39"/>
      <c r="AK32" s="39"/>
      <c r="AL32" s="39"/>
      <c r="AM32" s="39"/>
      <c r="AN32" s="39"/>
      <c r="AO32" s="39"/>
      <c r="AP32" s="39"/>
      <c r="AQ32" s="39"/>
      <c r="AR32" s="39"/>
      <c r="AS32" s="39"/>
      <c r="AT32" s="39"/>
      <c r="AU32" s="39"/>
      <c r="AV32" s="39"/>
      <c r="AW32" s="39"/>
      <c r="AX32" s="39"/>
      <c r="AY32" s="39"/>
      <c r="AZ32" s="39"/>
      <c r="BA32" s="39"/>
      <c r="BB32" s="39"/>
      <c r="BC32" s="39"/>
      <c r="BD32" s="39"/>
      <c r="BE32" s="39"/>
      <c r="BF32" s="39"/>
      <c r="BG32" s="39"/>
      <c r="BH32" s="39"/>
      <c r="BI32" s="39"/>
      <c r="BJ32" s="39"/>
      <c r="BK32" s="39"/>
      <c r="BL32" s="39"/>
      <c r="BM32" s="39"/>
      <c r="BN32" s="39"/>
      <c r="BO32" s="39"/>
      <c r="BP32" s="39"/>
      <c r="BQ32" s="39"/>
      <c r="BR32" s="39"/>
      <c r="BS32" s="39"/>
      <c r="BT32" s="39"/>
      <c r="BU32" s="39"/>
      <c r="BV32" s="39"/>
      <c r="BW32" s="39"/>
      <c r="BX32" s="39"/>
      <c r="BY32" s="39"/>
      <c r="BZ32" s="39"/>
      <c r="CA32" s="39"/>
      <c r="CB32" s="39"/>
      <c r="CC32" s="39"/>
      <c r="CD32" s="39"/>
      <c r="CE32" s="39"/>
      <c r="CF32" s="39"/>
      <c r="CG32" s="39"/>
      <c r="CH32" s="39"/>
      <c r="CI32" s="39"/>
      <c r="CJ32" s="39"/>
      <c r="CK32" s="39"/>
      <c r="CL32" s="39"/>
      <c r="CM32" s="39"/>
      <c r="CN32" s="39"/>
      <c r="CO32" s="39"/>
      <c r="CP32" s="39"/>
      <c r="CQ32" s="39"/>
      <c r="CR32" s="39"/>
      <c r="CS32" s="39"/>
      <c r="CT32" s="39"/>
      <c r="CU32" s="39"/>
      <c r="CV32" s="39"/>
      <c r="CW32" s="39"/>
      <c r="CX32" s="39"/>
      <c r="CY32" s="39"/>
      <c r="CZ32" s="39"/>
      <c r="DA32" s="39"/>
      <c r="DB32" s="39"/>
      <c r="DC32" s="39"/>
      <c r="DD32" s="39"/>
      <c r="DE32" s="39"/>
      <c r="DF32" s="39"/>
      <c r="DG32" s="39"/>
      <c r="DH32" s="39"/>
      <c r="DI32" s="39"/>
      <c r="DJ32" s="39"/>
      <c r="DK32" s="39"/>
      <c r="DL32" s="39"/>
      <c r="DM32" s="39"/>
    </row>
    <row r="33" spans="1:117" x14ac:dyDescent="0.15">
      <c r="A33" s="3" t="s">
        <v>21</v>
      </c>
      <c r="B33" s="36">
        <f t="shared" ref="B33:P33" si="143">IFERROR(B26/B25,0)</f>
        <v>6.1722203791286338E-2</v>
      </c>
      <c r="C33" s="36">
        <f t="shared" si="143"/>
        <v>-2.881124791118455E-2</v>
      </c>
      <c r="D33" s="36">
        <f t="shared" si="143"/>
        <v>0.30204014388094236</v>
      </c>
      <c r="E33" s="36">
        <f>IFERROR(E26/E25,0)</f>
        <v>0.41431261770244537</v>
      </c>
      <c r="F33" s="36">
        <f t="shared" si="143"/>
        <v>0.12921287821686275</v>
      </c>
      <c r="G33" s="36">
        <f t="shared" si="143"/>
        <v>0.1</v>
      </c>
      <c r="H33" s="36">
        <f t="shared" si="143"/>
        <v>0</v>
      </c>
      <c r="I33" s="36">
        <f t="shared" si="143"/>
        <v>0</v>
      </c>
      <c r="J33" s="36">
        <f t="shared" si="143"/>
        <v>0</v>
      </c>
      <c r="K33" s="36">
        <f t="shared" si="143"/>
        <v>0</v>
      </c>
      <c r="L33" s="36">
        <f t="shared" si="143"/>
        <v>0.1</v>
      </c>
      <c r="M33" s="36">
        <f t="shared" si="143"/>
        <v>0.1</v>
      </c>
      <c r="N33" s="36">
        <f t="shared" si="143"/>
        <v>0.1</v>
      </c>
      <c r="O33" s="36">
        <f t="shared" si="143"/>
        <v>0.10000000000000002</v>
      </c>
      <c r="P33" s="36">
        <f t="shared" si="143"/>
        <v>0.1</v>
      </c>
      <c r="Q33" s="36">
        <f t="shared" ref="Q33:U33" si="144">IFERROR(Q26/Q25,0)</f>
        <v>0.1</v>
      </c>
      <c r="R33" s="36">
        <f t="shared" si="144"/>
        <v>0.1</v>
      </c>
      <c r="S33" s="36">
        <f t="shared" si="144"/>
        <v>0.1</v>
      </c>
      <c r="T33" s="36">
        <f t="shared" si="144"/>
        <v>0.1</v>
      </c>
      <c r="U33" s="36">
        <f t="shared" si="144"/>
        <v>0.10000000000000002</v>
      </c>
      <c r="V33" s="39"/>
      <c r="W33" s="39"/>
      <c r="X33" s="39"/>
      <c r="Y33" s="39"/>
      <c r="Z33" s="39"/>
      <c r="AA33" s="39"/>
      <c r="AB33" s="39"/>
      <c r="AC33" s="39"/>
      <c r="AD33" s="39"/>
      <c r="AE33" s="39"/>
      <c r="AF33" s="39"/>
      <c r="AG33" s="39"/>
      <c r="AH33" s="39"/>
      <c r="AI33" s="39"/>
      <c r="AJ33" s="39"/>
      <c r="AK33" s="39"/>
      <c r="AL33" s="39"/>
      <c r="AM33" s="39"/>
      <c r="AN33" s="39"/>
      <c r="AO33" s="39"/>
      <c r="AP33" s="39"/>
      <c r="AQ33" s="39"/>
      <c r="AR33" s="39"/>
      <c r="AS33" s="39"/>
      <c r="AT33" s="39"/>
      <c r="AU33" s="39"/>
      <c r="AV33" s="39"/>
      <c r="AW33" s="39"/>
      <c r="AX33" s="39"/>
      <c r="AY33" s="39"/>
      <c r="AZ33" s="39"/>
      <c r="BA33" s="39"/>
      <c r="BB33" s="39"/>
      <c r="BC33" s="39"/>
      <c r="BD33" s="39"/>
      <c r="BE33" s="39"/>
      <c r="BF33" s="39"/>
      <c r="BG33" s="39"/>
      <c r="BH33" s="39"/>
      <c r="BI33" s="39"/>
      <c r="BJ33" s="39"/>
      <c r="BK33" s="39"/>
      <c r="BL33" s="39"/>
      <c r="BM33" s="39"/>
      <c r="BN33" s="39"/>
      <c r="BO33" s="39"/>
      <c r="BP33" s="39"/>
      <c r="BQ33" s="39"/>
      <c r="BR33" s="39"/>
      <c r="BS33" s="39"/>
      <c r="BT33" s="39"/>
      <c r="BU33" s="39"/>
      <c r="BV33" s="39"/>
      <c r="BW33" s="39"/>
      <c r="BX33" s="39"/>
      <c r="BY33" s="39"/>
      <c r="BZ33" s="39"/>
      <c r="CA33" s="39"/>
      <c r="CB33" s="39"/>
      <c r="CC33" s="39"/>
      <c r="CD33" s="39"/>
      <c r="CE33" s="39"/>
      <c r="CF33" s="39"/>
      <c r="CG33" s="39"/>
      <c r="CH33" s="39"/>
      <c r="CI33" s="39"/>
      <c r="CJ33" s="39"/>
      <c r="CK33" s="39"/>
      <c r="CL33" s="39"/>
      <c r="CM33" s="39"/>
      <c r="CN33" s="39"/>
      <c r="CO33" s="39"/>
      <c r="CP33" s="39"/>
      <c r="CQ33" s="39"/>
      <c r="CR33" s="39"/>
      <c r="CS33" s="39"/>
      <c r="CT33" s="39"/>
      <c r="CU33" s="39"/>
      <c r="CV33" s="39"/>
      <c r="CW33" s="39"/>
      <c r="CX33" s="39"/>
      <c r="CY33" s="39"/>
      <c r="CZ33" s="39"/>
      <c r="DA33" s="39"/>
      <c r="DB33" s="39"/>
      <c r="DC33" s="39"/>
      <c r="DD33" s="39"/>
      <c r="DE33" s="39"/>
      <c r="DF33" s="39"/>
      <c r="DG33" s="39"/>
      <c r="DH33" s="39"/>
      <c r="DI33" s="39"/>
      <c r="DJ33" s="39"/>
      <c r="DK33" s="39"/>
      <c r="DL33" s="39"/>
      <c r="DM33" s="39"/>
    </row>
    <row r="34" spans="1:117" x14ac:dyDescent="0.15">
      <c r="B34" s="36"/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9"/>
      <c r="W34" s="39"/>
      <c r="X34" s="39"/>
      <c r="Y34" s="39"/>
      <c r="Z34" s="39"/>
      <c r="AA34" s="39"/>
      <c r="AB34" s="39"/>
      <c r="AC34" s="39"/>
      <c r="AD34" s="39"/>
      <c r="AE34" s="39"/>
      <c r="AF34" s="39"/>
      <c r="AG34" s="39"/>
      <c r="AH34" s="39"/>
      <c r="AI34" s="39"/>
      <c r="AJ34" s="39"/>
      <c r="AK34" s="39"/>
      <c r="AL34" s="39"/>
      <c r="AM34" s="39"/>
      <c r="AN34" s="39"/>
      <c r="AO34" s="39"/>
      <c r="AP34" s="39"/>
      <c r="AQ34" s="39"/>
      <c r="AR34" s="39"/>
      <c r="AS34" s="39"/>
      <c r="AT34" s="39"/>
      <c r="AU34" s="39"/>
      <c r="AV34" s="39"/>
      <c r="AW34" s="39"/>
      <c r="AX34" s="39"/>
      <c r="AY34" s="39"/>
      <c r="AZ34" s="39"/>
      <c r="BA34" s="39"/>
      <c r="BB34" s="39"/>
      <c r="BC34" s="39"/>
      <c r="BD34" s="39"/>
      <c r="BE34" s="39"/>
      <c r="BF34" s="39"/>
      <c r="BG34" s="39"/>
      <c r="BH34" s="39"/>
      <c r="BI34" s="39"/>
      <c r="BJ34" s="39"/>
      <c r="BK34" s="39"/>
      <c r="BL34" s="39"/>
      <c r="BM34" s="39"/>
      <c r="BN34" s="39"/>
      <c r="BO34" s="39"/>
      <c r="BP34" s="39"/>
      <c r="BQ34" s="39"/>
      <c r="BR34" s="39"/>
      <c r="BS34" s="39"/>
      <c r="BT34" s="39"/>
      <c r="BU34" s="39"/>
      <c r="BV34" s="39"/>
      <c r="BW34" s="39"/>
      <c r="BX34" s="39"/>
      <c r="BY34" s="39"/>
      <c r="BZ34" s="39"/>
      <c r="CA34" s="39"/>
      <c r="CB34" s="39"/>
      <c r="CC34" s="39"/>
      <c r="CD34" s="39"/>
      <c r="CE34" s="39"/>
      <c r="CF34" s="39"/>
      <c r="CG34" s="39"/>
      <c r="CH34" s="39"/>
      <c r="CI34" s="39"/>
      <c r="CJ34" s="39"/>
      <c r="CK34" s="39"/>
      <c r="CL34" s="39"/>
      <c r="CM34" s="39"/>
      <c r="CN34" s="39"/>
      <c r="CO34" s="39"/>
      <c r="CP34" s="39"/>
      <c r="CQ34" s="39"/>
      <c r="CR34" s="39"/>
      <c r="CS34" s="39"/>
      <c r="CT34" s="39"/>
      <c r="CU34" s="39"/>
      <c r="CV34" s="39"/>
      <c r="CW34" s="39"/>
      <c r="CX34" s="39"/>
      <c r="CY34" s="39"/>
      <c r="CZ34" s="39"/>
      <c r="DA34" s="39"/>
      <c r="DB34" s="39"/>
      <c r="DC34" s="39"/>
      <c r="DD34" s="39"/>
      <c r="DE34" s="39"/>
      <c r="DF34" s="39"/>
      <c r="DG34" s="39"/>
      <c r="DH34" s="39"/>
      <c r="DI34" s="39"/>
      <c r="DJ34" s="39"/>
      <c r="DK34" s="39"/>
      <c r="DL34" s="39"/>
      <c r="DM34" s="39"/>
    </row>
    <row r="35" spans="1:117" x14ac:dyDescent="0.15">
      <c r="A35" s="2" t="s">
        <v>18</v>
      </c>
      <c r="B35" s="26"/>
      <c r="C35" s="49">
        <f>C16/B16-1</f>
        <v>-3.1294586162023075E-2</v>
      </c>
      <c r="D35" s="49">
        <f>D16/C16-1</f>
        <v>0.16181111920368996</v>
      </c>
      <c r="E35" s="49">
        <f>E16/D16-1</f>
        <v>5.3190773052856688E-2</v>
      </c>
      <c r="F35" s="49">
        <f>F16/E16-1</f>
        <v>0.45669350358462424</v>
      </c>
      <c r="G35" s="49">
        <f>G16/F16-1</f>
        <v>0.46012819290455576</v>
      </c>
      <c r="H35" s="49">
        <f t="shared" ref="C35:U35" si="145">H16/G16-1</f>
        <v>0.20750000000000002</v>
      </c>
      <c r="I35" s="49">
        <f t="shared" si="145"/>
        <v>0.20750000000000002</v>
      </c>
      <c r="J35" s="49">
        <f t="shared" si="145"/>
        <v>0.2074999999999998</v>
      </c>
      <c r="K35" s="49">
        <f t="shared" si="145"/>
        <v>0.20750000000000024</v>
      </c>
      <c r="L35" s="49">
        <f t="shared" si="145"/>
        <v>0.10000000000000009</v>
      </c>
      <c r="M35" s="49">
        <f t="shared" si="145"/>
        <v>0.10000000000000009</v>
      </c>
      <c r="N35" s="49">
        <f t="shared" si="145"/>
        <v>0.10000000000000009</v>
      </c>
      <c r="O35" s="49">
        <f t="shared" si="145"/>
        <v>0.10000000000000009</v>
      </c>
      <c r="P35" s="49">
        <f t="shared" si="145"/>
        <v>0.10000000000000009</v>
      </c>
      <c r="Q35" s="49">
        <f t="shared" si="145"/>
        <v>5.0000000000000044E-2</v>
      </c>
      <c r="R35" s="49">
        <f t="shared" si="145"/>
        <v>5.0000000000000044E-2</v>
      </c>
      <c r="S35" s="49">
        <f t="shared" si="145"/>
        <v>5.0000000000000044E-2</v>
      </c>
      <c r="T35" s="49">
        <f t="shared" si="145"/>
        <v>5.0000000000000044E-2</v>
      </c>
      <c r="U35" s="49">
        <f t="shared" si="145"/>
        <v>5.0000000000000044E-2</v>
      </c>
      <c r="V35" s="39"/>
      <c r="W35" s="39"/>
      <c r="X35" s="39"/>
      <c r="Y35" s="39"/>
      <c r="Z35" s="39"/>
      <c r="AA35" s="39"/>
      <c r="AB35" s="39"/>
      <c r="AC35" s="39"/>
      <c r="AD35" s="39"/>
      <c r="AE35" s="39"/>
      <c r="AF35" s="39"/>
      <c r="AG35" s="39"/>
      <c r="AH35" s="39"/>
      <c r="AI35" s="39"/>
      <c r="AJ35" s="39"/>
      <c r="AK35" s="39"/>
      <c r="AL35" s="39"/>
      <c r="AM35" s="39"/>
      <c r="AN35" s="39"/>
      <c r="AO35" s="39"/>
      <c r="AP35" s="39"/>
      <c r="AQ35" s="39"/>
      <c r="AR35" s="39"/>
      <c r="AS35" s="39"/>
      <c r="AT35" s="39"/>
      <c r="AU35" s="39"/>
      <c r="AV35" s="39"/>
      <c r="AW35" s="39"/>
      <c r="AX35" s="39"/>
      <c r="AY35" s="39"/>
      <c r="AZ35" s="39"/>
      <c r="BA35" s="39"/>
      <c r="BB35" s="39"/>
      <c r="BC35" s="39"/>
      <c r="BD35" s="39"/>
      <c r="BE35" s="39"/>
      <c r="BF35" s="39"/>
      <c r="BG35" s="39"/>
      <c r="BH35" s="39"/>
      <c r="BI35" s="39"/>
      <c r="BJ35" s="39"/>
      <c r="BK35" s="39"/>
      <c r="BL35" s="39"/>
      <c r="BM35" s="39"/>
      <c r="BN35" s="39"/>
      <c r="BO35" s="39"/>
      <c r="BP35" s="39"/>
      <c r="BQ35" s="39"/>
      <c r="BR35" s="39"/>
      <c r="BS35" s="39"/>
      <c r="BT35" s="39"/>
      <c r="BU35" s="39"/>
      <c r="BV35" s="39"/>
      <c r="BW35" s="39"/>
      <c r="BX35" s="39"/>
      <c r="BY35" s="39"/>
      <c r="BZ35" s="39"/>
      <c r="CA35" s="39"/>
      <c r="CB35" s="39"/>
      <c r="CC35" s="39"/>
      <c r="CD35" s="39"/>
      <c r="CE35" s="39"/>
      <c r="CF35" s="39"/>
      <c r="CG35" s="39"/>
      <c r="CH35" s="39"/>
      <c r="CI35" s="39"/>
      <c r="CJ35" s="39"/>
      <c r="CK35" s="39"/>
      <c r="CL35" s="39"/>
      <c r="CM35" s="39"/>
      <c r="CN35" s="39"/>
      <c r="CO35" s="39"/>
      <c r="CP35" s="39"/>
      <c r="CQ35" s="39"/>
      <c r="CR35" s="39"/>
      <c r="CS35" s="39"/>
      <c r="CT35" s="39"/>
      <c r="CU35" s="39"/>
      <c r="CV35" s="39"/>
      <c r="CW35" s="39"/>
      <c r="CX35" s="39"/>
      <c r="CY35" s="39"/>
      <c r="CZ35" s="39"/>
      <c r="DA35" s="39"/>
      <c r="DB35" s="39"/>
      <c r="DC35" s="39"/>
      <c r="DD35" s="39"/>
      <c r="DE35" s="39"/>
      <c r="DF35" s="39"/>
      <c r="DG35" s="39"/>
      <c r="DH35" s="39"/>
      <c r="DI35" s="39"/>
      <c r="DJ35" s="39"/>
      <c r="DK35" s="39"/>
      <c r="DL35" s="39"/>
      <c r="DM35" s="39"/>
    </row>
    <row r="36" spans="1:117" x14ac:dyDescent="0.15">
      <c r="A36" s="3" t="s">
        <v>42</v>
      </c>
      <c r="B36" s="20"/>
      <c r="C36" s="36">
        <f t="shared" ref="C36:U36" si="146">C19/B19-1</f>
        <v>-0.11602209944751385</v>
      </c>
      <c r="D36" s="36">
        <f t="shared" si="146"/>
        <v>-0.19999999999999996</v>
      </c>
      <c r="E36" s="36">
        <f t="shared" si="146"/>
        <v>5.46875E-2</v>
      </c>
      <c r="F36" s="36">
        <f t="shared" si="146"/>
        <v>0.87037037037037046</v>
      </c>
      <c r="G36" s="36">
        <f t="shared" si="146"/>
        <v>0.19999999999999996</v>
      </c>
      <c r="H36" s="36">
        <f t="shared" si="146"/>
        <v>0.19999999999999996</v>
      </c>
      <c r="I36" s="36">
        <f t="shared" si="146"/>
        <v>0.19999999999999996</v>
      </c>
      <c r="J36" s="36">
        <f t="shared" si="146"/>
        <v>0.19999999999999996</v>
      </c>
      <c r="K36" s="36">
        <f t="shared" si="146"/>
        <v>0.19999999999999996</v>
      </c>
      <c r="L36" s="36">
        <f t="shared" si="146"/>
        <v>0.10000000000000009</v>
      </c>
      <c r="M36" s="36">
        <f t="shared" si="146"/>
        <v>0.10000000000000009</v>
      </c>
      <c r="N36" s="36">
        <f t="shared" si="146"/>
        <v>0.10000000000000009</v>
      </c>
      <c r="O36" s="36">
        <f t="shared" si="146"/>
        <v>0.10000000000000009</v>
      </c>
      <c r="P36" s="36">
        <f t="shared" si="146"/>
        <v>0.10000000000000009</v>
      </c>
      <c r="Q36" s="36">
        <f t="shared" si="146"/>
        <v>8.0000000000000071E-2</v>
      </c>
      <c r="R36" s="36">
        <f t="shared" si="146"/>
        <v>8.0000000000000071E-2</v>
      </c>
      <c r="S36" s="36">
        <f t="shared" si="146"/>
        <v>8.0000000000000071E-2</v>
      </c>
      <c r="T36" s="36">
        <f t="shared" si="146"/>
        <v>8.0000000000000071E-2</v>
      </c>
      <c r="U36" s="36">
        <f t="shared" si="146"/>
        <v>8.0000000000000071E-2</v>
      </c>
      <c r="V36" s="39"/>
      <c r="W36" s="39"/>
      <c r="X36" s="39"/>
      <c r="Y36" s="39"/>
      <c r="Z36" s="39"/>
      <c r="AA36" s="39"/>
      <c r="AB36" s="39"/>
      <c r="AC36" s="39"/>
      <c r="AD36" s="39"/>
      <c r="AE36" s="39"/>
      <c r="AF36" s="39"/>
      <c r="AG36" s="39"/>
      <c r="AH36" s="39"/>
      <c r="AI36" s="39"/>
      <c r="AJ36" s="39"/>
      <c r="AK36" s="39"/>
      <c r="AL36" s="39"/>
      <c r="AM36" s="39"/>
      <c r="AN36" s="39"/>
      <c r="AO36" s="39"/>
      <c r="AP36" s="39"/>
      <c r="AQ36" s="39"/>
      <c r="AR36" s="39"/>
      <c r="AS36" s="39"/>
      <c r="AT36" s="39"/>
      <c r="AU36" s="39"/>
      <c r="AV36" s="39"/>
      <c r="AW36" s="39"/>
      <c r="AX36" s="39"/>
      <c r="AY36" s="39"/>
      <c r="AZ36" s="39"/>
      <c r="BA36" s="39"/>
      <c r="BB36" s="39"/>
      <c r="BC36" s="39"/>
      <c r="BD36" s="39"/>
      <c r="BE36" s="39"/>
      <c r="BF36" s="39"/>
      <c r="BG36" s="39"/>
      <c r="BH36" s="39"/>
      <c r="BI36" s="39"/>
      <c r="BJ36" s="39"/>
      <c r="BK36" s="39"/>
      <c r="BL36" s="39"/>
      <c r="BM36" s="39"/>
      <c r="BN36" s="39"/>
      <c r="BO36" s="39"/>
      <c r="BP36" s="39"/>
      <c r="BQ36" s="39"/>
      <c r="BR36" s="39"/>
      <c r="BS36" s="39"/>
      <c r="BT36" s="39"/>
      <c r="BU36" s="39"/>
      <c r="BV36" s="39"/>
      <c r="BW36" s="39"/>
      <c r="BX36" s="39"/>
      <c r="BY36" s="39"/>
      <c r="BZ36" s="39"/>
      <c r="CA36" s="39"/>
      <c r="CB36" s="39"/>
      <c r="CC36" s="39"/>
      <c r="CD36" s="39"/>
      <c r="CE36" s="39"/>
      <c r="CF36" s="39"/>
      <c r="CG36" s="39"/>
      <c r="CH36" s="39"/>
      <c r="CI36" s="39"/>
      <c r="CJ36" s="39"/>
      <c r="CK36" s="39"/>
      <c r="CL36" s="39"/>
      <c r="CM36" s="39"/>
      <c r="CN36" s="39"/>
      <c r="CO36" s="39"/>
      <c r="CP36" s="39"/>
      <c r="CQ36" s="39"/>
      <c r="CR36" s="39"/>
      <c r="CS36" s="39"/>
      <c r="CT36" s="39"/>
      <c r="CU36" s="39"/>
      <c r="CV36" s="39"/>
      <c r="CW36" s="39"/>
      <c r="CX36" s="39"/>
      <c r="CY36" s="39"/>
      <c r="CZ36" s="39"/>
      <c r="DA36" s="39"/>
      <c r="DB36" s="39"/>
      <c r="DC36" s="39"/>
      <c r="DD36" s="39"/>
      <c r="DE36" s="39"/>
      <c r="DF36" s="39"/>
      <c r="DG36" s="39"/>
      <c r="DH36" s="39"/>
      <c r="DI36" s="39"/>
      <c r="DJ36" s="39"/>
      <c r="DK36" s="39"/>
      <c r="DL36" s="39"/>
      <c r="DM36" s="39"/>
    </row>
    <row r="37" spans="1:117" x14ac:dyDescent="0.15">
      <c r="A37" s="3" t="s">
        <v>43</v>
      </c>
      <c r="B37" s="20"/>
      <c r="C37" s="36">
        <f t="shared" ref="C37:U37" si="147">C20/B20-1</f>
        <v>8.2352941176470518E-2</v>
      </c>
      <c r="D37" s="36">
        <f t="shared" si="147"/>
        <v>0.15217391304347827</v>
      </c>
      <c r="E37" s="36">
        <f t="shared" si="147"/>
        <v>7.0754716981132004E-2</v>
      </c>
      <c r="F37" s="36">
        <f t="shared" si="147"/>
        <v>1.0484581497797358</v>
      </c>
      <c r="G37" s="36">
        <f t="shared" si="147"/>
        <v>0.10000000000000009</v>
      </c>
      <c r="H37" s="36">
        <f t="shared" si="147"/>
        <v>0.10000000000000009</v>
      </c>
      <c r="I37" s="36">
        <f t="shared" si="147"/>
        <v>0.10000000000000009</v>
      </c>
      <c r="J37" s="36">
        <f t="shared" si="147"/>
        <v>0.10000000000000009</v>
      </c>
      <c r="K37" s="36">
        <f t="shared" si="147"/>
        <v>0.10000000000000009</v>
      </c>
      <c r="L37" s="36">
        <f t="shared" si="147"/>
        <v>5.0000000000000044E-2</v>
      </c>
      <c r="M37" s="36">
        <f t="shared" si="147"/>
        <v>5.0000000000000044E-2</v>
      </c>
      <c r="N37" s="36">
        <f t="shared" si="147"/>
        <v>5.0000000000000044E-2</v>
      </c>
      <c r="O37" s="36">
        <f t="shared" si="147"/>
        <v>5.0000000000000044E-2</v>
      </c>
      <c r="P37" s="36">
        <f t="shared" si="147"/>
        <v>5.0000000000000044E-2</v>
      </c>
      <c r="Q37" s="36">
        <f t="shared" si="147"/>
        <v>-2.0000000000000018E-2</v>
      </c>
      <c r="R37" s="36">
        <f t="shared" si="147"/>
        <v>-2.0000000000000018E-2</v>
      </c>
      <c r="S37" s="36">
        <f t="shared" si="147"/>
        <v>-2.0000000000000018E-2</v>
      </c>
      <c r="T37" s="36">
        <f t="shared" si="147"/>
        <v>-2.0000000000000129E-2</v>
      </c>
      <c r="U37" s="36">
        <f t="shared" si="147"/>
        <v>-2.0000000000000018E-2</v>
      </c>
      <c r="V37" s="39"/>
      <c r="W37" s="39"/>
      <c r="X37" s="39"/>
      <c r="Y37" s="39"/>
      <c r="Z37" s="39"/>
      <c r="AA37" s="39"/>
      <c r="AB37" s="39"/>
      <c r="AC37" s="39"/>
      <c r="AD37" s="39"/>
      <c r="AE37" s="39"/>
      <c r="AF37" s="39"/>
      <c r="AG37" s="39"/>
      <c r="AH37" s="39"/>
      <c r="AI37" s="39"/>
      <c r="AJ37" s="39"/>
      <c r="AK37" s="39"/>
      <c r="AL37" s="39"/>
      <c r="AM37" s="39"/>
      <c r="AN37" s="39"/>
      <c r="AO37" s="39"/>
      <c r="AP37" s="39"/>
      <c r="AQ37" s="39"/>
      <c r="AR37" s="39"/>
      <c r="AS37" s="39"/>
      <c r="AT37" s="39"/>
      <c r="AU37" s="39"/>
      <c r="AV37" s="39"/>
      <c r="AW37" s="39"/>
      <c r="AX37" s="39"/>
      <c r="AY37" s="39"/>
      <c r="AZ37" s="39"/>
      <c r="BA37" s="39"/>
      <c r="BB37" s="39"/>
      <c r="BC37" s="39"/>
      <c r="BD37" s="39"/>
      <c r="BE37" s="39"/>
      <c r="BF37" s="39"/>
      <c r="BG37" s="39"/>
      <c r="BH37" s="39"/>
      <c r="BI37" s="39"/>
      <c r="BJ37" s="39"/>
      <c r="BK37" s="39"/>
      <c r="BL37" s="39"/>
      <c r="BM37" s="39"/>
      <c r="BN37" s="39"/>
      <c r="BO37" s="39"/>
      <c r="BP37" s="39"/>
      <c r="BQ37" s="39"/>
      <c r="BR37" s="39"/>
      <c r="BS37" s="39"/>
      <c r="BT37" s="39"/>
      <c r="BU37" s="39"/>
      <c r="BV37" s="39"/>
      <c r="BW37" s="39"/>
      <c r="BX37" s="39"/>
      <c r="BY37" s="39"/>
      <c r="BZ37" s="39"/>
      <c r="CA37" s="39"/>
      <c r="CB37" s="39"/>
      <c r="CC37" s="39"/>
      <c r="CD37" s="39"/>
      <c r="CE37" s="39"/>
      <c r="CF37" s="39"/>
      <c r="CG37" s="39"/>
      <c r="CH37" s="39"/>
      <c r="CI37" s="39"/>
      <c r="CJ37" s="39"/>
      <c r="CK37" s="39"/>
      <c r="CL37" s="39"/>
      <c r="CM37" s="39"/>
      <c r="CN37" s="39"/>
      <c r="CO37" s="39"/>
      <c r="CP37" s="39"/>
      <c r="CQ37" s="39"/>
      <c r="CR37" s="39"/>
      <c r="CS37" s="39"/>
      <c r="CT37" s="39"/>
      <c r="CU37" s="39"/>
      <c r="CV37" s="39"/>
      <c r="CW37" s="39"/>
      <c r="CX37" s="39"/>
      <c r="CY37" s="39"/>
      <c r="CZ37" s="39"/>
      <c r="DA37" s="39"/>
      <c r="DB37" s="39"/>
      <c r="DC37" s="39"/>
      <c r="DD37" s="39"/>
      <c r="DE37" s="39"/>
      <c r="DF37" s="39"/>
      <c r="DG37" s="39"/>
      <c r="DH37" s="39"/>
      <c r="DI37" s="39"/>
      <c r="DJ37" s="39"/>
      <c r="DK37" s="39"/>
      <c r="DL37" s="39"/>
      <c r="DM37" s="39"/>
    </row>
    <row r="38" spans="1:117" x14ac:dyDescent="0.15">
      <c r="A38" s="3" t="s">
        <v>44</v>
      </c>
      <c r="B38" s="20"/>
      <c r="C38" s="36">
        <f t="shared" ref="C38:U38" si="148">C21/B21-1</f>
        <v>-0.20979020979020979</v>
      </c>
      <c r="D38" s="36">
        <f>D21/C21-1</f>
        <v>-2.6548672566371723E-2</v>
      </c>
      <c r="E38" s="36">
        <f t="shared" si="148"/>
        <v>-9.9999999999999978E-2</v>
      </c>
      <c r="F38" s="36">
        <f t="shared" si="148"/>
        <v>1.0101010101010166E-2</v>
      </c>
      <c r="G38" s="36">
        <f t="shared" si="148"/>
        <v>-5.0000000000000044E-2</v>
      </c>
      <c r="H38" s="36">
        <f t="shared" si="148"/>
        <v>-5.0000000000000044E-2</v>
      </c>
      <c r="I38" s="36">
        <f t="shared" si="148"/>
        <v>-5.0000000000000044E-2</v>
      </c>
      <c r="J38" s="36">
        <f t="shared" si="148"/>
        <v>-5.0000000000000155E-2</v>
      </c>
      <c r="K38" s="36">
        <f t="shared" si="148"/>
        <v>-4.9999999999999933E-2</v>
      </c>
      <c r="L38" s="36">
        <f t="shared" si="148"/>
        <v>5.0000000000000044E-2</v>
      </c>
      <c r="M38" s="36">
        <f t="shared" si="148"/>
        <v>5.0000000000000044E-2</v>
      </c>
      <c r="N38" s="36">
        <f t="shared" si="148"/>
        <v>5.0000000000000044E-2</v>
      </c>
      <c r="O38" s="36">
        <f t="shared" si="148"/>
        <v>5.0000000000000044E-2</v>
      </c>
      <c r="P38" s="36">
        <f t="shared" si="148"/>
        <v>5.0000000000000044E-2</v>
      </c>
      <c r="Q38" s="36">
        <f t="shared" si="148"/>
        <v>-2.0000000000000018E-2</v>
      </c>
      <c r="R38" s="36">
        <f t="shared" si="148"/>
        <v>-2.0000000000000018E-2</v>
      </c>
      <c r="S38" s="36">
        <f t="shared" si="148"/>
        <v>-2.0000000000000018E-2</v>
      </c>
      <c r="T38" s="36">
        <f t="shared" si="148"/>
        <v>-2.0000000000000129E-2</v>
      </c>
      <c r="U38" s="36">
        <f t="shared" si="148"/>
        <v>-2.0000000000000018E-2</v>
      </c>
      <c r="V38" s="39"/>
      <c r="W38" s="39"/>
      <c r="X38" s="39"/>
      <c r="Y38" s="39"/>
      <c r="Z38" s="39"/>
      <c r="AA38" s="39"/>
      <c r="AB38" s="39"/>
      <c r="AC38" s="39"/>
      <c r="AD38" s="39"/>
      <c r="AE38" s="39"/>
      <c r="AF38" s="39"/>
      <c r="AG38" s="39"/>
      <c r="AH38" s="39"/>
      <c r="AI38" s="39"/>
      <c r="AJ38" s="39"/>
      <c r="AK38" s="39"/>
      <c r="AL38" s="39"/>
      <c r="AM38" s="39"/>
      <c r="AN38" s="39"/>
      <c r="AO38" s="39"/>
      <c r="AP38" s="39"/>
      <c r="AQ38" s="39"/>
      <c r="AR38" s="39"/>
      <c r="AS38" s="39"/>
      <c r="AT38" s="39"/>
      <c r="AU38" s="39"/>
      <c r="AV38" s="39"/>
      <c r="AW38" s="39"/>
      <c r="AX38" s="39"/>
      <c r="AY38" s="39"/>
      <c r="AZ38" s="39"/>
      <c r="BA38" s="39"/>
      <c r="BB38" s="39"/>
      <c r="BC38" s="39"/>
      <c r="BD38" s="39"/>
      <c r="BE38" s="39"/>
      <c r="BF38" s="39"/>
      <c r="BG38" s="39"/>
      <c r="BH38" s="39"/>
      <c r="BI38" s="39"/>
      <c r="BJ38" s="39"/>
      <c r="BK38" s="39"/>
      <c r="BL38" s="39"/>
      <c r="BM38" s="39"/>
      <c r="BN38" s="39"/>
      <c r="BO38" s="39"/>
      <c r="BP38" s="39"/>
      <c r="BQ38" s="39"/>
      <c r="BR38" s="39"/>
      <c r="BS38" s="39"/>
      <c r="BT38" s="39"/>
      <c r="BU38" s="39"/>
      <c r="BV38" s="39"/>
      <c r="BW38" s="39"/>
      <c r="BX38" s="39"/>
      <c r="BY38" s="39"/>
      <c r="BZ38" s="39"/>
      <c r="CA38" s="39"/>
      <c r="CB38" s="39"/>
      <c r="CC38" s="39"/>
      <c r="CD38" s="39"/>
      <c r="CE38" s="39"/>
      <c r="CF38" s="39"/>
      <c r="CG38" s="39"/>
      <c r="CH38" s="39"/>
      <c r="CI38" s="39"/>
      <c r="CJ38" s="39"/>
      <c r="CK38" s="39"/>
      <c r="CL38" s="39"/>
      <c r="CM38" s="39"/>
      <c r="CN38" s="39"/>
      <c r="CO38" s="39"/>
      <c r="CP38" s="39"/>
      <c r="CQ38" s="39"/>
      <c r="CR38" s="39"/>
      <c r="CS38" s="39"/>
      <c r="CT38" s="39"/>
      <c r="CU38" s="39"/>
      <c r="CV38" s="39"/>
      <c r="CW38" s="39"/>
      <c r="CX38" s="39"/>
      <c r="CY38" s="39"/>
      <c r="CZ38" s="39"/>
      <c r="DA38" s="39"/>
      <c r="DB38" s="39"/>
      <c r="DC38" s="39"/>
      <c r="DD38" s="39"/>
      <c r="DE38" s="39"/>
      <c r="DF38" s="39"/>
      <c r="DG38" s="39"/>
      <c r="DH38" s="39"/>
      <c r="DI38" s="39"/>
      <c r="DJ38" s="39"/>
      <c r="DK38" s="39"/>
      <c r="DL38" s="39"/>
      <c r="DM38" s="39"/>
    </row>
    <row r="39" spans="1:117" x14ac:dyDescent="0.15">
      <c r="A39" s="6" t="s">
        <v>99</v>
      </c>
      <c r="B39" s="20"/>
      <c r="C39" s="34">
        <f>C22/B22-1</f>
        <v>-8.5925925925925961E-2</v>
      </c>
      <c r="D39" s="34">
        <f>D22/C22-1</f>
        <v>-6.3209076175040568E-2</v>
      </c>
      <c r="E39" s="34">
        <f>E22/D22-1</f>
        <v>3.114186851211076E-2</v>
      </c>
      <c r="F39" s="34">
        <f t="shared" ref="F39:U39" si="149">F22/E22-1</f>
        <v>0.79530201342281881</v>
      </c>
      <c r="G39" s="34">
        <f t="shared" si="149"/>
        <v>0.13317757009345788</v>
      </c>
      <c r="H39" s="34">
        <f t="shared" si="149"/>
        <v>0.13822680412371136</v>
      </c>
      <c r="I39" s="34">
        <f t="shared" si="149"/>
        <v>0.14288276211868722</v>
      </c>
      <c r="J39" s="34">
        <f t="shared" si="149"/>
        <v>0.14717157724391661</v>
      </c>
      <c r="K39" s="34">
        <f t="shared" si="149"/>
        <v>0.15112077033306348</v>
      </c>
      <c r="L39" s="34">
        <f>L22/K22-1</f>
        <v>8.0165192839154908E-2</v>
      </c>
      <c r="M39" s="34">
        <f t="shared" si="149"/>
        <v>8.0719108839133691E-2</v>
      </c>
      <c r="N39" s="34">
        <f t="shared" si="149"/>
        <v>8.1267162250276526E-2</v>
      </c>
      <c r="O39" s="34">
        <f t="shared" si="149"/>
        <v>8.1808862486608236E-2</v>
      </c>
      <c r="P39" s="34">
        <f t="shared" si="149"/>
        <v>8.2343743842921313E-2</v>
      </c>
      <c r="Q39" s="34">
        <f t="shared" si="149"/>
        <v>4.5742733636342514E-2</v>
      </c>
      <c r="R39" s="34">
        <f t="shared" si="149"/>
        <v>4.7896386026375248E-2</v>
      </c>
      <c r="S39" s="34">
        <f t="shared" si="149"/>
        <v>4.9976476573743378E-2</v>
      </c>
      <c r="T39" s="34">
        <f t="shared" si="149"/>
        <v>5.1977417004861026E-2</v>
      </c>
      <c r="U39" s="34">
        <f t="shared" si="149"/>
        <v>5.3894752024786774E-2</v>
      </c>
      <c r="V39" s="39"/>
      <c r="W39" s="39"/>
      <c r="X39" s="39"/>
      <c r="Y39" s="39"/>
      <c r="Z39" s="39"/>
      <c r="AA39" s="39"/>
      <c r="AB39" s="39"/>
      <c r="AC39" s="39"/>
      <c r="AD39" s="39"/>
      <c r="AE39" s="39"/>
      <c r="AF39" s="39"/>
      <c r="AG39" s="39"/>
      <c r="AH39" s="39"/>
      <c r="AI39" s="39"/>
      <c r="AJ39" s="39"/>
      <c r="AK39" s="39"/>
      <c r="AL39" s="39"/>
      <c r="AM39" s="39"/>
      <c r="AN39" s="39"/>
      <c r="AO39" s="39"/>
      <c r="AP39" s="39"/>
      <c r="AQ39" s="39"/>
      <c r="AR39" s="39"/>
      <c r="AS39" s="39"/>
      <c r="AT39" s="39"/>
      <c r="AU39" s="39"/>
      <c r="AV39" s="39"/>
      <c r="AW39" s="39"/>
      <c r="AX39" s="39"/>
      <c r="AY39" s="39"/>
      <c r="AZ39" s="39"/>
      <c r="BA39" s="39"/>
      <c r="BB39" s="39"/>
      <c r="BC39" s="39"/>
      <c r="BD39" s="39"/>
      <c r="BE39" s="39"/>
      <c r="BF39" s="39"/>
      <c r="BG39" s="39"/>
      <c r="BH39" s="39"/>
      <c r="BI39" s="39"/>
      <c r="BJ39" s="39"/>
      <c r="BK39" s="39"/>
      <c r="BL39" s="39"/>
      <c r="BM39" s="39"/>
      <c r="BN39" s="39"/>
      <c r="BO39" s="39"/>
      <c r="BP39" s="39"/>
      <c r="BQ39" s="39"/>
      <c r="BR39" s="39"/>
      <c r="BS39" s="39"/>
      <c r="BT39" s="39"/>
      <c r="BU39" s="39"/>
      <c r="BV39" s="39"/>
      <c r="BW39" s="39"/>
      <c r="BX39" s="39"/>
      <c r="BY39" s="39"/>
      <c r="BZ39" s="39"/>
      <c r="CA39" s="39"/>
      <c r="CB39" s="39"/>
      <c r="CC39" s="39"/>
      <c r="CD39" s="39"/>
      <c r="CE39" s="39"/>
      <c r="CF39" s="39"/>
      <c r="CG39" s="39"/>
      <c r="CH39" s="39"/>
      <c r="CI39" s="39"/>
      <c r="CJ39" s="39"/>
      <c r="CK39" s="39"/>
      <c r="CL39" s="39"/>
      <c r="CM39" s="39"/>
      <c r="CN39" s="39"/>
      <c r="CO39" s="39"/>
      <c r="CP39" s="39"/>
      <c r="CQ39" s="39"/>
      <c r="CR39" s="39"/>
      <c r="CS39" s="39"/>
      <c r="CT39" s="39"/>
      <c r="CU39" s="39"/>
      <c r="CV39" s="39"/>
      <c r="CW39" s="39"/>
      <c r="CX39" s="39"/>
      <c r="CY39" s="39"/>
      <c r="CZ39" s="39"/>
      <c r="DA39" s="39"/>
      <c r="DB39" s="39"/>
      <c r="DC39" s="39"/>
      <c r="DD39" s="39"/>
      <c r="DE39" s="39"/>
      <c r="DF39" s="39"/>
      <c r="DG39" s="39"/>
      <c r="DH39" s="39"/>
      <c r="DI39" s="39"/>
      <c r="DJ39" s="39"/>
      <c r="DK39" s="39"/>
      <c r="DL39" s="39"/>
      <c r="DM39" s="39"/>
    </row>
    <row r="40" spans="1:117" x14ac:dyDescent="0.15">
      <c r="B40" s="20"/>
      <c r="C40" s="45"/>
      <c r="D40" s="45"/>
      <c r="E40" s="45"/>
      <c r="F40" s="45"/>
      <c r="G40" s="45"/>
      <c r="H40" s="45"/>
      <c r="I40" s="45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5"/>
      <c r="U40" s="45"/>
      <c r="V40" s="39"/>
      <c r="W40" s="39"/>
      <c r="X40" s="39"/>
      <c r="Y40" s="39"/>
      <c r="Z40" s="39"/>
      <c r="AA40" s="39"/>
      <c r="AB40" s="39"/>
      <c r="AC40" s="39"/>
      <c r="AD40" s="39"/>
      <c r="AE40" s="39"/>
      <c r="AF40" s="39"/>
      <c r="AG40" s="39"/>
      <c r="AH40" s="39"/>
      <c r="AI40" s="39"/>
      <c r="AJ40" s="39"/>
      <c r="AK40" s="39"/>
      <c r="AL40" s="39"/>
      <c r="AM40" s="39"/>
      <c r="AN40" s="39"/>
      <c r="AO40" s="39"/>
      <c r="AP40" s="39"/>
      <c r="AQ40" s="39"/>
      <c r="AR40" s="39"/>
      <c r="AS40" s="39"/>
      <c r="AT40" s="39"/>
      <c r="AU40" s="39"/>
      <c r="AV40" s="39"/>
      <c r="AW40" s="39"/>
      <c r="AX40" s="39"/>
      <c r="AY40" s="39"/>
      <c r="AZ40" s="39"/>
      <c r="BA40" s="39"/>
      <c r="BB40" s="39"/>
      <c r="BC40" s="39"/>
      <c r="BD40" s="39"/>
      <c r="BE40" s="39"/>
      <c r="BF40" s="39"/>
      <c r="BG40" s="39"/>
      <c r="BH40" s="39"/>
      <c r="BI40" s="39"/>
      <c r="BJ40" s="39"/>
      <c r="BK40" s="39"/>
      <c r="BL40" s="39"/>
      <c r="BM40" s="39"/>
      <c r="BN40" s="39"/>
      <c r="BO40" s="39"/>
      <c r="BP40" s="39"/>
      <c r="BQ40" s="39"/>
      <c r="BR40" s="39"/>
      <c r="BS40" s="39"/>
      <c r="BT40" s="39"/>
      <c r="BU40" s="39"/>
      <c r="BV40" s="39"/>
      <c r="BW40" s="39"/>
      <c r="BX40" s="39"/>
      <c r="BY40" s="39"/>
      <c r="BZ40" s="39"/>
      <c r="CA40" s="39"/>
      <c r="CB40" s="39"/>
      <c r="CC40" s="39"/>
      <c r="CD40" s="39"/>
      <c r="CE40" s="39"/>
      <c r="CF40" s="39"/>
      <c r="CG40" s="39"/>
      <c r="CH40" s="39"/>
      <c r="CI40" s="39"/>
      <c r="CJ40" s="39"/>
      <c r="CK40" s="39"/>
      <c r="CL40" s="39"/>
      <c r="CM40" s="39"/>
      <c r="CN40" s="39"/>
      <c r="CO40" s="39"/>
      <c r="CP40" s="39"/>
      <c r="CQ40" s="39"/>
      <c r="CR40" s="39"/>
      <c r="CS40" s="39"/>
      <c r="CT40" s="39"/>
      <c r="CU40" s="39"/>
      <c r="CV40" s="39"/>
      <c r="CW40" s="39"/>
      <c r="CX40" s="39"/>
      <c r="CY40" s="39"/>
      <c r="CZ40" s="39"/>
      <c r="DA40" s="39"/>
      <c r="DB40" s="39"/>
      <c r="DC40" s="39"/>
      <c r="DD40" s="39"/>
      <c r="DE40" s="39"/>
      <c r="DF40" s="39"/>
      <c r="DG40" s="39"/>
      <c r="DH40" s="39"/>
      <c r="DI40" s="39"/>
      <c r="DJ40" s="39"/>
      <c r="DK40" s="39"/>
      <c r="DL40" s="39"/>
      <c r="DM40" s="39"/>
    </row>
    <row r="41" spans="1:117" x14ac:dyDescent="0.15">
      <c r="A41" s="2" t="s">
        <v>26</v>
      </c>
      <c r="B41" s="24">
        <f>B42-B43</f>
        <v>987</v>
      </c>
      <c r="C41" s="24">
        <f>C42-C43</f>
        <v>852</v>
      </c>
      <c r="D41" s="24">
        <f>D42-D43</f>
        <v>682</v>
      </c>
      <c r="E41" s="24">
        <f>E42-E43</f>
        <v>581.22199999999998</v>
      </c>
      <c r="F41" s="24">
        <f>F42-F43</f>
        <v>966</v>
      </c>
      <c r="G41" s="50">
        <f>F41+G27</f>
        <v>940.05959295795981</v>
      </c>
      <c r="H41" s="50">
        <f>G41+H27</f>
        <v>984.72225536904864</v>
      </c>
      <c r="I41" s="50">
        <f t="shared" ref="I41:U41" si="150">H41+I27</f>
        <v>1124.8226761678845</v>
      </c>
      <c r="J41" s="50">
        <f t="shared" si="150"/>
        <v>1387.8649140886737</v>
      </c>
      <c r="K41" s="50">
        <f t="shared" si="150"/>
        <v>1808.0952417178462</v>
      </c>
      <c r="L41" s="50">
        <f t="shared" si="150"/>
        <v>2266.3711910914426</v>
      </c>
      <c r="M41" s="50">
        <f t="shared" si="150"/>
        <v>2814.5101638232195</v>
      </c>
      <c r="N41" s="50">
        <f t="shared" si="150"/>
        <v>3464.2431515989283</v>
      </c>
      <c r="O41" s="50">
        <f t="shared" si="150"/>
        <v>4228.6212522631131</v>
      </c>
      <c r="P41" s="50">
        <f t="shared" si="150"/>
        <v>5122.1552066899094</v>
      </c>
      <c r="Q41" s="50">
        <f t="shared" si="150"/>
        <v>6084.438403003619</v>
      </c>
      <c r="R41" s="50">
        <f t="shared" si="150"/>
        <v>7113.641537755705</v>
      </c>
      <c r="S41" s="50">
        <f t="shared" si="150"/>
        <v>8207.4259077725437</v>
      </c>
      <c r="T41" s="50">
        <f t="shared" si="150"/>
        <v>9362.8819092667018</v>
      </c>
      <c r="U41" s="50">
        <f t="shared" si="150"/>
        <v>10576.461585850278</v>
      </c>
      <c r="V41" s="39"/>
      <c r="W41" s="39"/>
      <c r="X41" s="39"/>
      <c r="Y41" s="39"/>
      <c r="Z41" s="39"/>
      <c r="AA41" s="39"/>
      <c r="AB41" s="39"/>
      <c r="AC41" s="39"/>
      <c r="AD41" s="39"/>
      <c r="AE41" s="39"/>
      <c r="AF41" s="39"/>
      <c r="AG41" s="39"/>
      <c r="AH41" s="39"/>
      <c r="AI41" s="39"/>
      <c r="AJ41" s="39"/>
      <c r="AK41" s="39"/>
      <c r="AL41" s="39"/>
      <c r="AM41" s="39"/>
      <c r="AN41" s="39"/>
      <c r="AO41" s="39"/>
      <c r="AP41" s="39"/>
      <c r="AQ41" s="39"/>
      <c r="AR41" s="39"/>
      <c r="AS41" s="39"/>
      <c r="AT41" s="39"/>
      <c r="AU41" s="39"/>
      <c r="AV41" s="39"/>
      <c r="AW41" s="39"/>
      <c r="AX41" s="39"/>
      <c r="AY41" s="39"/>
      <c r="AZ41" s="39"/>
      <c r="BA41" s="39"/>
      <c r="BB41" s="39"/>
      <c r="BC41" s="39"/>
      <c r="BD41" s="39"/>
      <c r="BE41" s="39"/>
      <c r="BF41" s="39"/>
      <c r="BG41" s="39"/>
      <c r="BH41" s="39"/>
      <c r="BI41" s="39"/>
      <c r="BJ41" s="39"/>
      <c r="BK41" s="39"/>
      <c r="BL41" s="39"/>
      <c r="BM41" s="39"/>
      <c r="BN41" s="39"/>
      <c r="BO41" s="39"/>
      <c r="BP41" s="39"/>
      <c r="BQ41" s="39"/>
      <c r="BR41" s="39"/>
      <c r="BS41" s="39"/>
      <c r="BT41" s="39"/>
      <c r="BU41" s="39"/>
      <c r="BV41" s="39"/>
      <c r="BW41" s="39"/>
      <c r="BX41" s="39"/>
      <c r="BY41" s="39"/>
      <c r="BZ41" s="39"/>
      <c r="CA41" s="39"/>
      <c r="CB41" s="39"/>
      <c r="CC41" s="39"/>
      <c r="CD41" s="39"/>
      <c r="CE41" s="39"/>
      <c r="CF41" s="39"/>
      <c r="CG41" s="39"/>
      <c r="CH41" s="39"/>
      <c r="CI41" s="39"/>
      <c r="CJ41" s="39"/>
      <c r="CK41" s="39"/>
      <c r="CL41" s="39"/>
      <c r="CM41" s="39"/>
      <c r="CN41" s="39"/>
      <c r="CO41" s="39"/>
      <c r="CP41" s="39"/>
      <c r="CQ41" s="39"/>
      <c r="CR41" s="39"/>
      <c r="CS41" s="39"/>
      <c r="CT41" s="39"/>
      <c r="CU41" s="39"/>
      <c r="CV41" s="39"/>
      <c r="CW41" s="39"/>
      <c r="CX41" s="39"/>
      <c r="CY41" s="39"/>
      <c r="CZ41" s="39"/>
      <c r="DA41" s="39"/>
      <c r="DB41" s="39"/>
      <c r="DC41" s="39"/>
      <c r="DD41" s="39"/>
      <c r="DE41" s="39"/>
      <c r="DF41" s="39"/>
      <c r="DG41" s="39"/>
      <c r="DH41" s="39"/>
      <c r="DI41" s="39"/>
      <c r="DJ41" s="39"/>
      <c r="DK41" s="39"/>
      <c r="DL41" s="39"/>
      <c r="DM41" s="39"/>
    </row>
    <row r="42" spans="1:117" x14ac:dyDescent="0.15">
      <c r="A42" s="3" t="s">
        <v>27</v>
      </c>
      <c r="B42" s="51">
        <f>Reports!E35</f>
        <v>987</v>
      </c>
      <c r="C42" s="51">
        <f>Reports!I35</f>
        <v>852</v>
      </c>
      <c r="D42" s="51">
        <f>Reports!M35</f>
        <v>682</v>
      </c>
      <c r="E42" s="51">
        <f>Reports!Q35</f>
        <v>581.22199999999998</v>
      </c>
      <c r="F42" s="51">
        <f>Reports!U35</f>
        <v>1536</v>
      </c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23"/>
      <c r="R42" s="39"/>
      <c r="S42" s="39"/>
      <c r="T42" s="39"/>
      <c r="U42" s="39"/>
      <c r="V42" s="39"/>
      <c r="W42" s="39"/>
      <c r="X42" s="39"/>
      <c r="Y42" s="39"/>
      <c r="Z42" s="39"/>
      <c r="AA42" s="39"/>
      <c r="AB42" s="39"/>
      <c r="AC42" s="39"/>
      <c r="AD42" s="39"/>
      <c r="AE42" s="39"/>
      <c r="AF42" s="39"/>
      <c r="AG42" s="39"/>
      <c r="AH42" s="39"/>
      <c r="AI42" s="39"/>
      <c r="AJ42" s="39"/>
      <c r="AK42" s="39"/>
      <c r="AL42" s="39"/>
      <c r="AM42" s="39"/>
      <c r="AN42" s="39"/>
      <c r="AO42" s="39"/>
      <c r="AP42" s="39"/>
      <c r="AQ42" s="39"/>
      <c r="AR42" s="39"/>
      <c r="AS42" s="39"/>
      <c r="AT42" s="39"/>
      <c r="AU42" s="39"/>
      <c r="AV42" s="39"/>
      <c r="AW42" s="39"/>
      <c r="AX42" s="39"/>
      <c r="AY42" s="39"/>
      <c r="AZ42" s="39"/>
      <c r="BA42" s="39"/>
      <c r="BB42" s="39"/>
      <c r="BC42" s="39"/>
      <c r="BD42" s="39"/>
      <c r="BE42" s="39"/>
      <c r="BF42" s="39"/>
      <c r="BG42" s="39"/>
      <c r="BH42" s="39"/>
      <c r="BI42" s="39"/>
      <c r="BJ42" s="39"/>
      <c r="BK42" s="39"/>
      <c r="BL42" s="39"/>
      <c r="BM42" s="39"/>
      <c r="BN42" s="39"/>
      <c r="BO42" s="39"/>
      <c r="BP42" s="39"/>
      <c r="BQ42" s="39"/>
      <c r="BR42" s="39"/>
      <c r="BS42" s="39"/>
      <c r="BT42" s="39"/>
      <c r="BU42" s="39"/>
      <c r="BV42" s="39"/>
      <c r="BW42" s="39"/>
      <c r="BX42" s="39"/>
      <c r="BY42" s="39"/>
      <c r="BZ42" s="39"/>
      <c r="CA42" s="39"/>
      <c r="CB42" s="39"/>
      <c r="CC42" s="39"/>
      <c r="CD42" s="39"/>
      <c r="CE42" s="39"/>
      <c r="CF42" s="39"/>
      <c r="CG42" s="39"/>
      <c r="CH42" s="39"/>
      <c r="CI42" s="39"/>
      <c r="CJ42" s="39"/>
      <c r="CK42" s="39"/>
      <c r="CL42" s="39"/>
      <c r="CM42" s="39"/>
      <c r="CN42" s="39"/>
      <c r="CO42" s="39"/>
      <c r="CP42" s="39"/>
      <c r="CQ42" s="39"/>
      <c r="CR42" s="39"/>
      <c r="CS42" s="39"/>
      <c r="CT42" s="39"/>
      <c r="CU42" s="39"/>
      <c r="CV42" s="39"/>
      <c r="CW42" s="39"/>
      <c r="CX42" s="39"/>
      <c r="CY42" s="39"/>
      <c r="CZ42" s="39"/>
      <c r="DA42" s="39"/>
      <c r="DB42" s="39"/>
      <c r="DC42" s="39"/>
      <c r="DD42" s="39"/>
      <c r="DE42" s="39"/>
      <c r="DF42" s="39"/>
      <c r="DG42" s="39"/>
      <c r="DH42" s="39"/>
      <c r="DI42" s="39"/>
      <c r="DJ42" s="39"/>
      <c r="DK42" s="39"/>
      <c r="DL42" s="39"/>
      <c r="DM42" s="39"/>
    </row>
    <row r="43" spans="1:117" x14ac:dyDescent="0.15">
      <c r="A43" s="3" t="s">
        <v>28</v>
      </c>
      <c r="B43" s="51">
        <f>Reports!E36</f>
        <v>0</v>
      </c>
      <c r="C43" s="51">
        <f>Reports!I36</f>
        <v>0</v>
      </c>
      <c r="D43" s="51">
        <f>Reports!M36</f>
        <v>0</v>
      </c>
      <c r="E43" s="51">
        <f>Reports!Q36</f>
        <v>0</v>
      </c>
      <c r="F43" s="51">
        <f>Reports!U36</f>
        <v>570</v>
      </c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23"/>
      <c r="R43" s="39"/>
      <c r="S43" s="39"/>
      <c r="T43" s="39"/>
      <c r="U43" s="39"/>
      <c r="V43" s="39"/>
      <c r="W43" s="39"/>
      <c r="X43" s="39"/>
      <c r="Y43" s="39"/>
      <c r="Z43" s="39"/>
      <c r="AA43" s="39"/>
      <c r="AB43" s="39"/>
      <c r="AC43" s="39"/>
      <c r="AD43" s="39"/>
      <c r="AE43" s="39"/>
      <c r="AF43" s="39"/>
      <c r="AG43" s="39"/>
      <c r="AH43" s="39"/>
      <c r="AI43" s="39"/>
      <c r="AJ43" s="39"/>
      <c r="AK43" s="39"/>
      <c r="AL43" s="39"/>
      <c r="AM43" s="39"/>
      <c r="AN43" s="39"/>
      <c r="AO43" s="39"/>
      <c r="AP43" s="39"/>
      <c r="AQ43" s="39"/>
      <c r="AR43" s="39"/>
      <c r="AS43" s="39"/>
      <c r="AT43" s="39"/>
      <c r="AU43" s="39"/>
      <c r="AV43" s="39"/>
      <c r="AW43" s="39"/>
      <c r="AX43" s="39"/>
      <c r="AY43" s="39"/>
      <c r="AZ43" s="39"/>
      <c r="BA43" s="39"/>
      <c r="BB43" s="39"/>
      <c r="BC43" s="39"/>
      <c r="BD43" s="39"/>
      <c r="BE43" s="39"/>
      <c r="BF43" s="39"/>
      <c r="BG43" s="39"/>
      <c r="BH43" s="39"/>
      <c r="BI43" s="39"/>
      <c r="BJ43" s="39"/>
      <c r="BK43" s="39"/>
      <c r="BL43" s="39"/>
      <c r="BM43" s="39"/>
      <c r="BN43" s="39"/>
      <c r="BO43" s="39"/>
      <c r="BP43" s="39"/>
      <c r="BQ43" s="39"/>
      <c r="BR43" s="39"/>
      <c r="BS43" s="39"/>
      <c r="BT43" s="39"/>
      <c r="BU43" s="39"/>
      <c r="BV43" s="39"/>
      <c r="BW43" s="39"/>
      <c r="BX43" s="39"/>
      <c r="BY43" s="39"/>
      <c r="BZ43" s="39"/>
      <c r="CA43" s="39"/>
      <c r="CB43" s="39"/>
      <c r="CC43" s="39"/>
      <c r="CD43" s="39"/>
      <c r="CE43" s="39"/>
      <c r="CF43" s="39"/>
      <c r="CG43" s="39"/>
      <c r="CH43" s="39"/>
      <c r="CI43" s="39"/>
      <c r="CJ43" s="39"/>
      <c r="CK43" s="39"/>
      <c r="CL43" s="39"/>
      <c r="CM43" s="39"/>
      <c r="CN43" s="39"/>
      <c r="CO43" s="39"/>
      <c r="CP43" s="39"/>
      <c r="CQ43" s="39"/>
      <c r="CR43" s="39"/>
      <c r="CS43" s="39"/>
      <c r="CT43" s="39"/>
      <c r="CU43" s="39"/>
      <c r="CV43" s="39"/>
      <c r="CW43" s="39"/>
      <c r="CX43" s="39"/>
      <c r="CY43" s="39"/>
      <c r="CZ43" s="39"/>
      <c r="DA43" s="39"/>
      <c r="DB43" s="39"/>
      <c r="DC43" s="39"/>
      <c r="DD43" s="39"/>
      <c r="DE43" s="39"/>
      <c r="DF43" s="39"/>
      <c r="DG43" s="39"/>
      <c r="DH43" s="39"/>
      <c r="DI43" s="39"/>
      <c r="DJ43" s="39"/>
      <c r="DK43" s="39"/>
      <c r="DL43" s="39"/>
      <c r="DM43" s="39"/>
    </row>
    <row r="44" spans="1:117" x14ac:dyDescent="0.15">
      <c r="B44" s="52"/>
      <c r="C44" s="52"/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3"/>
      <c r="R44" s="39"/>
      <c r="S44" s="39"/>
      <c r="T44" s="39"/>
      <c r="U44" s="39"/>
      <c r="V44" s="39"/>
      <c r="W44" s="39"/>
      <c r="X44" s="39"/>
      <c r="Y44" s="39"/>
      <c r="Z44" s="39"/>
      <c r="AA44" s="39"/>
      <c r="AB44" s="39"/>
      <c r="AC44" s="39"/>
      <c r="AD44" s="39"/>
      <c r="AE44" s="39"/>
      <c r="AF44" s="39"/>
      <c r="AG44" s="39"/>
      <c r="AH44" s="39"/>
      <c r="AI44" s="39"/>
      <c r="AJ44" s="39"/>
      <c r="AK44" s="39"/>
      <c r="AL44" s="39"/>
      <c r="AM44" s="39"/>
      <c r="AN44" s="39"/>
      <c r="AO44" s="39"/>
      <c r="AP44" s="39"/>
      <c r="AQ44" s="39"/>
      <c r="AR44" s="39"/>
      <c r="AS44" s="39"/>
      <c r="AT44" s="39"/>
      <c r="AU44" s="39"/>
      <c r="AV44" s="39"/>
      <c r="AW44" s="39"/>
      <c r="AX44" s="39"/>
      <c r="AY44" s="39"/>
      <c r="AZ44" s="39"/>
      <c r="BA44" s="39"/>
      <c r="BB44" s="39"/>
      <c r="BC44" s="39"/>
      <c r="BD44" s="39"/>
      <c r="BE44" s="39"/>
      <c r="BF44" s="39"/>
      <c r="BG44" s="39"/>
      <c r="BH44" s="39"/>
      <c r="BI44" s="39"/>
      <c r="BJ44" s="39"/>
      <c r="BK44" s="39"/>
      <c r="BL44" s="39"/>
      <c r="BM44" s="39"/>
      <c r="BN44" s="39"/>
      <c r="BO44" s="39"/>
      <c r="BP44" s="39"/>
      <c r="BQ44" s="39"/>
      <c r="BR44" s="39"/>
      <c r="BS44" s="39"/>
      <c r="BT44" s="39"/>
      <c r="BU44" s="39"/>
      <c r="BV44" s="39"/>
      <c r="BW44" s="39"/>
      <c r="BX44" s="39"/>
      <c r="BY44" s="39"/>
      <c r="BZ44" s="39"/>
      <c r="CA44" s="39"/>
      <c r="CB44" s="39"/>
      <c r="CC44" s="39"/>
      <c r="CD44" s="39"/>
      <c r="CE44" s="39"/>
      <c r="CF44" s="39"/>
      <c r="CG44" s="39"/>
      <c r="CH44" s="39"/>
      <c r="CI44" s="39"/>
      <c r="CJ44" s="39"/>
      <c r="CK44" s="39"/>
      <c r="CL44" s="39"/>
      <c r="CM44" s="39"/>
      <c r="CN44" s="39"/>
      <c r="CO44" s="39"/>
      <c r="CP44" s="39"/>
      <c r="CQ44" s="39"/>
      <c r="CR44" s="39"/>
      <c r="CS44" s="39"/>
      <c r="CT44" s="39"/>
      <c r="CU44" s="39"/>
      <c r="CV44" s="39"/>
      <c r="CW44" s="39"/>
      <c r="CX44" s="39"/>
      <c r="CY44" s="39"/>
      <c r="CZ44" s="39"/>
      <c r="DA44" s="39"/>
      <c r="DB44" s="39"/>
      <c r="DC44" s="39"/>
      <c r="DD44" s="39"/>
      <c r="DE44" s="39"/>
      <c r="DF44" s="39"/>
      <c r="DG44" s="39"/>
      <c r="DH44" s="39"/>
      <c r="DI44" s="39"/>
      <c r="DJ44" s="39"/>
      <c r="DK44" s="39"/>
      <c r="DL44" s="39"/>
      <c r="DM44" s="39"/>
    </row>
    <row r="45" spans="1:117" x14ac:dyDescent="0.15">
      <c r="A45" s="3" t="s">
        <v>56</v>
      </c>
      <c r="B45" s="54">
        <f>Reports!E38</f>
        <v>722</v>
      </c>
      <c r="C45" s="54">
        <f>Reports!I38</f>
        <v>638</v>
      </c>
      <c r="D45" s="54">
        <f>Reports!M38</f>
        <v>794</v>
      </c>
      <c r="E45" s="51">
        <f>Reports!Q38</f>
        <v>1052.787</v>
      </c>
      <c r="F45" s="51">
        <f>Reports!U38</f>
        <v>1694</v>
      </c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38"/>
      <c r="R45" s="38"/>
      <c r="S45" s="38"/>
      <c r="T45" s="38"/>
      <c r="U45" s="38"/>
      <c r="V45" s="38"/>
      <c r="W45" s="38"/>
      <c r="X45" s="38"/>
      <c r="Y45" s="38"/>
      <c r="Z45" s="38"/>
      <c r="AA45" s="38"/>
      <c r="AB45" s="38"/>
      <c r="AC45" s="38"/>
      <c r="AD45" s="38"/>
      <c r="AE45" s="38"/>
      <c r="AF45" s="38"/>
      <c r="AG45" s="38"/>
      <c r="AH45" s="38"/>
      <c r="AI45" s="38"/>
      <c r="AJ45" s="38"/>
      <c r="AK45" s="38"/>
      <c r="AL45" s="38"/>
      <c r="AM45" s="38"/>
      <c r="AN45" s="38"/>
      <c r="AO45" s="38"/>
      <c r="AP45" s="38"/>
      <c r="AQ45" s="38"/>
      <c r="AR45" s="38"/>
      <c r="AS45" s="38"/>
      <c r="AT45" s="38"/>
      <c r="AU45" s="38"/>
      <c r="AV45" s="38"/>
      <c r="AW45" s="38"/>
      <c r="AX45" s="38"/>
      <c r="AY45" s="38"/>
      <c r="AZ45" s="38"/>
      <c r="BA45" s="38"/>
      <c r="BB45" s="38"/>
      <c r="BC45" s="38"/>
      <c r="BD45" s="38"/>
      <c r="BE45" s="38"/>
      <c r="BF45" s="38"/>
      <c r="BG45" s="38"/>
      <c r="BH45" s="38"/>
      <c r="BI45" s="38"/>
      <c r="BJ45" s="38"/>
      <c r="BK45" s="38"/>
      <c r="BL45" s="38"/>
      <c r="BM45" s="38"/>
      <c r="BN45" s="38"/>
      <c r="BO45" s="38"/>
      <c r="BP45" s="38"/>
      <c r="BQ45" s="38"/>
      <c r="BR45" s="38"/>
      <c r="BS45" s="38"/>
      <c r="BT45" s="38"/>
      <c r="BU45" s="38"/>
      <c r="BV45" s="38"/>
      <c r="BW45" s="38"/>
      <c r="BX45" s="38"/>
      <c r="BY45" s="38"/>
      <c r="BZ45" s="38"/>
      <c r="CA45" s="38"/>
      <c r="CB45" s="38"/>
      <c r="CC45" s="38"/>
      <c r="CD45" s="38"/>
      <c r="CE45" s="38"/>
      <c r="CF45" s="38"/>
      <c r="CG45" s="38"/>
      <c r="CH45" s="38"/>
      <c r="CI45" s="38"/>
      <c r="CJ45" s="38"/>
      <c r="CK45" s="38"/>
      <c r="CL45" s="38"/>
      <c r="CM45" s="38"/>
      <c r="CN45" s="38"/>
      <c r="CO45" s="38"/>
      <c r="CP45" s="38"/>
      <c r="CQ45" s="38"/>
      <c r="CR45" s="38"/>
      <c r="CS45" s="38"/>
      <c r="CT45" s="38"/>
      <c r="CU45" s="38"/>
      <c r="CV45" s="38"/>
      <c r="CW45" s="38"/>
      <c r="CX45" s="38"/>
      <c r="CY45" s="38"/>
      <c r="CZ45" s="38"/>
      <c r="DA45" s="38"/>
      <c r="DB45" s="38"/>
      <c r="DC45" s="38"/>
      <c r="DD45" s="38"/>
      <c r="DE45" s="38"/>
      <c r="DF45" s="38"/>
      <c r="DG45" s="38"/>
      <c r="DH45" s="38"/>
      <c r="DI45" s="38"/>
      <c r="DJ45" s="38"/>
      <c r="DK45" s="38"/>
      <c r="DL45" s="38"/>
      <c r="DM45" s="38"/>
    </row>
    <row r="46" spans="1:117" x14ac:dyDescent="0.15">
      <c r="A46" s="3" t="s">
        <v>57</v>
      </c>
      <c r="B46" s="54">
        <f>Reports!E39</f>
        <v>2125</v>
      </c>
      <c r="C46" s="54">
        <f>Reports!I39</f>
        <v>1906</v>
      </c>
      <c r="D46" s="54">
        <f>Reports!M39</f>
        <v>1979</v>
      </c>
      <c r="E46" s="51">
        <f>Reports!Q39</f>
        <v>2147</v>
      </c>
      <c r="F46" s="51">
        <f>Reports!U39</f>
        <v>3661</v>
      </c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38"/>
      <c r="R46" s="38"/>
      <c r="S46" s="38"/>
      <c r="T46" s="38"/>
      <c r="U46" s="38"/>
      <c r="V46" s="38"/>
      <c r="W46" s="38"/>
      <c r="X46" s="38"/>
      <c r="Y46" s="38"/>
      <c r="Z46" s="38"/>
      <c r="AA46" s="38"/>
      <c r="AB46" s="38"/>
      <c r="AC46" s="38"/>
      <c r="AD46" s="38"/>
      <c r="AE46" s="38"/>
      <c r="AF46" s="38"/>
      <c r="AG46" s="38"/>
      <c r="AH46" s="38"/>
      <c r="AI46" s="38"/>
      <c r="AJ46" s="38"/>
      <c r="AK46" s="38"/>
      <c r="AL46" s="38"/>
      <c r="AM46" s="38"/>
      <c r="AN46" s="38"/>
      <c r="AO46" s="38"/>
      <c r="AP46" s="38"/>
      <c r="AQ46" s="38"/>
      <c r="AR46" s="38"/>
      <c r="AS46" s="38"/>
      <c r="AT46" s="38"/>
      <c r="AU46" s="38"/>
      <c r="AV46" s="38"/>
      <c r="AW46" s="38"/>
      <c r="AX46" s="38"/>
      <c r="AY46" s="38"/>
      <c r="AZ46" s="38"/>
      <c r="BA46" s="38"/>
      <c r="BB46" s="38"/>
      <c r="BC46" s="38"/>
      <c r="BD46" s="38"/>
      <c r="BE46" s="38"/>
      <c r="BF46" s="38"/>
      <c r="BG46" s="38"/>
      <c r="BH46" s="38"/>
      <c r="BI46" s="38"/>
      <c r="BJ46" s="38"/>
      <c r="BK46" s="38"/>
      <c r="BL46" s="38"/>
      <c r="BM46" s="38"/>
      <c r="BN46" s="38"/>
      <c r="BO46" s="38"/>
      <c r="BP46" s="38"/>
      <c r="BQ46" s="38"/>
      <c r="BR46" s="38"/>
      <c r="BS46" s="38"/>
      <c r="BT46" s="38"/>
      <c r="BU46" s="38"/>
      <c r="BV46" s="38"/>
      <c r="BW46" s="38"/>
      <c r="BX46" s="38"/>
      <c r="BY46" s="38"/>
      <c r="BZ46" s="38"/>
      <c r="CA46" s="38"/>
      <c r="CB46" s="38"/>
      <c r="CC46" s="38"/>
      <c r="CD46" s="38"/>
      <c r="CE46" s="38"/>
      <c r="CF46" s="38"/>
      <c r="CG46" s="38"/>
      <c r="CH46" s="38"/>
      <c r="CI46" s="38"/>
      <c r="CJ46" s="38"/>
      <c r="CK46" s="38"/>
      <c r="CL46" s="38"/>
      <c r="CM46" s="38"/>
      <c r="CN46" s="38"/>
      <c r="CO46" s="38"/>
      <c r="CP46" s="38"/>
      <c r="CQ46" s="38"/>
      <c r="CR46" s="38"/>
      <c r="CS46" s="38"/>
      <c r="CT46" s="38"/>
      <c r="CU46" s="38"/>
      <c r="CV46" s="38"/>
      <c r="CW46" s="38"/>
      <c r="CX46" s="38"/>
      <c r="CY46" s="38"/>
      <c r="CZ46" s="38"/>
      <c r="DA46" s="38"/>
      <c r="DB46" s="38"/>
      <c r="DC46" s="38"/>
      <c r="DD46" s="38"/>
      <c r="DE46" s="38"/>
      <c r="DF46" s="38"/>
      <c r="DG46" s="38"/>
      <c r="DH46" s="38"/>
      <c r="DI46" s="38"/>
      <c r="DJ46" s="38"/>
      <c r="DK46" s="38"/>
      <c r="DL46" s="38"/>
      <c r="DM46" s="38"/>
    </row>
    <row r="47" spans="1:117" x14ac:dyDescent="0.15">
      <c r="A47" s="3" t="s">
        <v>58</v>
      </c>
      <c r="B47" s="54">
        <f>Reports!E40</f>
        <v>338</v>
      </c>
      <c r="C47" s="54">
        <f>Reports!I40</f>
        <v>325</v>
      </c>
      <c r="D47" s="54">
        <f>Reports!M40</f>
        <v>338</v>
      </c>
      <c r="E47" s="51">
        <f>Reports!Q40</f>
        <v>550</v>
      </c>
      <c r="F47" s="51">
        <f>Reports!U40</f>
        <v>1685</v>
      </c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  <c r="AG47" s="38"/>
      <c r="AH47" s="38"/>
      <c r="AI47" s="38"/>
      <c r="AJ47" s="38"/>
      <c r="AK47" s="38"/>
      <c r="AL47" s="38"/>
      <c r="AM47" s="38"/>
      <c r="AN47" s="38"/>
      <c r="AO47" s="38"/>
      <c r="AP47" s="38"/>
      <c r="AQ47" s="38"/>
      <c r="AR47" s="38"/>
      <c r="AS47" s="38"/>
      <c r="AT47" s="38"/>
      <c r="AU47" s="38"/>
      <c r="AV47" s="38"/>
      <c r="AW47" s="38"/>
      <c r="AX47" s="38"/>
      <c r="AY47" s="38"/>
      <c r="AZ47" s="38"/>
      <c r="BA47" s="38"/>
      <c r="BB47" s="38"/>
      <c r="BC47" s="38"/>
      <c r="BD47" s="38"/>
      <c r="BE47" s="38"/>
      <c r="BF47" s="38"/>
      <c r="BG47" s="38"/>
      <c r="BH47" s="38"/>
      <c r="BI47" s="38"/>
      <c r="BJ47" s="38"/>
      <c r="BK47" s="38"/>
      <c r="BL47" s="38"/>
      <c r="BM47" s="38"/>
      <c r="BN47" s="38"/>
      <c r="BO47" s="38"/>
      <c r="BP47" s="38"/>
      <c r="BQ47" s="38"/>
      <c r="BR47" s="38"/>
      <c r="BS47" s="38"/>
      <c r="BT47" s="38"/>
      <c r="BU47" s="38"/>
      <c r="BV47" s="38"/>
      <c r="BW47" s="38"/>
      <c r="BX47" s="38"/>
      <c r="BY47" s="38"/>
      <c r="BZ47" s="38"/>
      <c r="CA47" s="38"/>
      <c r="CB47" s="38"/>
      <c r="CC47" s="38"/>
      <c r="CD47" s="38"/>
      <c r="CE47" s="38"/>
      <c r="CF47" s="38"/>
      <c r="CG47" s="38"/>
      <c r="CH47" s="38"/>
      <c r="CI47" s="38"/>
      <c r="CJ47" s="38"/>
      <c r="CK47" s="38"/>
      <c r="CL47" s="38"/>
      <c r="CM47" s="38"/>
      <c r="CN47" s="38"/>
      <c r="CO47" s="38"/>
      <c r="CP47" s="38"/>
      <c r="CQ47" s="38"/>
      <c r="CR47" s="38"/>
      <c r="CS47" s="38"/>
      <c r="CT47" s="38"/>
      <c r="CU47" s="38"/>
      <c r="CV47" s="38"/>
      <c r="CW47" s="38"/>
      <c r="CX47" s="38"/>
      <c r="CY47" s="38"/>
      <c r="CZ47" s="38"/>
      <c r="DA47" s="38"/>
      <c r="DB47" s="38"/>
      <c r="DC47" s="38"/>
      <c r="DD47" s="38"/>
      <c r="DE47" s="38"/>
      <c r="DF47" s="38"/>
      <c r="DG47" s="38"/>
      <c r="DH47" s="38"/>
      <c r="DI47" s="38"/>
      <c r="DJ47" s="38"/>
      <c r="DK47" s="38"/>
      <c r="DL47" s="38"/>
      <c r="DM47" s="38"/>
    </row>
    <row r="48" spans="1:117" x14ac:dyDescent="0.15">
      <c r="B48" s="39"/>
      <c r="C48" s="39"/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  <c r="AA48" s="39"/>
      <c r="AB48" s="39"/>
      <c r="AC48" s="39"/>
      <c r="AD48" s="39"/>
      <c r="AE48" s="39"/>
      <c r="AF48" s="39"/>
      <c r="AG48" s="39"/>
      <c r="AH48" s="39"/>
      <c r="AI48" s="39"/>
      <c r="AJ48" s="39"/>
      <c r="AK48" s="39"/>
      <c r="AL48" s="39"/>
      <c r="AM48" s="39"/>
      <c r="AN48" s="39"/>
      <c r="AO48" s="39"/>
      <c r="AP48" s="39"/>
      <c r="AQ48" s="39"/>
      <c r="AR48" s="39"/>
      <c r="AS48" s="39"/>
      <c r="AT48" s="39"/>
      <c r="AU48" s="39"/>
      <c r="AV48" s="39"/>
      <c r="AW48" s="39"/>
      <c r="AX48" s="39"/>
      <c r="AY48" s="39"/>
      <c r="AZ48" s="39"/>
      <c r="BA48" s="39"/>
      <c r="BB48" s="39"/>
      <c r="BC48" s="39"/>
      <c r="BD48" s="39"/>
      <c r="BE48" s="39"/>
      <c r="BF48" s="39"/>
      <c r="BG48" s="39"/>
      <c r="BH48" s="39"/>
      <c r="BI48" s="39"/>
      <c r="BJ48" s="39"/>
      <c r="BK48" s="39"/>
      <c r="BL48" s="39"/>
      <c r="BM48" s="39"/>
      <c r="BN48" s="39"/>
      <c r="BO48" s="39"/>
      <c r="BP48" s="39"/>
      <c r="BQ48" s="39"/>
      <c r="BR48" s="39"/>
      <c r="BS48" s="39"/>
      <c r="BT48" s="39"/>
      <c r="BU48" s="39"/>
      <c r="BV48" s="39"/>
      <c r="BW48" s="39"/>
      <c r="BX48" s="39"/>
      <c r="BY48" s="39"/>
      <c r="BZ48" s="39"/>
      <c r="CA48" s="39"/>
      <c r="CB48" s="39"/>
      <c r="CC48" s="39"/>
      <c r="CD48" s="39"/>
      <c r="CE48" s="39"/>
      <c r="CF48" s="39"/>
      <c r="CG48" s="39"/>
      <c r="CH48" s="39"/>
      <c r="CI48" s="39"/>
      <c r="CJ48" s="39"/>
      <c r="CK48" s="39"/>
      <c r="CL48" s="39"/>
      <c r="CM48" s="39"/>
      <c r="CN48" s="39"/>
      <c r="CO48" s="39"/>
      <c r="CP48" s="39"/>
      <c r="CQ48" s="39"/>
      <c r="CR48" s="39"/>
      <c r="CS48" s="39"/>
      <c r="CT48" s="39"/>
      <c r="CU48" s="39"/>
      <c r="CV48" s="39"/>
      <c r="CW48" s="39"/>
      <c r="CX48" s="39"/>
      <c r="CY48" s="39"/>
      <c r="CZ48" s="39"/>
      <c r="DA48" s="39"/>
      <c r="DB48" s="39"/>
      <c r="DC48" s="39"/>
      <c r="DD48" s="39"/>
      <c r="DE48" s="39"/>
      <c r="DF48" s="39"/>
      <c r="DG48" s="39"/>
      <c r="DH48" s="39"/>
      <c r="DI48" s="39"/>
      <c r="DJ48" s="39"/>
      <c r="DK48" s="39"/>
      <c r="DL48" s="39"/>
      <c r="DM48" s="39"/>
    </row>
    <row r="49" spans="1:117" x14ac:dyDescent="0.15">
      <c r="A49" s="3" t="s">
        <v>59</v>
      </c>
      <c r="B49" s="55">
        <f>B46-B45-B42</f>
        <v>416</v>
      </c>
      <c r="C49" s="55">
        <f>C46-C45-C42</f>
        <v>416</v>
      </c>
      <c r="D49" s="55">
        <f>D46-D45-D42</f>
        <v>503</v>
      </c>
      <c r="E49" s="55">
        <f>E46-E45-E42</f>
        <v>512.99099999999999</v>
      </c>
      <c r="F49" s="55">
        <f>F46-F45-F42</f>
        <v>431</v>
      </c>
      <c r="G49" s="38"/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  <c r="AA49" s="38"/>
      <c r="AB49" s="38"/>
      <c r="AC49" s="38"/>
      <c r="AD49" s="38"/>
      <c r="AE49" s="38"/>
      <c r="AF49" s="38"/>
      <c r="AG49" s="38"/>
      <c r="AH49" s="38"/>
      <c r="AI49" s="38"/>
      <c r="AJ49" s="38"/>
      <c r="AK49" s="38"/>
      <c r="AL49" s="38"/>
      <c r="AM49" s="38"/>
      <c r="AN49" s="38"/>
      <c r="AO49" s="38"/>
      <c r="AP49" s="38"/>
      <c r="AQ49" s="38"/>
      <c r="AR49" s="38"/>
      <c r="AS49" s="38"/>
      <c r="AT49" s="38"/>
      <c r="AU49" s="38"/>
      <c r="AV49" s="38"/>
      <c r="AW49" s="38"/>
      <c r="AX49" s="38"/>
      <c r="AY49" s="38"/>
      <c r="AZ49" s="38"/>
      <c r="BA49" s="38"/>
      <c r="BB49" s="38"/>
      <c r="BC49" s="38"/>
      <c r="BD49" s="38"/>
      <c r="BE49" s="38"/>
      <c r="BF49" s="38"/>
      <c r="BG49" s="38"/>
      <c r="BH49" s="38"/>
      <c r="BI49" s="38"/>
      <c r="BJ49" s="38"/>
      <c r="BK49" s="38"/>
      <c r="BL49" s="38"/>
      <c r="BM49" s="38"/>
      <c r="BN49" s="38"/>
      <c r="BO49" s="38"/>
      <c r="BP49" s="38"/>
      <c r="BQ49" s="38"/>
      <c r="BR49" s="38"/>
      <c r="BS49" s="38"/>
      <c r="BT49" s="38"/>
      <c r="BU49" s="38"/>
      <c r="BV49" s="38"/>
      <c r="BW49" s="38"/>
      <c r="BX49" s="38"/>
      <c r="BY49" s="38"/>
      <c r="BZ49" s="38"/>
      <c r="CA49" s="38"/>
      <c r="CB49" s="38"/>
      <c r="CC49" s="38"/>
      <c r="CD49" s="38"/>
      <c r="CE49" s="38"/>
      <c r="CF49" s="38"/>
      <c r="CG49" s="38"/>
      <c r="CH49" s="38"/>
      <c r="CI49" s="38"/>
      <c r="CJ49" s="38"/>
      <c r="CK49" s="38"/>
      <c r="CL49" s="38"/>
      <c r="CM49" s="38"/>
      <c r="CN49" s="38"/>
      <c r="CO49" s="38"/>
      <c r="CP49" s="38"/>
      <c r="CQ49" s="38"/>
      <c r="CR49" s="38"/>
      <c r="CS49" s="38"/>
      <c r="CT49" s="38"/>
      <c r="CU49" s="38"/>
      <c r="CV49" s="38"/>
      <c r="CW49" s="38"/>
      <c r="CX49" s="38"/>
      <c r="CY49" s="38"/>
      <c r="CZ49" s="38"/>
      <c r="DA49" s="38"/>
      <c r="DB49" s="38"/>
      <c r="DC49" s="38"/>
      <c r="DD49" s="38"/>
      <c r="DE49" s="38"/>
      <c r="DF49" s="38"/>
      <c r="DG49" s="38"/>
      <c r="DH49" s="38"/>
      <c r="DI49" s="38"/>
      <c r="DJ49" s="38"/>
      <c r="DK49" s="38"/>
      <c r="DL49" s="38"/>
      <c r="DM49" s="38"/>
    </row>
    <row r="50" spans="1:117" x14ac:dyDescent="0.15">
      <c r="A50" s="3" t="s">
        <v>60</v>
      </c>
      <c r="B50" s="55">
        <f>B46-B47</f>
        <v>1787</v>
      </c>
      <c r="C50" s="55">
        <f>C46-C47</f>
        <v>1581</v>
      </c>
      <c r="D50" s="55">
        <f>D46-D47</f>
        <v>1641</v>
      </c>
      <c r="E50" s="55">
        <f>E46-E47</f>
        <v>1597</v>
      </c>
      <c r="F50" s="55">
        <f>F46-F47</f>
        <v>1976</v>
      </c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  <c r="AA50" s="38"/>
      <c r="AB50" s="38"/>
      <c r="AC50" s="38"/>
      <c r="AD50" s="38"/>
      <c r="AE50" s="38"/>
      <c r="AF50" s="38"/>
      <c r="AG50" s="38"/>
      <c r="AH50" s="38"/>
      <c r="AI50" s="38"/>
      <c r="AJ50" s="38"/>
      <c r="AK50" s="38"/>
      <c r="AL50" s="38"/>
      <c r="AM50" s="38"/>
      <c r="AN50" s="38"/>
      <c r="AO50" s="38"/>
      <c r="AP50" s="38"/>
      <c r="AQ50" s="38"/>
      <c r="AR50" s="38"/>
      <c r="AS50" s="38"/>
      <c r="AT50" s="38"/>
      <c r="AU50" s="38"/>
      <c r="AV50" s="38"/>
      <c r="AW50" s="38"/>
      <c r="AX50" s="38"/>
      <c r="AY50" s="38"/>
      <c r="AZ50" s="38"/>
      <c r="BA50" s="38"/>
      <c r="BB50" s="38"/>
      <c r="BC50" s="38"/>
      <c r="BD50" s="38"/>
      <c r="BE50" s="38"/>
      <c r="BF50" s="38"/>
      <c r="BG50" s="38"/>
      <c r="BH50" s="38"/>
      <c r="BI50" s="38"/>
      <c r="BJ50" s="38"/>
      <c r="BK50" s="38"/>
      <c r="BL50" s="38"/>
      <c r="BM50" s="38"/>
      <c r="BN50" s="38"/>
      <c r="BO50" s="38"/>
      <c r="BP50" s="38"/>
      <c r="BQ50" s="38"/>
      <c r="BR50" s="38"/>
      <c r="BS50" s="38"/>
      <c r="BT50" s="38"/>
      <c r="BU50" s="38"/>
      <c r="BV50" s="38"/>
      <c r="BW50" s="38"/>
      <c r="BX50" s="38"/>
      <c r="BY50" s="38"/>
      <c r="BZ50" s="38"/>
      <c r="CA50" s="38"/>
      <c r="CB50" s="38"/>
      <c r="CC50" s="38"/>
      <c r="CD50" s="38"/>
      <c r="CE50" s="38"/>
      <c r="CF50" s="38"/>
      <c r="CG50" s="38"/>
      <c r="CH50" s="38"/>
      <c r="CI50" s="38"/>
      <c r="CJ50" s="38"/>
      <c r="CK50" s="38"/>
      <c r="CL50" s="38"/>
      <c r="CM50" s="38"/>
      <c r="CN50" s="38"/>
      <c r="CO50" s="38"/>
      <c r="CP50" s="38"/>
      <c r="CQ50" s="38"/>
      <c r="CR50" s="38"/>
      <c r="CS50" s="38"/>
      <c r="CT50" s="38"/>
      <c r="CU50" s="38"/>
      <c r="CV50" s="38"/>
      <c r="CW50" s="38"/>
      <c r="CX50" s="38"/>
      <c r="CY50" s="38"/>
      <c r="CZ50" s="38"/>
      <c r="DA50" s="38"/>
      <c r="DB50" s="38"/>
      <c r="DC50" s="38"/>
      <c r="DD50" s="38"/>
      <c r="DE50" s="38"/>
      <c r="DF50" s="38"/>
      <c r="DG50" s="38"/>
      <c r="DH50" s="38"/>
      <c r="DI50" s="38"/>
      <c r="DJ50" s="38"/>
      <c r="DK50" s="38"/>
      <c r="DL50" s="38"/>
      <c r="DM50" s="38"/>
    </row>
    <row r="51" spans="1:117" x14ac:dyDescent="0.15">
      <c r="B51" s="39"/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  <c r="AA51" s="39"/>
      <c r="AB51" s="39"/>
      <c r="AC51" s="39"/>
      <c r="AD51" s="39"/>
      <c r="AE51" s="39"/>
      <c r="AF51" s="39"/>
      <c r="AG51" s="39"/>
      <c r="AH51" s="39"/>
      <c r="AI51" s="39"/>
      <c r="AJ51" s="39"/>
      <c r="AK51" s="39"/>
      <c r="AL51" s="39"/>
      <c r="AM51" s="39"/>
      <c r="AN51" s="39"/>
      <c r="AO51" s="39"/>
      <c r="AP51" s="39"/>
      <c r="AQ51" s="39"/>
      <c r="AR51" s="39"/>
      <c r="AS51" s="39"/>
      <c r="AT51" s="39"/>
      <c r="AU51" s="39"/>
      <c r="AV51" s="39"/>
      <c r="AW51" s="39"/>
      <c r="AX51" s="39"/>
      <c r="AY51" s="39"/>
      <c r="AZ51" s="39"/>
      <c r="BA51" s="39"/>
      <c r="BB51" s="39"/>
      <c r="BC51" s="39"/>
      <c r="BD51" s="39"/>
      <c r="BE51" s="39"/>
      <c r="BF51" s="39"/>
      <c r="BG51" s="39"/>
      <c r="BH51" s="39"/>
      <c r="BI51" s="39"/>
      <c r="BJ51" s="39"/>
      <c r="BK51" s="39"/>
      <c r="BL51" s="39"/>
      <c r="BM51" s="39"/>
      <c r="BN51" s="39"/>
      <c r="BO51" s="39"/>
      <c r="BP51" s="39"/>
      <c r="BQ51" s="39"/>
      <c r="BR51" s="39"/>
      <c r="BS51" s="39"/>
      <c r="BT51" s="39"/>
      <c r="BU51" s="39"/>
      <c r="BV51" s="39"/>
      <c r="BW51" s="39"/>
      <c r="BX51" s="39"/>
      <c r="BY51" s="39"/>
      <c r="BZ51" s="39"/>
      <c r="CA51" s="39"/>
      <c r="CB51" s="39"/>
      <c r="CC51" s="39"/>
      <c r="CD51" s="39"/>
      <c r="CE51" s="39"/>
      <c r="CF51" s="39"/>
      <c r="CG51" s="39"/>
      <c r="CH51" s="39"/>
      <c r="CI51" s="39"/>
      <c r="CJ51" s="39"/>
      <c r="CK51" s="39"/>
      <c r="CL51" s="39"/>
      <c r="CM51" s="39"/>
      <c r="CN51" s="39"/>
      <c r="CO51" s="39"/>
      <c r="CP51" s="39"/>
      <c r="CQ51" s="39"/>
      <c r="CR51" s="39"/>
      <c r="CS51" s="39"/>
      <c r="CT51" s="39"/>
      <c r="CU51" s="39"/>
      <c r="CV51" s="39"/>
      <c r="CW51" s="39"/>
      <c r="CX51" s="39"/>
      <c r="CY51" s="39"/>
      <c r="CZ51" s="39"/>
      <c r="DA51" s="39"/>
      <c r="DB51" s="39"/>
      <c r="DC51" s="39"/>
      <c r="DD51" s="39"/>
      <c r="DE51" s="39"/>
      <c r="DF51" s="39"/>
      <c r="DG51" s="39"/>
      <c r="DH51" s="39"/>
      <c r="DI51" s="39"/>
      <c r="DJ51" s="39"/>
      <c r="DK51" s="39"/>
      <c r="DL51" s="39"/>
      <c r="DM51" s="39"/>
    </row>
    <row r="52" spans="1:117" x14ac:dyDescent="0.15">
      <c r="A52" s="18" t="s">
        <v>62</v>
      </c>
      <c r="B52" s="56">
        <f>B27/B50</f>
        <v>-6.8054280917739254E-2</v>
      </c>
      <c r="C52" s="56">
        <f>C27/C50</f>
        <v>-6.7758380771663448E-2</v>
      </c>
      <c r="D52" s="56">
        <f>D27/D50</f>
        <v>1.5489945155392973E-2</v>
      </c>
      <c r="E52" s="56">
        <f>E27/E50</f>
        <v>9.7370068879149545E-3</v>
      </c>
      <c r="F52" s="56">
        <f>F27/F50</f>
        <v>2.0463056680161858E-2</v>
      </c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  <c r="AA52" s="39"/>
      <c r="AB52" s="39"/>
      <c r="AC52" s="39"/>
      <c r="AD52" s="39"/>
      <c r="AE52" s="39"/>
      <c r="AF52" s="39"/>
      <c r="AG52" s="39"/>
      <c r="AH52" s="39"/>
      <c r="AI52" s="39"/>
      <c r="AJ52" s="39"/>
      <c r="AK52" s="39"/>
      <c r="AL52" s="39"/>
      <c r="AM52" s="39"/>
      <c r="AN52" s="39"/>
      <c r="AO52" s="39"/>
      <c r="AP52" s="39"/>
      <c r="AQ52" s="39"/>
      <c r="AR52" s="39"/>
      <c r="AS52" s="39"/>
      <c r="AT52" s="39"/>
      <c r="AU52" s="39"/>
      <c r="AV52" s="39"/>
      <c r="AW52" s="39"/>
      <c r="AX52" s="39"/>
      <c r="AY52" s="39"/>
      <c r="AZ52" s="39"/>
      <c r="BA52" s="39"/>
      <c r="BB52" s="39"/>
      <c r="BC52" s="39"/>
      <c r="BD52" s="39"/>
      <c r="BE52" s="39"/>
      <c r="BF52" s="39"/>
      <c r="BG52" s="39"/>
      <c r="BH52" s="39"/>
      <c r="BI52" s="39"/>
      <c r="BJ52" s="39"/>
      <c r="BK52" s="39"/>
      <c r="BL52" s="39"/>
      <c r="BM52" s="39"/>
      <c r="BN52" s="39"/>
      <c r="BO52" s="39"/>
      <c r="BP52" s="39"/>
      <c r="BQ52" s="39"/>
      <c r="BR52" s="39"/>
      <c r="BS52" s="39"/>
      <c r="BT52" s="39"/>
      <c r="BU52" s="39"/>
      <c r="BV52" s="39"/>
      <c r="BW52" s="39"/>
      <c r="BX52" s="39"/>
      <c r="BY52" s="39"/>
      <c r="BZ52" s="39"/>
      <c r="CA52" s="39"/>
      <c r="CB52" s="39"/>
      <c r="CC52" s="39"/>
      <c r="CD52" s="39"/>
      <c r="CE52" s="39"/>
      <c r="CF52" s="39"/>
      <c r="CG52" s="39"/>
      <c r="CH52" s="39"/>
      <c r="CI52" s="39"/>
      <c r="CJ52" s="39"/>
      <c r="CK52" s="39"/>
      <c r="CL52" s="39"/>
      <c r="CM52" s="39"/>
      <c r="CN52" s="39"/>
      <c r="CO52" s="39"/>
      <c r="CP52" s="39"/>
      <c r="CQ52" s="39"/>
      <c r="CR52" s="39"/>
      <c r="CS52" s="39"/>
      <c r="CT52" s="39"/>
      <c r="CU52" s="39"/>
      <c r="CV52" s="39"/>
      <c r="CW52" s="39"/>
      <c r="CX52" s="39"/>
      <c r="CY52" s="39"/>
      <c r="CZ52" s="39"/>
      <c r="DA52" s="39"/>
      <c r="DB52" s="39"/>
      <c r="DC52" s="39"/>
      <c r="DD52" s="39"/>
      <c r="DE52" s="39"/>
      <c r="DF52" s="39"/>
      <c r="DG52" s="39"/>
      <c r="DH52" s="39"/>
      <c r="DI52" s="39"/>
      <c r="DJ52" s="39"/>
      <c r="DK52" s="39"/>
      <c r="DL52" s="39"/>
      <c r="DM52" s="39"/>
    </row>
    <row r="53" spans="1:117" x14ac:dyDescent="0.15">
      <c r="A53" s="18" t="s">
        <v>63</v>
      </c>
      <c r="B53" s="56">
        <f>B27/B46</f>
        <v>-5.7229647058823559E-2</v>
      </c>
      <c r="C53" s="56">
        <f>C27/C46</f>
        <v>-5.6204616998950636E-2</v>
      </c>
      <c r="D53" s="56">
        <f>D27/D46</f>
        <v>1.2844365841333942E-2</v>
      </c>
      <c r="E53" s="56">
        <f>E27/E46</f>
        <v>7.2426641825804293E-3</v>
      </c>
      <c r="F53" s="56">
        <f>F27/F46</f>
        <v>1.1044796503687471E-2</v>
      </c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  <c r="AA53" s="39"/>
      <c r="AB53" s="39"/>
      <c r="AC53" s="39"/>
      <c r="AD53" s="39"/>
      <c r="AE53" s="39"/>
      <c r="AF53" s="39"/>
      <c r="AG53" s="39"/>
      <c r="AH53" s="39"/>
      <c r="AI53" s="39"/>
      <c r="AJ53" s="39"/>
      <c r="AK53" s="39"/>
      <c r="AL53" s="39"/>
      <c r="AM53" s="39"/>
      <c r="AN53" s="39"/>
      <c r="AO53" s="39"/>
      <c r="AP53" s="39"/>
      <c r="AQ53" s="39"/>
      <c r="AR53" s="39"/>
      <c r="AS53" s="39"/>
      <c r="AT53" s="39"/>
      <c r="AU53" s="39"/>
      <c r="AV53" s="39"/>
      <c r="AW53" s="39"/>
      <c r="AX53" s="39"/>
      <c r="AY53" s="39"/>
      <c r="AZ53" s="39"/>
      <c r="BA53" s="39"/>
      <c r="BB53" s="39"/>
      <c r="BC53" s="39"/>
      <c r="BD53" s="39"/>
      <c r="BE53" s="39"/>
      <c r="BF53" s="39"/>
      <c r="BG53" s="39"/>
      <c r="BH53" s="39"/>
      <c r="BI53" s="39"/>
      <c r="BJ53" s="39"/>
      <c r="BK53" s="39"/>
      <c r="BL53" s="39"/>
      <c r="BM53" s="39"/>
      <c r="BN53" s="39"/>
      <c r="BO53" s="39"/>
      <c r="BP53" s="39"/>
      <c r="BQ53" s="39"/>
      <c r="BR53" s="39"/>
      <c r="BS53" s="39"/>
      <c r="BT53" s="39"/>
      <c r="BU53" s="39"/>
      <c r="BV53" s="39"/>
      <c r="BW53" s="39"/>
      <c r="BX53" s="39"/>
      <c r="BY53" s="39"/>
      <c r="BZ53" s="39"/>
      <c r="CA53" s="39"/>
      <c r="CB53" s="39"/>
      <c r="CC53" s="39"/>
      <c r="CD53" s="39"/>
      <c r="CE53" s="39"/>
      <c r="CF53" s="39"/>
      <c r="CG53" s="39"/>
      <c r="CH53" s="39"/>
      <c r="CI53" s="39"/>
      <c r="CJ53" s="39"/>
      <c r="CK53" s="39"/>
      <c r="CL53" s="39"/>
      <c r="CM53" s="39"/>
      <c r="CN53" s="39"/>
      <c r="CO53" s="39"/>
      <c r="CP53" s="39"/>
      <c r="CQ53" s="39"/>
      <c r="CR53" s="39"/>
      <c r="CS53" s="39"/>
      <c r="CT53" s="39"/>
      <c r="CU53" s="39"/>
      <c r="CV53" s="39"/>
      <c r="CW53" s="39"/>
      <c r="CX53" s="39"/>
      <c r="CY53" s="39"/>
      <c r="CZ53" s="39"/>
      <c r="DA53" s="39"/>
      <c r="DB53" s="39"/>
      <c r="DC53" s="39"/>
      <c r="DD53" s="39"/>
      <c r="DE53" s="39"/>
      <c r="DF53" s="39"/>
      <c r="DG53" s="39"/>
      <c r="DH53" s="39"/>
      <c r="DI53" s="39"/>
      <c r="DJ53" s="39"/>
      <c r="DK53" s="39"/>
      <c r="DL53" s="39"/>
      <c r="DM53" s="39"/>
    </row>
    <row r="54" spans="1:117" x14ac:dyDescent="0.15">
      <c r="A54" s="18" t="s">
        <v>64</v>
      </c>
      <c r="B54" s="56">
        <f>B27/(B50-B45)</f>
        <v>-0.11419061032863854</v>
      </c>
      <c r="C54" s="56">
        <f>C27/(C50-C45)</f>
        <v>-0.11360127253446439</v>
      </c>
      <c r="D54" s="56">
        <f>D27/(D50-D45)</f>
        <v>3.0010625737898311E-2</v>
      </c>
      <c r="E54" s="56">
        <f>E27/(E50-E45)</f>
        <v>2.8573371088158831E-2</v>
      </c>
      <c r="F54" s="56">
        <f>F27/(F50-F45)</f>
        <v>0.14338652482269443</v>
      </c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  <c r="AA54" s="39"/>
      <c r="AB54" s="39"/>
      <c r="AC54" s="39"/>
      <c r="AD54" s="39"/>
      <c r="AE54" s="39"/>
      <c r="AF54" s="39"/>
      <c r="AG54" s="39"/>
      <c r="AH54" s="39"/>
      <c r="AI54" s="39"/>
      <c r="AJ54" s="39"/>
      <c r="AK54" s="39"/>
      <c r="AL54" s="39"/>
      <c r="AM54" s="39"/>
      <c r="AN54" s="39"/>
      <c r="AO54" s="39"/>
      <c r="AP54" s="39"/>
      <c r="AQ54" s="39"/>
      <c r="AR54" s="39"/>
      <c r="AS54" s="39"/>
      <c r="AT54" s="39"/>
      <c r="AU54" s="39"/>
      <c r="AV54" s="39"/>
      <c r="AW54" s="39"/>
      <c r="AX54" s="39"/>
      <c r="AY54" s="39"/>
      <c r="AZ54" s="39"/>
      <c r="BA54" s="39"/>
      <c r="BB54" s="39"/>
      <c r="BC54" s="39"/>
      <c r="BD54" s="39"/>
      <c r="BE54" s="39"/>
      <c r="BF54" s="39"/>
      <c r="BG54" s="39"/>
      <c r="BH54" s="39"/>
      <c r="BI54" s="39"/>
      <c r="BJ54" s="39"/>
      <c r="BK54" s="39"/>
      <c r="BL54" s="39"/>
      <c r="BM54" s="39"/>
      <c r="BN54" s="39"/>
      <c r="BO54" s="39"/>
      <c r="BP54" s="39"/>
      <c r="BQ54" s="39"/>
      <c r="BR54" s="39"/>
      <c r="BS54" s="39"/>
      <c r="BT54" s="39"/>
      <c r="BU54" s="39"/>
      <c r="BV54" s="39"/>
      <c r="BW54" s="39"/>
      <c r="BX54" s="39"/>
      <c r="BY54" s="39"/>
      <c r="BZ54" s="39"/>
      <c r="CA54" s="39"/>
      <c r="CB54" s="39"/>
      <c r="CC54" s="39"/>
      <c r="CD54" s="39"/>
      <c r="CE54" s="39"/>
      <c r="CF54" s="39"/>
      <c r="CG54" s="39"/>
      <c r="CH54" s="39"/>
      <c r="CI54" s="39"/>
      <c r="CJ54" s="39"/>
      <c r="CK54" s="39"/>
      <c r="CL54" s="39"/>
      <c r="CM54" s="39"/>
      <c r="CN54" s="39"/>
      <c r="CO54" s="39"/>
      <c r="CP54" s="39"/>
      <c r="CQ54" s="39"/>
      <c r="CR54" s="39"/>
      <c r="CS54" s="39"/>
      <c r="CT54" s="39"/>
      <c r="CU54" s="39"/>
      <c r="CV54" s="39"/>
      <c r="CW54" s="39"/>
      <c r="CX54" s="39"/>
      <c r="CY54" s="39"/>
      <c r="CZ54" s="39"/>
      <c r="DA54" s="39"/>
      <c r="DB54" s="39"/>
      <c r="DC54" s="39"/>
      <c r="DD54" s="39"/>
      <c r="DE54" s="39"/>
      <c r="DF54" s="39"/>
      <c r="DG54" s="39"/>
      <c r="DH54" s="39"/>
      <c r="DI54" s="39"/>
      <c r="DJ54" s="39"/>
      <c r="DK54" s="39"/>
      <c r="DL54" s="39"/>
      <c r="DM54" s="39"/>
    </row>
    <row r="55" spans="1:117" x14ac:dyDescent="0.15">
      <c r="A55" s="18" t="s">
        <v>65</v>
      </c>
      <c r="B55" s="56">
        <f>B27/B49</f>
        <v>-0.29233894230769242</v>
      </c>
      <c r="C55" s="56">
        <f>C27/C49</f>
        <v>-0.2575144230769229</v>
      </c>
      <c r="D55" s="56">
        <f>D27/D49</f>
        <v>5.0534791252484827E-2</v>
      </c>
      <c r="E55" s="56">
        <f>E27/E49</f>
        <v>3.0312422635095319E-2</v>
      </c>
      <c r="F55" s="56">
        <f>F27/F49</f>
        <v>9.3816705336426526E-2</v>
      </c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  <c r="AA55" s="39"/>
      <c r="AB55" s="39"/>
      <c r="AC55" s="39"/>
      <c r="AD55" s="39"/>
      <c r="AE55" s="39"/>
      <c r="AF55" s="39"/>
      <c r="AG55" s="39"/>
      <c r="AH55" s="39"/>
      <c r="AI55" s="39"/>
      <c r="AJ55" s="39"/>
      <c r="AK55" s="39"/>
      <c r="AL55" s="39"/>
      <c r="AM55" s="39"/>
      <c r="AN55" s="39"/>
      <c r="AO55" s="39"/>
      <c r="AP55" s="39"/>
      <c r="AQ55" s="39"/>
      <c r="AR55" s="39"/>
      <c r="AS55" s="39"/>
      <c r="AT55" s="39"/>
      <c r="AU55" s="39"/>
      <c r="AV55" s="39"/>
      <c r="AW55" s="39"/>
      <c r="AX55" s="39"/>
      <c r="AY55" s="39"/>
      <c r="AZ55" s="39"/>
      <c r="BA55" s="39"/>
      <c r="BB55" s="39"/>
      <c r="BC55" s="39"/>
      <c r="BD55" s="39"/>
      <c r="BE55" s="39"/>
      <c r="BF55" s="39"/>
      <c r="BG55" s="39"/>
      <c r="BH55" s="39"/>
      <c r="BI55" s="39"/>
      <c r="BJ55" s="39"/>
      <c r="BK55" s="39"/>
      <c r="BL55" s="39"/>
      <c r="BM55" s="39"/>
      <c r="BN55" s="39"/>
      <c r="BO55" s="39"/>
      <c r="BP55" s="39"/>
      <c r="BQ55" s="39"/>
      <c r="BR55" s="39"/>
      <c r="BS55" s="39"/>
      <c r="BT55" s="39"/>
      <c r="BU55" s="39"/>
      <c r="BV55" s="39"/>
      <c r="BW55" s="39"/>
      <c r="BX55" s="39"/>
      <c r="BY55" s="39"/>
      <c r="BZ55" s="39"/>
      <c r="CA55" s="39"/>
      <c r="CB55" s="39"/>
      <c r="CC55" s="39"/>
      <c r="CD55" s="39"/>
      <c r="CE55" s="39"/>
      <c r="CF55" s="39"/>
      <c r="CG55" s="39"/>
      <c r="CH55" s="39"/>
      <c r="CI55" s="39"/>
      <c r="CJ55" s="39"/>
      <c r="CK55" s="39"/>
      <c r="CL55" s="39"/>
      <c r="CM55" s="39"/>
      <c r="CN55" s="39"/>
      <c r="CO55" s="39"/>
      <c r="CP55" s="39"/>
      <c r="CQ55" s="39"/>
      <c r="CR55" s="39"/>
      <c r="CS55" s="39"/>
      <c r="CT55" s="39"/>
      <c r="CU55" s="39"/>
      <c r="CV55" s="39"/>
      <c r="CW55" s="39"/>
      <c r="CX55" s="39"/>
      <c r="CY55" s="39"/>
      <c r="CZ55" s="39"/>
      <c r="DA55" s="39"/>
      <c r="DB55" s="39"/>
      <c r="DC55" s="39"/>
      <c r="DD55" s="39"/>
      <c r="DE55" s="39"/>
      <c r="DF55" s="39"/>
      <c r="DG55" s="39"/>
      <c r="DH55" s="39"/>
      <c r="DI55" s="39"/>
      <c r="DJ55" s="39"/>
      <c r="DK55" s="39"/>
      <c r="DL55" s="39"/>
      <c r="DM55" s="39"/>
    </row>
    <row r="56" spans="1:117" x14ac:dyDescent="0.15">
      <c r="B56" s="39"/>
      <c r="C56" s="39"/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  <c r="AA56" s="39"/>
      <c r="AB56" s="39"/>
      <c r="AC56" s="39"/>
      <c r="AD56" s="39"/>
      <c r="AE56" s="39"/>
      <c r="AF56" s="39"/>
      <c r="AG56" s="39"/>
      <c r="AH56" s="39"/>
      <c r="AI56" s="39"/>
      <c r="AJ56" s="39"/>
      <c r="AK56" s="39"/>
      <c r="AL56" s="39"/>
      <c r="AM56" s="39"/>
      <c r="AN56" s="39"/>
      <c r="AO56" s="39"/>
      <c r="AP56" s="39"/>
      <c r="AQ56" s="39"/>
      <c r="AR56" s="39"/>
      <c r="AS56" s="39"/>
      <c r="AT56" s="39"/>
      <c r="AU56" s="39"/>
      <c r="AV56" s="39"/>
      <c r="AW56" s="39"/>
      <c r="AX56" s="39"/>
      <c r="AY56" s="39"/>
      <c r="AZ56" s="39"/>
      <c r="BA56" s="39"/>
      <c r="BB56" s="39"/>
      <c r="BC56" s="39"/>
      <c r="BD56" s="39"/>
      <c r="BE56" s="39"/>
      <c r="BF56" s="39"/>
      <c r="BG56" s="39"/>
      <c r="BH56" s="39"/>
      <c r="BI56" s="39"/>
      <c r="BJ56" s="39"/>
      <c r="BK56" s="39"/>
      <c r="BL56" s="39"/>
      <c r="BM56" s="39"/>
      <c r="BN56" s="39"/>
      <c r="BO56" s="39"/>
      <c r="BP56" s="39"/>
      <c r="BQ56" s="39"/>
      <c r="BR56" s="39"/>
      <c r="BS56" s="39"/>
      <c r="BT56" s="39"/>
      <c r="BU56" s="39"/>
      <c r="BV56" s="39"/>
      <c r="BW56" s="39"/>
      <c r="BX56" s="39"/>
      <c r="BY56" s="39"/>
      <c r="BZ56" s="39"/>
      <c r="CA56" s="39"/>
      <c r="CB56" s="39"/>
      <c r="CC56" s="39"/>
      <c r="CD56" s="39"/>
      <c r="CE56" s="39"/>
      <c r="CF56" s="39"/>
      <c r="CG56" s="39"/>
      <c r="CH56" s="39"/>
      <c r="CI56" s="39"/>
      <c r="CJ56" s="39"/>
      <c r="CK56" s="39"/>
      <c r="CL56" s="39"/>
      <c r="CM56" s="39"/>
      <c r="CN56" s="39"/>
      <c r="CO56" s="39"/>
      <c r="CP56" s="39"/>
      <c r="CQ56" s="39"/>
      <c r="CR56" s="39"/>
      <c r="CS56" s="39"/>
      <c r="CT56" s="39"/>
      <c r="CU56" s="39"/>
      <c r="CV56" s="39"/>
      <c r="CW56" s="39"/>
      <c r="CX56" s="39"/>
      <c r="CY56" s="39"/>
      <c r="CZ56" s="39"/>
      <c r="DA56" s="39"/>
      <c r="DB56" s="39"/>
      <c r="DC56" s="39"/>
      <c r="DD56" s="39"/>
      <c r="DE56" s="39"/>
      <c r="DF56" s="39"/>
      <c r="DG56" s="39"/>
      <c r="DH56" s="39"/>
      <c r="DI56" s="39"/>
      <c r="DJ56" s="39"/>
      <c r="DK56" s="39"/>
      <c r="DL56" s="39"/>
      <c r="DM56" s="39"/>
    </row>
    <row r="57" spans="1:117" x14ac:dyDescent="0.15">
      <c r="A57" s="6" t="s">
        <v>97</v>
      </c>
      <c r="B57" s="39"/>
      <c r="C57" s="56">
        <f>C10/B10-1</f>
        <v>-7.4599685497370505E-2</v>
      </c>
      <c r="D57" s="56">
        <f t="shared" ref="D57:F57" si="151">D10/C10-1</f>
        <v>0.2161592279061777</v>
      </c>
      <c r="E57" s="56">
        <f t="shared" si="151"/>
        <v>7.9387854139090219E-3</v>
      </c>
      <c r="F57" s="56">
        <f t="shared" si="151"/>
        <v>0.56099702329935286</v>
      </c>
      <c r="G57" s="56">
        <f>G10/F10-1</f>
        <v>0.58094395060525961</v>
      </c>
      <c r="H57" s="56"/>
      <c r="I57" s="56"/>
      <c r="J57" s="56"/>
      <c r="K57" s="56"/>
      <c r="L57" s="39"/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  <c r="AA57" s="39"/>
      <c r="AB57" s="39"/>
      <c r="AC57" s="39"/>
      <c r="AD57" s="39"/>
      <c r="AE57" s="39"/>
      <c r="AF57" s="39"/>
      <c r="AG57" s="39"/>
      <c r="AH57" s="39"/>
      <c r="AI57" s="39"/>
      <c r="AJ57" s="39"/>
      <c r="AK57" s="39"/>
      <c r="AL57" s="39"/>
      <c r="AM57" s="39"/>
      <c r="AN57" s="39"/>
      <c r="AO57" s="39"/>
      <c r="AP57" s="39"/>
      <c r="AQ57" s="39"/>
      <c r="AR57" s="39"/>
      <c r="AS57" s="39"/>
      <c r="AT57" s="39"/>
      <c r="AU57" s="39"/>
      <c r="AV57" s="39"/>
      <c r="AW57" s="39"/>
      <c r="AX57" s="39"/>
      <c r="AY57" s="39"/>
      <c r="AZ57" s="39"/>
      <c r="BA57" s="39"/>
      <c r="BB57" s="39"/>
      <c r="BC57" s="39"/>
      <c r="BD57" s="39"/>
      <c r="BE57" s="39"/>
      <c r="BF57" s="39"/>
      <c r="BG57" s="39"/>
      <c r="BH57" s="39"/>
      <c r="BI57" s="39"/>
      <c r="BJ57" s="39"/>
      <c r="BK57" s="39"/>
      <c r="BL57" s="39"/>
      <c r="BM57" s="39"/>
      <c r="BN57" s="39"/>
      <c r="BO57" s="39"/>
      <c r="BP57" s="39"/>
      <c r="BQ57" s="39"/>
      <c r="BR57" s="39"/>
      <c r="BS57" s="39"/>
      <c r="BT57" s="39"/>
      <c r="BU57" s="39"/>
      <c r="BV57" s="39"/>
      <c r="BW57" s="39"/>
      <c r="BX57" s="39"/>
      <c r="BY57" s="39"/>
      <c r="BZ57" s="39"/>
      <c r="CA57" s="39"/>
      <c r="CB57" s="39"/>
      <c r="CC57" s="39"/>
      <c r="CD57" s="39"/>
      <c r="CE57" s="39"/>
      <c r="CF57" s="39"/>
      <c r="CG57" s="39"/>
      <c r="CH57" s="39"/>
      <c r="CI57" s="39"/>
      <c r="CJ57" s="39"/>
      <c r="CK57" s="39"/>
      <c r="CL57" s="39"/>
      <c r="CM57" s="39"/>
      <c r="CN57" s="39"/>
      <c r="CO57" s="39"/>
      <c r="CP57" s="39"/>
      <c r="CQ57" s="39"/>
      <c r="CR57" s="39"/>
      <c r="CS57" s="39"/>
      <c r="CT57" s="39"/>
      <c r="CU57" s="39"/>
      <c r="CV57" s="39"/>
      <c r="CW57" s="39"/>
      <c r="CX57" s="39"/>
      <c r="CY57" s="39"/>
      <c r="CZ57" s="39"/>
      <c r="DA57" s="39"/>
      <c r="DB57" s="39"/>
      <c r="DC57" s="39"/>
      <c r="DD57" s="39"/>
      <c r="DE57" s="39"/>
      <c r="DF57" s="39"/>
      <c r="DG57" s="39"/>
      <c r="DH57" s="39"/>
      <c r="DI57" s="39"/>
      <c r="DJ57" s="39"/>
      <c r="DK57" s="39"/>
      <c r="DL57" s="39"/>
      <c r="DM57" s="39"/>
    </row>
    <row r="58" spans="1:117" x14ac:dyDescent="0.15">
      <c r="A58" s="6" t="s">
        <v>98</v>
      </c>
      <c r="B58" s="39"/>
      <c r="C58" s="56">
        <f t="shared" ref="C58:F58" si="152">C11/B11-1</f>
        <v>0.11592761637599014</v>
      </c>
      <c r="D58" s="56">
        <f t="shared" si="152"/>
        <v>8.5922247577641109E-3</v>
      </c>
      <c r="E58" s="56">
        <f t="shared" si="152"/>
        <v>0.20702053657614794</v>
      </c>
      <c r="F58" s="56">
        <f t="shared" si="152"/>
        <v>0.16060525280221394</v>
      </c>
      <c r="G58" s="56">
        <f>G11/F11-1</f>
        <v>-1.150437315658559E-3</v>
      </c>
      <c r="H58" s="56"/>
      <c r="I58" s="56"/>
      <c r="J58" s="56"/>
      <c r="K58" s="56"/>
      <c r="L58" s="39"/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9"/>
      <c r="AA58" s="39"/>
      <c r="AB58" s="39"/>
      <c r="AC58" s="39"/>
      <c r="AD58" s="39"/>
      <c r="AE58" s="39"/>
      <c r="AF58" s="39"/>
      <c r="AG58" s="39"/>
      <c r="AH58" s="39"/>
      <c r="AI58" s="39"/>
      <c r="AJ58" s="39"/>
      <c r="AK58" s="39"/>
      <c r="AL58" s="39"/>
      <c r="AM58" s="39"/>
      <c r="AN58" s="39"/>
      <c r="AO58" s="39"/>
      <c r="AP58" s="39"/>
      <c r="AQ58" s="39"/>
      <c r="AR58" s="39"/>
      <c r="AS58" s="39"/>
      <c r="AT58" s="39"/>
      <c r="AU58" s="39"/>
      <c r="AV58" s="39"/>
      <c r="AW58" s="39"/>
      <c r="AX58" s="39"/>
      <c r="AY58" s="39"/>
      <c r="AZ58" s="39"/>
      <c r="BA58" s="39"/>
      <c r="BB58" s="39"/>
      <c r="BC58" s="39"/>
      <c r="BD58" s="39"/>
      <c r="BE58" s="39"/>
      <c r="BF58" s="39"/>
      <c r="BG58" s="39"/>
      <c r="BH58" s="39"/>
      <c r="BI58" s="39"/>
      <c r="BJ58" s="39"/>
      <c r="BK58" s="39"/>
      <c r="BL58" s="39"/>
      <c r="BM58" s="39"/>
      <c r="BN58" s="39"/>
      <c r="BO58" s="39"/>
      <c r="BP58" s="39"/>
      <c r="BQ58" s="39"/>
      <c r="BR58" s="39"/>
      <c r="BS58" s="39"/>
      <c r="BT58" s="39"/>
      <c r="BU58" s="39"/>
      <c r="BV58" s="39"/>
      <c r="BW58" s="39"/>
      <c r="BX58" s="39"/>
      <c r="BY58" s="39"/>
      <c r="BZ58" s="39"/>
      <c r="CA58" s="39"/>
      <c r="CB58" s="39"/>
      <c r="CC58" s="39"/>
      <c r="CD58" s="39"/>
      <c r="CE58" s="39"/>
      <c r="CF58" s="39"/>
      <c r="CG58" s="39"/>
      <c r="CH58" s="39"/>
      <c r="CI58" s="39"/>
      <c r="CJ58" s="39"/>
      <c r="CK58" s="39"/>
      <c r="CL58" s="39"/>
      <c r="CM58" s="39"/>
      <c r="CN58" s="39"/>
      <c r="CO58" s="39"/>
      <c r="CP58" s="39"/>
      <c r="CQ58" s="39"/>
      <c r="CR58" s="39"/>
      <c r="CS58" s="39"/>
      <c r="CT58" s="39"/>
      <c r="CU58" s="39"/>
      <c r="CV58" s="39"/>
      <c r="CW58" s="39"/>
      <c r="CX58" s="39"/>
      <c r="CY58" s="39"/>
      <c r="CZ58" s="39"/>
      <c r="DA58" s="39"/>
      <c r="DB58" s="39"/>
      <c r="DC58" s="39"/>
      <c r="DD58" s="39"/>
      <c r="DE58" s="39"/>
      <c r="DF58" s="39"/>
      <c r="DG58" s="39"/>
      <c r="DH58" s="39"/>
      <c r="DI58" s="39"/>
      <c r="DJ58" s="39"/>
      <c r="DK58" s="39"/>
      <c r="DL58" s="39"/>
      <c r="DM58" s="39"/>
    </row>
    <row r="60" spans="1:117" s="19" customFormat="1" x14ac:dyDescent="0.15">
      <c r="A60" s="19" t="s">
        <v>91</v>
      </c>
      <c r="C60" s="19">
        <f>C13/B13-1</f>
        <v>0</v>
      </c>
      <c r="D60" s="19">
        <f>D13/C13-1</f>
        <v>0.22222222222222232</v>
      </c>
      <c r="E60" s="19">
        <f>E13/D13-1</f>
        <v>-4.5454545454545414E-2</v>
      </c>
      <c r="F60" s="19">
        <f>F13/E13-1</f>
        <v>-4.7619047619047672E-2</v>
      </c>
      <c r="G60" s="19">
        <f t="shared" ref="G60:K61" si="153">G13/F13-1</f>
        <v>0.5</v>
      </c>
      <c r="H60" s="19">
        <f t="shared" si="153"/>
        <v>0.14999999999999991</v>
      </c>
      <c r="I60" s="19">
        <f t="shared" si="153"/>
        <v>0.14999999999999991</v>
      </c>
      <c r="J60" s="19">
        <f t="shared" si="153"/>
        <v>0.14999999999999991</v>
      </c>
      <c r="K60" s="19">
        <f t="shared" si="153"/>
        <v>0.14999999999999991</v>
      </c>
    </row>
    <row r="61" spans="1:117" s="19" customFormat="1" x14ac:dyDescent="0.15">
      <c r="A61" s="19" t="s">
        <v>92</v>
      </c>
      <c r="C61" s="19">
        <f>C14/B14-1</f>
        <v>-3.1294586162022964E-2</v>
      </c>
      <c r="D61" s="19">
        <f>D14/C14-1</f>
        <v>-4.9427266106071843E-2</v>
      </c>
      <c r="E61" s="19">
        <f>E14/D14-1</f>
        <v>0.10334271462680222</v>
      </c>
      <c r="F61" s="19">
        <f>F14/E14-1</f>
        <v>0.52952817876385572</v>
      </c>
      <c r="G61" s="19">
        <f t="shared" si="153"/>
        <v>-2.6581204730296126E-2</v>
      </c>
      <c r="H61" s="19">
        <f t="shared" si="153"/>
        <v>5.0000000000000044E-2</v>
      </c>
      <c r="I61" s="19">
        <f t="shared" si="153"/>
        <v>5.0000000000000044E-2</v>
      </c>
      <c r="J61" s="19">
        <f t="shared" si="153"/>
        <v>5.0000000000000044E-2</v>
      </c>
      <c r="K61" s="19">
        <f t="shared" si="153"/>
        <v>5.0000000000000044E-2</v>
      </c>
    </row>
    <row r="63" spans="1:117" x14ac:dyDescent="0.15">
      <c r="A63" s="3" t="s">
        <v>89</v>
      </c>
      <c r="B63" s="3">
        <f>Reports!E57</f>
        <v>48</v>
      </c>
      <c r="C63" s="3">
        <f>Reports!I57</f>
        <v>63</v>
      </c>
      <c r="D63" s="3">
        <f>Reports!M57</f>
        <v>86</v>
      </c>
      <c r="E63" s="3">
        <f>Reports!Q57</f>
        <v>76</v>
      </c>
      <c r="F63" s="3">
        <f>Reports!U57</f>
        <v>66</v>
      </c>
    </row>
    <row r="64" spans="1:117" s="19" customFormat="1" x14ac:dyDescent="0.15">
      <c r="A64" s="19" t="s">
        <v>90</v>
      </c>
      <c r="C64" s="19">
        <f>C63/B63-1</f>
        <v>0.3125</v>
      </c>
      <c r="D64" s="19">
        <f>D63/C63-1</f>
        <v>0.36507936507936511</v>
      </c>
      <c r="E64" s="19">
        <f>E63/D63-1</f>
        <v>-0.11627906976744184</v>
      </c>
      <c r="F64" s="19">
        <f>F63/E63-1</f>
        <v>-0.13157894736842102</v>
      </c>
    </row>
  </sheetData>
  <hyperlinks>
    <hyperlink ref="A1" r:id="rId1" xr:uid="{00000000-0004-0000-0000-000000000000}"/>
    <hyperlink ref="L4" r:id="rId2" xr:uid="{CBCA994A-BC74-CB48-8009-AD2DE8254A02}"/>
    <hyperlink ref="A4" r:id="rId3" xr:uid="{80B57A62-0DD7-8A44-B0D5-B3A2AFDA465F}"/>
    <hyperlink ref="A7" r:id="rId4" xr:uid="{FB1047C1-9F6C-6844-A35D-8DF53AAAA52E}"/>
    <hyperlink ref="A8" r:id="rId5" xr:uid="{A3A2E490-F139-D549-8583-7DF3943B4DF5}"/>
  </hyperlinks>
  <pageMargins left="0.7" right="0.7" top="0.75" bottom="0.75" header="0.3" footer="0.3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58"/>
  <sheetViews>
    <sheetView zoomScale="125" zoomScaleNormal="125" workbookViewId="0">
      <pane xSplit="1" ySplit="2" topLeftCell="O3" activePane="bottomRight" state="frozen"/>
      <selection pane="topRight" activeCell="B1" sqref="B1"/>
      <selection pane="bottomLeft" activeCell="A3" sqref="A3"/>
      <selection pane="bottomRight" activeCell="AA22" sqref="AA22"/>
    </sheetView>
  </sheetViews>
  <sheetFormatPr baseColWidth="10" defaultRowHeight="13" x14ac:dyDescent="0.15"/>
  <cols>
    <col min="1" max="1" width="21" style="6" bestFit="1" customWidth="1"/>
    <col min="2" max="5" width="10.83203125" style="20" customWidth="1"/>
    <col min="6" max="6" width="10.83203125" style="21" customWidth="1"/>
    <col min="7" max="8" width="10.83203125" style="20" customWidth="1"/>
    <col min="9" max="9" width="10.83203125" style="20"/>
    <col min="10" max="10" width="10.83203125" style="21"/>
    <col min="11" max="13" width="10.83203125" style="20"/>
    <col min="14" max="14" width="10.83203125" style="21"/>
    <col min="15" max="17" width="10.83203125" style="20"/>
    <col min="18" max="18" width="10.83203125" style="21"/>
    <col min="19" max="21" width="10.83203125" style="20"/>
    <col min="22" max="22" width="10.83203125" style="21"/>
    <col min="23" max="25" width="10.83203125" style="20"/>
    <col min="26" max="16384" width="10.83203125" style="6"/>
  </cols>
  <sheetData>
    <row r="1" spans="1:25" x14ac:dyDescent="0.15">
      <c r="A1" s="67" t="s">
        <v>45</v>
      </c>
      <c r="B1" s="20" t="s">
        <v>38</v>
      </c>
      <c r="C1" s="20" t="s">
        <v>39</v>
      </c>
      <c r="D1" s="20" t="s">
        <v>40</v>
      </c>
      <c r="E1" s="20" t="s">
        <v>41</v>
      </c>
      <c r="F1" s="21" t="s">
        <v>22</v>
      </c>
      <c r="G1" s="20" t="s">
        <v>23</v>
      </c>
      <c r="H1" s="20" t="s">
        <v>24</v>
      </c>
      <c r="I1" s="20" t="s">
        <v>25</v>
      </c>
      <c r="J1" s="22" t="s">
        <v>0</v>
      </c>
      <c r="K1" s="23" t="s">
        <v>1</v>
      </c>
      <c r="L1" s="23" t="s">
        <v>2</v>
      </c>
      <c r="M1" s="23" t="s">
        <v>3</v>
      </c>
      <c r="N1" s="22" t="s">
        <v>34</v>
      </c>
      <c r="O1" s="23" t="s">
        <v>35</v>
      </c>
      <c r="P1" s="23" t="s">
        <v>36</v>
      </c>
      <c r="Q1" s="23" t="s">
        <v>37</v>
      </c>
      <c r="R1" s="22" t="s">
        <v>52</v>
      </c>
      <c r="S1" s="23" t="s">
        <v>53</v>
      </c>
      <c r="T1" s="23" t="s">
        <v>54</v>
      </c>
      <c r="U1" s="23" t="s">
        <v>55</v>
      </c>
      <c r="V1" s="22" t="s">
        <v>69</v>
      </c>
      <c r="W1" s="23" t="s">
        <v>74</v>
      </c>
      <c r="X1" s="23" t="s">
        <v>75</v>
      </c>
      <c r="Y1" s="23" t="s">
        <v>70</v>
      </c>
    </row>
    <row r="2" spans="1:25" s="20" customFormat="1" x14ac:dyDescent="0.15">
      <c r="A2" s="1"/>
      <c r="B2" s="58">
        <v>42094</v>
      </c>
      <c r="C2" s="58">
        <v>42185</v>
      </c>
      <c r="D2" s="58">
        <v>42277</v>
      </c>
      <c r="E2" s="58">
        <v>42369</v>
      </c>
      <c r="F2" s="59">
        <v>42460</v>
      </c>
      <c r="G2" s="58">
        <v>42551</v>
      </c>
      <c r="H2" s="58">
        <v>42643</v>
      </c>
      <c r="I2" s="58">
        <v>42735</v>
      </c>
      <c r="J2" s="59">
        <v>42825</v>
      </c>
      <c r="K2" s="58">
        <v>42916</v>
      </c>
      <c r="L2" s="58">
        <v>43008</v>
      </c>
      <c r="M2" s="58">
        <v>43100</v>
      </c>
      <c r="N2" s="59">
        <v>43190</v>
      </c>
      <c r="O2" s="58">
        <v>43281</v>
      </c>
      <c r="P2" s="58">
        <v>43373</v>
      </c>
      <c r="Q2" s="58">
        <v>43465</v>
      </c>
      <c r="R2" s="59">
        <v>43555</v>
      </c>
      <c r="S2" s="58">
        <v>43646</v>
      </c>
      <c r="T2" s="58">
        <v>43738</v>
      </c>
      <c r="U2" s="58">
        <v>43830</v>
      </c>
      <c r="V2" s="59">
        <v>43921</v>
      </c>
      <c r="W2" s="58">
        <v>44012</v>
      </c>
      <c r="X2" s="58">
        <v>44104</v>
      </c>
    </row>
    <row r="3" spans="1:25" s="8" customFormat="1" x14ac:dyDescent="0.15">
      <c r="A3" s="8" t="s">
        <v>93</v>
      </c>
      <c r="B3" s="23">
        <v>147.96299999999999</v>
      </c>
      <c r="C3" s="23">
        <v>162.161</v>
      </c>
      <c r="D3" s="23">
        <v>151.82300000000001</v>
      </c>
      <c r="E3" s="23">
        <v>129.46299999999999</v>
      </c>
      <c r="F3" s="22">
        <v>137.05699999999999</v>
      </c>
      <c r="G3" s="23">
        <v>135.82300000000001</v>
      </c>
      <c r="H3" s="23">
        <v>134.25399999999999</v>
      </c>
      <c r="I3" s="23">
        <v>140.15700000000001</v>
      </c>
      <c r="J3" s="22">
        <v>153.48099999999999</v>
      </c>
      <c r="K3" s="23">
        <v>163.745</v>
      </c>
      <c r="L3" s="23">
        <v>175.25299999999999</v>
      </c>
      <c r="M3" s="23">
        <v>173.114</v>
      </c>
      <c r="N3" s="22">
        <v>161.553</v>
      </c>
      <c r="O3" s="23">
        <v>164.68</v>
      </c>
      <c r="P3" s="23">
        <v>167.71600000000001</v>
      </c>
      <c r="Q3" s="23">
        <v>176.928</v>
      </c>
      <c r="R3" s="22">
        <v>200.16399999999999</v>
      </c>
      <c r="S3" s="23">
        <v>240.708</v>
      </c>
      <c r="T3" s="23">
        <v>281.65100000000001</v>
      </c>
      <c r="U3" s="23">
        <v>324.714</v>
      </c>
      <c r="V3" s="22">
        <v>344.36</v>
      </c>
      <c r="W3" s="23">
        <v>388.18099999999998</v>
      </c>
      <c r="X3" s="23">
        <v>436.01100000000002</v>
      </c>
      <c r="Y3" s="23">
        <f>U3*1.5</f>
        <v>487.07100000000003</v>
      </c>
    </row>
    <row r="4" spans="1:25" s="8" customFormat="1" x14ac:dyDescent="0.15">
      <c r="A4" s="8" t="s">
        <v>94</v>
      </c>
      <c r="B4" s="23">
        <v>35.33</v>
      </c>
      <c r="C4" s="23">
        <v>37.756999999999998</v>
      </c>
      <c r="D4" s="23">
        <v>44.569000000000003</v>
      </c>
      <c r="E4" s="23">
        <v>56.305999999999997</v>
      </c>
      <c r="F4" s="22">
        <v>49.664000000000001</v>
      </c>
      <c r="G4" s="23">
        <v>45.911999999999999</v>
      </c>
      <c r="H4" s="23">
        <v>48.17</v>
      </c>
      <c r="I4" s="23">
        <v>50.383000000000003</v>
      </c>
      <c r="J4" s="22">
        <v>40.802999999999997</v>
      </c>
      <c r="K4" s="23">
        <v>45.485999999999997</v>
      </c>
      <c r="L4" s="23">
        <v>49.341999999999999</v>
      </c>
      <c r="M4" s="23">
        <v>60.165999999999997</v>
      </c>
      <c r="N4" s="22">
        <v>46.679000000000002</v>
      </c>
      <c r="O4" s="23">
        <v>52.365000000000002</v>
      </c>
      <c r="P4" s="23">
        <v>65.527000000000001</v>
      </c>
      <c r="Q4" s="23">
        <v>71.760000000000005</v>
      </c>
      <c r="R4" s="22">
        <v>65.239000000000004</v>
      </c>
      <c r="S4" s="23">
        <v>65.792000000000002</v>
      </c>
      <c r="T4" s="23">
        <v>63.506999999999998</v>
      </c>
      <c r="U4" s="23">
        <v>79.748999999999995</v>
      </c>
      <c r="V4" s="22">
        <v>59.406999999999996</v>
      </c>
      <c r="W4" s="23">
        <v>63.506999999999998</v>
      </c>
      <c r="X4" s="23">
        <v>67.320999999999998</v>
      </c>
      <c r="Y4" s="23">
        <f>U4*1.05</f>
        <v>83.736450000000005</v>
      </c>
    </row>
    <row r="5" spans="1:25" s="8" customFormat="1" x14ac:dyDescent="0.15">
      <c r="B5" s="23"/>
      <c r="C5" s="23"/>
      <c r="D5" s="23"/>
      <c r="E5" s="23"/>
      <c r="F5" s="22"/>
      <c r="G5" s="23"/>
      <c r="H5" s="23"/>
      <c r="I5" s="23"/>
      <c r="J5" s="22"/>
      <c r="K5" s="23"/>
      <c r="L5" s="23"/>
      <c r="M5" s="23"/>
      <c r="N5" s="22"/>
      <c r="O5" s="23"/>
      <c r="P5" s="23"/>
      <c r="Q5" s="23"/>
      <c r="R5" s="22"/>
      <c r="S5" s="23"/>
      <c r="T5" s="23"/>
      <c r="U5" s="23"/>
      <c r="V5" s="22"/>
      <c r="W5" s="23"/>
      <c r="X5" s="23"/>
      <c r="Y5" s="23"/>
    </row>
    <row r="6" spans="1:25" s="8" customFormat="1" x14ac:dyDescent="0.15">
      <c r="A6" s="8" t="s">
        <v>87</v>
      </c>
      <c r="B6" s="23">
        <v>25</v>
      </c>
      <c r="C6" s="23">
        <v>21</v>
      </c>
      <c r="D6" s="23">
        <v>19</v>
      </c>
      <c r="E6" s="23">
        <v>18</v>
      </c>
      <c r="F6" s="22">
        <v>19</v>
      </c>
      <c r="G6" s="23">
        <v>18</v>
      </c>
      <c r="H6" s="23">
        <v>18</v>
      </c>
      <c r="I6" s="23">
        <v>18</v>
      </c>
      <c r="J6" s="22">
        <v>21</v>
      </c>
      <c r="K6" s="23">
        <v>21</v>
      </c>
      <c r="L6" s="23">
        <v>21</v>
      </c>
      <c r="M6" s="23">
        <v>22</v>
      </c>
      <c r="N6" s="22">
        <v>25</v>
      </c>
      <c r="O6" s="23">
        <v>23</v>
      </c>
      <c r="P6" s="23">
        <v>22</v>
      </c>
      <c r="Q6" s="23">
        <v>21</v>
      </c>
      <c r="R6" s="22">
        <v>22</v>
      </c>
      <c r="S6" s="23">
        <v>21</v>
      </c>
      <c r="T6" s="23">
        <v>20</v>
      </c>
      <c r="U6" s="23">
        <v>20</v>
      </c>
      <c r="V6" s="22">
        <v>21</v>
      </c>
      <c r="W6" s="23">
        <v>22</v>
      </c>
      <c r="X6" s="23">
        <v>31</v>
      </c>
      <c r="Y6" s="23">
        <f>U6*1.5</f>
        <v>30</v>
      </c>
    </row>
    <row r="7" spans="1:25" s="8" customFormat="1" x14ac:dyDescent="0.15">
      <c r="A7" s="8" t="s">
        <v>88</v>
      </c>
      <c r="B7" s="28">
        <f>SUM(B3:B4)/B6</f>
        <v>7.3317200000000007</v>
      </c>
      <c r="C7" s="27">
        <f>SUM(C3:C4)/C6</f>
        <v>9.5199047619047619</v>
      </c>
      <c r="D7" s="27">
        <f>SUM(D3:D4)/D6</f>
        <v>10.336421052631579</v>
      </c>
      <c r="E7" s="27">
        <f>SUM(E3:E4)/E6</f>
        <v>10.320500000000001</v>
      </c>
      <c r="F7" s="28">
        <f>SUM(F3:F4)/F6</f>
        <v>9.8274210526315784</v>
      </c>
      <c r="G7" s="27">
        <f>SUM(G3:G4)/G6</f>
        <v>10.096388888888889</v>
      </c>
      <c r="H7" s="27">
        <f>SUM(H3:H4)/H6</f>
        <v>10.134666666666666</v>
      </c>
      <c r="I7" s="27">
        <f>SUM(I3:I4)/I6</f>
        <v>10.585555555555556</v>
      </c>
      <c r="J7" s="28">
        <f>SUM(J3:J4)/J6</f>
        <v>9.2516190476190481</v>
      </c>
      <c r="K7" s="27">
        <f>SUM(K3:K4)/K6</f>
        <v>9.9633809523809518</v>
      </c>
      <c r="L7" s="27">
        <f>SUM(L3:L4)/L6</f>
        <v>10.694999999999999</v>
      </c>
      <c r="M7" s="27">
        <f>SUM(M3:M4)/M6</f>
        <v>10.603636363636364</v>
      </c>
      <c r="N7" s="28">
        <f>SUM(N3:N4)/N6</f>
        <v>8.3292800000000007</v>
      </c>
      <c r="O7" s="27">
        <f>SUM(O3:O4)/O6</f>
        <v>9.4367391304347841</v>
      </c>
      <c r="P7" s="27">
        <f>SUM(P3:P4)/P6</f>
        <v>10.601954545454545</v>
      </c>
      <c r="Q7" s="27">
        <f>SUM(Q3:Q4)/Q6</f>
        <v>11.842285714285714</v>
      </c>
      <c r="R7" s="28">
        <f>SUM(R3:R4)/R6</f>
        <v>12.063772727272728</v>
      </c>
      <c r="S7" s="27">
        <f>SUM(S3:S4)/S6</f>
        <v>14.595238095238095</v>
      </c>
      <c r="T7" s="27">
        <f>SUM(T3:T4)/T6</f>
        <v>17.257899999999999</v>
      </c>
      <c r="U7" s="27">
        <f>SUM(U3:U4)/U6</f>
        <v>20.223149999999997</v>
      </c>
      <c r="V7" s="28">
        <f>SUM(V3:V4)/V6</f>
        <v>19.227</v>
      </c>
      <c r="W7" s="27">
        <f>SUM(W3:W4)/W6</f>
        <v>20.531272727272725</v>
      </c>
      <c r="X7" s="27">
        <f>SUM(X3:X4)/X6</f>
        <v>16.236516129032257</v>
      </c>
      <c r="Y7" s="27">
        <f>SUM(Y3:Y4)/Y6</f>
        <v>19.026914999999999</v>
      </c>
    </row>
    <row r="8" spans="1:25" s="23" customFormat="1" x14ac:dyDescent="0.15">
      <c r="F8" s="22"/>
      <c r="J8" s="22"/>
      <c r="N8" s="22"/>
      <c r="R8" s="22"/>
      <c r="V8" s="22">
        <v>385</v>
      </c>
      <c r="Y8" s="23">
        <v>570</v>
      </c>
    </row>
    <row r="9" spans="1:25" s="17" customFormat="1" x14ac:dyDescent="0.15">
      <c r="A9" s="17" t="s">
        <v>4</v>
      </c>
      <c r="B9" s="24">
        <f>B7*B6</f>
        <v>183.29300000000001</v>
      </c>
      <c r="C9" s="24">
        <f>C7*C6</f>
        <v>199.91800000000001</v>
      </c>
      <c r="D9" s="24">
        <f>D7*D6</f>
        <v>196.392</v>
      </c>
      <c r="E9" s="24">
        <f>E7*E6</f>
        <v>185.76900000000001</v>
      </c>
      <c r="F9" s="25">
        <f>F7*F6</f>
        <v>186.721</v>
      </c>
      <c r="G9" s="24">
        <f>G7*G6</f>
        <v>181.73500000000001</v>
      </c>
      <c r="H9" s="24">
        <f>H7*H6</f>
        <v>182.42399999999998</v>
      </c>
      <c r="I9" s="24">
        <f>I7*I6</f>
        <v>190.54000000000002</v>
      </c>
      <c r="J9" s="25">
        <f>J7*J6</f>
        <v>194.28400000000002</v>
      </c>
      <c r="K9" s="24">
        <f>K7*K6</f>
        <v>209.23099999999999</v>
      </c>
      <c r="L9" s="24">
        <f>L7*L6</f>
        <v>224.59499999999997</v>
      </c>
      <c r="M9" s="24">
        <f>M7*M6</f>
        <v>233.28</v>
      </c>
      <c r="N9" s="25">
        <f>N7*N6</f>
        <v>208.23200000000003</v>
      </c>
      <c r="O9" s="24">
        <f>O7*O6</f>
        <v>217.04500000000004</v>
      </c>
      <c r="P9" s="24">
        <f>P7*P6</f>
        <v>233.24299999999999</v>
      </c>
      <c r="Q9" s="24">
        <f>Q7*Q6</f>
        <v>248.68799999999999</v>
      </c>
      <c r="R9" s="25">
        <f>R7*R6</f>
        <v>265.40300000000002</v>
      </c>
      <c r="S9" s="24">
        <f>S7*S6</f>
        <v>306.5</v>
      </c>
      <c r="T9" s="24">
        <f>T7*T6</f>
        <v>345.15800000000002</v>
      </c>
      <c r="U9" s="24">
        <f>U7*U6</f>
        <v>404.46299999999997</v>
      </c>
      <c r="V9" s="25">
        <f>V7*V6</f>
        <v>403.767</v>
      </c>
      <c r="W9" s="24">
        <f>W7*W6</f>
        <v>451.68799999999993</v>
      </c>
      <c r="X9" s="24">
        <f>X7*X6</f>
        <v>503.33199999999994</v>
      </c>
      <c r="Y9" s="24">
        <f>Y7*Y6</f>
        <v>570.80745000000002</v>
      </c>
    </row>
    <row r="10" spans="1:25" s="8" customFormat="1" x14ac:dyDescent="0.15">
      <c r="A10" s="8" t="s">
        <v>5</v>
      </c>
      <c r="B10" s="23">
        <v>57.622</v>
      </c>
      <c r="C10" s="23">
        <v>57.779000000000003</v>
      </c>
      <c r="D10" s="23">
        <v>57.186999999999998</v>
      </c>
      <c r="E10" s="23">
        <v>63.396999999999998</v>
      </c>
      <c r="F10" s="22">
        <v>57.139000000000003</v>
      </c>
      <c r="G10" s="23">
        <v>56.103000000000002</v>
      </c>
      <c r="H10" s="23">
        <v>62.674999999999997</v>
      </c>
      <c r="I10" s="23">
        <v>62.628999999999998</v>
      </c>
      <c r="J10" s="22">
        <v>64.876999999999995</v>
      </c>
      <c r="K10" s="23">
        <v>64.171999999999997</v>
      </c>
      <c r="L10" s="23">
        <v>65.906999999999996</v>
      </c>
      <c r="M10" s="23">
        <v>64.015000000000001</v>
      </c>
      <c r="N10" s="22">
        <v>69.042000000000002</v>
      </c>
      <c r="O10" s="23">
        <v>74.182000000000002</v>
      </c>
      <c r="P10" s="23">
        <v>78.591999999999999</v>
      </c>
      <c r="Q10" s="23">
        <v>82.841999999999999</v>
      </c>
      <c r="R10" s="22">
        <v>121.643</v>
      </c>
      <c r="S10" s="23">
        <v>126.872</v>
      </c>
      <c r="T10" s="51">
        <v>133.85900000000001</v>
      </c>
      <c r="U10" s="51">
        <v>141.715</v>
      </c>
      <c r="V10" s="22">
        <v>146.202</v>
      </c>
      <c r="W10" s="51">
        <v>179.208</v>
      </c>
      <c r="X10" s="51">
        <v>235.94</v>
      </c>
      <c r="Y10" s="51"/>
    </row>
    <row r="11" spans="1:25" s="8" customFormat="1" x14ac:dyDescent="0.15">
      <c r="A11" s="8" t="s">
        <v>6</v>
      </c>
      <c r="B11" s="27">
        <f>B9-B10</f>
        <v>125.67100000000001</v>
      </c>
      <c r="C11" s="27">
        <f>C9-C10</f>
        <v>142.13900000000001</v>
      </c>
      <c r="D11" s="27">
        <f>D9-D10</f>
        <v>139.20499999999998</v>
      </c>
      <c r="E11" s="27">
        <f>E9-E10</f>
        <v>122.37200000000001</v>
      </c>
      <c r="F11" s="28">
        <f>F9-F10</f>
        <v>129.58199999999999</v>
      </c>
      <c r="G11" s="27">
        <f t="shared" ref="G11:L11" si="0">G9-G10</f>
        <v>125.63200000000001</v>
      </c>
      <c r="H11" s="27">
        <f t="shared" si="0"/>
        <v>119.74899999999998</v>
      </c>
      <c r="I11" s="27">
        <f t="shared" si="0"/>
        <v>127.91100000000003</v>
      </c>
      <c r="J11" s="28">
        <f t="shared" si="0"/>
        <v>129.40700000000004</v>
      </c>
      <c r="K11" s="27">
        <f t="shared" si="0"/>
        <v>145.059</v>
      </c>
      <c r="L11" s="27">
        <f t="shared" si="0"/>
        <v>158.68799999999999</v>
      </c>
      <c r="M11" s="27">
        <f t="shared" ref="M11" si="1">M9-M10</f>
        <v>169.26499999999999</v>
      </c>
      <c r="N11" s="28">
        <f>N9-N10</f>
        <v>139.19000000000003</v>
      </c>
      <c r="O11" s="27">
        <f>O9-O10</f>
        <v>142.86300000000006</v>
      </c>
      <c r="P11" s="27">
        <f t="shared" ref="P11:R11" si="2">P9-P10</f>
        <v>154.65100000000001</v>
      </c>
      <c r="Q11" s="27">
        <f t="shared" si="2"/>
        <v>165.846</v>
      </c>
      <c r="R11" s="28">
        <f t="shared" si="2"/>
        <v>143.76000000000002</v>
      </c>
      <c r="S11" s="27">
        <f t="shared" ref="S11:X11" si="3">S9-S10</f>
        <v>179.62799999999999</v>
      </c>
      <c r="T11" s="27">
        <f t="shared" si="3"/>
        <v>211.29900000000001</v>
      </c>
      <c r="U11" s="27">
        <f t="shared" si="3"/>
        <v>262.74799999999993</v>
      </c>
      <c r="V11" s="28">
        <f t="shared" ref="V11" si="4">V9-V10</f>
        <v>257.565</v>
      </c>
      <c r="W11" s="27">
        <f t="shared" si="3"/>
        <v>272.4799999999999</v>
      </c>
      <c r="X11" s="27">
        <f t="shared" si="3"/>
        <v>267.39199999999994</v>
      </c>
      <c r="Y11" s="51"/>
    </row>
    <row r="12" spans="1:25" s="8" customFormat="1" x14ac:dyDescent="0.15">
      <c r="A12" s="8" t="s">
        <v>7</v>
      </c>
      <c r="B12" s="23">
        <v>108</v>
      </c>
      <c r="C12" s="23">
        <v>91</v>
      </c>
      <c r="D12" s="23">
        <v>78</v>
      </c>
      <c r="E12" s="23">
        <v>85</v>
      </c>
      <c r="F12" s="22">
        <v>88</v>
      </c>
      <c r="G12" s="23">
        <v>66</v>
      </c>
      <c r="H12" s="23">
        <v>74</v>
      </c>
      <c r="I12" s="23">
        <v>92</v>
      </c>
      <c r="J12" s="22">
        <v>69</v>
      </c>
      <c r="K12" s="23">
        <v>65</v>
      </c>
      <c r="L12" s="23">
        <v>61</v>
      </c>
      <c r="M12" s="23">
        <v>61</v>
      </c>
      <c r="N12" s="22">
        <v>61</v>
      </c>
      <c r="O12" s="23">
        <v>67</v>
      </c>
      <c r="P12" s="23">
        <v>71</v>
      </c>
      <c r="Q12" s="23">
        <v>71</v>
      </c>
      <c r="R12" s="22">
        <v>162</v>
      </c>
      <c r="S12" s="23">
        <v>102</v>
      </c>
      <c r="T12" s="51">
        <v>137</v>
      </c>
      <c r="U12" s="51">
        <v>104</v>
      </c>
      <c r="V12" s="22">
        <v>198</v>
      </c>
      <c r="W12" s="51">
        <v>228</v>
      </c>
      <c r="X12" s="51">
        <v>166</v>
      </c>
      <c r="Y12" s="51"/>
    </row>
    <row r="13" spans="1:25" s="8" customFormat="1" x14ac:dyDescent="0.15">
      <c r="A13" s="8" t="s">
        <v>8</v>
      </c>
      <c r="B13" s="23">
        <v>32</v>
      </c>
      <c r="C13" s="23">
        <v>41</v>
      </c>
      <c r="D13" s="23">
        <v>44</v>
      </c>
      <c r="E13" s="23">
        <v>53</v>
      </c>
      <c r="F13" s="22">
        <v>46</v>
      </c>
      <c r="G13" s="23">
        <v>41</v>
      </c>
      <c r="H13" s="23">
        <v>50</v>
      </c>
      <c r="I13" s="23">
        <v>47</v>
      </c>
      <c r="J13" s="22">
        <v>47</v>
      </c>
      <c r="K13" s="23">
        <v>51</v>
      </c>
      <c r="L13" s="23">
        <v>54</v>
      </c>
      <c r="M13" s="23">
        <v>60</v>
      </c>
      <c r="N13" s="22">
        <v>51</v>
      </c>
      <c r="O13" s="23">
        <v>53</v>
      </c>
      <c r="P13" s="23">
        <v>56</v>
      </c>
      <c r="Q13" s="23">
        <v>67</v>
      </c>
      <c r="R13" s="22">
        <v>102</v>
      </c>
      <c r="S13" s="23">
        <v>114</v>
      </c>
      <c r="T13" s="51">
        <v>121</v>
      </c>
      <c r="U13" s="51">
        <v>128</v>
      </c>
      <c r="V13" s="22">
        <v>123</v>
      </c>
      <c r="W13" s="51">
        <v>135</v>
      </c>
      <c r="X13" s="51">
        <v>187</v>
      </c>
      <c r="Y13" s="51"/>
    </row>
    <row r="14" spans="1:25" s="8" customFormat="1" x14ac:dyDescent="0.15">
      <c r="A14" s="8" t="s">
        <v>9</v>
      </c>
      <c r="B14" s="23">
        <v>40</v>
      </c>
      <c r="C14" s="23">
        <v>38</v>
      </c>
      <c r="D14" s="23">
        <v>26</v>
      </c>
      <c r="E14" s="23">
        <v>39</v>
      </c>
      <c r="F14" s="22">
        <v>22</v>
      </c>
      <c r="G14" s="23">
        <v>25</v>
      </c>
      <c r="H14" s="23">
        <f>22+21</f>
        <v>43</v>
      </c>
      <c r="I14" s="23">
        <v>23</v>
      </c>
      <c r="J14" s="22">
        <v>23</v>
      </c>
      <c r="K14" s="23">
        <v>24</v>
      </c>
      <c r="L14" s="23">
        <v>24</v>
      </c>
      <c r="M14" s="23">
        <v>39</v>
      </c>
      <c r="N14" s="22">
        <v>23</v>
      </c>
      <c r="O14" s="23">
        <v>26</v>
      </c>
      <c r="P14" s="23">
        <v>23</v>
      </c>
      <c r="Q14" s="23">
        <v>27</v>
      </c>
      <c r="R14" s="22">
        <v>22</v>
      </c>
      <c r="S14" s="23">
        <v>25</v>
      </c>
      <c r="T14" s="51">
        <v>27</v>
      </c>
      <c r="U14" s="51">
        <v>26</v>
      </c>
      <c r="V14" s="22">
        <v>28</v>
      </c>
      <c r="W14" s="51">
        <v>39</v>
      </c>
      <c r="X14" s="51">
        <v>36</v>
      </c>
      <c r="Y14" s="51"/>
    </row>
    <row r="15" spans="1:25" s="8" customFormat="1" x14ac:dyDescent="0.15">
      <c r="A15" s="8" t="s">
        <v>10</v>
      </c>
      <c r="B15" s="27">
        <f>SUM(B12:B14)</f>
        <v>180</v>
      </c>
      <c r="C15" s="27">
        <f>SUM(C12:C14)</f>
        <v>170</v>
      </c>
      <c r="D15" s="27">
        <f>SUM(D12:D14)</f>
        <v>148</v>
      </c>
      <c r="E15" s="27">
        <f>SUM(E12:E14)</f>
        <v>177</v>
      </c>
      <c r="F15" s="28">
        <f>SUM(F12:F14)</f>
        <v>156</v>
      </c>
      <c r="G15" s="27">
        <f t="shared" ref="G15:L15" si="5">SUM(G12:G14)</f>
        <v>132</v>
      </c>
      <c r="H15" s="27">
        <f t="shared" si="5"/>
        <v>167</v>
      </c>
      <c r="I15" s="27">
        <f t="shared" si="5"/>
        <v>162</v>
      </c>
      <c r="J15" s="28">
        <f t="shared" si="5"/>
        <v>139</v>
      </c>
      <c r="K15" s="27">
        <f t="shared" si="5"/>
        <v>140</v>
      </c>
      <c r="L15" s="27">
        <f t="shared" si="5"/>
        <v>139</v>
      </c>
      <c r="M15" s="27">
        <f t="shared" ref="M15:N15" si="6">SUM(M12:M14)</f>
        <v>160</v>
      </c>
      <c r="N15" s="28">
        <f t="shared" si="6"/>
        <v>135</v>
      </c>
      <c r="O15" s="27">
        <f t="shared" ref="O15:P15" si="7">SUM(O12:O14)</f>
        <v>146</v>
      </c>
      <c r="P15" s="27">
        <f t="shared" si="7"/>
        <v>150</v>
      </c>
      <c r="Q15" s="27">
        <f t="shared" ref="Q15:S15" si="8">SUM(Q12:Q14)</f>
        <v>165</v>
      </c>
      <c r="R15" s="28">
        <f t="shared" si="8"/>
        <v>286</v>
      </c>
      <c r="S15" s="27">
        <f t="shared" si="8"/>
        <v>241</v>
      </c>
      <c r="T15" s="27">
        <f t="shared" ref="T15:U15" si="9">SUM(T12:T14)</f>
        <v>285</v>
      </c>
      <c r="U15" s="27">
        <f t="shared" si="9"/>
        <v>258</v>
      </c>
      <c r="V15" s="28">
        <f t="shared" ref="V15:X15" si="10">SUM(V12:V14)</f>
        <v>349</v>
      </c>
      <c r="W15" s="27">
        <f t="shared" si="10"/>
        <v>402</v>
      </c>
      <c r="X15" s="27">
        <f t="shared" si="10"/>
        <v>389</v>
      </c>
      <c r="Y15" s="51"/>
    </row>
    <row r="16" spans="1:25" s="8" customFormat="1" x14ac:dyDescent="0.15">
      <c r="A16" s="8" t="s">
        <v>11</v>
      </c>
      <c r="B16" s="27">
        <f>B11-B15</f>
        <v>-54.328999999999994</v>
      </c>
      <c r="C16" s="27">
        <f>C11-C15</f>
        <v>-27.86099999999999</v>
      </c>
      <c r="D16" s="27">
        <f>D11-D15</f>
        <v>-8.7950000000000159</v>
      </c>
      <c r="E16" s="27">
        <f>E11-E15</f>
        <v>-54.627999999999986</v>
      </c>
      <c r="F16" s="28">
        <f>F11-F15</f>
        <v>-26.418000000000006</v>
      </c>
      <c r="G16" s="27">
        <f t="shared" ref="G16:H16" si="11">G11-G15</f>
        <v>-6.367999999999995</v>
      </c>
      <c r="H16" s="27">
        <f t="shared" si="11"/>
        <v>-47.251000000000019</v>
      </c>
      <c r="I16" s="27">
        <f t="shared" ref="I16:P16" si="12">I11-I15</f>
        <v>-34.08899999999997</v>
      </c>
      <c r="J16" s="28">
        <f t="shared" si="12"/>
        <v>-9.5929999999999609</v>
      </c>
      <c r="K16" s="27">
        <f t="shared" si="12"/>
        <v>5.0589999999999975</v>
      </c>
      <c r="L16" s="27">
        <f t="shared" si="12"/>
        <v>19.687999999999988</v>
      </c>
      <c r="M16" s="27">
        <f t="shared" si="12"/>
        <v>9.2649999999999864</v>
      </c>
      <c r="N16" s="28">
        <f t="shared" si="12"/>
        <v>4.1900000000000261</v>
      </c>
      <c r="O16" s="27">
        <f t="shared" si="12"/>
        <v>-3.1369999999999436</v>
      </c>
      <c r="P16" s="27">
        <f t="shared" si="12"/>
        <v>4.6510000000000105</v>
      </c>
      <c r="Q16" s="27">
        <f t="shared" ref="Q16:S16" si="13">Q11-Q15</f>
        <v>0.84600000000000364</v>
      </c>
      <c r="R16" s="28">
        <f t="shared" si="13"/>
        <v>-142.23999999999998</v>
      </c>
      <c r="S16" s="27">
        <f t="shared" si="13"/>
        <v>-61.372000000000014</v>
      </c>
      <c r="T16" s="27">
        <f t="shared" ref="T16:U16" si="14">T11-T15</f>
        <v>-73.700999999999993</v>
      </c>
      <c r="U16" s="27">
        <f t="shared" si="14"/>
        <v>4.7479999999999336</v>
      </c>
      <c r="V16" s="28">
        <f t="shared" ref="V16:X16" si="15">V11-V15</f>
        <v>-91.435000000000002</v>
      </c>
      <c r="W16" s="27">
        <f t="shared" si="15"/>
        <v>-129.5200000000001</v>
      </c>
      <c r="X16" s="27">
        <f t="shared" si="15"/>
        <v>-121.60800000000006</v>
      </c>
      <c r="Y16" s="51"/>
    </row>
    <row r="17" spans="1:25" s="8" customFormat="1" x14ac:dyDescent="0.15">
      <c r="A17" s="8" t="s">
        <v>12</v>
      </c>
      <c r="B17" s="23">
        <f>1+8</f>
        <v>9</v>
      </c>
      <c r="C17" s="23">
        <f>1+1</f>
        <v>2</v>
      </c>
      <c r="D17" s="23">
        <f>1+2</f>
        <v>3</v>
      </c>
      <c r="E17" s="23">
        <f>1+1</f>
        <v>2</v>
      </c>
      <c r="F17" s="22">
        <f>1+2</f>
        <v>3</v>
      </c>
      <c r="G17" s="23">
        <f>1+2</f>
        <v>3</v>
      </c>
      <c r="H17" s="23">
        <f>1+1</f>
        <v>2</v>
      </c>
      <c r="I17" s="23">
        <f>1+1</f>
        <v>2</v>
      </c>
      <c r="J17" s="22">
        <f>1+1</f>
        <v>2</v>
      </c>
      <c r="K17" s="23">
        <f>1+2</f>
        <v>3</v>
      </c>
      <c r="L17" s="23">
        <f>2+1</f>
        <v>3</v>
      </c>
      <c r="M17" s="23">
        <f>2+2</f>
        <v>4</v>
      </c>
      <c r="N17" s="22">
        <f>2+3</f>
        <v>5</v>
      </c>
      <c r="O17" s="23">
        <f>2+3</f>
        <v>5</v>
      </c>
      <c r="P17" s="23">
        <f>1+4</f>
        <v>5</v>
      </c>
      <c r="Q17" s="23">
        <f>2-0+3</f>
        <v>5</v>
      </c>
      <c r="R17" s="22">
        <f>0-1+3</f>
        <v>2</v>
      </c>
      <c r="S17" s="23">
        <f>1-2+4</f>
        <v>3</v>
      </c>
      <c r="T17" s="51">
        <f>7-7+314</f>
        <v>314</v>
      </c>
      <c r="U17" s="51">
        <f>6-7+1</f>
        <v>0</v>
      </c>
      <c r="V17" s="22">
        <f>6-7-2</f>
        <v>-3</v>
      </c>
      <c r="W17" s="51">
        <f>4-7+1</f>
        <v>-2</v>
      </c>
      <c r="X17" s="51">
        <f>1-7-3</f>
        <v>-9</v>
      </c>
      <c r="Y17" s="51"/>
    </row>
    <row r="18" spans="1:25" s="8" customFormat="1" x14ac:dyDescent="0.15">
      <c r="A18" s="8" t="s">
        <v>13</v>
      </c>
      <c r="B18" s="27">
        <f>B16+B17</f>
        <v>-45.328999999999994</v>
      </c>
      <c r="C18" s="27">
        <f>C16+C17</f>
        <v>-25.86099999999999</v>
      </c>
      <c r="D18" s="27">
        <f>D16+D17</f>
        <v>-5.7950000000000159</v>
      </c>
      <c r="E18" s="27">
        <f>E16+E17</f>
        <v>-52.627999999999986</v>
      </c>
      <c r="F18" s="28">
        <f>F16+F17</f>
        <v>-23.418000000000006</v>
      </c>
      <c r="G18" s="27">
        <f t="shared" ref="G18:I18" si="16">G16+G17</f>
        <v>-3.367999999999995</v>
      </c>
      <c r="H18" s="27">
        <f t="shared" si="16"/>
        <v>-45.251000000000019</v>
      </c>
      <c r="I18" s="27">
        <f t="shared" si="16"/>
        <v>-32.08899999999997</v>
      </c>
      <c r="J18" s="28">
        <f t="shared" ref="J18:K18" si="17">J16+J17</f>
        <v>-7.5929999999999609</v>
      </c>
      <c r="K18" s="27">
        <f t="shared" si="17"/>
        <v>8.0589999999999975</v>
      </c>
      <c r="L18" s="27">
        <f t="shared" ref="L18:N18" si="18">L16+L17</f>
        <v>22.687999999999988</v>
      </c>
      <c r="M18" s="27">
        <f>M16+M17</f>
        <v>13.264999999999986</v>
      </c>
      <c r="N18" s="28">
        <f t="shared" si="18"/>
        <v>9.1900000000000261</v>
      </c>
      <c r="O18" s="27">
        <f t="shared" ref="O18" si="19">O16+O17</f>
        <v>1.8630000000000564</v>
      </c>
      <c r="P18" s="27">
        <f t="shared" ref="P18:T18" si="20">P16+P17</f>
        <v>9.6510000000000105</v>
      </c>
      <c r="Q18" s="27">
        <f t="shared" si="20"/>
        <v>5.8460000000000036</v>
      </c>
      <c r="R18" s="28">
        <f t="shared" si="20"/>
        <v>-140.23999999999998</v>
      </c>
      <c r="S18" s="27">
        <f t="shared" si="20"/>
        <v>-58.372000000000014</v>
      </c>
      <c r="T18" s="27">
        <f t="shared" si="20"/>
        <v>240.29900000000001</v>
      </c>
      <c r="U18" s="27">
        <f t="shared" ref="U18" si="21">U16+U17</f>
        <v>4.7479999999999336</v>
      </c>
      <c r="V18" s="28">
        <f t="shared" ref="V18:X18" si="22">V16+V17</f>
        <v>-94.435000000000002</v>
      </c>
      <c r="W18" s="27">
        <f t="shared" si="22"/>
        <v>-131.5200000000001</v>
      </c>
      <c r="X18" s="27">
        <f t="shared" si="22"/>
        <v>-130.60800000000006</v>
      </c>
      <c r="Y18" s="51"/>
    </row>
    <row r="19" spans="1:25" s="8" customFormat="1" x14ac:dyDescent="0.15">
      <c r="A19" s="8" t="s">
        <v>14</v>
      </c>
      <c r="B19" s="23">
        <v>2</v>
      </c>
      <c r="C19" s="23">
        <v>1</v>
      </c>
      <c r="D19" s="23">
        <v>-9</v>
      </c>
      <c r="E19" s="23">
        <v>-2</v>
      </c>
      <c r="F19" s="22">
        <v>2</v>
      </c>
      <c r="G19" s="23">
        <v>1</v>
      </c>
      <c r="H19" s="23">
        <v>-3</v>
      </c>
      <c r="I19" s="23">
        <v>3</v>
      </c>
      <c r="J19" s="22">
        <v>3</v>
      </c>
      <c r="K19" s="23">
        <v>3</v>
      </c>
      <c r="L19" s="23">
        <v>5</v>
      </c>
      <c r="M19" s="23">
        <v>0</v>
      </c>
      <c r="N19" s="22">
        <v>4</v>
      </c>
      <c r="O19" s="23">
        <v>2</v>
      </c>
      <c r="P19" s="23">
        <v>0</v>
      </c>
      <c r="Q19" s="23">
        <v>5</v>
      </c>
      <c r="R19" s="22">
        <v>-10</v>
      </c>
      <c r="S19" s="23">
        <v>-3</v>
      </c>
      <c r="T19" s="23">
        <v>10</v>
      </c>
      <c r="U19" s="23">
        <v>9</v>
      </c>
      <c r="V19" s="22">
        <v>9</v>
      </c>
      <c r="W19" s="23">
        <v>18</v>
      </c>
      <c r="X19" s="23">
        <v>-9</v>
      </c>
      <c r="Y19" s="23"/>
    </row>
    <row r="20" spans="1:25" s="17" customFormat="1" x14ac:dyDescent="0.15">
      <c r="A20" s="17" t="s">
        <v>15</v>
      </c>
      <c r="B20" s="24">
        <f>B18-B19</f>
        <v>-47.328999999999994</v>
      </c>
      <c r="C20" s="24">
        <f>C18-C19</f>
        <v>-26.86099999999999</v>
      </c>
      <c r="D20" s="24">
        <f>D18-D19</f>
        <v>3.2049999999999841</v>
      </c>
      <c r="E20" s="24">
        <f>E18-E19</f>
        <v>-50.627999999999986</v>
      </c>
      <c r="F20" s="25">
        <f>F18-F19</f>
        <v>-25.418000000000006</v>
      </c>
      <c r="G20" s="24">
        <f>G18-G19</f>
        <v>-4.367999999999995</v>
      </c>
      <c r="H20" s="24">
        <f>H18-H19</f>
        <v>-42.251000000000019</v>
      </c>
      <c r="I20" s="24">
        <f>I18-I19</f>
        <v>-35.08899999999997</v>
      </c>
      <c r="J20" s="25">
        <f>J18-J19</f>
        <v>-10.592999999999961</v>
      </c>
      <c r="K20" s="24">
        <f>K18-K19</f>
        <v>5.0589999999999975</v>
      </c>
      <c r="L20" s="24">
        <f>L18-L19</f>
        <v>17.687999999999988</v>
      </c>
      <c r="M20" s="24">
        <f>M18-M19</f>
        <v>13.264999999999986</v>
      </c>
      <c r="N20" s="25">
        <f>N18-N19</f>
        <v>5.1900000000000261</v>
      </c>
      <c r="O20" s="24">
        <f>O18-O19</f>
        <v>-0.13699999999994361</v>
      </c>
      <c r="P20" s="24">
        <f>P18-P19</f>
        <v>9.6510000000000105</v>
      </c>
      <c r="Q20" s="24">
        <f>Q18-Q19</f>
        <v>0.84600000000000364</v>
      </c>
      <c r="R20" s="25">
        <f>R18-R19</f>
        <v>-130.23999999999998</v>
      </c>
      <c r="S20" s="24">
        <f>S18-S19</f>
        <v>-55.372000000000014</v>
      </c>
      <c r="T20" s="24">
        <f>T18-T19</f>
        <v>230.29900000000001</v>
      </c>
      <c r="U20" s="24">
        <f>U18-U19</f>
        <v>-4.2520000000000664</v>
      </c>
      <c r="V20" s="25">
        <f>V18-V19</f>
        <v>-103.435</v>
      </c>
      <c r="W20" s="24">
        <f>W18-W19</f>
        <v>-149.5200000000001</v>
      </c>
      <c r="X20" s="24">
        <f>X18-X19</f>
        <v>-121.60800000000006</v>
      </c>
      <c r="Y20" s="50"/>
    </row>
    <row r="21" spans="1:25" s="4" customFormat="1" x14ac:dyDescent="0.15">
      <c r="A21" s="4" t="s">
        <v>16</v>
      </c>
      <c r="B21" s="60">
        <f t="shared" ref="B21:H21" si="23">IFERROR(B20/B22,0)</f>
        <v>-5.268471765826898E-2</v>
      </c>
      <c r="C21" s="60">
        <f t="shared" si="23"/>
        <v>-2.9462574819101469E-2</v>
      </c>
      <c r="D21" s="60">
        <f t="shared" si="23"/>
        <v>3.409458401416105E-3</v>
      </c>
      <c r="E21" s="60">
        <f>IFERROR(E20/E22,0)</f>
        <v>-5.4878921239187445E-2</v>
      </c>
      <c r="F21" s="61">
        <f t="shared" si="23"/>
        <v>-2.9179433194848319E-2</v>
      </c>
      <c r="G21" s="60">
        <f t="shared" si="23"/>
        <v>-5.0011850335415957E-3</v>
      </c>
      <c r="H21" s="60">
        <f t="shared" si="23"/>
        <v>-4.7881478862385675E-2</v>
      </c>
      <c r="I21" s="60">
        <f t="shared" ref="I21:L21" si="24">IFERROR(I20/I22,0)</f>
        <v>-3.9502539762595205E-2</v>
      </c>
      <c r="J21" s="61">
        <f t="shared" si="24"/>
        <v>-1.2096442666081956E-2</v>
      </c>
      <c r="K21" s="60">
        <f t="shared" si="24"/>
        <v>5.6971298132526089E-3</v>
      </c>
      <c r="L21" s="60">
        <f t="shared" si="24"/>
        <v>1.9792230810890637E-2</v>
      </c>
      <c r="M21" s="60">
        <f t="shared" ref="M21" si="25">IFERROR(M20/M22,0)</f>
        <v>1.4764973675715972E-2</v>
      </c>
      <c r="N21" s="61">
        <f t="shared" ref="N21:S21" si="26">IFERROR(N20/N22,0)</f>
        <v>5.8068370751443053E-3</v>
      </c>
      <c r="O21" s="60">
        <f t="shared" si="26"/>
        <v>-1.5954981331500677E-4</v>
      </c>
      <c r="P21" s="60">
        <f t="shared" si="26"/>
        <v>1.0877699982417159E-2</v>
      </c>
      <c r="Q21" s="60">
        <f t="shared" si="26"/>
        <v>9.5834810692265317E-4</v>
      </c>
      <c r="R21" s="61">
        <f t="shared" si="26"/>
        <v>-0.14061302268335077</v>
      </c>
      <c r="S21" s="60">
        <f t="shared" si="26"/>
        <v>-5.9073926689952587E-2</v>
      </c>
      <c r="T21" s="60">
        <f t="shared" ref="T21:U21" si="27">IFERROR(T20/T22,0)</f>
        <v>0.23648788802973825</v>
      </c>
      <c r="U21" s="60">
        <f t="shared" si="27"/>
        <v>-4.486969111459886E-3</v>
      </c>
      <c r="V21" s="61">
        <f t="shared" ref="V21:X21" si="28">IFERROR(V20/V22,0)</f>
        <v>-0.10859294783633001</v>
      </c>
      <c r="W21" s="60">
        <f t="shared" si="28"/>
        <v>-0.15626208387068466</v>
      </c>
      <c r="X21" s="60">
        <f t="shared" si="28"/>
        <v>-0.11294720808411046</v>
      </c>
      <c r="Y21" s="62"/>
    </row>
    <row r="22" spans="1:25" s="8" customFormat="1" x14ac:dyDescent="0.15">
      <c r="A22" s="8" t="s">
        <v>17</v>
      </c>
      <c r="B22" s="23">
        <v>898.34400000000005</v>
      </c>
      <c r="C22" s="23">
        <v>911.69899999999996</v>
      </c>
      <c r="D22" s="23">
        <v>940.03200000000004</v>
      </c>
      <c r="E22" s="23">
        <v>922.54</v>
      </c>
      <c r="F22" s="22">
        <v>871.09299999999996</v>
      </c>
      <c r="G22" s="23">
        <v>873.39300000000003</v>
      </c>
      <c r="H22" s="23">
        <v>882.40800000000002</v>
      </c>
      <c r="I22" s="23">
        <v>888.27200000000005</v>
      </c>
      <c r="J22" s="22">
        <v>875.71199999999999</v>
      </c>
      <c r="K22" s="23">
        <v>887.99099999999999</v>
      </c>
      <c r="L22" s="23">
        <v>893.68399999999997</v>
      </c>
      <c r="M22" s="23">
        <v>898.41</v>
      </c>
      <c r="N22" s="22">
        <v>893.774</v>
      </c>
      <c r="O22" s="23">
        <v>858.66600000000005</v>
      </c>
      <c r="P22" s="23">
        <v>887.22799999999995</v>
      </c>
      <c r="Q22" s="23">
        <v>882.76900000000001</v>
      </c>
      <c r="R22" s="22">
        <v>926.23</v>
      </c>
      <c r="S22" s="23">
        <v>937.33399999999995</v>
      </c>
      <c r="T22" s="51">
        <v>973.83</v>
      </c>
      <c r="U22" s="51">
        <v>947.63300000000004</v>
      </c>
      <c r="V22" s="22">
        <v>952.50199999999995</v>
      </c>
      <c r="W22" s="51">
        <v>956.85400000000004</v>
      </c>
      <c r="X22" s="51">
        <v>1076.68</v>
      </c>
      <c r="Y22" s="51"/>
    </row>
    <row r="23" spans="1:25" s="42" customFormat="1" x14ac:dyDescent="0.15">
      <c r="B23" s="40"/>
      <c r="C23" s="40"/>
      <c r="D23" s="40"/>
      <c r="E23" s="40"/>
      <c r="F23" s="41"/>
      <c r="G23" s="40"/>
      <c r="H23" s="40"/>
      <c r="I23" s="40"/>
      <c r="J23" s="41"/>
      <c r="K23" s="40"/>
      <c r="L23" s="40"/>
      <c r="M23" s="40"/>
      <c r="N23" s="57"/>
      <c r="Q23" s="40"/>
      <c r="R23" s="57"/>
      <c r="V23" s="57"/>
    </row>
    <row r="24" spans="1:25" x14ac:dyDescent="0.15">
      <c r="A24" s="6" t="s">
        <v>19</v>
      </c>
      <c r="B24" s="34">
        <f>IFERROR(B11/B9,0)</f>
        <v>0.68562902020262639</v>
      </c>
      <c r="C24" s="34">
        <f>IFERROR(C11/C9,0)</f>
        <v>0.71098650446683143</v>
      </c>
      <c r="D24" s="34">
        <f>IFERROR(D11/D9,0)</f>
        <v>0.70881196790093282</v>
      </c>
      <c r="E24" s="34">
        <f>IFERROR(E11/E9,0)</f>
        <v>0.65873208124068072</v>
      </c>
      <c r="F24" s="35">
        <f>IFERROR(F11/F9,0)</f>
        <v>0.69398728584358471</v>
      </c>
      <c r="G24" s="34">
        <f>IFERROR(G11/G9,0)</f>
        <v>0.69129226621179185</v>
      </c>
      <c r="H24" s="34">
        <f>IFERROR(H11/H9,0)</f>
        <v>0.65643226768407659</v>
      </c>
      <c r="I24" s="34">
        <f>IFERROR(I11/I9,0)</f>
        <v>0.67130786186627489</v>
      </c>
      <c r="J24" s="35">
        <f>IFERROR(J11/J9,0)</f>
        <v>0.66607131827633781</v>
      </c>
      <c r="K24" s="34">
        <f>IFERROR(K11/K9,0)</f>
        <v>0.69329592651184579</v>
      </c>
      <c r="L24" s="34">
        <f>IFERROR(L11/L9,0)</f>
        <v>0.70655179322781014</v>
      </c>
      <c r="M24" s="34">
        <f>IFERROR(M11/M9,0)</f>
        <v>0.72558727709190662</v>
      </c>
      <c r="N24" s="35">
        <f>IFERROR(N11/N9,0)</f>
        <v>0.66843712781897113</v>
      </c>
      <c r="O24" s="34">
        <f>IFERROR(O11/O9,0)</f>
        <v>0.65821834181851702</v>
      </c>
      <c r="P24" s="34">
        <f>IFERROR(P11/P9,0)</f>
        <v>0.66304669379145365</v>
      </c>
      <c r="Q24" s="34">
        <f>IFERROR(Q11/Q9,0)</f>
        <v>0.66688380621501642</v>
      </c>
      <c r="R24" s="35">
        <f>IFERROR(R11/R9,0)</f>
        <v>0.5416668236606218</v>
      </c>
      <c r="S24" s="34">
        <f>IFERROR(S11/S9,0)</f>
        <v>0.58606199021207173</v>
      </c>
      <c r="T24" s="34">
        <f>IFERROR(T11/T9,0)</f>
        <v>0.61218050863662443</v>
      </c>
      <c r="U24" s="34">
        <f>IFERROR(U11/U9,0)</f>
        <v>0.64962184427252911</v>
      </c>
      <c r="V24" s="35">
        <f>IFERROR(V11/V9,0)</f>
        <v>0.63790502938575966</v>
      </c>
      <c r="W24" s="34">
        <f>IFERROR(W11/W9,0)</f>
        <v>0.60324825986078878</v>
      </c>
      <c r="X24" s="34">
        <f>IFERROR(X11/X9,0)</f>
        <v>0.53124379137428168</v>
      </c>
      <c r="Y24" s="34"/>
    </row>
    <row r="25" spans="1:25" x14ac:dyDescent="0.15">
      <c r="A25" s="6" t="s">
        <v>20</v>
      </c>
      <c r="B25" s="36">
        <f>IFERROR(B16/B9,0)</f>
        <v>-0.29640520914601209</v>
      </c>
      <c r="C25" s="36">
        <f>IFERROR(C16/C9,0)</f>
        <v>-0.13936213847677542</v>
      </c>
      <c r="D25" s="36">
        <f>IFERROR(D16/D9,0)</f>
        <v>-4.4782883213165585E-2</v>
      </c>
      <c r="E25" s="36">
        <f>IFERROR(E16/E9,0)</f>
        <v>-0.29406413341300208</v>
      </c>
      <c r="F25" s="37">
        <f>IFERROR(F16/F9,0)</f>
        <v>-0.14148381810294508</v>
      </c>
      <c r="G25" s="36">
        <f>IFERROR(G16/G9,0)</f>
        <v>-3.5040030814097421E-2</v>
      </c>
      <c r="H25" s="36">
        <f>IFERROR(H16/H9,0)</f>
        <v>-0.2590174538437926</v>
      </c>
      <c r="I25" s="36">
        <f>IFERROR(I16/I9,0)</f>
        <v>-0.17890731604912335</v>
      </c>
      <c r="J25" s="37">
        <f>IFERROR(J16/J9,0)</f>
        <v>-4.9376170966214203E-2</v>
      </c>
      <c r="K25" s="36">
        <f>IFERROR(K16/K9,0)</f>
        <v>2.4179017449613097E-2</v>
      </c>
      <c r="L25" s="36">
        <f>IFERROR(L16/L9,0)</f>
        <v>8.7660010240655367E-2</v>
      </c>
      <c r="M25" s="36">
        <f>IFERROR(M16/M9,0)</f>
        <v>3.9716220850480051E-2</v>
      </c>
      <c r="N25" s="37">
        <f>IFERROR(N16/N9,0)</f>
        <v>2.0121787237312352E-2</v>
      </c>
      <c r="O25" s="36">
        <f>IFERROR(O16/O9,0)</f>
        <v>-1.4453223985809132E-2</v>
      </c>
      <c r="P25" s="36">
        <f>IFERROR(P16/P9,0)</f>
        <v>1.9940576994808036E-2</v>
      </c>
      <c r="Q25" s="36">
        <f>IFERROR(Q16/Q9,0)</f>
        <v>3.4018529241459324E-3</v>
      </c>
      <c r="R25" s="37">
        <f>IFERROR(R16/R9,0)</f>
        <v>-0.53593968417840032</v>
      </c>
      <c r="S25" s="36">
        <f>IFERROR(S16/S9,0)</f>
        <v>-0.20023491027732468</v>
      </c>
      <c r="T25" s="36">
        <f>IFERROR(T16/T9,0)</f>
        <v>-0.21352829718563671</v>
      </c>
      <c r="U25" s="36">
        <f>IFERROR(U16/U9,0)</f>
        <v>1.1739021863557195E-2</v>
      </c>
      <c r="V25" s="37">
        <f>IFERROR(V16/V9,0)</f>
        <v>-0.22645486134329948</v>
      </c>
      <c r="W25" s="36">
        <f>IFERROR(W16/W9,0)</f>
        <v>-0.2867466038504457</v>
      </c>
      <c r="X25" s="36">
        <f>IFERROR(X16/X9,0)</f>
        <v>-0.24160593802897506</v>
      </c>
      <c r="Y25" s="36"/>
    </row>
    <row r="26" spans="1:25" x14ac:dyDescent="0.15">
      <c r="A26" s="6" t="s">
        <v>21</v>
      </c>
      <c r="B26" s="36">
        <f>IFERROR(B19/B18,0)</f>
        <v>-4.4121864589997582E-2</v>
      </c>
      <c r="C26" s="36">
        <f>IFERROR(C19/C18,0)</f>
        <v>-3.8668264954951487E-2</v>
      </c>
      <c r="D26" s="36">
        <f>IFERROR(D19/D18,0)</f>
        <v>1.5530629853321787</v>
      </c>
      <c r="E26" s="36">
        <f>IFERROR(E19/E18,0)</f>
        <v>3.8002584175723962E-2</v>
      </c>
      <c r="F26" s="37">
        <f>IFERROR(F19/F18,0)</f>
        <v>-8.5404389785634957E-2</v>
      </c>
      <c r="G26" s="36">
        <f>IFERROR(G19/G18,0)</f>
        <v>-0.29691211401425222</v>
      </c>
      <c r="H26" s="36">
        <f>IFERROR(H19/H18,0)</f>
        <v>6.629687741707363E-2</v>
      </c>
      <c r="I26" s="36">
        <f>IFERROR(I19/I18,0)</f>
        <v>-9.3489980990370619E-2</v>
      </c>
      <c r="J26" s="37">
        <f>IFERROR(J19/J18,0)</f>
        <v>-0.39510075069142836</v>
      </c>
      <c r="K26" s="36">
        <f>IFERROR(K19/K18,0)</f>
        <v>0.37225462216155863</v>
      </c>
      <c r="L26" s="36">
        <f>IFERROR(L19/L18,0)</f>
        <v>0.22038081805359672</v>
      </c>
      <c r="M26" s="36">
        <f>IFERROR(M19/M18,0)</f>
        <v>0</v>
      </c>
      <c r="N26" s="37">
        <f>IFERROR(N19/N18,0)</f>
        <v>0.43525571273122837</v>
      </c>
      <c r="O26" s="36">
        <f>IFERROR(O19/O18,0)</f>
        <v>1.0735373054213309</v>
      </c>
      <c r="P26" s="36">
        <f>IFERROR(P19/P18,0)</f>
        <v>0</v>
      </c>
      <c r="Q26" s="36">
        <f>IFERROR(Q19/Q18,0)</f>
        <v>0.85528566541224715</v>
      </c>
      <c r="R26" s="37">
        <f>IFERROR(R19/R18,0)</f>
        <v>7.1306332002281814E-2</v>
      </c>
      <c r="S26" s="36">
        <f>IFERROR(S19/S18,0)</f>
        <v>5.1394504214349331E-2</v>
      </c>
      <c r="T26" s="36">
        <f>IFERROR(T19/T18,0)</f>
        <v>4.1614821534837844E-2</v>
      </c>
      <c r="U26" s="36">
        <f>IFERROR(U19/U18,0)</f>
        <v>1.8955349620893274</v>
      </c>
      <c r="V26" s="37">
        <f>IFERROR(V19/V18,0)</f>
        <v>-9.5303648011860004E-2</v>
      </c>
      <c r="W26" s="36">
        <f>IFERROR(W19/W18,0)</f>
        <v>-0.13686131386861303</v>
      </c>
      <c r="X26" s="36">
        <f>IFERROR(X19/X18,0)</f>
        <v>6.8908489525909555E-2</v>
      </c>
      <c r="Y26" s="36"/>
    </row>
    <row r="27" spans="1:25" s="42" customFormat="1" x14ac:dyDescent="0.15">
      <c r="B27" s="40"/>
      <c r="C27" s="40"/>
      <c r="D27" s="40"/>
      <c r="E27" s="40"/>
      <c r="F27" s="41"/>
      <c r="G27" s="40"/>
      <c r="H27" s="40"/>
      <c r="I27" s="40"/>
      <c r="J27" s="41"/>
      <c r="K27" s="40"/>
      <c r="L27" s="40"/>
      <c r="M27" s="40"/>
      <c r="N27" s="57"/>
      <c r="Q27" s="40"/>
      <c r="R27" s="57"/>
      <c r="V27" s="57"/>
    </row>
    <row r="28" spans="1:25" s="12" customFormat="1" x14ac:dyDescent="0.15">
      <c r="A28" s="12" t="s">
        <v>18</v>
      </c>
      <c r="B28" s="30"/>
      <c r="C28" s="30"/>
      <c r="D28" s="30"/>
      <c r="E28" s="30"/>
      <c r="F28" s="31">
        <f>IFERROR((F9/B9)-1,0)</f>
        <v>1.8702296323372947E-2</v>
      </c>
      <c r="G28" s="30">
        <f>IFERROR((G9/C9)-1,0)</f>
        <v>-9.095229043907993E-2</v>
      </c>
      <c r="H28" s="30">
        <f>IFERROR((H9/D9)-1,0)</f>
        <v>-7.1123060002444172E-2</v>
      </c>
      <c r="I28" s="30">
        <f>IFERROR((I9/E9)-1,0)</f>
        <v>2.5682433559959028E-2</v>
      </c>
      <c r="J28" s="31">
        <f>IFERROR((J9/F9)-1,0)</f>
        <v>4.0504281789407903E-2</v>
      </c>
      <c r="K28" s="30">
        <f>IFERROR((K9/G9)-1,0)</f>
        <v>0.15129721847745325</v>
      </c>
      <c r="L28" s="30">
        <f>IFERROR((L9/H9)-1,0)</f>
        <v>0.23117024075779491</v>
      </c>
      <c r="M28" s="30">
        <f>IFERROR((M9/I9)-1,0)</f>
        <v>0.22430985619817356</v>
      </c>
      <c r="N28" s="31">
        <f>IFERROR((N9/J9)-1,0)</f>
        <v>7.1791809927734596E-2</v>
      </c>
      <c r="O28" s="30">
        <f>IFERROR((O9/K9)-1,0)</f>
        <v>3.7346282338659442E-2</v>
      </c>
      <c r="P28" s="30">
        <f>IFERROR((P9/L9)-1,0)</f>
        <v>3.8504864311315945E-2</v>
      </c>
      <c r="Q28" s="30">
        <f>IFERROR((Q9/M9)-1,0)</f>
        <v>6.6049382716049321E-2</v>
      </c>
      <c r="R28" s="31">
        <f>IFERROR((R9/N9)-1,0)</f>
        <v>0.27455434323254835</v>
      </c>
      <c r="S28" s="30">
        <f>IFERROR((S9/O9)-1,0)</f>
        <v>0.41214955423990385</v>
      </c>
      <c r="T28" s="30">
        <f>IFERROR((T9/P9)-1,0)</f>
        <v>0.47982147374197726</v>
      </c>
      <c r="U28" s="30">
        <f>IFERROR((U9/Q9)-1,0)</f>
        <v>0.62638728044778991</v>
      </c>
      <c r="V28" s="31">
        <f>IFERROR((V9/R9)-1,0)</f>
        <v>0.52133547849873585</v>
      </c>
      <c r="W28" s="30">
        <f>IFERROR((W9/S9)-1,0)</f>
        <v>0.47369657422512224</v>
      </c>
      <c r="X28" s="30">
        <f>IFERROR((X9/T9)-1,0)</f>
        <v>0.45826549000747452</v>
      </c>
      <c r="Y28" s="30">
        <f>IFERROR((Y9/U9)-1,0)</f>
        <v>0.4112723537134424</v>
      </c>
    </row>
    <row r="29" spans="1:25" s="12" customFormat="1" x14ac:dyDescent="0.15">
      <c r="A29" s="6" t="s">
        <v>42</v>
      </c>
      <c r="B29" s="32"/>
      <c r="C29" s="32"/>
      <c r="D29" s="32"/>
      <c r="E29" s="32"/>
      <c r="F29" s="33">
        <f>F12/B12-1</f>
        <v>-0.18518518518518523</v>
      </c>
      <c r="G29" s="32">
        <f>G12/C12-1</f>
        <v>-0.27472527472527475</v>
      </c>
      <c r="H29" s="32">
        <f>H12/D12-1</f>
        <v>-5.1282051282051322E-2</v>
      </c>
      <c r="I29" s="32">
        <f>I12/E12-1</f>
        <v>8.2352941176470518E-2</v>
      </c>
      <c r="J29" s="33">
        <f>J12/F12-1</f>
        <v>-0.21590909090909094</v>
      </c>
      <c r="K29" s="32">
        <f>K12/G12-1</f>
        <v>-1.5151515151515138E-2</v>
      </c>
      <c r="L29" s="32">
        <f>L12/H12-1</f>
        <v>-0.17567567567567566</v>
      </c>
      <c r="M29" s="32">
        <f>M12/I12-1</f>
        <v>-0.33695652173913049</v>
      </c>
      <c r="N29" s="33">
        <f>N12/J12-1</f>
        <v>-0.11594202898550721</v>
      </c>
      <c r="O29" s="32">
        <f>O12/K12-1</f>
        <v>3.076923076923066E-2</v>
      </c>
      <c r="P29" s="32">
        <f>P12/L12-1</f>
        <v>0.16393442622950816</v>
      </c>
      <c r="Q29" s="32">
        <f>Q12/M12-1</f>
        <v>0.16393442622950816</v>
      </c>
      <c r="R29" s="33">
        <f>R12/N12-1</f>
        <v>1.6557377049180326</v>
      </c>
      <c r="S29" s="32">
        <f>S12/O12-1</f>
        <v>0.52238805970149249</v>
      </c>
      <c r="T29" s="32">
        <f>T12/P12-1</f>
        <v>0.92957746478873249</v>
      </c>
      <c r="U29" s="32">
        <f>U12/Q12-1</f>
        <v>0.46478873239436624</v>
      </c>
      <c r="V29" s="33">
        <f>V12/R12-1</f>
        <v>0.22222222222222232</v>
      </c>
      <c r="W29" s="32">
        <f>W12/S12-1</f>
        <v>1.2352941176470589</v>
      </c>
      <c r="X29" s="32">
        <f>X12/T12-1</f>
        <v>0.2116788321167884</v>
      </c>
      <c r="Y29" s="32"/>
    </row>
    <row r="30" spans="1:25" s="12" customFormat="1" x14ac:dyDescent="0.15">
      <c r="A30" s="6" t="s">
        <v>43</v>
      </c>
      <c r="B30" s="32"/>
      <c r="C30" s="32"/>
      <c r="D30" s="32"/>
      <c r="E30" s="32"/>
      <c r="F30" s="33">
        <f>F13/B13-1</f>
        <v>0.4375</v>
      </c>
      <c r="G30" s="32">
        <f>G13/C13-1</f>
        <v>0</v>
      </c>
      <c r="H30" s="32">
        <f>H13/D13-1</f>
        <v>0.13636363636363646</v>
      </c>
      <c r="I30" s="32">
        <f>I13/E13-1</f>
        <v>-0.1132075471698113</v>
      </c>
      <c r="J30" s="33">
        <f>J13/F13-1</f>
        <v>2.1739130434782705E-2</v>
      </c>
      <c r="K30" s="32">
        <f>K13/G13-1</f>
        <v>0.24390243902439024</v>
      </c>
      <c r="L30" s="32">
        <f>L13/H13-1</f>
        <v>8.0000000000000071E-2</v>
      </c>
      <c r="M30" s="32">
        <f>M13/I13-1</f>
        <v>0.27659574468085113</v>
      </c>
      <c r="N30" s="33">
        <f>N13/J13-1</f>
        <v>8.5106382978723305E-2</v>
      </c>
      <c r="O30" s="32">
        <f>O13/K13-1</f>
        <v>3.9215686274509887E-2</v>
      </c>
      <c r="P30" s="32">
        <f>P13/L13-1</f>
        <v>3.7037037037036979E-2</v>
      </c>
      <c r="Q30" s="32">
        <f>Q13/M13-1</f>
        <v>0.1166666666666667</v>
      </c>
      <c r="R30" s="33">
        <f>R13/N13-1</f>
        <v>1</v>
      </c>
      <c r="S30" s="32">
        <f>S13/O13-1</f>
        <v>1.1509433962264151</v>
      </c>
      <c r="T30" s="32">
        <f>T13/P13-1</f>
        <v>1.1607142857142856</v>
      </c>
      <c r="U30" s="32">
        <f>U13/Q13-1</f>
        <v>0.91044776119402981</v>
      </c>
      <c r="V30" s="33">
        <f>V13/R13-1</f>
        <v>0.20588235294117641</v>
      </c>
      <c r="W30" s="32">
        <f>W13/S13-1</f>
        <v>0.18421052631578938</v>
      </c>
      <c r="X30" s="32">
        <f>X13/T13-1</f>
        <v>0.54545454545454541</v>
      </c>
      <c r="Y30" s="32"/>
    </row>
    <row r="31" spans="1:25" s="12" customFormat="1" x14ac:dyDescent="0.15">
      <c r="A31" s="6" t="s">
        <v>44</v>
      </c>
      <c r="B31" s="32"/>
      <c r="C31" s="32"/>
      <c r="D31" s="32"/>
      <c r="E31" s="32"/>
      <c r="F31" s="33">
        <f>F14/B14-1</f>
        <v>-0.44999999999999996</v>
      </c>
      <c r="G31" s="32">
        <f>G14/C14-1</f>
        <v>-0.34210526315789469</v>
      </c>
      <c r="H31" s="32">
        <f>H14/D14-1</f>
        <v>0.65384615384615374</v>
      </c>
      <c r="I31" s="32">
        <f>I14/E14-1</f>
        <v>-0.41025641025641024</v>
      </c>
      <c r="J31" s="33">
        <f>J14/F14-1</f>
        <v>4.5454545454545414E-2</v>
      </c>
      <c r="K31" s="32">
        <f>K14/G14-1</f>
        <v>-4.0000000000000036E-2</v>
      </c>
      <c r="L31" s="32">
        <f>L14/H14-1</f>
        <v>-0.44186046511627908</v>
      </c>
      <c r="M31" s="32">
        <f>M14/I14-1</f>
        <v>0.69565217391304346</v>
      </c>
      <c r="N31" s="33">
        <f>N14/J14-1</f>
        <v>0</v>
      </c>
      <c r="O31" s="32">
        <f>O14/K14-1</f>
        <v>8.3333333333333259E-2</v>
      </c>
      <c r="P31" s="32">
        <f>P14/L14-1</f>
        <v>-4.166666666666663E-2</v>
      </c>
      <c r="Q31" s="32">
        <f>Q14/M14-1</f>
        <v>-0.30769230769230771</v>
      </c>
      <c r="R31" s="33">
        <f>R14/N14-1</f>
        <v>-4.3478260869565188E-2</v>
      </c>
      <c r="S31" s="32">
        <f>S14/O14-1</f>
        <v>-3.8461538461538436E-2</v>
      </c>
      <c r="T31" s="32">
        <f>T14/P14-1</f>
        <v>0.17391304347826098</v>
      </c>
      <c r="U31" s="32">
        <f>U14/Q14-1</f>
        <v>-3.703703703703709E-2</v>
      </c>
      <c r="V31" s="33">
        <f>V14/R14-1</f>
        <v>0.27272727272727271</v>
      </c>
      <c r="W31" s="32">
        <f>W14/S14-1</f>
        <v>0.56000000000000005</v>
      </c>
      <c r="X31" s="32">
        <f>X14/T14-1</f>
        <v>0.33333333333333326</v>
      </c>
      <c r="Y31" s="32"/>
    </row>
    <row r="32" spans="1:25" x14ac:dyDescent="0.15">
      <c r="A32" s="6" t="s">
        <v>68</v>
      </c>
      <c r="J32" s="35">
        <f>J15/F15-1</f>
        <v>-0.10897435897435892</v>
      </c>
      <c r="K32" s="34">
        <f>K15/G15-1</f>
        <v>6.0606060606060552E-2</v>
      </c>
      <c r="L32" s="34">
        <f>L15/H15-1</f>
        <v>-0.16766467065868262</v>
      </c>
      <c r="M32" s="34">
        <f>M15/I15-1</f>
        <v>-1.2345679012345734E-2</v>
      </c>
      <c r="N32" s="35">
        <f>N15/J15-1</f>
        <v>-2.877697841726623E-2</v>
      </c>
      <c r="O32" s="34">
        <f>O15/K15-1</f>
        <v>4.2857142857142927E-2</v>
      </c>
      <c r="P32" s="34">
        <f>P15/L15-1</f>
        <v>7.9136690647481966E-2</v>
      </c>
      <c r="Q32" s="34">
        <f>Q15/M15-1</f>
        <v>3.125E-2</v>
      </c>
      <c r="R32" s="35">
        <f>R15/N15-1</f>
        <v>1.1185185185185187</v>
      </c>
      <c r="S32" s="34">
        <f>S15/O15-1</f>
        <v>0.65068493150684925</v>
      </c>
      <c r="T32" s="34">
        <f>T15/P15-1</f>
        <v>0.89999999999999991</v>
      </c>
      <c r="U32" s="34">
        <f>U15/Q15-1</f>
        <v>0.56363636363636371</v>
      </c>
      <c r="V32" s="35">
        <f>V15/R15-1</f>
        <v>0.2202797202797202</v>
      </c>
      <c r="W32" s="34">
        <f>W15/S15-1</f>
        <v>0.6680497925311204</v>
      </c>
      <c r="X32" s="34">
        <f>X15/T15-1</f>
        <v>0.36491228070175441</v>
      </c>
      <c r="Y32" s="34"/>
    </row>
    <row r="33" spans="1:25" x14ac:dyDescent="0.15">
      <c r="J33" s="46"/>
      <c r="K33" s="45"/>
      <c r="L33" s="45"/>
      <c r="M33" s="45"/>
      <c r="N33" s="46"/>
      <c r="O33" s="45"/>
      <c r="P33" s="45"/>
      <c r="Q33" s="45"/>
      <c r="S33" s="45"/>
    </row>
    <row r="34" spans="1:25" s="17" customFormat="1" x14ac:dyDescent="0.15">
      <c r="A34" s="17" t="s">
        <v>26</v>
      </c>
      <c r="B34" s="23"/>
      <c r="C34" s="23"/>
      <c r="D34" s="23"/>
      <c r="E34" s="24">
        <f>E35-E36</f>
        <v>987</v>
      </c>
      <c r="F34" s="22"/>
      <c r="G34" s="23"/>
      <c r="H34" s="23"/>
      <c r="I34" s="24">
        <f t="shared" ref="I34" si="29">I35-I36</f>
        <v>852</v>
      </c>
      <c r="J34" s="22"/>
      <c r="K34" s="23"/>
      <c r="L34" s="23"/>
      <c r="M34" s="24">
        <f t="shared" ref="M34:P34" si="30">M35-M36</f>
        <v>682</v>
      </c>
      <c r="N34" s="46"/>
      <c r="O34" s="45"/>
      <c r="P34" s="45"/>
      <c r="Q34" s="24">
        <f t="shared" ref="Q34:S34" si="31">Q35-Q36</f>
        <v>581.22199999999998</v>
      </c>
      <c r="R34" s="46"/>
      <c r="S34" s="45"/>
      <c r="T34" s="45"/>
      <c r="U34" s="24">
        <f t="shared" ref="U34" si="32">U35-U36</f>
        <v>966</v>
      </c>
      <c r="V34" s="25">
        <f t="shared" ref="V34:X34" si="33">V35-V36</f>
        <v>857</v>
      </c>
      <c r="W34" s="24">
        <f t="shared" si="33"/>
        <v>989</v>
      </c>
      <c r="X34" s="24">
        <f t="shared" si="33"/>
        <v>941</v>
      </c>
      <c r="Y34" s="47"/>
    </row>
    <row r="35" spans="1:25" s="8" customFormat="1" x14ac:dyDescent="0.15">
      <c r="A35" s="8" t="s">
        <v>27</v>
      </c>
      <c r="B35" s="23"/>
      <c r="C35" s="23"/>
      <c r="D35" s="23"/>
      <c r="E35" s="23">
        <f>742+245</f>
        <v>987</v>
      </c>
      <c r="F35" s="22"/>
      <c r="G35" s="23"/>
      <c r="H35" s="23"/>
      <c r="I35" s="23">
        <v>852</v>
      </c>
      <c r="J35" s="22"/>
      <c r="K35" s="23"/>
      <c r="L35" s="23"/>
      <c r="M35" s="23">
        <f>373+309</f>
        <v>682</v>
      </c>
      <c r="N35" s="22"/>
      <c r="O35" s="23"/>
      <c r="P35" s="23"/>
      <c r="Q35" s="23">
        <f>544.99+36.232+0</f>
        <v>581.22199999999998</v>
      </c>
      <c r="R35" s="22"/>
      <c r="S35" s="23"/>
      <c r="T35" s="23"/>
      <c r="U35" s="23">
        <f>423+938+175</f>
        <v>1536</v>
      </c>
      <c r="V35" s="22">
        <f>552+709+173</f>
        <v>1434</v>
      </c>
      <c r="W35" s="23">
        <f>1340+217+15</f>
        <v>1572</v>
      </c>
      <c r="X35" s="23">
        <f>653+102+775</f>
        <v>1530</v>
      </c>
      <c r="Y35" s="23"/>
    </row>
    <row r="36" spans="1:25" s="8" customFormat="1" x14ac:dyDescent="0.15">
      <c r="A36" s="8" t="s">
        <v>28</v>
      </c>
      <c r="B36" s="23"/>
      <c r="C36" s="23"/>
      <c r="D36" s="23"/>
      <c r="E36" s="23">
        <v>0</v>
      </c>
      <c r="F36" s="22"/>
      <c r="G36" s="23"/>
      <c r="H36" s="23"/>
      <c r="I36" s="23">
        <v>0</v>
      </c>
      <c r="J36" s="22"/>
      <c r="K36" s="23"/>
      <c r="L36" s="23"/>
      <c r="M36" s="23">
        <v>0</v>
      </c>
      <c r="N36" s="22"/>
      <c r="O36" s="23"/>
      <c r="P36" s="23"/>
      <c r="Q36" s="23">
        <v>0</v>
      </c>
      <c r="R36" s="22"/>
      <c r="S36" s="23"/>
      <c r="T36" s="23"/>
      <c r="U36" s="23">
        <v>570</v>
      </c>
      <c r="V36" s="22">
        <v>577</v>
      </c>
      <c r="W36" s="23">
        <v>583</v>
      </c>
      <c r="X36" s="23">
        <v>589</v>
      </c>
      <c r="Y36" s="23"/>
    </row>
    <row r="37" spans="1:25" s="8" customFormat="1" x14ac:dyDescent="0.15">
      <c r="B37" s="23"/>
      <c r="C37" s="23"/>
      <c r="D37" s="23"/>
      <c r="E37" s="23"/>
      <c r="F37" s="22"/>
      <c r="G37" s="23"/>
      <c r="H37" s="23"/>
      <c r="I37" s="23"/>
      <c r="J37" s="22"/>
      <c r="K37" s="23"/>
      <c r="L37" s="23"/>
      <c r="M37" s="23"/>
      <c r="N37" s="22"/>
      <c r="O37" s="23"/>
      <c r="P37" s="23"/>
      <c r="Q37" s="23"/>
      <c r="R37" s="22"/>
      <c r="S37" s="23"/>
      <c r="T37" s="23"/>
      <c r="U37" s="23"/>
      <c r="V37" s="22"/>
      <c r="W37" s="23"/>
      <c r="X37" s="23"/>
      <c r="Y37" s="23"/>
    </row>
    <row r="38" spans="1:25" s="8" customFormat="1" x14ac:dyDescent="0.15">
      <c r="A38" s="63" t="s">
        <v>56</v>
      </c>
      <c r="B38" s="23"/>
      <c r="C38" s="23"/>
      <c r="D38" s="23"/>
      <c r="E38" s="38">
        <f>658+64</f>
        <v>722</v>
      </c>
      <c r="F38" s="22"/>
      <c r="G38" s="23"/>
      <c r="H38" s="23"/>
      <c r="I38" s="38">
        <f>613+25</f>
        <v>638</v>
      </c>
      <c r="J38" s="22"/>
      <c r="K38" s="23"/>
      <c r="L38" s="23"/>
      <c r="M38" s="38">
        <f>730+64</f>
        <v>794</v>
      </c>
      <c r="N38" s="22"/>
      <c r="O38" s="23"/>
      <c r="P38" s="23"/>
      <c r="Q38" s="23">
        <f>934.187+118.6</f>
        <v>1052.787</v>
      </c>
      <c r="R38" s="22"/>
      <c r="S38" s="23"/>
      <c r="T38" s="23"/>
      <c r="U38" s="23">
        <f>1461+233</f>
        <v>1694</v>
      </c>
      <c r="V38" s="22">
        <f>1436+216</f>
        <v>1652</v>
      </c>
      <c r="W38" s="23">
        <f>1449+202</f>
        <v>1651</v>
      </c>
      <c r="X38" s="23">
        <f>2987+775</f>
        <v>3762</v>
      </c>
      <c r="Y38" s="23"/>
    </row>
    <row r="39" spans="1:25" s="8" customFormat="1" x14ac:dyDescent="0.15">
      <c r="A39" s="63" t="s">
        <v>57</v>
      </c>
      <c r="B39" s="23"/>
      <c r="C39" s="23"/>
      <c r="D39" s="23"/>
      <c r="E39" s="38">
        <v>2125</v>
      </c>
      <c r="F39" s="22"/>
      <c r="G39" s="23"/>
      <c r="H39" s="23"/>
      <c r="I39" s="38">
        <v>1906</v>
      </c>
      <c r="J39" s="22"/>
      <c r="K39" s="23"/>
      <c r="L39" s="23"/>
      <c r="M39" s="38">
        <v>1979</v>
      </c>
      <c r="N39" s="22"/>
      <c r="O39" s="23"/>
      <c r="P39" s="23"/>
      <c r="Q39" s="23">
        <v>2147</v>
      </c>
      <c r="R39" s="22"/>
      <c r="S39" s="23"/>
      <c r="T39" s="23"/>
      <c r="U39" s="23">
        <v>3661</v>
      </c>
      <c r="V39" s="22">
        <v>3542</v>
      </c>
      <c r="W39" s="23">
        <v>3684</v>
      </c>
      <c r="X39" s="23">
        <v>5151</v>
      </c>
      <c r="Y39" s="23"/>
    </row>
    <row r="40" spans="1:25" s="8" customFormat="1" x14ac:dyDescent="0.15">
      <c r="A40" s="63" t="s">
        <v>58</v>
      </c>
      <c r="B40" s="23"/>
      <c r="C40" s="23"/>
      <c r="D40" s="23"/>
      <c r="E40" s="38">
        <v>338</v>
      </c>
      <c r="F40" s="22"/>
      <c r="G40" s="23"/>
      <c r="H40" s="23"/>
      <c r="I40" s="38">
        <v>325</v>
      </c>
      <c r="J40" s="22"/>
      <c r="K40" s="23"/>
      <c r="L40" s="23"/>
      <c r="M40" s="38">
        <v>338</v>
      </c>
      <c r="N40" s="22"/>
      <c r="O40" s="23"/>
      <c r="P40" s="23"/>
      <c r="Q40" s="23">
        <v>550</v>
      </c>
      <c r="R40" s="22"/>
      <c r="S40" s="23"/>
      <c r="T40" s="23"/>
      <c r="U40" s="23">
        <v>1685</v>
      </c>
      <c r="V40" s="22">
        <v>1687</v>
      </c>
      <c r="W40" s="23">
        <v>1947</v>
      </c>
      <c r="X40" s="23">
        <v>2338</v>
      </c>
      <c r="Y40" s="23"/>
    </row>
    <row r="41" spans="1:25" s="8" customFormat="1" x14ac:dyDescent="0.15">
      <c r="B41" s="23"/>
      <c r="C41" s="23"/>
      <c r="D41" s="23"/>
      <c r="E41" s="38"/>
      <c r="F41" s="22"/>
      <c r="G41" s="23"/>
      <c r="H41" s="23"/>
      <c r="I41" s="38"/>
      <c r="J41" s="22"/>
      <c r="K41" s="23"/>
      <c r="L41" s="23"/>
      <c r="M41" s="38"/>
      <c r="N41" s="22"/>
      <c r="O41" s="23"/>
      <c r="P41" s="23"/>
      <c r="Q41" s="23"/>
      <c r="R41" s="22"/>
      <c r="S41" s="23"/>
      <c r="T41" s="23"/>
      <c r="U41" s="23"/>
      <c r="V41" s="22"/>
      <c r="W41" s="23"/>
      <c r="X41" s="23"/>
      <c r="Y41" s="23"/>
    </row>
    <row r="42" spans="1:25" s="8" customFormat="1" x14ac:dyDescent="0.15">
      <c r="A42" s="63" t="s">
        <v>59</v>
      </c>
      <c r="B42" s="23"/>
      <c r="C42" s="23"/>
      <c r="D42" s="23"/>
      <c r="E42" s="27">
        <f>E39-E35-E38</f>
        <v>416</v>
      </c>
      <c r="F42" s="22"/>
      <c r="G42" s="23"/>
      <c r="H42" s="23"/>
      <c r="I42" s="27">
        <f t="shared" ref="I42:O42" si="34">I39-I35-I38</f>
        <v>416</v>
      </c>
      <c r="J42" s="22"/>
      <c r="K42" s="23"/>
      <c r="L42" s="23"/>
      <c r="M42" s="27">
        <f t="shared" si="34"/>
        <v>503</v>
      </c>
      <c r="N42" s="46"/>
      <c r="O42" s="45"/>
      <c r="P42" s="45"/>
      <c r="Q42" s="27">
        <f t="shared" ref="P42:V42" si="35">Q39-Q35-Q38</f>
        <v>512.99099999999999</v>
      </c>
      <c r="R42" s="46"/>
      <c r="S42" s="45"/>
      <c r="T42" s="45"/>
      <c r="U42" s="27">
        <f t="shared" si="35"/>
        <v>431</v>
      </c>
      <c r="V42" s="28">
        <f t="shared" si="35"/>
        <v>456</v>
      </c>
      <c r="W42" s="27">
        <f t="shared" ref="W42:X42" si="36">W39-W35-W38</f>
        <v>461</v>
      </c>
      <c r="X42" s="27">
        <f t="shared" si="36"/>
        <v>-141</v>
      </c>
      <c r="Y42" s="23"/>
    </row>
    <row r="43" spans="1:25" s="8" customFormat="1" x14ac:dyDescent="0.15">
      <c r="A43" s="63" t="s">
        <v>60</v>
      </c>
      <c r="B43" s="23"/>
      <c r="C43" s="23"/>
      <c r="D43" s="23"/>
      <c r="E43" s="27">
        <f>E39-E40</f>
        <v>1787</v>
      </c>
      <c r="F43" s="22"/>
      <c r="G43" s="23"/>
      <c r="H43" s="23"/>
      <c r="I43" s="27">
        <f>I39-I40</f>
        <v>1581</v>
      </c>
      <c r="J43" s="22"/>
      <c r="K43" s="23"/>
      <c r="L43" s="23"/>
      <c r="M43" s="27">
        <f t="shared" ref="M43:P43" si="37">M39-M40</f>
        <v>1641</v>
      </c>
      <c r="N43" s="46"/>
      <c r="O43" s="45"/>
      <c r="P43" s="45"/>
      <c r="Q43" s="27">
        <f t="shared" ref="Q43:S43" si="38">Q39-Q40</f>
        <v>1597</v>
      </c>
      <c r="R43" s="46"/>
      <c r="S43" s="45"/>
      <c r="T43" s="45"/>
      <c r="U43" s="27">
        <f>U39-U40</f>
        <v>1976</v>
      </c>
      <c r="V43" s="28">
        <f t="shared" ref="V43" si="39">V39-V40</f>
        <v>1855</v>
      </c>
      <c r="W43" s="27">
        <f>W39-W40</f>
        <v>1737</v>
      </c>
      <c r="X43" s="27">
        <f>X39-X40</f>
        <v>2813</v>
      </c>
      <c r="Y43" s="23"/>
    </row>
    <row r="44" spans="1:25" s="8" customFormat="1" x14ac:dyDescent="0.15">
      <c r="B44" s="23"/>
      <c r="C44" s="23"/>
      <c r="D44" s="23"/>
      <c r="E44" s="38"/>
      <c r="F44" s="22"/>
      <c r="G44" s="23"/>
      <c r="H44" s="23"/>
      <c r="I44" s="38"/>
      <c r="J44" s="22"/>
      <c r="K44" s="23"/>
      <c r="L44" s="23"/>
      <c r="M44" s="38"/>
      <c r="N44" s="22"/>
      <c r="O44" s="23"/>
      <c r="P44" s="23"/>
      <c r="Q44" s="23"/>
      <c r="R44" s="22"/>
      <c r="S44" s="23"/>
      <c r="T44" s="23"/>
      <c r="U44" s="23"/>
      <c r="V44" s="22"/>
      <c r="W44" s="23"/>
      <c r="X44" s="23"/>
      <c r="Y44" s="23"/>
    </row>
    <row r="45" spans="1:25" s="17" customFormat="1" x14ac:dyDescent="0.15">
      <c r="A45" s="64" t="s">
        <v>61</v>
      </c>
      <c r="B45" s="47"/>
      <c r="C45" s="47"/>
      <c r="D45" s="47"/>
      <c r="E45" s="24">
        <f>SUM(B20:E20)</f>
        <v>-121.61299999999999</v>
      </c>
      <c r="F45" s="22"/>
      <c r="G45" s="23"/>
      <c r="H45" s="23"/>
      <c r="I45" s="24">
        <f>SUM(F20:I20)</f>
        <v>-107.12599999999999</v>
      </c>
      <c r="J45" s="22"/>
      <c r="K45" s="23"/>
      <c r="L45" s="23"/>
      <c r="M45" s="24">
        <f t="shared" ref="M45:U45" si="40">SUM(J20:M20)</f>
        <v>25.419000000000011</v>
      </c>
      <c r="N45" s="46"/>
      <c r="O45" s="45"/>
      <c r="P45" s="45"/>
      <c r="Q45" s="24">
        <f t="shared" si="40"/>
        <v>15.550000000000097</v>
      </c>
      <c r="R45" s="46"/>
      <c r="S45" s="45"/>
      <c r="T45" s="45"/>
      <c r="U45" s="24">
        <f t="shared" si="40"/>
        <v>40.434999999999945</v>
      </c>
      <c r="V45" s="25">
        <f t="shared" ref="V45" si="41">SUM(S20:V20)</f>
        <v>67.239999999999924</v>
      </c>
      <c r="W45" s="24">
        <f>SUM(T20:W20)</f>
        <v>-26.908000000000158</v>
      </c>
      <c r="X45" s="24">
        <f>SUM(U20:X20)</f>
        <v>-378.81500000000023</v>
      </c>
      <c r="Y45" s="47"/>
    </row>
    <row r="46" spans="1:25" x14ac:dyDescent="0.15">
      <c r="A46" s="18" t="s">
        <v>62</v>
      </c>
      <c r="E46" s="34">
        <f>E20/E43</f>
        <v>-2.8331281477336309E-2</v>
      </c>
      <c r="I46" s="34">
        <f t="shared" ref="I46:O46" si="42">I45/I43</f>
        <v>-6.7758380771663504E-2</v>
      </c>
      <c r="J46" s="22"/>
      <c r="K46" s="23"/>
      <c r="L46" s="23"/>
      <c r="M46" s="34">
        <f t="shared" si="42"/>
        <v>1.5489945155393059E-2</v>
      </c>
      <c r="N46" s="46"/>
      <c r="O46" s="45"/>
      <c r="P46" s="45"/>
      <c r="Q46" s="34">
        <f t="shared" ref="P46:V46" si="43">Q45/Q43</f>
        <v>9.7370068879149008E-3</v>
      </c>
      <c r="R46" s="46"/>
      <c r="S46" s="45"/>
      <c r="T46" s="45"/>
      <c r="U46" s="34">
        <f t="shared" si="43"/>
        <v>2.0463056680161917E-2</v>
      </c>
      <c r="V46" s="35">
        <f t="shared" si="43"/>
        <v>3.6247978436657641E-2</v>
      </c>
      <c r="W46" s="34">
        <f t="shared" ref="W46:X46" si="44">W45/W43</f>
        <v>-1.5491076568796867E-2</v>
      </c>
      <c r="X46" s="34">
        <f t="shared" si="44"/>
        <v>-0.13466583718450062</v>
      </c>
    </row>
    <row r="47" spans="1:25" x14ac:dyDescent="0.15">
      <c r="A47" s="18" t="s">
        <v>63</v>
      </c>
      <c r="E47" s="34">
        <f>E20/E39</f>
        <v>-2.382494117647058E-2</v>
      </c>
      <c r="I47" s="34">
        <f t="shared" ref="I47:O47" si="45">I45/I39</f>
        <v>-5.6204616998950678E-2</v>
      </c>
      <c r="J47" s="22"/>
      <c r="K47" s="23"/>
      <c r="L47" s="23"/>
      <c r="M47" s="34">
        <f t="shared" si="45"/>
        <v>1.2844365841334013E-2</v>
      </c>
      <c r="N47" s="46"/>
      <c r="O47" s="45"/>
      <c r="P47" s="45"/>
      <c r="Q47" s="34">
        <f t="shared" ref="P47:V47" si="46">Q45/Q39</f>
        <v>7.2426641825803894E-3</v>
      </c>
      <c r="R47" s="46"/>
      <c r="S47" s="45"/>
      <c r="T47" s="45"/>
      <c r="U47" s="34">
        <f t="shared" si="46"/>
        <v>1.1044796503687502E-2</v>
      </c>
      <c r="V47" s="35">
        <f t="shared" si="46"/>
        <v>1.8983625070581572E-2</v>
      </c>
      <c r="W47" s="34">
        <f t="shared" ref="W47:X47" si="47">W45/W39</f>
        <v>-7.3040173724213241E-3</v>
      </c>
      <c r="X47" s="34">
        <f t="shared" si="47"/>
        <v>-7.354203067365564E-2</v>
      </c>
    </row>
    <row r="48" spans="1:25" x14ac:dyDescent="0.15">
      <c r="A48" s="18" t="s">
        <v>64</v>
      </c>
      <c r="E48" s="34">
        <f>E20/(E43-E38)</f>
        <v>-4.753802816901407E-2</v>
      </c>
      <c r="I48" s="34">
        <f t="shared" ref="I48:O48" si="48">I45/(I43-I38)</f>
        <v>-0.11360127253446446</v>
      </c>
      <c r="J48" s="22"/>
      <c r="K48" s="23"/>
      <c r="L48" s="23"/>
      <c r="M48" s="34">
        <f t="shared" si="48"/>
        <v>3.0010625737898478E-2</v>
      </c>
      <c r="N48" s="46"/>
      <c r="O48" s="45"/>
      <c r="P48" s="45"/>
      <c r="Q48" s="34">
        <f t="shared" ref="P48:V48" si="49">Q45/(Q43-Q38)</f>
        <v>2.8573371088158675E-2</v>
      </c>
      <c r="R48" s="46"/>
      <c r="S48" s="45"/>
      <c r="T48" s="45"/>
      <c r="U48" s="34">
        <f t="shared" si="49"/>
        <v>0.14338652482269484</v>
      </c>
      <c r="V48" s="35">
        <f t="shared" si="49"/>
        <v>0.33123152709359566</v>
      </c>
      <c r="W48" s="34">
        <f t="shared" ref="W48:X48" si="50">W45/(W43-W38)</f>
        <v>-0.31288372093023437</v>
      </c>
      <c r="X48" s="34">
        <f t="shared" si="50"/>
        <v>0.39917281348788219</v>
      </c>
    </row>
    <row r="49" spans="1:25" x14ac:dyDescent="0.15">
      <c r="A49" s="18" t="s">
        <v>65</v>
      </c>
      <c r="E49" s="34">
        <f>E20/E42</f>
        <v>-0.12170192307692304</v>
      </c>
      <c r="I49" s="34">
        <f t="shared" ref="I49:O49" si="51">I45/I42</f>
        <v>-0.25751442307692307</v>
      </c>
      <c r="J49" s="22"/>
      <c r="K49" s="23"/>
      <c r="L49" s="23"/>
      <c r="M49" s="34">
        <f t="shared" si="51"/>
        <v>5.0534791252485112E-2</v>
      </c>
      <c r="N49" s="46"/>
      <c r="O49" s="45"/>
      <c r="P49" s="45"/>
      <c r="Q49" s="34">
        <f t="shared" ref="P49:V49" si="52">Q45/Q42</f>
        <v>3.0312422635095152E-2</v>
      </c>
      <c r="R49" s="46"/>
      <c r="S49" s="45"/>
      <c r="T49" s="45"/>
      <c r="U49" s="34">
        <f t="shared" si="52"/>
        <v>9.3816705336426789E-2</v>
      </c>
      <c r="V49" s="35">
        <f t="shared" si="52"/>
        <v>0.14745614035087704</v>
      </c>
      <c r="W49" s="34">
        <f t="shared" ref="W49:X49" si="53">W45/W42</f>
        <v>-5.836876355748407E-2</v>
      </c>
      <c r="X49" s="34">
        <f t="shared" si="53"/>
        <v>2.6866312056737605</v>
      </c>
    </row>
    <row r="51" spans="1:25" x14ac:dyDescent="0.15">
      <c r="A51" s="6" t="s">
        <v>95</v>
      </c>
      <c r="F51" s="35">
        <f>F3/B3-1</f>
        <v>-7.3707616093212525E-2</v>
      </c>
      <c r="G51" s="34">
        <f>G3/C3-1</f>
        <v>-0.16241883066828644</v>
      </c>
      <c r="H51" s="34">
        <f>H3/D3-1</f>
        <v>-0.11572027953603881</v>
      </c>
      <c r="I51" s="34">
        <f>I3/E3-1</f>
        <v>8.2602751365254967E-2</v>
      </c>
      <c r="J51" s="35">
        <f>J3/F3-1</f>
        <v>0.11983335400599748</v>
      </c>
      <c r="K51" s="34">
        <f>K3/G3-1</f>
        <v>0.20557637513528637</v>
      </c>
      <c r="L51" s="34">
        <f>L3/H3-1</f>
        <v>0.30538382469051206</v>
      </c>
      <c r="M51" s="34">
        <f>M3/I3-1</f>
        <v>0.23514344627810235</v>
      </c>
      <c r="N51" s="35">
        <f>N3/J3-1</f>
        <v>5.2592829079820991E-2</v>
      </c>
      <c r="O51" s="34">
        <f>O3/K3-1</f>
        <v>5.7100980182600569E-3</v>
      </c>
      <c r="P51" s="34">
        <f>P3/L3-1</f>
        <v>-4.3006396466822139E-2</v>
      </c>
      <c r="Q51" s="34">
        <f>Q3/M3-1</f>
        <v>2.2031724759407068E-2</v>
      </c>
      <c r="R51" s="35">
        <f>R3/N3-1</f>
        <v>0.23899896628351058</v>
      </c>
      <c r="S51" s="34">
        <f>S3/O3-1</f>
        <v>0.46167111974738884</v>
      </c>
      <c r="T51" s="34">
        <f>T3/P3-1</f>
        <v>0.67933291993608247</v>
      </c>
      <c r="U51" s="34">
        <f>U3/Q3-1</f>
        <v>0.83528893109061308</v>
      </c>
      <c r="V51" s="35">
        <f>V3/R3-1</f>
        <v>0.72038928078975251</v>
      </c>
      <c r="W51" s="34">
        <f>W3/S3-1</f>
        <v>0.61266347607890048</v>
      </c>
      <c r="X51" s="34">
        <f>X3/T3-1</f>
        <v>0.54805415212443775</v>
      </c>
      <c r="Y51" s="34">
        <f>Y3/U3-1</f>
        <v>0.5</v>
      </c>
    </row>
    <row r="52" spans="1:25" x14ac:dyDescent="0.15">
      <c r="A52" s="6" t="s">
        <v>96</v>
      </c>
      <c r="F52" s="35">
        <f>F4/B4-1</f>
        <v>0.4057175205208039</v>
      </c>
      <c r="G52" s="34">
        <f>G4/C4-1</f>
        <v>0.21598643960060393</v>
      </c>
      <c r="H52" s="34">
        <f>H4/D4-1</f>
        <v>8.0796069016580985E-2</v>
      </c>
      <c r="I52" s="34">
        <f>I4/E4-1</f>
        <v>-0.10519305225020414</v>
      </c>
      <c r="J52" s="35">
        <f>J4/F4-1</f>
        <v>-0.17841897551546404</v>
      </c>
      <c r="K52" s="34">
        <f>K4/G4-1</f>
        <v>-9.2786199686356596E-3</v>
      </c>
      <c r="L52" s="34">
        <f>L4/H4-1</f>
        <v>2.4330496159435278E-2</v>
      </c>
      <c r="M52" s="34">
        <f>M4/I4-1</f>
        <v>0.19417263759601444</v>
      </c>
      <c r="N52" s="35">
        <f>N4/J4-1</f>
        <v>0.14400901894468565</v>
      </c>
      <c r="O52" s="34">
        <f>O4/K4-1</f>
        <v>0.15123334652420528</v>
      </c>
      <c r="P52" s="34">
        <f>P4/L4-1</f>
        <v>0.32801669976895953</v>
      </c>
      <c r="Q52" s="34">
        <f>Q4/M4-1</f>
        <v>0.19270019612405687</v>
      </c>
      <c r="R52" s="35">
        <f>R4/N4-1</f>
        <v>0.39760920328198979</v>
      </c>
      <c r="S52" s="34">
        <f>S4/O4-1</f>
        <v>0.25641172538909585</v>
      </c>
      <c r="T52" s="34">
        <f>T4/P4-1</f>
        <v>-3.0826987348726576E-2</v>
      </c>
      <c r="U52" s="34">
        <f>U4/Q4-1</f>
        <v>0.11132943143812701</v>
      </c>
      <c r="V52" s="35">
        <f>V4/R4-1</f>
        <v>-8.9394380661874107E-2</v>
      </c>
      <c r="W52" s="34">
        <f>W4/S4-1</f>
        <v>-3.4730666342412508E-2</v>
      </c>
      <c r="X52" s="34">
        <f>X4/T4-1</f>
        <v>6.0056371738548497E-2</v>
      </c>
      <c r="Y52" s="34">
        <f>Y4/U4-1</f>
        <v>5.0000000000000044E-2</v>
      </c>
    </row>
    <row r="53" spans="1:25" x14ac:dyDescent="0.15">
      <c r="F53" s="35"/>
      <c r="G53" s="34"/>
      <c r="H53" s="34"/>
      <c r="I53" s="34"/>
      <c r="J53" s="35"/>
      <c r="K53" s="34"/>
      <c r="L53" s="34"/>
      <c r="M53" s="34"/>
      <c r="N53" s="35"/>
      <c r="O53" s="34"/>
      <c r="P53" s="34"/>
      <c r="Q53" s="34"/>
      <c r="R53" s="35"/>
      <c r="S53" s="34"/>
      <c r="T53" s="34"/>
      <c r="U53" s="34"/>
      <c r="V53" s="35"/>
      <c r="W53" s="34"/>
      <c r="X53" s="34"/>
      <c r="Y53" s="34"/>
    </row>
    <row r="54" spans="1:25" s="69" customFormat="1" x14ac:dyDescent="0.15">
      <c r="A54" s="69" t="s">
        <v>91</v>
      </c>
      <c r="B54" s="34"/>
      <c r="C54" s="34"/>
      <c r="D54" s="34"/>
      <c r="E54" s="34"/>
      <c r="F54" s="35">
        <f>F6/B6-1</f>
        <v>-0.24</v>
      </c>
      <c r="G54" s="34">
        <f>G6/C6-1</f>
        <v>-0.1428571428571429</v>
      </c>
      <c r="H54" s="34">
        <f>H6/D6-1</f>
        <v>-5.2631578947368474E-2</v>
      </c>
      <c r="I54" s="34">
        <f>I6/E6-1</f>
        <v>0</v>
      </c>
      <c r="J54" s="35">
        <f>J6/F6-1</f>
        <v>0.10526315789473695</v>
      </c>
      <c r="K54" s="34">
        <f>K6/G6-1</f>
        <v>0.16666666666666674</v>
      </c>
      <c r="L54" s="34">
        <f>L6/H6-1</f>
        <v>0.16666666666666674</v>
      </c>
      <c r="M54" s="34">
        <f>M6/I6-1</f>
        <v>0.22222222222222232</v>
      </c>
      <c r="N54" s="35">
        <f>N6/J6-1</f>
        <v>0.19047619047619047</v>
      </c>
      <c r="O54" s="34">
        <f>O6/K6-1</f>
        <v>9.5238095238095344E-2</v>
      </c>
      <c r="P54" s="34">
        <f>P6/L6-1</f>
        <v>4.7619047619047672E-2</v>
      </c>
      <c r="Q54" s="34">
        <f>Q6/M6-1</f>
        <v>-4.5454545454545414E-2</v>
      </c>
      <c r="R54" s="35">
        <f>R6/N6-1</f>
        <v>-0.12</v>
      </c>
      <c r="S54" s="34">
        <f>S6/O6-1</f>
        <v>-8.6956521739130488E-2</v>
      </c>
      <c r="T54" s="34">
        <f>T6/P6-1</f>
        <v>-9.0909090909090939E-2</v>
      </c>
      <c r="U54" s="34">
        <f>U6/Q6-1</f>
        <v>-4.7619047619047672E-2</v>
      </c>
      <c r="V54" s="35">
        <f>V6/R6-1</f>
        <v>-4.5454545454545414E-2</v>
      </c>
      <c r="W54" s="34">
        <f>W6/S6-1</f>
        <v>4.7619047619047672E-2</v>
      </c>
      <c r="X54" s="34">
        <f>X6/T6-1</f>
        <v>0.55000000000000004</v>
      </c>
      <c r="Y54" s="34">
        <f>Y6/U6-1</f>
        <v>0.5</v>
      </c>
    </row>
    <row r="55" spans="1:25" x14ac:dyDescent="0.15">
      <c r="A55" s="6" t="s">
        <v>92</v>
      </c>
      <c r="F55" s="35"/>
      <c r="G55" s="34"/>
      <c r="H55" s="34"/>
      <c r="I55" s="34"/>
      <c r="J55" s="35"/>
      <c r="K55" s="34"/>
      <c r="L55" s="34"/>
      <c r="M55" s="34">
        <f>M7/I7-1</f>
        <v>1.7080641621418646E-3</v>
      </c>
      <c r="N55" s="35">
        <f>N7/J7-1</f>
        <v>-9.9694879660702895E-2</v>
      </c>
      <c r="O55" s="34">
        <f>O7/K7-1</f>
        <v>-5.2857742212528369E-2</v>
      </c>
      <c r="P55" s="34">
        <f>P7/L7-1</f>
        <v>-8.6999022482893151E-3</v>
      </c>
      <c r="Q55" s="34">
        <f>Q7/M7-1</f>
        <v>0.11681363903586117</v>
      </c>
      <c r="R55" s="35">
        <f>R7/N7-1</f>
        <v>0.44835720821880476</v>
      </c>
      <c r="S55" s="34">
        <f>S7/O7-1</f>
        <v>0.54663998797703761</v>
      </c>
      <c r="T55" s="34">
        <f>T7/P7-1</f>
        <v>0.62780362111617505</v>
      </c>
      <c r="U55" s="34">
        <f>U7/Q7-1</f>
        <v>0.70770664447017939</v>
      </c>
      <c r="V55" s="35">
        <f>V7/R7-1</f>
        <v>0.59378002509391381</v>
      </c>
      <c r="W55" s="34">
        <f>W7/S7-1</f>
        <v>0.40671036630579849</v>
      </c>
      <c r="X55" s="34">
        <f>X7/T7-1</f>
        <v>-5.9183554833887264E-2</v>
      </c>
      <c r="Y55" s="34">
        <f>Y7/U7-1</f>
        <v>-5.9151764191038403E-2</v>
      </c>
    </row>
    <row r="57" spans="1:25" x14ac:dyDescent="0.15">
      <c r="A57" s="6" t="s">
        <v>89</v>
      </c>
      <c r="B57" s="20">
        <v>71</v>
      </c>
      <c r="C57" s="20">
        <v>60</v>
      </c>
      <c r="D57" s="20">
        <v>51</v>
      </c>
      <c r="E57" s="20">
        <v>48</v>
      </c>
      <c r="F57" s="21">
        <v>68</v>
      </c>
      <c r="G57" s="20">
        <v>61</v>
      </c>
      <c r="H57" s="20">
        <v>66</v>
      </c>
      <c r="I57" s="20">
        <v>63</v>
      </c>
      <c r="J57" s="21">
        <v>72</v>
      </c>
      <c r="K57" s="20">
        <v>80</v>
      </c>
      <c r="L57" s="20">
        <v>80</v>
      </c>
      <c r="M57" s="20">
        <v>86</v>
      </c>
      <c r="N57" s="21">
        <v>94</v>
      </c>
      <c r="O57" s="20">
        <v>88</v>
      </c>
      <c r="P57" s="20">
        <v>87</v>
      </c>
      <c r="Q57" s="20">
        <v>76</v>
      </c>
      <c r="R57" s="21">
        <v>72</v>
      </c>
      <c r="S57" s="20">
        <v>70</v>
      </c>
      <c r="T57" s="20">
        <v>67</v>
      </c>
      <c r="U57" s="20">
        <v>66</v>
      </c>
      <c r="V57" s="21">
        <v>68</v>
      </c>
      <c r="W57" s="20">
        <v>70</v>
      </c>
      <c r="X57" s="20">
        <v>83</v>
      </c>
    </row>
    <row r="58" spans="1:25" s="69" customFormat="1" x14ac:dyDescent="0.15">
      <c r="A58" s="69" t="s">
        <v>90</v>
      </c>
      <c r="B58" s="34"/>
      <c r="C58" s="34"/>
      <c r="D58" s="34"/>
      <c r="E58" s="34"/>
      <c r="F58" s="35">
        <f>F57/B57-1</f>
        <v>-4.2253521126760618E-2</v>
      </c>
      <c r="G58" s="34">
        <f>G57/C57-1</f>
        <v>1.6666666666666607E-2</v>
      </c>
      <c r="H58" s="34">
        <f>H57/D57-1</f>
        <v>0.29411764705882359</v>
      </c>
      <c r="I58" s="34">
        <f>I57/E57-1</f>
        <v>0.3125</v>
      </c>
      <c r="J58" s="35">
        <f>J57/F57-1</f>
        <v>5.8823529411764719E-2</v>
      </c>
      <c r="K58" s="34">
        <f>K57/G57-1</f>
        <v>0.31147540983606548</v>
      </c>
      <c r="L58" s="34">
        <f>L57/H57-1</f>
        <v>0.21212121212121215</v>
      </c>
      <c r="M58" s="34">
        <f>M57/I57-1</f>
        <v>0.36507936507936511</v>
      </c>
      <c r="N58" s="35">
        <f>N57/J57-1</f>
        <v>0.30555555555555558</v>
      </c>
      <c r="O58" s="34">
        <f>O57/K57-1</f>
        <v>0.10000000000000009</v>
      </c>
      <c r="P58" s="34">
        <f>P57/L57-1</f>
        <v>8.7499999999999911E-2</v>
      </c>
      <c r="Q58" s="34">
        <f>Q57/M57-1</f>
        <v>-0.11627906976744184</v>
      </c>
      <c r="R58" s="35">
        <f>R57/N57-1</f>
        <v>-0.23404255319148937</v>
      </c>
      <c r="S58" s="34">
        <f>S57/O57-1</f>
        <v>-0.20454545454545459</v>
      </c>
      <c r="T58" s="34">
        <f>T57/P57-1</f>
        <v>-0.22988505747126442</v>
      </c>
      <c r="U58" s="34">
        <f>U57/Q57-1</f>
        <v>-0.13157894736842102</v>
      </c>
      <c r="V58" s="35">
        <f>V57/R57-1</f>
        <v>-5.555555555555558E-2</v>
      </c>
      <c r="W58" s="34">
        <f>W57/S57-1</f>
        <v>0</v>
      </c>
      <c r="X58" s="34">
        <f>X57/T57-1</f>
        <v>0.23880597014925375</v>
      </c>
      <c r="Y58" s="34"/>
    </row>
  </sheetData>
  <hyperlinks>
    <hyperlink ref="A1" r:id="rId1" xr:uid="{00000000-0004-0000-0100-000000000000}"/>
  </hyperlink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4:B14"/>
  <sheetViews>
    <sheetView zoomScale="130" zoomScaleNormal="130" workbookViewId="0">
      <selection activeCell="B24" sqref="B24"/>
    </sheetView>
  </sheetViews>
  <sheetFormatPr baseColWidth="10" defaultRowHeight="13" x14ac:dyDescent="0.15"/>
  <cols>
    <col min="1" max="1" width="10.83203125" style="3"/>
    <col min="2" max="2" width="26.33203125" style="3" bestFit="1" customWidth="1"/>
    <col min="3" max="16384" width="10.83203125" style="3"/>
  </cols>
  <sheetData>
    <row r="4" spans="2:2" x14ac:dyDescent="0.15">
      <c r="B4" s="68" t="s">
        <v>77</v>
      </c>
    </row>
    <row r="6" spans="2:2" x14ac:dyDescent="0.15">
      <c r="B6" s="3" t="s">
        <v>78</v>
      </c>
    </row>
    <row r="7" spans="2:2" x14ac:dyDescent="0.15">
      <c r="B7" s="3" t="s">
        <v>79</v>
      </c>
    </row>
    <row r="8" spans="2:2" x14ac:dyDescent="0.15">
      <c r="B8" s="3" t="s">
        <v>80</v>
      </c>
    </row>
    <row r="9" spans="2:2" x14ac:dyDescent="0.15">
      <c r="B9" s="3" t="s">
        <v>81</v>
      </c>
    </row>
    <row r="10" spans="2:2" x14ac:dyDescent="0.15">
      <c r="B10" s="3" t="s">
        <v>82</v>
      </c>
    </row>
    <row r="11" spans="2:2" x14ac:dyDescent="0.15">
      <c r="B11" s="3" t="s">
        <v>83</v>
      </c>
    </row>
    <row r="12" spans="2:2" x14ac:dyDescent="0.15">
      <c r="B12" s="3" t="s">
        <v>84</v>
      </c>
    </row>
    <row r="13" spans="2:2" x14ac:dyDescent="0.15">
      <c r="B13" s="3" t="s">
        <v>85</v>
      </c>
    </row>
    <row r="14" spans="2:2" x14ac:dyDescent="0.15">
      <c r="B14" s="3" t="s">
        <v>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Reports</vt:lpstr>
      <vt:lpstr>Products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Michael Sjoeberg</cp:lastModifiedBy>
  <dcterms:created xsi:type="dcterms:W3CDTF">2018-01-04T19:16:18Z</dcterms:created>
  <dcterms:modified xsi:type="dcterms:W3CDTF">2021-02-11T16:54:06Z</dcterms:modified>
</cp:coreProperties>
</file>