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FEBADC0E-7F9F-D941-88EC-70434F854FE6}" xr6:coauthVersionLast="46" xr6:coauthVersionMax="46" xr10:uidLastSave="{00000000-0000-0000-0000-000000000000}"/>
  <bookViews>
    <workbookView xWindow="-56900" yWindow="-5940" windowWidth="284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2" l="1"/>
  <c r="F14" i="2"/>
  <c r="I60" i="2"/>
  <c r="H60" i="2"/>
  <c r="G60" i="2"/>
  <c r="F60" i="2"/>
  <c r="G14" i="2"/>
  <c r="H14" i="2" s="1"/>
  <c r="I14" i="2" s="1"/>
  <c r="F63" i="2"/>
  <c r="I13" i="2"/>
  <c r="E16" i="2"/>
  <c r="E57" i="2"/>
  <c r="Q7" i="1"/>
  <c r="Q57" i="1"/>
  <c r="Q6" i="1"/>
  <c r="P21" i="2"/>
  <c r="Q21" i="2" s="1"/>
  <c r="R21" i="2" s="1"/>
  <c r="S21" i="2" s="1"/>
  <c r="O21" i="2"/>
  <c r="O20" i="2"/>
  <c r="P19" i="2"/>
  <c r="Q19" i="2" s="1"/>
  <c r="R19" i="2" s="1"/>
  <c r="S19" i="2" s="1"/>
  <c r="O19" i="2"/>
  <c r="K21" i="2"/>
  <c r="L21" i="2" s="1"/>
  <c r="M21" i="2" s="1"/>
  <c r="N21" i="2" s="1"/>
  <c r="J21" i="2"/>
  <c r="L20" i="2"/>
  <c r="M20" i="2" s="1"/>
  <c r="N20" i="2" s="1"/>
  <c r="K20" i="2"/>
  <c r="J20" i="2"/>
  <c r="K19" i="2"/>
  <c r="L19" i="2" s="1"/>
  <c r="M19" i="2" s="1"/>
  <c r="N19" i="2" s="1"/>
  <c r="J19" i="2"/>
  <c r="E14" i="2"/>
  <c r="E60" i="2"/>
  <c r="E13" i="2" s="1"/>
  <c r="Q60" i="1"/>
  <c r="F59" i="1"/>
  <c r="Q59" i="1"/>
  <c r="P9" i="1"/>
  <c r="O9" i="1"/>
  <c r="O11" i="1" s="1"/>
  <c r="O24" i="1" s="1"/>
  <c r="N9" i="1"/>
  <c r="N11" i="1" s="1"/>
  <c r="N24" i="1" s="1"/>
  <c r="M9" i="1"/>
  <c r="L9" i="1"/>
  <c r="K9" i="1"/>
  <c r="J9" i="1"/>
  <c r="I9" i="1"/>
  <c r="H9" i="1"/>
  <c r="G9" i="1"/>
  <c r="F9" i="1"/>
  <c r="E9" i="1"/>
  <c r="D9" i="1"/>
  <c r="C9" i="1"/>
  <c r="P60" i="1"/>
  <c r="O60" i="1"/>
  <c r="N60" i="1"/>
  <c r="M60" i="1"/>
  <c r="L60" i="1"/>
  <c r="K60" i="1"/>
  <c r="J60" i="1"/>
  <c r="I60" i="1"/>
  <c r="H60" i="1"/>
  <c r="G60" i="1"/>
  <c r="F60" i="1"/>
  <c r="P6" i="1"/>
  <c r="P7" i="1" s="1"/>
  <c r="O6" i="1"/>
  <c r="O7" i="1" s="1"/>
  <c r="L6" i="1"/>
  <c r="L7" i="1" s="1"/>
  <c r="K6" i="1"/>
  <c r="K7" i="1" s="1"/>
  <c r="B7" i="1"/>
  <c r="B9" i="1" s="1"/>
  <c r="N6" i="1"/>
  <c r="N7" i="1" s="1"/>
  <c r="M6" i="1"/>
  <c r="J6" i="1"/>
  <c r="J7" i="1" s="1"/>
  <c r="I6" i="1"/>
  <c r="I7" i="1" s="1"/>
  <c r="H6" i="1"/>
  <c r="H7" i="1" s="1"/>
  <c r="G6" i="1"/>
  <c r="G7" i="1" s="1"/>
  <c r="F6" i="1"/>
  <c r="F7" i="1" s="1"/>
  <c r="E6" i="1"/>
  <c r="E7" i="1" s="1"/>
  <c r="D6" i="1"/>
  <c r="D7" i="1" s="1"/>
  <c r="C6" i="1"/>
  <c r="C7" i="1" s="1"/>
  <c r="B6" i="1"/>
  <c r="Q22" i="1"/>
  <c r="Q19" i="1"/>
  <c r="Q17" i="1"/>
  <c r="D47" i="2"/>
  <c r="D46" i="2"/>
  <c r="P9" i="2"/>
  <c r="Q9" i="2" s="1"/>
  <c r="R9" i="2" s="1"/>
  <c r="S9" i="2" s="1"/>
  <c r="D60" i="2"/>
  <c r="D13" i="2" s="1"/>
  <c r="C3" i="2"/>
  <c r="P52" i="1"/>
  <c r="P51" i="1"/>
  <c r="P43" i="1"/>
  <c r="P38" i="1"/>
  <c r="P35" i="1"/>
  <c r="P42" i="1" s="1"/>
  <c r="P34" i="1"/>
  <c r="C5" i="2" s="1"/>
  <c r="P31" i="1"/>
  <c r="P30" i="1"/>
  <c r="P29" i="1"/>
  <c r="P15" i="1"/>
  <c r="P11" i="1"/>
  <c r="P24" i="1" s="1"/>
  <c r="P59" i="1"/>
  <c r="O52" i="1"/>
  <c r="O51" i="1"/>
  <c r="O43" i="1"/>
  <c r="O38" i="1"/>
  <c r="O35" i="1"/>
  <c r="O42" i="1" s="1"/>
  <c r="O31" i="1"/>
  <c r="O30" i="1"/>
  <c r="O29" i="1"/>
  <c r="O15" i="1"/>
  <c r="O59" i="1"/>
  <c r="N59" i="1"/>
  <c r="N52" i="1"/>
  <c r="N51" i="1"/>
  <c r="N43" i="1"/>
  <c r="M38" i="1"/>
  <c r="D45" i="2" s="1"/>
  <c r="N38" i="1"/>
  <c r="M35" i="1"/>
  <c r="N35" i="1"/>
  <c r="N34" i="1" s="1"/>
  <c r="N31" i="1"/>
  <c r="N30" i="1"/>
  <c r="N29" i="1"/>
  <c r="N15" i="1"/>
  <c r="F4" i="2"/>
  <c r="F16" i="2" l="1"/>
  <c r="H13" i="2"/>
  <c r="G13" i="2"/>
  <c r="I16" i="2"/>
  <c r="D50" i="2"/>
  <c r="E62" i="2"/>
  <c r="Q9" i="1"/>
  <c r="O34" i="1"/>
  <c r="P16" i="1"/>
  <c r="O16" i="1"/>
  <c r="N16" i="1"/>
  <c r="N42" i="1"/>
  <c r="M3" i="1"/>
  <c r="M4" i="1"/>
  <c r="G16" i="2" l="1"/>
  <c r="H16" i="2"/>
  <c r="G63" i="2"/>
  <c r="I63" i="2"/>
  <c r="H63" i="2"/>
  <c r="F62" i="2"/>
  <c r="M7" i="1"/>
  <c r="O25" i="1"/>
  <c r="O18" i="1"/>
  <c r="Q11" i="1"/>
  <c r="Q24" i="1" s="1"/>
  <c r="P18" i="1"/>
  <c r="P25" i="1"/>
  <c r="N25" i="1"/>
  <c r="N18" i="1"/>
  <c r="D43" i="2"/>
  <c r="D29" i="2"/>
  <c r="D26" i="2"/>
  <c r="D17" i="2"/>
  <c r="D11" i="2"/>
  <c r="E11" i="2" s="1"/>
  <c r="F11" i="2" s="1"/>
  <c r="G11" i="2" s="1"/>
  <c r="H11" i="2" s="1"/>
  <c r="I11" i="2" s="1"/>
  <c r="D10" i="2"/>
  <c r="M59" i="1"/>
  <c r="M14" i="1"/>
  <c r="M12" i="1"/>
  <c r="M13" i="1"/>
  <c r="M11" i="1"/>
  <c r="M17" i="1"/>
  <c r="M52" i="1"/>
  <c r="M43" i="1"/>
  <c r="M42" i="1"/>
  <c r="M34" i="1"/>
  <c r="L38" i="1"/>
  <c r="L35" i="1"/>
  <c r="L34" i="1" s="1"/>
  <c r="L17" i="1"/>
  <c r="L59" i="1"/>
  <c r="L52" i="1"/>
  <c r="L51" i="1"/>
  <c r="L43" i="1"/>
  <c r="L31" i="1"/>
  <c r="L30" i="1"/>
  <c r="L29" i="1"/>
  <c r="L15" i="1"/>
  <c r="P32" i="1" s="1"/>
  <c r="K38" i="1"/>
  <c r="K35" i="1"/>
  <c r="K34" i="1" s="1"/>
  <c r="K17" i="1"/>
  <c r="O28" i="1"/>
  <c r="K59" i="1"/>
  <c r="K52" i="1"/>
  <c r="K51" i="1"/>
  <c r="K43" i="1"/>
  <c r="K31" i="1"/>
  <c r="K30" i="1"/>
  <c r="K29" i="1"/>
  <c r="K15" i="1"/>
  <c r="O32" i="1" s="1"/>
  <c r="E10" i="2" l="1"/>
  <c r="F10" i="2" s="1"/>
  <c r="G10" i="2" s="1"/>
  <c r="H10" i="2" s="1"/>
  <c r="I10" i="2" s="1"/>
  <c r="D14" i="2"/>
  <c r="G62" i="2"/>
  <c r="Q10" i="1"/>
  <c r="Q28" i="1"/>
  <c r="M30" i="1"/>
  <c r="Q13" i="1"/>
  <c r="Q30" i="1" s="1"/>
  <c r="M31" i="1"/>
  <c r="Q14" i="1"/>
  <c r="Q31" i="1" s="1"/>
  <c r="P20" i="1"/>
  <c r="P21" i="1" s="1"/>
  <c r="P26" i="1"/>
  <c r="D19" i="2"/>
  <c r="E19" i="2" s="1"/>
  <c r="F19" i="2" s="1"/>
  <c r="G19" i="2" s="1"/>
  <c r="H19" i="2" s="1"/>
  <c r="I19" i="2" s="1"/>
  <c r="Q12" i="1"/>
  <c r="L11" i="1"/>
  <c r="P28" i="1"/>
  <c r="O20" i="1"/>
  <c r="O21" i="1" s="1"/>
  <c r="O26" i="1"/>
  <c r="D20" i="2"/>
  <c r="N20" i="1"/>
  <c r="N21" i="1" s="1"/>
  <c r="N26" i="1"/>
  <c r="M29" i="1"/>
  <c r="D42" i="2"/>
  <c r="D49" i="2" s="1"/>
  <c r="D21" i="2"/>
  <c r="E21" i="2" s="1"/>
  <c r="F21" i="2" s="1"/>
  <c r="G21" i="2" s="1"/>
  <c r="H21" i="2" s="1"/>
  <c r="I21" i="2" s="1"/>
  <c r="M15" i="1"/>
  <c r="M51" i="1"/>
  <c r="M24" i="1"/>
  <c r="M28" i="1"/>
  <c r="L42" i="1"/>
  <c r="K42" i="1"/>
  <c r="K11" i="1"/>
  <c r="C11" i="2"/>
  <c r="C10" i="2"/>
  <c r="C60" i="2"/>
  <c r="B60" i="2"/>
  <c r="B13" i="2" s="1"/>
  <c r="B10" i="2"/>
  <c r="B11" i="2"/>
  <c r="C4" i="2"/>
  <c r="B11" i="1"/>
  <c r="B15" i="1"/>
  <c r="B24" i="1"/>
  <c r="F38" i="1"/>
  <c r="F35" i="1"/>
  <c r="F34" i="1" s="1"/>
  <c r="G38" i="1"/>
  <c r="G35" i="1"/>
  <c r="G34" i="1" s="1"/>
  <c r="E38" i="1"/>
  <c r="B45" i="2" s="1"/>
  <c r="H38" i="1"/>
  <c r="H35" i="1"/>
  <c r="H34" i="1" s="1"/>
  <c r="E35" i="1"/>
  <c r="E34" i="1" s="1"/>
  <c r="I11" i="1"/>
  <c r="G59" i="1"/>
  <c r="H59" i="1"/>
  <c r="I59" i="1"/>
  <c r="J59" i="1"/>
  <c r="I38" i="1"/>
  <c r="C45" i="2" s="1"/>
  <c r="I35" i="1"/>
  <c r="C42" i="2" s="1"/>
  <c r="J38" i="1"/>
  <c r="J35" i="1"/>
  <c r="J34" i="1" s="1"/>
  <c r="F17" i="1"/>
  <c r="C24" i="2" s="1"/>
  <c r="J17" i="1"/>
  <c r="D24" i="2" s="1"/>
  <c r="J15" i="1"/>
  <c r="N32" i="1" s="1"/>
  <c r="K28" i="1"/>
  <c r="G15" i="1"/>
  <c r="K32" i="1" s="1"/>
  <c r="H11" i="1"/>
  <c r="H15" i="1"/>
  <c r="I15" i="1"/>
  <c r="J52" i="1"/>
  <c r="J51" i="1"/>
  <c r="J43" i="1"/>
  <c r="F15" i="1"/>
  <c r="J31" i="1"/>
  <c r="J30" i="1"/>
  <c r="J29" i="1"/>
  <c r="C19" i="2"/>
  <c r="C20" i="2"/>
  <c r="C21" i="2"/>
  <c r="B19" i="2"/>
  <c r="B20" i="2"/>
  <c r="B21" i="2"/>
  <c r="C15" i="1"/>
  <c r="E15" i="1"/>
  <c r="D15" i="1"/>
  <c r="C46" i="2"/>
  <c r="C17" i="2"/>
  <c r="C26" i="2"/>
  <c r="I43" i="1"/>
  <c r="C43" i="2"/>
  <c r="C47" i="2"/>
  <c r="C29" i="2"/>
  <c r="E11" i="1"/>
  <c r="E24" i="1" s="1"/>
  <c r="B43" i="2"/>
  <c r="I52" i="1"/>
  <c r="H52" i="1"/>
  <c r="G52" i="1"/>
  <c r="F52" i="1"/>
  <c r="I51" i="1"/>
  <c r="H51" i="1"/>
  <c r="G51" i="1"/>
  <c r="F51" i="1"/>
  <c r="H43" i="1"/>
  <c r="B24" i="2"/>
  <c r="B46" i="2"/>
  <c r="B17" i="2"/>
  <c r="B26" i="2"/>
  <c r="B47" i="2"/>
  <c r="C11" i="1"/>
  <c r="C24" i="1" s="1"/>
  <c r="D11" i="1"/>
  <c r="E43" i="1"/>
  <c r="G43" i="1"/>
  <c r="F43" i="1"/>
  <c r="I31" i="1"/>
  <c r="I30" i="1"/>
  <c r="I29" i="1"/>
  <c r="F31" i="1"/>
  <c r="F30" i="1"/>
  <c r="F29" i="1"/>
  <c r="G31" i="1"/>
  <c r="G30" i="1"/>
  <c r="G29" i="1"/>
  <c r="H31" i="1"/>
  <c r="H30" i="1"/>
  <c r="H29" i="1"/>
  <c r="B29" i="2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D16" i="2" l="1"/>
  <c r="D18" i="2" s="1"/>
  <c r="E63" i="2"/>
  <c r="H62" i="2"/>
  <c r="D62" i="2"/>
  <c r="C13" i="2"/>
  <c r="B14" i="2"/>
  <c r="B16" i="2" s="1"/>
  <c r="C14" i="2"/>
  <c r="C63" i="2" s="1"/>
  <c r="B42" i="2"/>
  <c r="B41" i="2" s="1"/>
  <c r="Q15" i="1"/>
  <c r="Q29" i="1"/>
  <c r="E20" i="2"/>
  <c r="F20" i="2" s="1"/>
  <c r="G20" i="2" s="1"/>
  <c r="H20" i="2" s="1"/>
  <c r="I20" i="2" s="1"/>
  <c r="P20" i="2" s="1"/>
  <c r="D41" i="2"/>
  <c r="D22" i="2"/>
  <c r="D23" i="2" s="1"/>
  <c r="D25" i="2" s="1"/>
  <c r="P36" i="2"/>
  <c r="E35" i="2"/>
  <c r="Q36" i="2"/>
  <c r="I28" i="1"/>
  <c r="F28" i="1"/>
  <c r="F32" i="1"/>
  <c r="C16" i="1"/>
  <c r="C18" i="1" s="1"/>
  <c r="J11" i="1"/>
  <c r="J24" i="1" s="1"/>
  <c r="N28" i="1"/>
  <c r="H32" i="1"/>
  <c r="G11" i="1"/>
  <c r="E42" i="1"/>
  <c r="F11" i="1"/>
  <c r="H28" i="1"/>
  <c r="M32" i="1"/>
  <c r="H16" i="1"/>
  <c r="H18" i="1" s="1"/>
  <c r="L28" i="1"/>
  <c r="I42" i="1"/>
  <c r="L32" i="1"/>
  <c r="J32" i="1"/>
  <c r="G32" i="1"/>
  <c r="J28" i="1"/>
  <c r="G42" i="1"/>
  <c r="B16" i="1"/>
  <c r="B25" i="1" s="1"/>
  <c r="H42" i="1"/>
  <c r="G28" i="1"/>
  <c r="I32" i="1"/>
  <c r="C62" i="2"/>
  <c r="B49" i="2"/>
  <c r="M16" i="1"/>
  <c r="M18" i="1" s="1"/>
  <c r="L24" i="1"/>
  <c r="L16" i="1"/>
  <c r="K24" i="1"/>
  <c r="K16" i="1"/>
  <c r="C58" i="2"/>
  <c r="C57" i="2"/>
  <c r="D58" i="2"/>
  <c r="C37" i="2"/>
  <c r="C50" i="2"/>
  <c r="C41" i="2"/>
  <c r="C36" i="2"/>
  <c r="B22" i="2"/>
  <c r="C6" i="2"/>
  <c r="C7" i="2" s="1"/>
  <c r="I24" i="1"/>
  <c r="I16" i="1"/>
  <c r="D16" i="1"/>
  <c r="D24" i="1"/>
  <c r="D38" i="2"/>
  <c r="E16" i="1"/>
  <c r="J42" i="1"/>
  <c r="F42" i="1"/>
  <c r="I34" i="1"/>
  <c r="C38" i="2"/>
  <c r="B50" i="2"/>
  <c r="C49" i="2"/>
  <c r="C22" i="2"/>
  <c r="D57" i="2"/>
  <c r="H24" i="1"/>
  <c r="I62" i="2" l="1"/>
  <c r="D63" i="2"/>
  <c r="C16" i="2"/>
  <c r="C18" i="2" s="1"/>
  <c r="C31" i="2" s="1"/>
  <c r="H25" i="1"/>
  <c r="C35" i="2"/>
  <c r="J16" i="1"/>
  <c r="J18" i="1" s="1"/>
  <c r="Q32" i="1"/>
  <c r="Q16" i="1"/>
  <c r="P37" i="2"/>
  <c r="Q20" i="2"/>
  <c r="E24" i="2"/>
  <c r="R36" i="2"/>
  <c r="J25" i="1"/>
  <c r="B18" i="2"/>
  <c r="B31" i="2" s="1"/>
  <c r="C26" i="1"/>
  <c r="C20" i="1"/>
  <c r="C21" i="1" s="1"/>
  <c r="G24" i="1"/>
  <c r="G16" i="1"/>
  <c r="C25" i="1"/>
  <c r="F16" i="1"/>
  <c r="F24" i="1"/>
  <c r="B18" i="1"/>
  <c r="B26" i="1" s="1"/>
  <c r="D35" i="2"/>
  <c r="M25" i="1"/>
  <c r="M26" i="1"/>
  <c r="L25" i="1"/>
  <c r="L18" i="1"/>
  <c r="K25" i="1"/>
  <c r="K18" i="1"/>
  <c r="D25" i="1"/>
  <c r="D18" i="1"/>
  <c r="E58" i="2"/>
  <c r="E25" i="1"/>
  <c r="E18" i="1"/>
  <c r="D36" i="2"/>
  <c r="D39" i="2"/>
  <c r="I18" i="1"/>
  <c r="I25" i="1"/>
  <c r="C39" i="2"/>
  <c r="C23" i="2"/>
  <c r="E38" i="2"/>
  <c r="J20" i="1"/>
  <c r="J21" i="1" s="1"/>
  <c r="J26" i="1"/>
  <c r="D37" i="2"/>
  <c r="D31" i="2"/>
  <c r="E18" i="2" s="1"/>
  <c r="E17" i="2" s="1"/>
  <c r="H20" i="1"/>
  <c r="H21" i="1" s="1"/>
  <c r="H26" i="1"/>
  <c r="Q18" i="1" l="1"/>
  <c r="Q25" i="1"/>
  <c r="B23" i="2"/>
  <c r="B25" i="2" s="1"/>
  <c r="B33" i="2" s="1"/>
  <c r="Q37" i="2"/>
  <c r="R20" i="2"/>
  <c r="S36" i="2"/>
  <c r="B20" i="1"/>
  <c r="B21" i="1" s="1"/>
  <c r="F25" i="1"/>
  <c r="F18" i="1"/>
  <c r="G25" i="1"/>
  <c r="G18" i="1"/>
  <c r="B32" i="2"/>
  <c r="M20" i="1"/>
  <c r="P45" i="1" s="1"/>
  <c r="L26" i="1"/>
  <c r="L20" i="1"/>
  <c r="K26" i="1"/>
  <c r="K20" i="1"/>
  <c r="E37" i="2"/>
  <c r="B27" i="2"/>
  <c r="C25" i="2"/>
  <c r="C32" i="2"/>
  <c r="D26" i="1"/>
  <c r="D20" i="1"/>
  <c r="E36" i="2"/>
  <c r="E22" i="2"/>
  <c r="E39" i="2" s="1"/>
  <c r="E26" i="1"/>
  <c r="E20" i="1"/>
  <c r="F38" i="2"/>
  <c r="I26" i="1"/>
  <c r="I20" i="1"/>
  <c r="I21" i="1" s="1"/>
  <c r="Q20" i="1" l="1"/>
  <c r="Q21" i="1" s="1"/>
  <c r="Q26" i="1"/>
  <c r="P49" i="1"/>
  <c r="P46" i="1"/>
  <c r="P48" i="1"/>
  <c r="P47" i="1"/>
  <c r="R37" i="2"/>
  <c r="S20" i="2"/>
  <c r="O45" i="1"/>
  <c r="N45" i="1"/>
  <c r="N46" i="1" s="1"/>
  <c r="G26" i="1"/>
  <c r="G20" i="1"/>
  <c r="F26" i="1"/>
  <c r="F20" i="1"/>
  <c r="F21" i="1" s="1"/>
  <c r="M45" i="1"/>
  <c r="M47" i="1" s="1"/>
  <c r="J16" i="2"/>
  <c r="K16" i="2" s="1"/>
  <c r="L16" i="2" s="1"/>
  <c r="M16" i="2" s="1"/>
  <c r="N16" i="2" s="1"/>
  <c r="M21" i="1"/>
  <c r="L45" i="1"/>
  <c r="L21" i="1"/>
  <c r="K21" i="1"/>
  <c r="K45" i="1"/>
  <c r="F36" i="2"/>
  <c r="F22" i="2"/>
  <c r="F39" i="2" s="1"/>
  <c r="D21" i="1"/>
  <c r="C27" i="2"/>
  <c r="C33" i="2"/>
  <c r="E21" i="1"/>
  <c r="B28" i="2"/>
  <c r="B55" i="2"/>
  <c r="B54" i="2"/>
  <c r="B53" i="2"/>
  <c r="B52" i="2"/>
  <c r="E45" i="1"/>
  <c r="F35" i="2"/>
  <c r="F37" i="2"/>
  <c r="E31" i="2"/>
  <c r="F18" i="2" s="1"/>
  <c r="E23" i="2"/>
  <c r="G38" i="2"/>
  <c r="D32" i="2"/>
  <c r="M49" i="1" l="1"/>
  <c r="M48" i="1"/>
  <c r="N47" i="1"/>
  <c r="M46" i="1"/>
  <c r="N49" i="1"/>
  <c r="O49" i="1"/>
  <c r="O46" i="1"/>
  <c r="O47" i="1"/>
  <c r="O48" i="1"/>
  <c r="S37" i="2"/>
  <c r="N48" i="1"/>
  <c r="H45" i="1"/>
  <c r="H47" i="1" s="1"/>
  <c r="F45" i="1"/>
  <c r="F48" i="1" s="1"/>
  <c r="G45" i="1"/>
  <c r="G48" i="1" s="1"/>
  <c r="I45" i="1"/>
  <c r="I48" i="1" s="1"/>
  <c r="G21" i="1"/>
  <c r="J45" i="1"/>
  <c r="L49" i="1"/>
  <c r="L47" i="1"/>
  <c r="L48" i="1"/>
  <c r="L46" i="1"/>
  <c r="K48" i="1"/>
  <c r="K47" i="1"/>
  <c r="K49" i="1"/>
  <c r="K46" i="1"/>
  <c r="F23" i="2"/>
  <c r="F31" i="2"/>
  <c r="G18" i="2" s="1"/>
  <c r="G17" i="2" s="1"/>
  <c r="F17" i="2"/>
  <c r="H49" i="1"/>
  <c r="H46" i="1"/>
  <c r="H48" i="1"/>
  <c r="G35" i="2"/>
  <c r="G22" i="2"/>
  <c r="G39" i="2" s="1"/>
  <c r="G36" i="2"/>
  <c r="D33" i="2"/>
  <c r="D27" i="2"/>
  <c r="H38" i="2"/>
  <c r="G37" i="2"/>
  <c r="C55" i="2"/>
  <c r="C54" i="2"/>
  <c r="C53" i="2"/>
  <c r="C52" i="2"/>
  <c r="C28" i="2"/>
  <c r="E48" i="1"/>
  <c r="E47" i="1"/>
  <c r="E46" i="1"/>
  <c r="E49" i="1"/>
  <c r="E32" i="2"/>
  <c r="D28" i="2" l="1"/>
  <c r="D53" i="2"/>
  <c r="D54" i="2"/>
  <c r="D52" i="2"/>
  <c r="D55" i="2"/>
  <c r="F49" i="1"/>
  <c r="F46" i="1"/>
  <c r="F47" i="1"/>
  <c r="G49" i="1"/>
  <c r="I46" i="1"/>
  <c r="I49" i="1"/>
  <c r="I47" i="1"/>
  <c r="G46" i="1"/>
  <c r="G47" i="1"/>
  <c r="J46" i="1"/>
  <c r="J47" i="1"/>
  <c r="J49" i="1"/>
  <c r="J48" i="1"/>
  <c r="H35" i="2"/>
  <c r="H37" i="2"/>
  <c r="G23" i="2"/>
  <c r="G31" i="2"/>
  <c r="H18" i="2" s="1"/>
  <c r="I38" i="2"/>
  <c r="H22" i="2"/>
  <c r="H39" i="2" s="1"/>
  <c r="H36" i="2"/>
  <c r="F32" i="2"/>
  <c r="H31" i="2" l="1"/>
  <c r="I18" i="2" s="1"/>
  <c r="I17" i="2" s="1"/>
  <c r="H23" i="2"/>
  <c r="H17" i="2"/>
  <c r="I22" i="2"/>
  <c r="I39" i="2" s="1"/>
  <c r="I36" i="2"/>
  <c r="E25" i="2"/>
  <c r="J38" i="2"/>
  <c r="G32" i="2"/>
  <c r="I37" i="2"/>
  <c r="I35" i="2"/>
  <c r="E33" i="2" l="1"/>
  <c r="E27" i="2"/>
  <c r="J37" i="2"/>
  <c r="K38" i="2"/>
  <c r="J22" i="2"/>
  <c r="J39" i="2" s="1"/>
  <c r="J36" i="2"/>
  <c r="I23" i="2"/>
  <c r="I31" i="2"/>
  <c r="J18" i="2" s="1"/>
  <c r="H32" i="2"/>
  <c r="J35" i="2"/>
  <c r="E41" i="2" l="1"/>
  <c r="J23" i="2"/>
  <c r="J31" i="2"/>
  <c r="K18" i="2" s="1"/>
  <c r="J17" i="2"/>
  <c r="L38" i="2"/>
  <c r="K37" i="2"/>
  <c r="I32" i="2"/>
  <c r="K22" i="2"/>
  <c r="K39" i="2" s="1"/>
  <c r="K36" i="2"/>
  <c r="K35" i="2"/>
  <c r="K31" i="2" l="1"/>
  <c r="L18" i="2" s="1"/>
  <c r="K23" i="2"/>
  <c r="L35" i="2"/>
  <c r="K17" i="2"/>
  <c r="L22" i="2"/>
  <c r="L39" i="2" s="1"/>
  <c r="L36" i="2"/>
  <c r="L37" i="2"/>
  <c r="M38" i="2"/>
  <c r="E28" i="2"/>
  <c r="J32" i="2"/>
  <c r="N38" i="2" l="1"/>
  <c r="L23" i="2"/>
  <c r="L31" i="2"/>
  <c r="M18" i="2" s="1"/>
  <c r="M17" i="2" s="1"/>
  <c r="K32" i="2"/>
  <c r="M37" i="2"/>
  <c r="M22" i="2"/>
  <c r="M39" i="2" s="1"/>
  <c r="M36" i="2"/>
  <c r="M35" i="2"/>
  <c r="L17" i="2"/>
  <c r="F24" i="2"/>
  <c r="F25" i="2" s="1"/>
  <c r="O38" i="2" l="1"/>
  <c r="O16" i="2"/>
  <c r="P16" i="2" s="1"/>
  <c r="N35" i="2"/>
  <c r="M23" i="2"/>
  <c r="M31" i="2"/>
  <c r="N18" i="2" s="1"/>
  <c r="N36" i="2"/>
  <c r="N22" i="2"/>
  <c r="N39" i="2" s="1"/>
  <c r="O37" i="2"/>
  <c r="N37" i="2"/>
  <c r="L32" i="2"/>
  <c r="F33" i="2"/>
  <c r="Q16" i="2" l="1"/>
  <c r="P35" i="2"/>
  <c r="P38" i="2"/>
  <c r="P22" i="2"/>
  <c r="F27" i="2"/>
  <c r="N31" i="2"/>
  <c r="O18" i="2" s="1"/>
  <c r="N23" i="2"/>
  <c r="N17" i="2"/>
  <c r="O22" i="2"/>
  <c r="O36" i="2"/>
  <c r="M32" i="2"/>
  <c r="O35" i="2"/>
  <c r="Q38" i="2" l="1"/>
  <c r="Q22" i="2"/>
  <c r="Q39" i="2" s="1"/>
  <c r="Q35" i="2"/>
  <c r="R16" i="2"/>
  <c r="O39" i="2"/>
  <c r="P39" i="2"/>
  <c r="F41" i="2"/>
  <c r="G24" i="2" s="1"/>
  <c r="G25" i="2" s="1"/>
  <c r="F28" i="2"/>
  <c r="O31" i="2"/>
  <c r="P18" i="2" s="1"/>
  <c r="O23" i="2"/>
  <c r="O17" i="2"/>
  <c r="N32" i="2"/>
  <c r="P31" i="2" l="1"/>
  <c r="Q18" i="2" s="1"/>
  <c r="P23" i="2"/>
  <c r="P32" i="2" s="1"/>
  <c r="P17" i="2"/>
  <c r="R35" i="2"/>
  <c r="S16" i="2"/>
  <c r="R38" i="2"/>
  <c r="R22" i="2"/>
  <c r="R39" i="2" s="1"/>
  <c r="O32" i="2"/>
  <c r="G33" i="2"/>
  <c r="S38" i="2" l="1"/>
  <c r="S22" i="2"/>
  <c r="S39" i="2" s="1"/>
  <c r="S35" i="2"/>
  <c r="Q31" i="2"/>
  <c r="R18" i="2" s="1"/>
  <c r="Q23" i="2"/>
  <c r="Q32" i="2" s="1"/>
  <c r="Q17" i="2"/>
  <c r="G27" i="2"/>
  <c r="R31" i="2" l="1"/>
  <c r="S18" i="2" s="1"/>
  <c r="R23" i="2"/>
  <c r="R32" i="2" s="1"/>
  <c r="R17" i="2"/>
  <c r="G28" i="2"/>
  <c r="G41" i="2"/>
  <c r="H24" i="2" s="1"/>
  <c r="H25" i="2" s="1"/>
  <c r="H26" i="2" s="1"/>
  <c r="S31" i="2" l="1"/>
  <c r="S23" i="2"/>
  <c r="S32" i="2" s="1"/>
  <c r="S17" i="2"/>
  <c r="H33" i="2"/>
  <c r="H27" i="2" l="1"/>
  <c r="H28" i="2" l="1"/>
  <c r="H41" i="2"/>
  <c r="I24" i="2" l="1"/>
  <c r="I25" i="2" s="1"/>
  <c r="I26" i="2" s="1"/>
  <c r="I33" i="2" l="1"/>
  <c r="I27" i="2" l="1"/>
  <c r="I28" i="2" s="1"/>
  <c r="I41" i="2" l="1"/>
  <c r="J24" i="2"/>
  <c r="J25" i="2" s="1"/>
  <c r="J26" i="2" s="1"/>
  <c r="J33" i="2" l="1"/>
  <c r="J27" i="2" l="1"/>
  <c r="J28" i="2" s="1"/>
  <c r="J41" i="2" l="1"/>
  <c r="K24" i="2" s="1"/>
  <c r="K25" i="2" s="1"/>
  <c r="K26" i="2" s="1"/>
  <c r="K33" i="2" l="1"/>
  <c r="K27" i="2"/>
  <c r="K28" i="2" l="1"/>
  <c r="K41" i="2"/>
  <c r="L24" i="2" l="1"/>
  <c r="L25" i="2" s="1"/>
  <c r="L26" i="2" s="1"/>
  <c r="L33" i="2" l="1"/>
  <c r="L27" i="2" l="1"/>
  <c r="L28" i="2" l="1"/>
  <c r="L41" i="2"/>
  <c r="M24" i="2" l="1"/>
  <c r="M25" i="2" s="1"/>
  <c r="M26" i="2" s="1"/>
  <c r="M33" i="2" l="1"/>
  <c r="M27" i="2"/>
  <c r="M28" i="2" l="1"/>
  <c r="M41" i="2"/>
  <c r="N24" i="2" l="1"/>
  <c r="N25" i="2" s="1"/>
  <c r="N26" i="2" s="1"/>
  <c r="N33" i="2" l="1"/>
  <c r="N27" i="2" l="1"/>
  <c r="N28" i="2" l="1"/>
  <c r="N41" i="2"/>
  <c r="O24" i="2" l="1"/>
  <c r="O25" i="2" s="1"/>
  <c r="O26" i="2" s="1"/>
  <c r="O33" i="2" l="1"/>
  <c r="O27" i="2" l="1"/>
  <c r="O28" i="2" l="1"/>
  <c r="O41" i="2"/>
  <c r="P24" i="2" l="1"/>
  <c r="P25" i="2" s="1"/>
  <c r="P26" i="2" l="1"/>
  <c r="P33" i="2" s="1"/>
  <c r="P27" i="2"/>
  <c r="P28" i="2" l="1"/>
  <c r="P41" i="2"/>
  <c r="Q24" i="2" l="1"/>
  <c r="Q25" i="2" s="1"/>
  <c r="Q26" i="2" l="1"/>
  <c r="Q33" i="2" s="1"/>
  <c r="Q27" i="2"/>
  <c r="Q28" i="2" l="1"/>
  <c r="Q41" i="2"/>
  <c r="R24" i="2" l="1"/>
  <c r="R25" i="2" s="1"/>
  <c r="R26" i="2" l="1"/>
  <c r="R33" i="2" s="1"/>
  <c r="R27" i="2"/>
  <c r="R28" i="2" l="1"/>
  <c r="R41" i="2"/>
  <c r="S24" i="2" l="1"/>
  <c r="S25" i="2" s="1"/>
  <c r="S26" i="2" l="1"/>
  <c r="S33" i="2" s="1"/>
  <c r="S27" i="2"/>
  <c r="T27" i="2" s="1"/>
  <c r="S28" i="2" l="1"/>
  <c r="S41" i="2"/>
  <c r="U27" i="2" l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<sst xmlns="http://schemas.openxmlformats.org/spreadsheetml/2006/main" count="139" uniqueCount="90">
  <si>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</si>
  <si>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</si>
  <si>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</si>
  <si>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</si>
  <si>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</si>
  <si>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</si>
  <si>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</si>
  <si>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</si>
  <si>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</si>
  <si>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</si>
  <si>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</si>
  <si>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</si>
  <si>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</si>
  <si>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</si>
  <si>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</si>
  <si>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</si>
  <si>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</si>
  <si>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</si>
  <si>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</si>
  <si>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</si>
  <si>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</si>
  <si>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</si>
  <si>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</si>
  <si>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</si>
  <si>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</si>
  <si>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</si>
  <si>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</si>
  <si>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</si>
  <si>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</si>
  <si>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</si>
  <si>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</si>
  <si>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</si>
  <si>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</si>
  <si>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</si>
  <si>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</si>
  <si>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</si>
  <si>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</si>
  <si>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</si>
  <si>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</si>
  <si>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</si>
  <si>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</si>
  <si>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</si>
  <si>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</si>
  <si>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</si>
  <si>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</si>
  <si>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</si>
  <si>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</si>
  <si>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</si>
  <si>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</si>
  <si>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</si>
  <si>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</si>
  <si>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</si>
  <si>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</si>
  <si>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</si>
  <si>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</si>
  <si>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DAU y/y</t>
  </si>
  <si>
    <t>ARPU y/y</t>
  </si>
  <si>
    <t>Q120</t>
  </si>
  <si>
    <t>Q220</t>
  </si>
  <si>
    <t>Q320</t>
  </si>
  <si>
    <t>Q420</t>
  </si>
  <si>
    <t>Subscription</t>
  </si>
  <si>
    <t>Services</t>
  </si>
  <si>
    <t>30/4/2018</t>
  </si>
  <si>
    <t>Subscription y/y</t>
  </si>
  <si>
    <t>Services y/y</t>
  </si>
  <si>
    <t>Customers</t>
  </si>
  <si>
    <t>31/1/2019</t>
  </si>
  <si>
    <t>31/10/2018</t>
  </si>
  <si>
    <t>31/7/2018</t>
  </si>
  <si>
    <t>31/1/2018</t>
  </si>
  <si>
    <t>31/10/2017</t>
  </si>
  <si>
    <t>31/7/2017</t>
  </si>
  <si>
    <t>30/4/2017</t>
  </si>
  <si>
    <t>Customers y/y</t>
  </si>
  <si>
    <t>Dev Ittycheria</t>
  </si>
  <si>
    <t>Kevin P. Ryan</t>
  </si>
  <si>
    <t>Dwight Merriman</t>
  </si>
  <si>
    <t>OE y/y</t>
  </si>
  <si>
    <t>Q121</t>
  </si>
  <si>
    <t>Q221</t>
  </si>
  <si>
    <t>Q321</t>
  </si>
  <si>
    <t>Q421</t>
  </si>
  <si>
    <t>PRODUCTS</t>
  </si>
  <si>
    <t>MongoDB Enterprise Advanced</t>
  </si>
  <si>
    <t>MongoDB Atlas</t>
  </si>
  <si>
    <t>44% of total revenue Q221</t>
  </si>
  <si>
    <t>ARPC</t>
  </si>
  <si>
    <t>ARPC y/y</t>
  </si>
  <si>
    <t>MongoDB Inc (MDB)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</si>
</sst>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9" fontId="7" fillId="0" borderId="0" xfId="0" applyNumberFormat="1" applyFont="1" applyBorder="1"/>
    <xf numFmtId="166" fontId="6" fillId="0" borderId="0" xfId="0" applyNumberFormat="1" applyFont="1" applyBorder="1"/>
    <xf numFmtId="14" fontId="6" fillId="0" borderId="1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0" fontId="4" fillId="0" borderId="0" xfId="4" applyFont="1" applyBorder="1" applyAlignment="1">
      <alignment horizontal="left"/>
    </xf>
    <xf numFmtId="0" fontId="8" fillId="0" borderId="0" xfId="0" applyFont="1"/>
    <xf numFmtId="3" fontId="6" fillId="0" borderId="1" xfId="0" applyNumberFormat="1" applyFont="1" applyBorder="1"/>
    <xf numFmtId="0" fontId="6" fillId="0" borderId="1" xfId="0" applyFont="1" applyBorder="1"/>
    <xf numFmtId="9" fontId="6" fillId="0" borderId="1" xfId="0" applyNumberFormat="1" applyFont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6" fontId="6" fillId="0" borderId="1" xfId="0" applyNumberFormat="1" applyFont="1" applyBorder="1" applyAlignment="1">
      <alignment horizontal="right"/>
    </xf>
    <xf numFmtId="166" fontId="6" fillId="0" borderId="0" xfId="0" applyNumberFormat="1" applyFont="1" applyBorder="1" applyAlignment="1">
      <alignment horizontal="right"/>
    </xf>
    <xf numFmtId="166" fontId="6" fillId="0" borderId="0" xfId="0" applyNumberFormat="1" applyFont="1"/>
    <xf numFmtId="0" fontId="4" fillId="0" borderId="0" xfId="4"/>
    <xf numFmtId="3" fontId="7" fillId="0" borderId="0" xfId="0" applyNumberFormat="1" applyFont="1" applyAlignment="1">
      <alignment horizontal="right"/>
    </xf>
    <xf numFmtId="3" fontId="7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7</xdr:row>
      <xdr:rowOff>152400</xdr:rowOff>
    </xdr:from>
    <xdr:to>
      <xdr:col>4</xdr:col>
      <xdr:colOff>241300</xdr:colOff>
      <xdr:row>63</xdr:row>
      <xdr:rowOff>158750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051300" y="1337733"/>
          <a:ext cx="0" cy="948901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152400</xdr:rowOff>
    </xdr:from>
    <xdr:to>
      <xdr:col>16</xdr:col>
      <xdr:colOff>209550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925550" y="152400"/>
          <a:ext cx="0" cy="101769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kevinryan" TargetMode="External"/><Relationship Id="rId2" Type="http://schemas.openxmlformats.org/officeDocument/2006/relationships/hyperlink" Target="https://twitter.com/dittycheria" TargetMode="External"/><Relationship Id="rId1" Type="http://schemas.openxmlformats.org/officeDocument/2006/relationships/hyperlink" Target="https://investors.mongodb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twitter.com/dmer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M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63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26" sqref="F26"/>
    </sheetView>
  </sheetViews>
  <sheetFormatPr baseColWidth="10" defaultRowHeight="13" x14ac:dyDescent="0.15"/>
  <cols>
    <col min="1" max="1" width="17.5" style="3" bestFit="1" customWidth="1"/>
    <col min="2" max="16384" width="10.83203125" style="3"/>
  </cols>
  <sheetData>
    <row r="1" spans="1:119" x14ac:dyDescent="0.15">
      <c r="A1" s="1" t="s">
        <v>54</v>
      </c>
      <c r="B1" s="2" t="s">
        <v>89</v>
      </c>
    </row>
    <row r="2" spans="1:119" x14ac:dyDescent="0.15">
      <c r="B2" s="3" t="s">
        <v>36</v>
      </c>
      <c r="C2" s="4">
        <v>401.98</v>
      </c>
      <c r="D2" s="66">
        <v>44245</v>
      </c>
      <c r="E2" s="6" t="s">
        <v>21</v>
      </c>
      <c r="F2" s="7">
        <v>0.01</v>
      </c>
      <c r="I2" s="15"/>
      <c r="J2" s="2"/>
    </row>
    <row r="3" spans="1:119" x14ac:dyDescent="0.15">
      <c r="A3" s="2" t="s">
        <v>34</v>
      </c>
      <c r="B3" s="3" t="s">
        <v>13</v>
      </c>
      <c r="C3" s="8">
        <f>Reports!P22</f>
        <v>59.368167</v>
      </c>
      <c r="D3" s="67" t="s">
        <v>81</v>
      </c>
      <c r="E3" s="6" t="s">
        <v>22</v>
      </c>
      <c r="F3" s="7">
        <v>0.05</v>
      </c>
      <c r="G3" s="5"/>
      <c r="I3" s="15"/>
    </row>
    <row r="4" spans="1:119" x14ac:dyDescent="0.15">
      <c r="A4" s="71" t="s">
        <v>75</v>
      </c>
      <c r="B4" s="3" t="s">
        <v>37</v>
      </c>
      <c r="C4" s="9">
        <f>C2*C3</f>
        <v>23864.81577066</v>
      </c>
      <c r="D4" s="67"/>
      <c r="E4" s="6" t="s">
        <v>23</v>
      </c>
      <c r="F4" s="7">
        <f>6%</f>
        <v>0.06</v>
      </c>
      <c r="G4" s="5"/>
      <c r="I4" s="25"/>
    </row>
    <row r="5" spans="1:119" x14ac:dyDescent="0.15">
      <c r="B5" s="3" t="s">
        <v>18</v>
      </c>
      <c r="C5" s="8">
        <f>Reports!P34</f>
        <v>19</v>
      </c>
      <c r="D5" s="67" t="s">
        <v>81</v>
      </c>
      <c r="E5" s="6" t="s">
        <v>24</v>
      </c>
      <c r="F5" s="10">
        <f>NPV(F4,E27:DO27)</f>
        <v>16293.125991834833</v>
      </c>
      <c r="G5" s="5"/>
      <c r="I5" s="25"/>
    </row>
    <row r="6" spans="1:119" x14ac:dyDescent="0.15">
      <c r="A6" s="2" t="s">
        <v>35</v>
      </c>
      <c r="B6" s="3" t="s">
        <v>38</v>
      </c>
      <c r="C6" s="9">
        <f>C4-C5</f>
        <v>23845.81577066</v>
      </c>
      <c r="D6" s="67"/>
      <c r="E6" s="11" t="s">
        <v>25</v>
      </c>
      <c r="F6" s="12">
        <f>F5+C5</f>
        <v>16312.125991834833</v>
      </c>
      <c r="I6" s="25"/>
    </row>
    <row r="7" spans="1:119" x14ac:dyDescent="0.15">
      <c r="A7" s="71" t="s">
        <v>76</v>
      </c>
      <c r="B7" s="5" t="s">
        <v>39</v>
      </c>
      <c r="C7" s="54">
        <f>C6/C3</f>
        <v>401.65996316948775</v>
      </c>
      <c r="D7" s="67"/>
      <c r="E7" s="13" t="s">
        <v>39</v>
      </c>
      <c r="F7" s="53">
        <f>F6/C3</f>
        <v>274.76216322856715</v>
      </c>
      <c r="G7" s="25">
        <f>F7/C2-1</f>
        <v>-0.31647802570136041</v>
      </c>
    </row>
    <row r="8" spans="1:119" x14ac:dyDescent="0.15">
      <c r="A8" s="71" t="s">
        <v>77</v>
      </c>
      <c r="C8" s="6"/>
      <c r="D8" s="14"/>
    </row>
    <row r="9" spans="1:119" x14ac:dyDescent="0.15">
      <c r="B9" s="3">
        <v>2018</v>
      </c>
      <c r="C9" s="3">
        <f t="shared" ref="C9:N9" si="0">B9+1</f>
        <v>2019</v>
      </c>
      <c r="D9" s="3">
        <f t="shared" si="0"/>
        <v>2020</v>
      </c>
      <c r="E9" s="3">
        <f t="shared" si="0"/>
        <v>2021</v>
      </c>
      <c r="F9" s="3">
        <f t="shared" si="0"/>
        <v>2022</v>
      </c>
      <c r="G9" s="3">
        <f t="shared" si="0"/>
        <v>2023</v>
      </c>
      <c r="H9" s="3">
        <f t="shared" si="0"/>
        <v>2024</v>
      </c>
      <c r="I9" s="3">
        <f t="shared" si="0"/>
        <v>2025</v>
      </c>
      <c r="J9" s="3">
        <f t="shared" si="0"/>
        <v>2026</v>
      </c>
      <c r="K9" s="3">
        <f t="shared" si="0"/>
        <v>2027</v>
      </c>
      <c r="L9" s="3">
        <f t="shared" si="0"/>
        <v>2028</v>
      </c>
      <c r="M9" s="3">
        <f t="shared" si="0"/>
        <v>2029</v>
      </c>
      <c r="N9" s="3">
        <f t="shared" si="0"/>
        <v>2030</v>
      </c>
      <c r="O9" s="3">
        <v>2031</v>
      </c>
      <c r="P9" s="3">
        <f t="shared" ref="P9" si="1">O9+1</f>
        <v>2032</v>
      </c>
      <c r="Q9" s="3">
        <f t="shared" ref="Q9" si="2">P9+1</f>
        <v>2033</v>
      </c>
      <c r="R9" s="3">
        <f t="shared" ref="R9" si="3">Q9+1</f>
        <v>2034</v>
      </c>
      <c r="S9" s="3">
        <f t="shared" ref="S9" si="4">R9+1</f>
        <v>2035</v>
      </c>
    </row>
    <row r="10" spans="1:119" x14ac:dyDescent="0.15">
      <c r="A10" s="3" t="s">
        <v>61</v>
      </c>
      <c r="B10" s="15">
        <f>SUM(Reports!B3:E3)</f>
        <v>146.101</v>
      </c>
      <c r="C10" s="15">
        <f>SUM(Reports!F3:I3)</f>
        <v>238.72400000000002</v>
      </c>
      <c r="D10" s="15">
        <f>SUM(Reports!J3:M3)</f>
        <v>386.81560000000002</v>
      </c>
      <c r="E10" s="15">
        <f>D10*1.45</f>
        <v>560.88261999999997</v>
      </c>
      <c r="F10" s="15">
        <f t="shared" ref="F10:I10" si="5">E10*1.45</f>
        <v>813.27979899999991</v>
      </c>
      <c r="G10" s="15">
        <f t="shared" si="5"/>
        <v>1179.2557085499998</v>
      </c>
      <c r="H10" s="15">
        <f t="shared" si="5"/>
        <v>1709.9207773974997</v>
      </c>
      <c r="I10" s="15">
        <f t="shared" si="5"/>
        <v>2479.3851272263746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</row>
    <row r="11" spans="1:119" x14ac:dyDescent="0.15">
      <c r="A11" s="3" t="s">
        <v>62</v>
      </c>
      <c r="B11" s="15">
        <f>SUM(Reports!B4:E4)</f>
        <v>13.428000000000001</v>
      </c>
      <c r="C11" s="15">
        <f>SUM(Reports!F4:I4)</f>
        <v>18.374000000000002</v>
      </c>
      <c r="D11" s="15">
        <f>SUM(Reports!J4:M4)</f>
        <v>22.2164</v>
      </c>
      <c r="E11" s="15">
        <f>D11*1.15</f>
        <v>25.548859999999998</v>
      </c>
      <c r="F11" s="15">
        <f t="shared" ref="F11:I11" si="6">E11*1.15</f>
        <v>29.381188999999996</v>
      </c>
      <c r="G11" s="15">
        <f t="shared" si="6"/>
        <v>33.788367349999994</v>
      </c>
      <c r="H11" s="15">
        <f t="shared" si="6"/>
        <v>38.856622452499991</v>
      </c>
      <c r="I11" s="15">
        <f t="shared" si="6"/>
        <v>44.685115820374989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</row>
    <row r="12" spans="1:119" x14ac:dyDescent="0.15">
      <c r="B12" s="15"/>
      <c r="C12" s="15"/>
      <c r="D12" s="15"/>
      <c r="E12" s="15"/>
      <c r="F12" s="15"/>
      <c r="G12" s="15"/>
    </row>
    <row r="13" spans="1:119" s="70" customFormat="1" x14ac:dyDescent="0.15">
      <c r="A13" s="70" t="s">
        <v>66</v>
      </c>
      <c r="B13" s="70">
        <f>B60/1000000</f>
        <v>5.7000000000000002E-3</v>
      </c>
      <c r="C13" s="70">
        <f>C60/1000000</f>
        <v>1.34E-2</v>
      </c>
      <c r="D13" s="70">
        <f>D60/1000000</f>
        <v>1.5900000000000001E-2</v>
      </c>
      <c r="E13" s="70">
        <f>E60/1000000</f>
        <v>2.3054999999999999E-2</v>
      </c>
      <c r="F13" s="70">
        <f>F60/1000000</f>
        <v>3.2276999999999993E-2</v>
      </c>
      <c r="G13" s="70">
        <f t="shared" ref="G13:I13" si="7">G60/1000000</f>
        <v>4.357395E-2</v>
      </c>
      <c r="H13" s="70">
        <f t="shared" si="7"/>
        <v>5.6646134999999993E-2</v>
      </c>
      <c r="I13" s="70">
        <f t="shared" si="7"/>
        <v>7.0807668749999997E-2</v>
      </c>
    </row>
    <row r="14" spans="1:119" s="15" customFormat="1" x14ac:dyDescent="0.15">
      <c r="A14" s="15" t="s">
        <v>87</v>
      </c>
      <c r="B14" s="50">
        <f>SUM(B10:B11)/B13</f>
        <v>27987.543859649122</v>
      </c>
      <c r="C14" s="50">
        <f>SUM(C10:C11)/C13</f>
        <v>19186.417910447763</v>
      </c>
      <c r="D14" s="50">
        <f>SUM(D10:D11)/D13</f>
        <v>25725.283018867925</v>
      </c>
      <c r="E14" s="15">
        <f>SUM(Reports!N7:Q7)</f>
        <v>27210.780102780147</v>
      </c>
      <c r="F14" s="15">
        <f>E14*1.02</f>
        <v>27754.99570483575</v>
      </c>
      <c r="G14" s="15">
        <f t="shared" ref="G14:I14" si="8">F14*1.02</f>
        <v>28310.095618932464</v>
      </c>
      <c r="H14" s="15">
        <f t="shared" si="8"/>
        <v>28876.297531311113</v>
      </c>
      <c r="I14" s="15">
        <f t="shared" si="8"/>
        <v>29453.823481937336</v>
      </c>
    </row>
    <row r="15" spans="1:119" s="5" customFormat="1" x14ac:dyDescent="0.15">
      <c r="D15" s="72">
        <v>407</v>
      </c>
      <c r="E15" s="73">
        <v>574</v>
      </c>
      <c r="F15" s="73"/>
      <c r="G15" s="73"/>
    </row>
    <row r="16" spans="1:119" x14ac:dyDescent="0.15">
      <c r="A16" s="2" t="s">
        <v>0</v>
      </c>
      <c r="B16" s="16">
        <f>B13*B14</f>
        <v>159.529</v>
      </c>
      <c r="C16" s="16">
        <f>C13*C14</f>
        <v>257.09800000000001</v>
      </c>
      <c r="D16" s="16">
        <f>D13*D14</f>
        <v>409.03200000000004</v>
      </c>
      <c r="E16" s="17">
        <f>E14*E13</f>
        <v>627.34453526959624</v>
      </c>
      <c r="F16" s="17">
        <f>F14*F13</f>
        <v>895.84799636498326</v>
      </c>
      <c r="G16" s="17">
        <f>G14*G13</f>
        <v>1233.5826909945822</v>
      </c>
      <c r="H16" s="17">
        <f>H14*H13</f>
        <v>1635.7306482588158</v>
      </c>
      <c r="I16" s="17">
        <f>I14*I13</f>
        <v>2085.5565765299903</v>
      </c>
      <c r="J16" s="17">
        <f>I16*1.2</f>
        <v>2502.667891835988</v>
      </c>
      <c r="K16" s="17">
        <f t="shared" ref="K16:N16" si="9">J16*1.2</f>
        <v>3003.2014702031856</v>
      </c>
      <c r="L16" s="17">
        <f t="shared" si="9"/>
        <v>3603.8417642438226</v>
      </c>
      <c r="M16" s="17">
        <f t="shared" si="9"/>
        <v>4324.6101170925867</v>
      </c>
      <c r="N16" s="17">
        <f t="shared" si="9"/>
        <v>5189.5321405111035</v>
      </c>
      <c r="O16" s="17">
        <f t="shared" ref="O16" si="10">N16*1.1</f>
        <v>5708.4853545622145</v>
      </c>
      <c r="P16" s="17">
        <f t="shared" ref="P16" si="11">O16*1.1</f>
        <v>6279.3338900184363</v>
      </c>
      <c r="Q16" s="17">
        <f t="shared" ref="Q16" si="12">P16*1.1</f>
        <v>6907.2672790202805</v>
      </c>
      <c r="R16" s="17">
        <f t="shared" ref="R16" si="13">Q16*1.1</f>
        <v>7597.9940069223094</v>
      </c>
      <c r="S16" s="17">
        <f t="shared" ref="S16" si="14">R16*1.1</f>
        <v>8357.7934076145411</v>
      </c>
    </row>
    <row r="17" spans="1:119" x14ac:dyDescent="0.15">
      <c r="A17" s="3" t="s">
        <v>1</v>
      </c>
      <c r="B17" s="15">
        <f>SUM(Reports!B10:E10)</f>
        <v>42.858999999999995</v>
      </c>
      <c r="C17" s="8">
        <f>SUM(Reports!F10:I10)</f>
        <v>73.568000000000012</v>
      </c>
      <c r="D17" s="15">
        <f>SUM(Reports!J10:M10)</f>
        <v>122.172</v>
      </c>
      <c r="E17" s="8">
        <f>E16-E18</f>
        <v>187.3788274828305</v>
      </c>
      <c r="F17" s="8">
        <f t="shared" ref="F17" si="15">F16-F18</f>
        <v>267.57696564548189</v>
      </c>
      <c r="G17" s="8">
        <f t="shared" ref="G17:O17" si="16">G16-G18</f>
        <v>368.45348169382862</v>
      </c>
      <c r="H17" s="8">
        <f t="shared" si="16"/>
        <v>488.56931672601672</v>
      </c>
      <c r="I17" s="8">
        <f t="shared" si="16"/>
        <v>622.92587882567136</v>
      </c>
      <c r="J17" s="8">
        <f t="shared" si="16"/>
        <v>747.51105459080554</v>
      </c>
      <c r="K17" s="8">
        <f t="shared" si="16"/>
        <v>897.01326550896647</v>
      </c>
      <c r="L17" s="8">
        <f t="shared" si="16"/>
        <v>1076.4159186107595</v>
      </c>
      <c r="M17" s="8">
        <f t="shared" si="16"/>
        <v>1291.6991023329115</v>
      </c>
      <c r="N17" s="8">
        <f t="shared" si="16"/>
        <v>1550.0389227994933</v>
      </c>
      <c r="O17" s="8">
        <f t="shared" si="16"/>
        <v>1705.0428150794428</v>
      </c>
      <c r="P17" s="8">
        <f t="shared" ref="P17:S17" si="17">P16-P18</f>
        <v>1875.5470965873874</v>
      </c>
      <c r="Q17" s="8">
        <f t="shared" si="17"/>
        <v>2063.1018062461262</v>
      </c>
      <c r="R17" s="8">
        <f t="shared" si="17"/>
        <v>2269.4119868707394</v>
      </c>
      <c r="S17" s="8">
        <f t="shared" si="17"/>
        <v>2496.353185557813</v>
      </c>
    </row>
    <row r="18" spans="1:119" x14ac:dyDescent="0.15">
      <c r="A18" s="3" t="s">
        <v>2</v>
      </c>
      <c r="B18" s="9">
        <f>B16-B17</f>
        <v>116.67</v>
      </c>
      <c r="C18" s="9">
        <f>C16-C17</f>
        <v>183.53</v>
      </c>
      <c r="D18" s="9">
        <f>D16-D17</f>
        <v>286.86</v>
      </c>
      <c r="E18" s="8">
        <f>E16*D31</f>
        <v>439.96570778676573</v>
      </c>
      <c r="F18" s="8">
        <f t="shared" ref="F18:O18" si="18">F16*E31</f>
        <v>628.27103071950137</v>
      </c>
      <c r="G18" s="8">
        <f t="shared" si="18"/>
        <v>865.12920930075359</v>
      </c>
      <c r="H18" s="8">
        <f t="shared" si="18"/>
        <v>1147.1613315327991</v>
      </c>
      <c r="I18" s="8">
        <f t="shared" si="18"/>
        <v>1462.6306977043189</v>
      </c>
      <c r="J18" s="8">
        <f t="shared" si="18"/>
        <v>1755.1568372451825</v>
      </c>
      <c r="K18" s="8">
        <f t="shared" si="18"/>
        <v>2106.1882046942192</v>
      </c>
      <c r="L18" s="8">
        <f t="shared" si="18"/>
        <v>2527.4258456330631</v>
      </c>
      <c r="M18" s="8">
        <f t="shared" si="18"/>
        <v>3032.9110147596753</v>
      </c>
      <c r="N18" s="8">
        <f t="shared" si="18"/>
        <v>3639.4932177116102</v>
      </c>
      <c r="O18" s="8">
        <f t="shared" si="18"/>
        <v>4003.4425394827717</v>
      </c>
      <c r="P18" s="8">
        <f t="shared" ref="P18" si="19">P16*O31</f>
        <v>4403.7867934310489</v>
      </c>
      <c r="Q18" s="8">
        <f t="shared" ref="Q18" si="20">Q16*P31</f>
        <v>4844.1654727741543</v>
      </c>
      <c r="R18" s="8">
        <f t="shared" ref="R18" si="21">R16*Q31</f>
        <v>5328.58202005157</v>
      </c>
      <c r="S18" s="8">
        <f t="shared" ref="S18" si="22">S16*R31</f>
        <v>5861.4402220567281</v>
      </c>
    </row>
    <row r="19" spans="1:119" x14ac:dyDescent="0.15">
      <c r="A19" s="3" t="s">
        <v>3</v>
      </c>
      <c r="B19" s="15">
        <f>SUM(Reports!B12:E12)</f>
        <v>62.201999999999998</v>
      </c>
      <c r="C19" s="8">
        <f>SUM(Reports!F12:I12)</f>
        <v>89.854000000000013</v>
      </c>
      <c r="D19" s="15">
        <f>SUM(Reports!J12:M12)</f>
        <v>149.428</v>
      </c>
      <c r="E19" s="8">
        <f>D19*1.3</f>
        <v>194.25640000000001</v>
      </c>
      <c r="F19" s="8">
        <f t="shared" ref="F19:I19" si="23">E19*1.3</f>
        <v>252.53332000000003</v>
      </c>
      <c r="G19" s="8">
        <f t="shared" si="23"/>
        <v>328.29331600000006</v>
      </c>
      <c r="H19" s="8">
        <f t="shared" si="23"/>
        <v>426.78131080000009</v>
      </c>
      <c r="I19" s="8">
        <f t="shared" si="23"/>
        <v>554.81570404000013</v>
      </c>
      <c r="J19" s="8">
        <f>I19*1.2</f>
        <v>665.77884484800018</v>
      </c>
      <c r="K19" s="8">
        <f t="shared" ref="K19:N19" si="24">J19*1.2</f>
        <v>798.93461381760017</v>
      </c>
      <c r="L19" s="8">
        <f t="shared" si="24"/>
        <v>958.72153658112018</v>
      </c>
      <c r="M19" s="8">
        <f t="shared" si="24"/>
        <v>1150.4658438973443</v>
      </c>
      <c r="N19" s="8">
        <f t="shared" si="24"/>
        <v>1380.5590126768132</v>
      </c>
      <c r="O19" s="8">
        <f>N19*1.1</f>
        <v>1518.6149139444947</v>
      </c>
      <c r="P19" s="8">
        <f t="shared" ref="P19:S19" si="25">O19*1.1</f>
        <v>1670.4764053389442</v>
      </c>
      <c r="Q19" s="8">
        <f t="shared" si="25"/>
        <v>1837.5240458728388</v>
      </c>
      <c r="R19" s="8">
        <f t="shared" si="25"/>
        <v>2021.2764504601228</v>
      </c>
      <c r="S19" s="8">
        <f t="shared" si="25"/>
        <v>2223.404095506135</v>
      </c>
    </row>
    <row r="20" spans="1:119" x14ac:dyDescent="0.15">
      <c r="A20" s="3" t="s">
        <v>4</v>
      </c>
      <c r="B20" s="15">
        <f>SUM(Reports!B13:E13)</f>
        <v>108.62100000000001</v>
      </c>
      <c r="C20" s="8">
        <f>SUM(Reports!F13:I13)</f>
        <v>151.67500000000001</v>
      </c>
      <c r="D20" s="15">
        <f>SUM(Reports!J13:M13)</f>
        <v>220.84300000000002</v>
      </c>
      <c r="E20" s="8">
        <f>D20*1.25</f>
        <v>276.05375000000004</v>
      </c>
      <c r="F20" s="8">
        <f t="shared" ref="F20:I20" si="26">E20*1.25</f>
        <v>345.06718750000005</v>
      </c>
      <c r="G20" s="8">
        <f t="shared" si="26"/>
        <v>431.33398437500006</v>
      </c>
      <c r="H20" s="8">
        <f t="shared" si="26"/>
        <v>539.16748046875011</v>
      </c>
      <c r="I20" s="8">
        <f t="shared" si="26"/>
        <v>673.95935058593761</v>
      </c>
      <c r="J20" s="8">
        <f>I20*1.15</f>
        <v>775.05325317382824</v>
      </c>
      <c r="K20" s="8">
        <f t="shared" ref="K20:N20" si="27">J20*1.15</f>
        <v>891.31124114990246</v>
      </c>
      <c r="L20" s="8">
        <f t="shared" si="27"/>
        <v>1025.0079273223878</v>
      </c>
      <c r="M20" s="8">
        <f t="shared" si="27"/>
        <v>1178.7591164207458</v>
      </c>
      <c r="N20" s="8">
        <f t="shared" si="27"/>
        <v>1355.5729838838577</v>
      </c>
      <c r="O20" s="8">
        <f>N20*1.05</f>
        <v>1423.3516330780506</v>
      </c>
      <c r="P20" s="8">
        <f t="shared" ref="P20:P21" si="28">O20*1.05</f>
        <v>1494.5192147319531</v>
      </c>
      <c r="Q20" s="8">
        <f t="shared" ref="Q20:Q21" si="29">P20*1.05</f>
        <v>1569.2451754685508</v>
      </c>
      <c r="R20" s="8">
        <f t="shared" ref="R20:R21" si="30">Q20*1.05</f>
        <v>1647.7074342419785</v>
      </c>
      <c r="S20" s="8">
        <f t="shared" ref="S20:S21" si="31">R20*1.05</f>
        <v>1730.0928059540774</v>
      </c>
    </row>
    <row r="21" spans="1:119" x14ac:dyDescent="0.15">
      <c r="A21" s="3" t="s">
        <v>5</v>
      </c>
      <c r="B21" s="15">
        <f>SUM(Reports!B14:E14)</f>
        <v>36.775000000000006</v>
      </c>
      <c r="C21" s="8">
        <f>SUM(Reports!F14:I14)</f>
        <v>53.036000000000001</v>
      </c>
      <c r="D21" s="15">
        <f>SUM(Reports!J14:M14)</f>
        <v>69.744699999999995</v>
      </c>
      <c r="E21" s="8">
        <f>D21*1.2</f>
        <v>83.693639999999988</v>
      </c>
      <c r="F21" s="8">
        <f t="shared" ref="F21:I21" si="32">E21*1.2</f>
        <v>100.43236799999998</v>
      </c>
      <c r="G21" s="8">
        <f t="shared" si="32"/>
        <v>120.51884159999997</v>
      </c>
      <c r="H21" s="8">
        <f t="shared" si="32"/>
        <v>144.62260991999997</v>
      </c>
      <c r="I21" s="8">
        <f t="shared" si="32"/>
        <v>173.54713190399997</v>
      </c>
      <c r="J21" s="8">
        <f>I21*1.1</f>
        <v>190.90184509439999</v>
      </c>
      <c r="K21" s="8">
        <f t="shared" ref="K21:N21" si="33">J21*1.1</f>
        <v>209.99202960384</v>
      </c>
      <c r="L21" s="8">
        <f t="shared" si="33"/>
        <v>230.99123256422402</v>
      </c>
      <c r="M21" s="8">
        <f t="shared" si="33"/>
        <v>254.09035582064644</v>
      </c>
      <c r="N21" s="8">
        <f t="shared" si="33"/>
        <v>279.49939140271113</v>
      </c>
      <c r="O21" s="8">
        <f>N21*1.05</f>
        <v>293.47436097284668</v>
      </c>
      <c r="P21" s="8">
        <f t="shared" si="28"/>
        <v>308.14807902148902</v>
      </c>
      <c r="Q21" s="8">
        <f t="shared" si="29"/>
        <v>323.55548297256348</v>
      </c>
      <c r="R21" s="8">
        <f t="shared" si="30"/>
        <v>339.73325712119168</v>
      </c>
      <c r="S21" s="8">
        <f t="shared" si="31"/>
        <v>356.71991997725127</v>
      </c>
    </row>
    <row r="22" spans="1:119" x14ac:dyDescent="0.15">
      <c r="A22" s="3" t="s">
        <v>6</v>
      </c>
      <c r="B22" s="9">
        <f>SUM(B19:B21)</f>
        <v>207.59800000000001</v>
      </c>
      <c r="C22" s="9">
        <f>SUM(C19:C21)</f>
        <v>294.56500000000005</v>
      </c>
      <c r="D22" s="9">
        <f>SUM(D19:D21)</f>
        <v>440.01570000000004</v>
      </c>
      <c r="E22" s="8">
        <f t="shared" ref="E22:F22" si="34">SUM(E19:E21)</f>
        <v>554.00378999999998</v>
      </c>
      <c r="F22" s="8">
        <f t="shared" si="34"/>
        <v>698.03287550000005</v>
      </c>
      <c r="G22" s="8">
        <f t="shared" ref="G22:O22" si="35">SUM(G19:G21)</f>
        <v>880.14614197500009</v>
      </c>
      <c r="H22" s="8">
        <f t="shared" si="35"/>
        <v>1110.5714011887503</v>
      </c>
      <c r="I22" s="8">
        <f t="shared" si="35"/>
        <v>1402.3221865299377</v>
      </c>
      <c r="J22" s="8">
        <f t="shared" si="35"/>
        <v>1631.7339431162284</v>
      </c>
      <c r="K22" s="8">
        <f t="shared" si="35"/>
        <v>1900.2378845713424</v>
      </c>
      <c r="L22" s="8">
        <f t="shared" si="35"/>
        <v>2214.7206964677321</v>
      </c>
      <c r="M22" s="8">
        <f t="shared" si="35"/>
        <v>2583.3153161387363</v>
      </c>
      <c r="N22" s="8">
        <f t="shared" si="35"/>
        <v>3015.6313879633817</v>
      </c>
      <c r="O22" s="8">
        <f t="shared" si="35"/>
        <v>3235.4409079953921</v>
      </c>
      <c r="P22" s="8">
        <f t="shared" ref="P22:S22" si="36">SUM(P19:P21)</f>
        <v>3473.1436990923867</v>
      </c>
      <c r="Q22" s="8">
        <f t="shared" si="36"/>
        <v>3730.3247043139527</v>
      </c>
      <c r="R22" s="8">
        <f t="shared" si="36"/>
        <v>4008.7171418232929</v>
      </c>
      <c r="S22" s="8">
        <f t="shared" si="36"/>
        <v>4310.2168214374633</v>
      </c>
    </row>
    <row r="23" spans="1:119" x14ac:dyDescent="0.15">
      <c r="A23" s="3" t="s">
        <v>7</v>
      </c>
      <c r="B23" s="9">
        <f>B18-B22</f>
        <v>-90.928000000000011</v>
      </c>
      <c r="C23" s="9">
        <f>C18-C22</f>
        <v>-111.03500000000005</v>
      </c>
      <c r="D23" s="9">
        <f>D18-D22</f>
        <v>-153.15570000000002</v>
      </c>
      <c r="E23" s="8">
        <f t="shared" ref="E23:F23" si="37">E18-E22</f>
        <v>-114.03808221323425</v>
      </c>
      <c r="F23" s="8">
        <f t="shared" si="37"/>
        <v>-69.761844780498677</v>
      </c>
      <c r="G23" s="8">
        <f t="shared" ref="G23:O23" si="38">G18-G22</f>
        <v>-15.016932674246505</v>
      </c>
      <c r="H23" s="8">
        <f t="shared" si="38"/>
        <v>36.589930344048753</v>
      </c>
      <c r="I23" s="8">
        <f t="shared" si="38"/>
        <v>60.308511174381238</v>
      </c>
      <c r="J23" s="8">
        <f t="shared" si="38"/>
        <v>123.42289412895411</v>
      </c>
      <c r="K23" s="8">
        <f t="shared" si="38"/>
        <v>205.95032012287675</v>
      </c>
      <c r="L23" s="8">
        <f t="shared" si="38"/>
        <v>312.70514916533102</v>
      </c>
      <c r="M23" s="8">
        <f t="shared" si="38"/>
        <v>449.59569862093895</v>
      </c>
      <c r="N23" s="8">
        <f t="shared" si="38"/>
        <v>623.8618297482285</v>
      </c>
      <c r="O23" s="8">
        <f t="shared" si="38"/>
        <v>768.00163148737965</v>
      </c>
      <c r="P23" s="8">
        <f t="shared" ref="P23:S23" si="39">P18-P22</f>
        <v>930.64309433866219</v>
      </c>
      <c r="Q23" s="8">
        <f t="shared" si="39"/>
        <v>1113.8407684602016</v>
      </c>
      <c r="R23" s="8">
        <f t="shared" si="39"/>
        <v>1319.8648782282771</v>
      </c>
      <c r="S23" s="8">
        <f t="shared" si="39"/>
        <v>1551.2234006192648</v>
      </c>
    </row>
    <row r="24" spans="1:119" x14ac:dyDescent="0.15">
      <c r="A24" s="3" t="s">
        <v>8</v>
      </c>
      <c r="B24" s="15">
        <f>SUM(Reports!B17:E17)</f>
        <v>2.1950000000000003</v>
      </c>
      <c r="C24" s="8">
        <f>SUM(Reports!F17:I17)</f>
        <v>-4.5640000000000001</v>
      </c>
      <c r="D24" s="15">
        <f>SUM(Reports!J17:M17)</f>
        <v>-11.801</v>
      </c>
      <c r="E24" s="8">
        <f t="shared" ref="E24:O24" si="40">D41*$F$3</f>
        <v>3.75</v>
      </c>
      <c r="F24" s="8">
        <f t="shared" si="40"/>
        <v>-1.7644041106617125</v>
      </c>
      <c r="G24" s="8">
        <f t="shared" si="40"/>
        <v>-5.340716555219732</v>
      </c>
      <c r="H24" s="8">
        <f t="shared" si="40"/>
        <v>-6.3585990166930442</v>
      </c>
      <c r="I24" s="8">
        <f t="shared" si="40"/>
        <v>-5.073767435280427</v>
      </c>
      <c r="J24" s="8">
        <f t="shared" si="40"/>
        <v>-2.7262908263686421</v>
      </c>
      <c r="K24" s="8">
        <f t="shared" si="40"/>
        <v>2.4033148139912406</v>
      </c>
      <c r="L24" s="8">
        <f t="shared" si="40"/>
        <v>11.258344298808133</v>
      </c>
      <c r="M24" s="8">
        <f t="shared" si="40"/>
        <v>25.026792771034049</v>
      </c>
      <c r="N24" s="8">
        <f t="shared" si="40"/>
        <v>45.198248655192906</v>
      </c>
      <c r="O24" s="8">
        <f t="shared" si="40"/>
        <v>73.633301987338314</v>
      </c>
      <c r="P24" s="8">
        <f t="shared" ref="P24" si="41">O41*$F$3</f>
        <v>109.40278666001382</v>
      </c>
      <c r="Q24" s="8">
        <f t="shared" ref="Q24" si="42">P41*$F$3</f>
        <v>153.60473660245756</v>
      </c>
      <c r="R24" s="8">
        <f t="shared" ref="R24" si="43">Q41*$F$3</f>
        <v>207.47117056762056</v>
      </c>
      <c r="S24" s="8">
        <f t="shared" ref="S24" si="44">R41*$F$3</f>
        <v>272.3829526414462</v>
      </c>
    </row>
    <row r="25" spans="1:119" x14ac:dyDescent="0.15">
      <c r="A25" s="3" t="s">
        <v>9</v>
      </c>
      <c r="B25" s="9">
        <f>B23+B24</f>
        <v>-88.733000000000004</v>
      </c>
      <c r="C25" s="9">
        <f>C23+C24</f>
        <v>-115.59900000000005</v>
      </c>
      <c r="D25" s="9">
        <f>D23+D24</f>
        <v>-164.95670000000001</v>
      </c>
      <c r="E25" s="8">
        <f t="shared" ref="E25:F25" si="45">E23+E24</f>
        <v>-110.28808221323425</v>
      </c>
      <c r="F25" s="8">
        <f t="shared" si="45"/>
        <v>-71.526248891160392</v>
      </c>
      <c r="G25" s="8">
        <f t="shared" ref="G25" si="46">G23+G24</f>
        <v>-20.357649229466237</v>
      </c>
      <c r="H25" s="8">
        <f t="shared" ref="H25" si="47">H23+H24</f>
        <v>30.231331327355708</v>
      </c>
      <c r="I25" s="8">
        <f t="shared" ref="I25" si="48">I23+I24</f>
        <v>55.234743739100807</v>
      </c>
      <c r="J25" s="8">
        <f t="shared" ref="J25" si="49">J23+J24</f>
        <v>120.69660330258547</v>
      </c>
      <c r="K25" s="8">
        <f t="shared" ref="K25" si="50">K23+K24</f>
        <v>208.35363493686799</v>
      </c>
      <c r="L25" s="8">
        <f t="shared" ref="L25" si="51">L23+L24</f>
        <v>323.96349346413916</v>
      </c>
      <c r="M25" s="8">
        <f t="shared" ref="M25" si="52">M23+M24</f>
        <v>474.62249139197297</v>
      </c>
      <c r="N25" s="8">
        <f t="shared" ref="N25" si="53">N23+N24</f>
        <v>669.06007840342136</v>
      </c>
      <c r="O25" s="8">
        <f t="shared" ref="O25:S25" si="54">O23+O24</f>
        <v>841.63493347471797</v>
      </c>
      <c r="P25" s="8">
        <f t="shared" si="54"/>
        <v>1040.045880998676</v>
      </c>
      <c r="Q25" s="8">
        <f t="shared" si="54"/>
        <v>1267.4455050626591</v>
      </c>
      <c r="R25" s="8">
        <f t="shared" si="54"/>
        <v>1527.3360487958976</v>
      </c>
      <c r="S25" s="8">
        <f t="shared" si="54"/>
        <v>1823.6063532607109</v>
      </c>
    </row>
    <row r="26" spans="1:119" x14ac:dyDescent="0.15">
      <c r="A26" s="3" t="s">
        <v>10</v>
      </c>
      <c r="B26" s="15">
        <f>SUM(Reports!B19:E19)</f>
        <v>0.98459999999999992</v>
      </c>
      <c r="C26" s="8">
        <f>SUM(Reports!F19:I19)</f>
        <v>-4.2520000000000007</v>
      </c>
      <c r="D26" s="15">
        <f>SUM(Reports!J19:M19)</f>
        <v>-1.1379999999999999</v>
      </c>
      <c r="E26" s="8">
        <v>0</v>
      </c>
      <c r="F26" s="8">
        <v>0</v>
      </c>
      <c r="G26" s="8">
        <v>0</v>
      </c>
      <c r="H26" s="8">
        <f t="shared" ref="H26:O26" si="55">H25*0.15</f>
        <v>4.5346996991033564</v>
      </c>
      <c r="I26" s="8">
        <f t="shared" si="55"/>
        <v>8.28521156086512</v>
      </c>
      <c r="J26" s="8">
        <f t="shared" si="55"/>
        <v>18.104490495387822</v>
      </c>
      <c r="K26" s="8">
        <f t="shared" si="55"/>
        <v>31.253045240530199</v>
      </c>
      <c r="L26" s="8">
        <f t="shared" si="55"/>
        <v>48.59452401962087</v>
      </c>
      <c r="M26" s="8">
        <f t="shared" si="55"/>
        <v>71.193373708795946</v>
      </c>
      <c r="N26" s="8">
        <f t="shared" si="55"/>
        <v>100.3590117605132</v>
      </c>
      <c r="O26" s="8">
        <f t="shared" si="55"/>
        <v>126.24524002120769</v>
      </c>
      <c r="P26" s="8">
        <f t="shared" ref="P26:S26" si="56">P25*0.15</f>
        <v>156.00688214980138</v>
      </c>
      <c r="Q26" s="8">
        <f t="shared" si="56"/>
        <v>190.11682575939886</v>
      </c>
      <c r="R26" s="8">
        <f t="shared" si="56"/>
        <v>229.10040731938463</v>
      </c>
      <c r="S26" s="8">
        <f t="shared" si="56"/>
        <v>273.54095298910664</v>
      </c>
    </row>
    <row r="27" spans="1:119" s="2" customFormat="1" x14ac:dyDescent="0.15">
      <c r="A27" s="2" t="s">
        <v>11</v>
      </c>
      <c r="B27" s="16">
        <f>B25-B26</f>
        <v>-89.717600000000004</v>
      </c>
      <c r="C27" s="16">
        <f>C25-C26</f>
        <v>-111.34700000000005</v>
      </c>
      <c r="D27" s="16">
        <f>D25-D26</f>
        <v>-163.81870000000001</v>
      </c>
      <c r="E27" s="16">
        <f>E25-E26</f>
        <v>-110.28808221323425</v>
      </c>
      <c r="F27" s="16">
        <f t="shared" ref="F27" si="57">F25-F26</f>
        <v>-71.526248891160392</v>
      </c>
      <c r="G27" s="16">
        <f t="shared" ref="G27:O27" si="58">G25-G26</f>
        <v>-20.357649229466237</v>
      </c>
      <c r="H27" s="16">
        <f t="shared" si="58"/>
        <v>25.696631628252351</v>
      </c>
      <c r="I27" s="16">
        <f t="shared" si="58"/>
        <v>46.949532178235685</v>
      </c>
      <c r="J27" s="16">
        <f t="shared" si="58"/>
        <v>102.59211280719765</v>
      </c>
      <c r="K27" s="16">
        <f t="shared" si="58"/>
        <v>177.10058969633781</v>
      </c>
      <c r="L27" s="16">
        <f t="shared" si="58"/>
        <v>275.36896944451831</v>
      </c>
      <c r="M27" s="16">
        <f t="shared" si="58"/>
        <v>403.42911768317703</v>
      </c>
      <c r="N27" s="16">
        <f t="shared" si="58"/>
        <v>568.70106664290813</v>
      </c>
      <c r="O27" s="16">
        <f t="shared" si="58"/>
        <v>715.38969345351029</v>
      </c>
      <c r="P27" s="16">
        <f t="shared" ref="P27:S27" si="59">P25-P26</f>
        <v>884.0389988488746</v>
      </c>
      <c r="Q27" s="16">
        <f t="shared" si="59"/>
        <v>1077.3286793032603</v>
      </c>
      <c r="R27" s="16">
        <f t="shared" si="59"/>
        <v>1298.2356414765129</v>
      </c>
      <c r="S27" s="16">
        <f t="shared" si="59"/>
        <v>1550.0654002716042</v>
      </c>
      <c r="T27" s="16">
        <f>S27*($F$2+1)</f>
        <v>1565.5660542743203</v>
      </c>
      <c r="U27" s="16">
        <f t="shared" ref="U27:AT27" si="60">T27*($F$2+1)</f>
        <v>1581.2217148170635</v>
      </c>
      <c r="V27" s="16">
        <f t="shared" si="60"/>
        <v>1597.0339319652342</v>
      </c>
      <c r="W27" s="16">
        <f t="shared" si="60"/>
        <v>1613.0042712848865</v>
      </c>
      <c r="X27" s="16">
        <f t="shared" si="60"/>
        <v>1629.1343139977355</v>
      </c>
      <c r="Y27" s="16">
        <f t="shared" si="60"/>
        <v>1645.425657137713</v>
      </c>
      <c r="Z27" s="16">
        <f t="shared" si="60"/>
        <v>1661.87991370909</v>
      </c>
      <c r="AA27" s="16">
        <f t="shared" si="60"/>
        <v>1678.498712846181</v>
      </c>
      <c r="AB27" s="16">
        <f t="shared" si="60"/>
        <v>1695.2836999746428</v>
      </c>
      <c r="AC27" s="16">
        <f t="shared" si="60"/>
        <v>1712.2365369743893</v>
      </c>
      <c r="AD27" s="16">
        <f t="shared" si="60"/>
        <v>1729.3589023441332</v>
      </c>
      <c r="AE27" s="16">
        <f t="shared" si="60"/>
        <v>1746.6524913675746</v>
      </c>
      <c r="AF27" s="16">
        <f t="shared" si="60"/>
        <v>1764.1190162812504</v>
      </c>
      <c r="AG27" s="16">
        <f t="shared" si="60"/>
        <v>1781.760206444063</v>
      </c>
      <c r="AH27" s="16">
        <f t="shared" si="60"/>
        <v>1799.5778085085037</v>
      </c>
      <c r="AI27" s="16">
        <f t="shared" si="60"/>
        <v>1817.5735865935887</v>
      </c>
      <c r="AJ27" s="16">
        <f t="shared" si="60"/>
        <v>1835.7493224595246</v>
      </c>
      <c r="AK27" s="16">
        <f t="shared" si="60"/>
        <v>1854.10681568412</v>
      </c>
      <c r="AL27" s="16">
        <f t="shared" si="60"/>
        <v>1872.6478838409612</v>
      </c>
      <c r="AM27" s="16">
        <f t="shared" si="60"/>
        <v>1891.3743626793707</v>
      </c>
      <c r="AN27" s="16">
        <f t="shared" si="60"/>
        <v>1910.2881063061645</v>
      </c>
      <c r="AO27" s="16">
        <f t="shared" si="60"/>
        <v>1929.3909873692262</v>
      </c>
      <c r="AP27" s="16">
        <f t="shared" si="60"/>
        <v>1948.6848972429184</v>
      </c>
      <c r="AQ27" s="16">
        <f t="shared" si="60"/>
        <v>1968.1717462153476</v>
      </c>
      <c r="AR27" s="16">
        <f t="shared" si="60"/>
        <v>1987.8534636775012</v>
      </c>
      <c r="AS27" s="16">
        <f t="shared" si="60"/>
        <v>2007.7319983142761</v>
      </c>
      <c r="AT27" s="16">
        <f t="shared" si="60"/>
        <v>2027.8093182974189</v>
      </c>
      <c r="AU27" s="16">
        <f t="shared" ref="AU27:BZ27" si="61">AT27*($F$2+1)</f>
        <v>2048.0874114803933</v>
      </c>
      <c r="AV27" s="16">
        <f t="shared" si="61"/>
        <v>2068.5682855951973</v>
      </c>
      <c r="AW27" s="16">
        <f t="shared" si="61"/>
        <v>2089.2539684511494</v>
      </c>
      <c r="AX27" s="16">
        <f t="shared" si="61"/>
        <v>2110.146508135661</v>
      </c>
      <c r="AY27" s="16">
        <f t="shared" si="61"/>
        <v>2131.2479732170177</v>
      </c>
      <c r="AZ27" s="16">
        <f t="shared" si="61"/>
        <v>2152.5604529491879</v>
      </c>
      <c r="BA27" s="16">
        <f t="shared" si="61"/>
        <v>2174.0860574786798</v>
      </c>
      <c r="BB27" s="16">
        <f t="shared" si="61"/>
        <v>2195.8269180534667</v>
      </c>
      <c r="BC27" s="16">
        <f t="shared" si="61"/>
        <v>2217.7851872340016</v>
      </c>
      <c r="BD27" s="16">
        <f t="shared" si="61"/>
        <v>2239.9630391063415</v>
      </c>
      <c r="BE27" s="16">
        <f t="shared" si="61"/>
        <v>2262.362669497405</v>
      </c>
      <c r="BF27" s="16">
        <f t="shared" si="61"/>
        <v>2284.9862961923791</v>
      </c>
      <c r="BG27" s="16">
        <f t="shared" si="61"/>
        <v>2307.836159154303</v>
      </c>
      <c r="BH27" s="16">
        <f t="shared" si="61"/>
        <v>2330.9145207458459</v>
      </c>
      <c r="BI27" s="16">
        <f t="shared" si="61"/>
        <v>2354.2236659533046</v>
      </c>
      <c r="BJ27" s="16">
        <f t="shared" si="61"/>
        <v>2377.7659026128376</v>
      </c>
      <c r="BK27" s="16">
        <f t="shared" si="61"/>
        <v>2401.5435616389659</v>
      </c>
      <c r="BL27" s="16">
        <f t="shared" si="61"/>
        <v>2425.5589972553557</v>
      </c>
      <c r="BM27" s="16">
        <f t="shared" si="61"/>
        <v>2449.8145872279092</v>
      </c>
      <c r="BN27" s="16">
        <f t="shared" si="61"/>
        <v>2474.3127331001883</v>
      </c>
      <c r="BO27" s="16">
        <f t="shared" si="61"/>
        <v>2499.05586043119</v>
      </c>
      <c r="BP27" s="16">
        <f t="shared" si="61"/>
        <v>2524.0464190355019</v>
      </c>
      <c r="BQ27" s="16">
        <f t="shared" si="61"/>
        <v>2549.2868832258569</v>
      </c>
      <c r="BR27" s="16">
        <f t="shared" si="61"/>
        <v>2574.7797520581153</v>
      </c>
      <c r="BS27" s="16">
        <f t="shared" si="61"/>
        <v>2600.5275495786964</v>
      </c>
      <c r="BT27" s="16">
        <f t="shared" si="61"/>
        <v>2626.5328250744833</v>
      </c>
      <c r="BU27" s="16">
        <f t="shared" si="61"/>
        <v>2652.7981533252282</v>
      </c>
      <c r="BV27" s="16">
        <f t="shared" si="61"/>
        <v>2679.3261348584806</v>
      </c>
      <c r="BW27" s="16">
        <f t="shared" si="61"/>
        <v>2706.1193962070656</v>
      </c>
      <c r="BX27" s="16">
        <f t="shared" si="61"/>
        <v>2733.1805901691364</v>
      </c>
      <c r="BY27" s="16">
        <f t="shared" si="61"/>
        <v>2760.5123960708279</v>
      </c>
      <c r="BZ27" s="16">
        <f t="shared" si="61"/>
        <v>2788.1175200315361</v>
      </c>
      <c r="CA27" s="16">
        <f t="shared" ref="CA27:DF27" si="62">BZ27*($F$2+1)</f>
        <v>2815.9986952318513</v>
      </c>
      <c r="CB27" s="16">
        <f t="shared" si="62"/>
        <v>2844.1586821841697</v>
      </c>
      <c r="CC27" s="16">
        <f t="shared" si="62"/>
        <v>2872.6002690060113</v>
      </c>
      <c r="CD27" s="16">
        <f t="shared" si="62"/>
        <v>2901.3262716960717</v>
      </c>
      <c r="CE27" s="16">
        <f t="shared" si="62"/>
        <v>2930.3395344130322</v>
      </c>
      <c r="CF27" s="16">
        <f t="shared" si="62"/>
        <v>2959.6429297571626</v>
      </c>
      <c r="CG27" s="16">
        <f t="shared" si="62"/>
        <v>2989.2393590547345</v>
      </c>
      <c r="CH27" s="16">
        <f t="shared" si="62"/>
        <v>3019.1317526452817</v>
      </c>
      <c r="CI27" s="16">
        <f t="shared" si="62"/>
        <v>3049.3230701717343</v>
      </c>
      <c r="CJ27" s="16">
        <f t="shared" si="62"/>
        <v>3079.8163008734518</v>
      </c>
      <c r="CK27" s="16">
        <f t="shared" si="62"/>
        <v>3110.6144638821866</v>
      </c>
      <c r="CL27" s="16">
        <f t="shared" si="62"/>
        <v>3141.7206085210087</v>
      </c>
      <c r="CM27" s="16">
        <f t="shared" si="62"/>
        <v>3173.1378146062189</v>
      </c>
      <c r="CN27" s="16">
        <f t="shared" si="62"/>
        <v>3204.8691927522809</v>
      </c>
      <c r="CO27" s="16">
        <f t="shared" si="62"/>
        <v>3236.9178846798036</v>
      </c>
      <c r="CP27" s="16">
        <f t="shared" si="62"/>
        <v>3269.2870635266017</v>
      </c>
      <c r="CQ27" s="16">
        <f t="shared" si="62"/>
        <v>3301.9799341618677</v>
      </c>
      <c r="CR27" s="16">
        <f t="shared" si="62"/>
        <v>3334.9997335034864</v>
      </c>
      <c r="CS27" s="16">
        <f t="shared" si="62"/>
        <v>3368.3497308385213</v>
      </c>
      <c r="CT27" s="16">
        <f t="shared" si="62"/>
        <v>3402.0332281469064</v>
      </c>
      <c r="CU27" s="16">
        <f t="shared" si="62"/>
        <v>3436.0535604283755</v>
      </c>
      <c r="CV27" s="16">
        <f t="shared" si="62"/>
        <v>3470.4140960326595</v>
      </c>
      <c r="CW27" s="16">
        <f t="shared" si="62"/>
        <v>3505.1182369929861</v>
      </c>
      <c r="CX27" s="16">
        <f t="shared" si="62"/>
        <v>3540.169419362916</v>
      </c>
      <c r="CY27" s="16">
        <f t="shared" si="62"/>
        <v>3575.5711135565452</v>
      </c>
      <c r="CZ27" s="16">
        <f t="shared" si="62"/>
        <v>3611.3268246921107</v>
      </c>
      <c r="DA27" s="16">
        <f t="shared" si="62"/>
        <v>3647.4400929390317</v>
      </c>
      <c r="DB27" s="16">
        <f t="shared" si="62"/>
        <v>3683.9144938684221</v>
      </c>
      <c r="DC27" s="16">
        <f t="shared" si="62"/>
        <v>3720.7536388071062</v>
      </c>
      <c r="DD27" s="16">
        <f t="shared" si="62"/>
        <v>3757.9611751951775</v>
      </c>
      <c r="DE27" s="16">
        <f t="shared" si="62"/>
        <v>3795.5407869471292</v>
      </c>
      <c r="DF27" s="16">
        <f t="shared" si="62"/>
        <v>3833.4961948166006</v>
      </c>
      <c r="DG27" s="16">
        <f t="shared" ref="DG27:DO27" si="63">DF27*($F$2+1)</f>
        <v>3871.8311567647665</v>
      </c>
      <c r="DH27" s="16">
        <f t="shared" si="63"/>
        <v>3910.5494683324141</v>
      </c>
      <c r="DI27" s="16">
        <f t="shared" si="63"/>
        <v>3949.6549630157383</v>
      </c>
      <c r="DJ27" s="16">
        <f t="shared" si="63"/>
        <v>3989.1515126458958</v>
      </c>
      <c r="DK27" s="16">
        <f t="shared" si="63"/>
        <v>4029.0430277723549</v>
      </c>
      <c r="DL27" s="16">
        <f t="shared" si="63"/>
        <v>4069.3334580500787</v>
      </c>
      <c r="DM27" s="16">
        <f t="shared" si="63"/>
        <v>4110.0267926305796</v>
      </c>
      <c r="DN27" s="16">
        <f t="shared" si="63"/>
        <v>4151.1270605568852</v>
      </c>
      <c r="DO27" s="16">
        <f t="shared" si="63"/>
        <v>4192.6383311624541</v>
      </c>
    </row>
    <row r="28" spans="1:119" x14ac:dyDescent="0.15">
      <c r="A28" s="3" t="s">
        <v>12</v>
      </c>
      <c r="B28" s="18">
        <f>B27/B29</f>
        <v>-1.7841054541912706</v>
      </c>
      <c r="C28" s="18">
        <f>C27/C29</f>
        <v>-2.0686639940455067</v>
      </c>
      <c r="D28" s="18">
        <f>D27/D29</f>
        <v>-2.9253339285714288</v>
      </c>
      <c r="E28" s="19">
        <f t="shared" ref="E28:F28" si="64">E27/E29</f>
        <v>-1.9694300395220401</v>
      </c>
      <c r="F28" s="19">
        <f t="shared" si="64"/>
        <v>-1.2772544444850069</v>
      </c>
      <c r="G28" s="19">
        <f t="shared" ref="G28:O28" si="65">G27/G29</f>
        <v>-0.3635294505261828</v>
      </c>
      <c r="H28" s="19">
        <f t="shared" si="65"/>
        <v>0.4588684219330777</v>
      </c>
      <c r="I28" s="19">
        <f t="shared" si="65"/>
        <v>0.83838450318278013</v>
      </c>
      <c r="J28" s="19">
        <f t="shared" si="65"/>
        <v>1.8320020144142437</v>
      </c>
      <c r="K28" s="19">
        <f t="shared" si="65"/>
        <v>3.1625105302917467</v>
      </c>
      <c r="L28" s="19">
        <f t="shared" si="65"/>
        <v>4.9173030257949701</v>
      </c>
      <c r="M28" s="19">
        <f t="shared" si="65"/>
        <v>7.2040913871995897</v>
      </c>
      <c r="N28" s="19">
        <f t="shared" si="65"/>
        <v>10.15537619005193</v>
      </c>
      <c r="O28" s="19">
        <f t="shared" si="65"/>
        <v>12.77481595452697</v>
      </c>
      <c r="P28" s="19">
        <f t="shared" ref="P28:S28" si="66">P27/P29</f>
        <v>15.786410693729904</v>
      </c>
      <c r="Q28" s="19">
        <f t="shared" si="66"/>
        <v>19.238012130415363</v>
      </c>
      <c r="R28" s="19">
        <f t="shared" si="66"/>
        <v>23.182779312080587</v>
      </c>
      <c r="S28" s="19">
        <f t="shared" si="66"/>
        <v>27.67973929056436</v>
      </c>
    </row>
    <row r="29" spans="1:119" s="15" customFormat="1" x14ac:dyDescent="0.15">
      <c r="A29" s="15" t="s">
        <v>13</v>
      </c>
      <c r="B29" s="8">
        <f>Reports!E22</f>
        <v>50.287162000000002</v>
      </c>
      <c r="C29" s="8">
        <f>Reports!I22</f>
        <v>53.825561</v>
      </c>
      <c r="D29" s="8">
        <f>Reports!M22</f>
        <v>56</v>
      </c>
      <c r="E29" s="8">
        <f t="shared" ref="E29" si="67">D29</f>
        <v>56</v>
      </c>
      <c r="F29" s="8">
        <f t="shared" ref="F29" si="68">E29</f>
        <v>56</v>
      </c>
      <c r="G29" s="8">
        <f t="shared" ref="G29" si="69">F29</f>
        <v>56</v>
      </c>
      <c r="H29" s="8">
        <f t="shared" ref="H29" si="70">G29</f>
        <v>56</v>
      </c>
      <c r="I29" s="8">
        <f t="shared" ref="I29" si="71">H29</f>
        <v>56</v>
      </c>
      <c r="J29" s="8">
        <f t="shared" ref="J29" si="72">I29</f>
        <v>56</v>
      </c>
      <c r="K29" s="8">
        <f t="shared" ref="K29" si="73">J29</f>
        <v>56</v>
      </c>
      <c r="L29" s="8">
        <f t="shared" ref="L29" si="74">K29</f>
        <v>56</v>
      </c>
      <c r="M29" s="8">
        <f t="shared" ref="M29" si="75">L29</f>
        <v>56</v>
      </c>
      <c r="N29" s="8">
        <f t="shared" ref="N29" si="76">M29</f>
        <v>56</v>
      </c>
      <c r="O29" s="8">
        <f t="shared" ref="O29" si="77">N29</f>
        <v>56</v>
      </c>
      <c r="P29" s="8">
        <f t="shared" ref="P29" si="78">O29</f>
        <v>56</v>
      </c>
      <c r="Q29" s="8">
        <f t="shared" ref="Q29" si="79">P29</f>
        <v>56</v>
      </c>
      <c r="R29" s="8">
        <f t="shared" ref="R29" si="80">Q29</f>
        <v>56</v>
      </c>
      <c r="S29" s="8">
        <f t="shared" ref="S29" si="81">R29</f>
        <v>56</v>
      </c>
    </row>
    <row r="30" spans="1:119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19" x14ac:dyDescent="0.15">
      <c r="A31" s="3" t="s">
        <v>15</v>
      </c>
      <c r="B31" s="22">
        <f t="shared" ref="B31:O31" si="82">IFERROR(B18/B16,0)</f>
        <v>0.73134038325320161</v>
      </c>
      <c r="C31" s="22">
        <f>IFERROR(C18/C16,0)</f>
        <v>0.71385230534659927</v>
      </c>
      <c r="D31" s="22">
        <f t="shared" si="82"/>
        <v>0.70131432259578708</v>
      </c>
      <c r="E31" s="22">
        <f t="shared" si="82"/>
        <v>0.70131432259578708</v>
      </c>
      <c r="F31" s="22">
        <f>IFERROR(F18/F16,0)</f>
        <v>0.70131432259578708</v>
      </c>
      <c r="G31" s="22">
        <f t="shared" si="82"/>
        <v>0.70131432259578708</v>
      </c>
      <c r="H31" s="22">
        <f t="shared" si="82"/>
        <v>0.70131432259578708</v>
      </c>
      <c r="I31" s="22">
        <f t="shared" si="82"/>
        <v>0.70131432259578708</v>
      </c>
      <c r="J31" s="22">
        <f t="shared" si="82"/>
        <v>0.70131432259578708</v>
      </c>
      <c r="K31" s="22">
        <f t="shared" si="82"/>
        <v>0.70131432259578719</v>
      </c>
      <c r="L31" s="22">
        <f t="shared" si="82"/>
        <v>0.70131432259578719</v>
      </c>
      <c r="M31" s="22">
        <f t="shared" si="82"/>
        <v>0.70131432259578719</v>
      </c>
      <c r="N31" s="22">
        <f t="shared" si="82"/>
        <v>0.70131432259578719</v>
      </c>
      <c r="O31" s="22">
        <f t="shared" si="82"/>
        <v>0.70131432259578719</v>
      </c>
      <c r="P31" s="22">
        <f t="shared" ref="P31:S31" si="83">IFERROR(P18/P16,0)</f>
        <v>0.70131432259578719</v>
      </c>
      <c r="Q31" s="22">
        <f t="shared" si="83"/>
        <v>0.70131432259578719</v>
      </c>
      <c r="R31" s="22">
        <f t="shared" si="83"/>
        <v>0.70131432259578719</v>
      </c>
      <c r="S31" s="22">
        <f t="shared" si="83"/>
        <v>0.70131432259578719</v>
      </c>
    </row>
    <row r="32" spans="1:119" x14ac:dyDescent="0.15">
      <c r="A32" s="3" t="s">
        <v>16</v>
      </c>
      <c r="B32" s="21">
        <f t="shared" ref="B32:O32" si="84">IFERROR(B23/B16,0)</f>
        <v>-0.569977872361765</v>
      </c>
      <c r="C32" s="21">
        <f>IFERROR(C23/C16,0)</f>
        <v>-0.43187811651588132</v>
      </c>
      <c r="D32" s="21">
        <f t="shared" si="84"/>
        <v>-0.37443451857067422</v>
      </c>
      <c r="E32" s="21">
        <f t="shared" si="84"/>
        <v>-0.18177903177912805</v>
      </c>
      <c r="F32" s="21">
        <f t="shared" si="84"/>
        <v>-7.7872412578435399E-2</v>
      </c>
      <c r="G32" s="21">
        <f t="shared" si="84"/>
        <v>-1.2173430110420103E-2</v>
      </c>
      <c r="H32" s="21">
        <f t="shared" si="84"/>
        <v>2.2369165964456064E-2</v>
      </c>
      <c r="I32" s="21">
        <f t="shared" si="84"/>
        <v>2.891722615107584E-2</v>
      </c>
      <c r="J32" s="21">
        <f t="shared" si="84"/>
        <v>4.9316529185344508E-2</v>
      </c>
      <c r="K32" s="21">
        <f t="shared" si="84"/>
        <v>6.857692438094834E-2</v>
      </c>
      <c r="L32" s="21">
        <f t="shared" si="84"/>
        <v>8.6769944304406627E-2</v>
      </c>
      <c r="M32" s="21">
        <f t="shared" si="84"/>
        <v>0.10396213449253082</v>
      </c>
      <c r="N32" s="21">
        <f t="shared" si="84"/>
        <v>0.12021542845417005</v>
      </c>
      <c r="O32" s="21">
        <f t="shared" si="84"/>
        <v>0.13453684888121745</v>
      </c>
      <c r="P32" s="21">
        <f t="shared" ref="P32:S32" si="85">IFERROR(P23/P16,0)</f>
        <v>0.14820729565248994</v>
      </c>
      <c r="Q32" s="21">
        <f t="shared" si="85"/>
        <v>0.16125635847961389</v>
      </c>
      <c r="R32" s="21">
        <f t="shared" si="85"/>
        <v>0.17371228208732292</v>
      </c>
      <c r="S32" s="21">
        <f t="shared" si="85"/>
        <v>0.18560202734922721</v>
      </c>
    </row>
    <row r="33" spans="1:119" x14ac:dyDescent="0.15">
      <c r="A33" s="3" t="s">
        <v>17</v>
      </c>
      <c r="B33" s="21">
        <f t="shared" ref="B33:O33" si="86">IFERROR(B26/B25,0)</f>
        <v>-1.1096209978249354E-2</v>
      </c>
      <c r="C33" s="21">
        <f>IFERROR(C26/C25,0)</f>
        <v>3.6782325106618559E-2</v>
      </c>
      <c r="D33" s="21">
        <f t="shared" si="86"/>
        <v>6.8987801041121687E-3</v>
      </c>
      <c r="E33" s="21">
        <f>IFERROR(E26/E25,0)</f>
        <v>0</v>
      </c>
      <c r="F33" s="21">
        <f t="shared" si="86"/>
        <v>0</v>
      </c>
      <c r="G33" s="21">
        <f t="shared" si="86"/>
        <v>0</v>
      </c>
      <c r="H33" s="21">
        <f t="shared" si="86"/>
        <v>0.15</v>
      </c>
      <c r="I33" s="21">
        <f t="shared" si="86"/>
        <v>0.15</v>
      </c>
      <c r="J33" s="21">
        <f t="shared" si="86"/>
        <v>0.15</v>
      </c>
      <c r="K33" s="21">
        <f t="shared" si="86"/>
        <v>0.15</v>
      </c>
      <c r="L33" s="21">
        <f t="shared" si="86"/>
        <v>0.15</v>
      </c>
      <c r="M33" s="21">
        <f t="shared" si="86"/>
        <v>0.15</v>
      </c>
      <c r="N33" s="21">
        <f t="shared" si="86"/>
        <v>0.15</v>
      </c>
      <c r="O33" s="21">
        <f t="shared" si="86"/>
        <v>0.15</v>
      </c>
      <c r="P33" s="21">
        <f t="shared" ref="P33:S33" si="87">IFERROR(P26/P25,0)</f>
        <v>0.15</v>
      </c>
      <c r="Q33" s="21">
        <f t="shared" si="87"/>
        <v>0.15</v>
      </c>
      <c r="R33" s="21">
        <f t="shared" si="87"/>
        <v>0.15</v>
      </c>
      <c r="S33" s="21">
        <f t="shared" si="87"/>
        <v>0.15</v>
      </c>
    </row>
    <row r="34" spans="1:119" x14ac:dyDescent="0.1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19" x14ac:dyDescent="0.15">
      <c r="A35" s="2" t="s">
        <v>14</v>
      </c>
      <c r="B35" s="20"/>
      <c r="C35" s="20">
        <f t="shared" ref="C35:O35" si="88">C16/B16-1</f>
        <v>0.61160666712635336</v>
      </c>
      <c r="D35" s="20">
        <f t="shared" si="88"/>
        <v>0.59095753370310167</v>
      </c>
      <c r="E35" s="20">
        <f>E16/D16-1</f>
        <v>0.53372972107218053</v>
      </c>
      <c r="F35" s="20">
        <f t="shared" si="88"/>
        <v>0.42799999999999971</v>
      </c>
      <c r="G35" s="20">
        <f t="shared" si="88"/>
        <v>0.37700000000000022</v>
      </c>
      <c r="H35" s="20">
        <f t="shared" si="88"/>
        <v>0.32599999999999985</v>
      </c>
      <c r="I35" s="20">
        <f t="shared" si="88"/>
        <v>0.27500000000000013</v>
      </c>
      <c r="J35" s="20">
        <f t="shared" si="88"/>
        <v>0.19999999999999996</v>
      </c>
      <c r="K35" s="20">
        <f t="shared" si="88"/>
        <v>0.19999999999999996</v>
      </c>
      <c r="L35" s="20">
        <f t="shared" si="88"/>
        <v>0.19999999999999996</v>
      </c>
      <c r="M35" s="20">
        <f t="shared" si="88"/>
        <v>0.19999999999999996</v>
      </c>
      <c r="N35" s="20">
        <f t="shared" si="88"/>
        <v>0.19999999999999996</v>
      </c>
      <c r="O35" s="20">
        <f t="shared" si="88"/>
        <v>0.10000000000000009</v>
      </c>
      <c r="P35" s="20">
        <f t="shared" ref="P35" si="89">P16/O16-1</f>
        <v>0.10000000000000009</v>
      </c>
      <c r="Q35" s="20">
        <f t="shared" ref="Q35" si="90">Q16/P16-1</f>
        <v>0.10000000000000009</v>
      </c>
      <c r="R35" s="20">
        <f t="shared" ref="R35" si="91">R16/Q16-1</f>
        <v>0.10000000000000009</v>
      </c>
      <c r="S35" s="20">
        <f t="shared" ref="S35" si="92">S16/R16-1</f>
        <v>0.10000000000000009</v>
      </c>
    </row>
    <row r="36" spans="1:119" x14ac:dyDescent="0.15">
      <c r="A36" s="3" t="s">
        <v>30</v>
      </c>
      <c r="B36" s="21"/>
      <c r="C36" s="21">
        <f t="shared" ref="C36:O36" si="93">C19/B19-1</f>
        <v>0.44455162213433685</v>
      </c>
      <c r="D36" s="21">
        <f t="shared" si="93"/>
        <v>0.66300888107374156</v>
      </c>
      <c r="E36" s="21">
        <f t="shared" si="93"/>
        <v>0.30000000000000004</v>
      </c>
      <c r="F36" s="21">
        <f t="shared" si="93"/>
        <v>0.30000000000000004</v>
      </c>
      <c r="G36" s="21">
        <f t="shared" si="93"/>
        <v>0.30000000000000004</v>
      </c>
      <c r="H36" s="21">
        <f t="shared" si="93"/>
        <v>0.30000000000000004</v>
      </c>
      <c r="I36" s="21">
        <f t="shared" si="93"/>
        <v>0.30000000000000004</v>
      </c>
      <c r="J36" s="21">
        <f t="shared" si="93"/>
        <v>0.19999999999999996</v>
      </c>
      <c r="K36" s="21">
        <f t="shared" si="93"/>
        <v>0.19999999999999996</v>
      </c>
      <c r="L36" s="21">
        <f t="shared" si="93"/>
        <v>0.19999999999999996</v>
      </c>
      <c r="M36" s="21">
        <f t="shared" si="93"/>
        <v>0.19999999999999996</v>
      </c>
      <c r="N36" s="21">
        <f t="shared" si="93"/>
        <v>0.19999999999999996</v>
      </c>
      <c r="O36" s="21">
        <f t="shared" si="93"/>
        <v>0.10000000000000009</v>
      </c>
      <c r="P36" s="21">
        <f t="shared" ref="P36:P38" si="94">P19/O19-1</f>
        <v>0.10000000000000009</v>
      </c>
      <c r="Q36" s="21">
        <f t="shared" ref="Q36:Q39" si="95">Q19/P19-1</f>
        <v>0.10000000000000009</v>
      </c>
      <c r="R36" s="21">
        <f t="shared" ref="R36:R39" si="96">R19/Q19-1</f>
        <v>0.10000000000000009</v>
      </c>
      <c r="S36" s="21">
        <f t="shared" ref="S36:S39" si="97">S19/R19-1</f>
        <v>0.10000000000000009</v>
      </c>
    </row>
    <row r="37" spans="1:119" x14ac:dyDescent="0.15">
      <c r="A37" s="3" t="s">
        <v>31</v>
      </c>
      <c r="B37" s="21"/>
      <c r="C37" s="21">
        <f t="shared" ref="C37:O37" si="98">C20/B20-1</f>
        <v>0.39636902624722659</v>
      </c>
      <c r="D37" s="21">
        <f t="shared" si="98"/>
        <v>0.45602769078622063</v>
      </c>
      <c r="E37" s="21">
        <f t="shared" si="98"/>
        <v>0.25</v>
      </c>
      <c r="F37" s="21">
        <f t="shared" si="98"/>
        <v>0.25</v>
      </c>
      <c r="G37" s="21">
        <f t="shared" si="98"/>
        <v>0.25</v>
      </c>
      <c r="H37" s="21">
        <f t="shared" si="98"/>
        <v>0.25</v>
      </c>
      <c r="I37" s="21">
        <f t="shared" si="98"/>
        <v>0.25</v>
      </c>
      <c r="J37" s="21">
        <f t="shared" si="98"/>
        <v>0.14999999999999991</v>
      </c>
      <c r="K37" s="21">
        <f t="shared" si="98"/>
        <v>0.14999999999999991</v>
      </c>
      <c r="L37" s="21">
        <f t="shared" si="98"/>
        <v>0.14999999999999991</v>
      </c>
      <c r="M37" s="21">
        <f t="shared" si="98"/>
        <v>0.14999999999999991</v>
      </c>
      <c r="N37" s="21">
        <f t="shared" si="98"/>
        <v>0.14999999999999991</v>
      </c>
      <c r="O37" s="21">
        <f t="shared" si="98"/>
        <v>5.0000000000000044E-2</v>
      </c>
      <c r="P37" s="21">
        <f t="shared" si="94"/>
        <v>5.0000000000000044E-2</v>
      </c>
      <c r="Q37" s="21">
        <f t="shared" si="95"/>
        <v>5.0000000000000044E-2</v>
      </c>
      <c r="R37" s="21">
        <f t="shared" si="96"/>
        <v>5.0000000000000044E-2</v>
      </c>
      <c r="S37" s="21">
        <f t="shared" si="97"/>
        <v>5.0000000000000044E-2</v>
      </c>
    </row>
    <row r="38" spans="1:119" x14ac:dyDescent="0.15">
      <c r="A38" s="3" t="s">
        <v>32</v>
      </c>
      <c r="B38" s="21"/>
      <c r="C38" s="21">
        <f t="shared" ref="C38:O38" si="99">C21/B21-1</f>
        <v>0.44217539089055036</v>
      </c>
      <c r="D38" s="21">
        <f t="shared" si="99"/>
        <v>0.31504449807677792</v>
      </c>
      <c r="E38" s="21">
        <f t="shared" si="99"/>
        <v>0.19999999999999996</v>
      </c>
      <c r="F38" s="21">
        <f t="shared" si="99"/>
        <v>0.19999999999999996</v>
      </c>
      <c r="G38" s="21">
        <f t="shared" si="99"/>
        <v>0.19999999999999996</v>
      </c>
      <c r="H38" s="21">
        <f t="shared" si="99"/>
        <v>0.19999999999999996</v>
      </c>
      <c r="I38" s="21">
        <f t="shared" si="99"/>
        <v>0.19999999999999996</v>
      </c>
      <c r="J38" s="21">
        <f t="shared" si="99"/>
        <v>0.10000000000000009</v>
      </c>
      <c r="K38" s="21">
        <f t="shared" si="99"/>
        <v>0.10000000000000009</v>
      </c>
      <c r="L38" s="21">
        <f t="shared" si="99"/>
        <v>0.10000000000000009</v>
      </c>
      <c r="M38" s="21">
        <f t="shared" si="99"/>
        <v>0.10000000000000009</v>
      </c>
      <c r="N38" s="21">
        <f t="shared" si="99"/>
        <v>0.10000000000000009</v>
      </c>
      <c r="O38" s="21">
        <f t="shared" si="99"/>
        <v>5.0000000000000044E-2</v>
      </c>
      <c r="P38" s="21">
        <f t="shared" si="94"/>
        <v>5.0000000000000044E-2</v>
      </c>
      <c r="Q38" s="21">
        <f t="shared" si="95"/>
        <v>5.0000000000000044E-2</v>
      </c>
      <c r="R38" s="21">
        <f t="shared" si="96"/>
        <v>5.0000000000000044E-2</v>
      </c>
      <c r="S38" s="21">
        <f t="shared" si="97"/>
        <v>5.0000000000000044E-2</v>
      </c>
    </row>
    <row r="39" spans="1:119" s="5" customFormat="1" x14ac:dyDescent="0.15">
      <c r="A39" s="5" t="s">
        <v>78</v>
      </c>
      <c r="B39" s="57"/>
      <c r="C39" s="57">
        <f>C22/B22-1</f>
        <v>0.41892022081137603</v>
      </c>
      <c r="D39" s="57">
        <f t="shared" ref="D39:O39" si="100">D22/C22-1</f>
        <v>0.49378133858401352</v>
      </c>
      <c r="E39" s="57">
        <f t="shared" si="100"/>
        <v>0.25905459737004821</v>
      </c>
      <c r="F39" s="57">
        <f t="shared" si="100"/>
        <v>0.25997852018304801</v>
      </c>
      <c r="G39" s="57">
        <f t="shared" si="100"/>
        <v>0.26089497051919297</v>
      </c>
      <c r="H39" s="57">
        <f t="shared" si="100"/>
        <v>0.26180340766669552</v>
      </c>
      <c r="I39" s="57">
        <f t="shared" si="100"/>
        <v>0.26270331203279573</v>
      </c>
      <c r="J39" s="57">
        <f t="shared" si="100"/>
        <v>0.1635941859794523</v>
      </c>
      <c r="K39" s="57">
        <f>K22/J22-1</f>
        <v>0.16455129991494477</v>
      </c>
      <c r="L39" s="57">
        <f t="shared" si="100"/>
        <v>0.16549654885305642</v>
      </c>
      <c r="M39" s="57">
        <f t="shared" si="100"/>
        <v>0.16642939231970755</v>
      </c>
      <c r="N39" s="57">
        <f t="shared" si="100"/>
        <v>0.1673493239961219</v>
      </c>
      <c r="O39" s="57">
        <f t="shared" si="100"/>
        <v>7.2890049131787205E-2</v>
      </c>
      <c r="P39" s="57">
        <f>P22/O22-1</f>
        <v>7.3468438415792203E-2</v>
      </c>
      <c r="Q39" s="57">
        <f t="shared" si="95"/>
        <v>7.4048478123370787E-2</v>
      </c>
      <c r="R39" s="57">
        <f t="shared" si="96"/>
        <v>7.4629545569422362E-2</v>
      </c>
      <c r="S39" s="57">
        <f t="shared" si="97"/>
        <v>7.5211013635409163E-2</v>
      </c>
    </row>
    <row r="40" spans="1:119" x14ac:dyDescent="0.15"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</row>
    <row r="41" spans="1:119" x14ac:dyDescent="0.15">
      <c r="A41" s="2" t="s">
        <v>18</v>
      </c>
      <c r="B41" s="16">
        <f>B42-B43</f>
        <v>278.97399999999999</v>
      </c>
      <c r="C41" s="16">
        <f>C42-C43</f>
        <v>249.11200000000002</v>
      </c>
      <c r="D41" s="16">
        <f>D42-D43</f>
        <v>75</v>
      </c>
      <c r="E41" s="47">
        <f>D41+E27</f>
        <v>-35.288082213234247</v>
      </c>
      <c r="F41" s="47">
        <f t="shared" ref="F41:O41" si="101">E41+F27</f>
        <v>-106.81433110439464</v>
      </c>
      <c r="G41" s="47">
        <f t="shared" si="101"/>
        <v>-127.17198033386087</v>
      </c>
      <c r="H41" s="47">
        <f t="shared" si="101"/>
        <v>-101.47534870560852</v>
      </c>
      <c r="I41" s="47">
        <f t="shared" si="101"/>
        <v>-54.525816527372839</v>
      </c>
      <c r="J41" s="47">
        <f t="shared" si="101"/>
        <v>48.066296279824812</v>
      </c>
      <c r="K41" s="47">
        <f t="shared" si="101"/>
        <v>225.16688597616263</v>
      </c>
      <c r="L41" s="47">
        <f t="shared" si="101"/>
        <v>500.53585542068095</v>
      </c>
      <c r="M41" s="47">
        <f t="shared" si="101"/>
        <v>903.96497310385803</v>
      </c>
      <c r="N41" s="47">
        <f t="shared" si="101"/>
        <v>1472.6660397467663</v>
      </c>
      <c r="O41" s="47">
        <f t="shared" si="101"/>
        <v>2188.0557332002763</v>
      </c>
      <c r="P41" s="47">
        <f t="shared" ref="P41" si="102">O41+P27</f>
        <v>3072.0947320491509</v>
      </c>
      <c r="Q41" s="47">
        <f t="shared" ref="Q41" si="103">P41+Q27</f>
        <v>4149.4234113524108</v>
      </c>
      <c r="R41" s="47">
        <f t="shared" ref="R41" si="104">Q41+R27</f>
        <v>5447.6590528289234</v>
      </c>
      <c r="S41" s="47">
        <f t="shared" ref="S41" si="105">R41+S27</f>
        <v>6997.7244531005272</v>
      </c>
    </row>
    <row r="42" spans="1:119" x14ac:dyDescent="0.15">
      <c r="A42" s="3" t="s">
        <v>19</v>
      </c>
      <c r="B42" s="49">
        <f>Reports!E35</f>
        <v>278.97399999999999</v>
      </c>
      <c r="C42" s="49">
        <f>Reports!I35</f>
        <v>465.97</v>
      </c>
      <c r="D42" s="49">
        <f>Reports!M35</f>
        <v>986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1:119" x14ac:dyDescent="0.15">
      <c r="A43" s="3" t="s">
        <v>20</v>
      </c>
      <c r="B43" s="49">
        <f>Reports!E36</f>
        <v>0</v>
      </c>
      <c r="C43" s="49">
        <f>Reports!I36</f>
        <v>216.858</v>
      </c>
      <c r="D43" s="49">
        <f>Reports!M36</f>
        <v>911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1:119" x14ac:dyDescent="0.1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1:119" x14ac:dyDescent="0.15">
      <c r="A45" s="3" t="s">
        <v>44</v>
      </c>
      <c r="B45" s="48">
        <f>Reports!E38</f>
        <v>3.327</v>
      </c>
      <c r="C45" s="49">
        <f>Reports!I38</f>
        <v>57.771999999999998</v>
      </c>
      <c r="D45" s="49">
        <f>Reports!M38</f>
        <v>91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</row>
    <row r="46" spans="1:119" x14ac:dyDescent="0.15">
      <c r="A46" s="3" t="s">
        <v>45</v>
      </c>
      <c r="B46" s="48">
        <f>Reports!E39</f>
        <v>415.19600000000003</v>
      </c>
      <c r="C46" s="49">
        <f>Reports!I39</f>
        <v>733.476</v>
      </c>
      <c r="D46" s="49">
        <f>Reports!M39</f>
        <v>1329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</row>
    <row r="47" spans="1:119" x14ac:dyDescent="0.15">
      <c r="A47" s="3" t="s">
        <v>46</v>
      </c>
      <c r="B47" s="48">
        <f>Reports!E40</f>
        <v>221.703</v>
      </c>
      <c r="C47" s="49">
        <f>Reports!I40</f>
        <v>468.91</v>
      </c>
      <c r="D47" s="49">
        <f>Reports!M40</f>
        <v>1246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</row>
    <row r="49" spans="1:119" x14ac:dyDescent="0.15">
      <c r="A49" s="3" t="s">
        <v>47</v>
      </c>
      <c r="B49" s="50">
        <f>B46-B45-B42</f>
        <v>132.89500000000004</v>
      </c>
      <c r="C49" s="50">
        <f>C46-C45-C42</f>
        <v>209.73399999999992</v>
      </c>
      <c r="D49" s="50">
        <f>D46-D45-D42</f>
        <v>252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</row>
    <row r="50" spans="1:119" x14ac:dyDescent="0.15">
      <c r="A50" s="3" t="s">
        <v>48</v>
      </c>
      <c r="B50" s="50">
        <f>B46-B47</f>
        <v>193.49300000000002</v>
      </c>
      <c r="C50" s="50">
        <f>C46-C47</f>
        <v>264.56599999999997</v>
      </c>
      <c r="D50" s="50">
        <f>D46-D47</f>
        <v>83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</row>
    <row r="52" spans="1:119" x14ac:dyDescent="0.15">
      <c r="A52" s="24" t="s">
        <v>50</v>
      </c>
      <c r="B52" s="25">
        <f>B27/B50</f>
        <v>-0.46367362126795281</v>
      </c>
      <c r="C52" s="25">
        <f>C27/C50</f>
        <v>-0.420866626853035</v>
      </c>
      <c r="D52" s="25">
        <f>D27/D50</f>
        <v>-1.9737192771084338</v>
      </c>
    </row>
    <row r="53" spans="1:119" x14ac:dyDescent="0.15">
      <c r="A53" s="24" t="s">
        <v>51</v>
      </c>
      <c r="B53" s="25">
        <f>B27/B46</f>
        <v>-0.21608493338086107</v>
      </c>
      <c r="C53" s="25">
        <f>C27/C46</f>
        <v>-0.1518072847646004</v>
      </c>
      <c r="D53" s="25">
        <f>D27/D46</f>
        <v>-0.12326463506395786</v>
      </c>
    </row>
    <row r="54" spans="1:119" x14ac:dyDescent="0.15">
      <c r="A54" s="24" t="s">
        <v>52</v>
      </c>
      <c r="B54" s="25">
        <f>B27/(B50-B45)</f>
        <v>-0.47178570301736372</v>
      </c>
      <c r="C54" s="25">
        <f>C27/(C50-C45)</f>
        <v>-0.53844405543681184</v>
      </c>
      <c r="D54" s="25">
        <f>D27/(D50-D45)</f>
        <v>20.477337500000001</v>
      </c>
    </row>
    <row r="55" spans="1:119" x14ac:dyDescent="0.15">
      <c r="A55" s="24" t="s">
        <v>53</v>
      </c>
      <c r="B55" s="25">
        <f>B27/B49</f>
        <v>-0.67510139583882001</v>
      </c>
      <c r="C55" s="25">
        <f>C27/C49</f>
        <v>-0.53089627814279083</v>
      </c>
      <c r="D55" s="25">
        <f>D27/D49</f>
        <v>-0.65007420634920643</v>
      </c>
    </row>
    <row r="57" spans="1:119" x14ac:dyDescent="0.15">
      <c r="A57" s="3" t="s">
        <v>64</v>
      </c>
      <c r="B57" s="25"/>
      <c r="C57" s="25">
        <f t="shared" ref="C57:H58" si="106">C10/B10-1</f>
        <v>0.63396554438368002</v>
      </c>
      <c r="D57" s="25">
        <f t="shared" si="106"/>
        <v>0.6203465089391933</v>
      </c>
      <c r="E57" s="25">
        <f>E10/D10-1</f>
        <v>0.44999999999999996</v>
      </c>
      <c r="F57" s="25"/>
      <c r="G57" s="25"/>
      <c r="H57" s="25"/>
      <c r="I57" s="25"/>
    </row>
    <row r="58" spans="1:119" x14ac:dyDescent="0.15">
      <c r="A58" s="3" t="s">
        <v>65</v>
      </c>
      <c r="B58" s="25"/>
      <c r="C58" s="25">
        <f t="shared" si="106"/>
        <v>0.36833482275841534</v>
      </c>
      <c r="D58" s="25">
        <f t="shared" si="106"/>
        <v>0.20912158484815491</v>
      </c>
      <c r="E58" s="25">
        <f t="shared" si="106"/>
        <v>0.14999999999999991</v>
      </c>
      <c r="F58" s="25"/>
      <c r="G58" s="25"/>
      <c r="H58" s="25"/>
      <c r="I58" s="25"/>
    </row>
    <row r="60" spans="1:119" s="15" customFormat="1" x14ac:dyDescent="0.15">
      <c r="A60" s="15" t="s">
        <v>66</v>
      </c>
      <c r="B60" s="15">
        <f>Reports!E57</f>
        <v>5700</v>
      </c>
      <c r="C60" s="15">
        <f>Reports!I57</f>
        <v>13400</v>
      </c>
      <c r="D60" s="15">
        <f>Reports!M57</f>
        <v>15900</v>
      </c>
      <c r="E60" s="15">
        <f>Reports!Q57</f>
        <v>23055</v>
      </c>
      <c r="F60" s="15">
        <f>E60*1.4</f>
        <v>32276.999999999996</v>
      </c>
      <c r="G60" s="15">
        <f>F60*1.35</f>
        <v>43573.95</v>
      </c>
      <c r="H60" s="15">
        <f>G60*1.3</f>
        <v>56646.134999999995</v>
      </c>
      <c r="I60" s="15">
        <f>H60*1.25</f>
        <v>70807.668749999997</v>
      </c>
    </row>
    <row r="61" spans="1:119" s="15" customFormat="1" x14ac:dyDescent="0.15"/>
    <row r="62" spans="1:119" x14ac:dyDescent="0.15">
      <c r="A62" s="3" t="s">
        <v>74</v>
      </c>
      <c r="C62" s="25">
        <f>C60/B60-1</f>
        <v>1.3508771929824563</v>
      </c>
      <c r="D62" s="25">
        <f>D60/C60-1</f>
        <v>0.18656716417910446</v>
      </c>
      <c r="E62" s="25">
        <f>E60/D60-1</f>
        <v>0.44999999999999996</v>
      </c>
      <c r="F62" s="25">
        <f t="shared" ref="F62:I62" si="107">F60/E60-1</f>
        <v>0.39999999999999991</v>
      </c>
      <c r="G62" s="25">
        <f t="shared" si="107"/>
        <v>0.35000000000000009</v>
      </c>
      <c r="H62" s="25">
        <f t="shared" si="107"/>
        <v>0.30000000000000004</v>
      </c>
      <c r="I62" s="25">
        <f t="shared" si="107"/>
        <v>0.25</v>
      </c>
    </row>
    <row r="63" spans="1:119" x14ac:dyDescent="0.15">
      <c r="A63" s="3" t="s">
        <v>88</v>
      </c>
      <c r="C63" s="25">
        <f>C14/B14-1</f>
        <v>-0.31446582069998397</v>
      </c>
      <c r="D63" s="25">
        <f>D14/C14-1</f>
        <v>0.3408069780894063</v>
      </c>
      <c r="E63" s="25">
        <f t="shared" ref="E63:I63" si="108">E14/D14-1</f>
        <v>5.7744635222193752E-2</v>
      </c>
      <c r="F63" s="25">
        <f>F14/E14-1</f>
        <v>2.0000000000000018E-2</v>
      </c>
      <c r="G63" s="25">
        <f t="shared" si="108"/>
        <v>2.0000000000000018E-2</v>
      </c>
      <c r="H63" s="25">
        <f t="shared" si="108"/>
        <v>2.0000000000000018E-2</v>
      </c>
      <c r="I63" s="25">
        <f t="shared" si="108"/>
        <v>2.0000000000000018E-2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0"/>
  <sheetViews>
    <sheetView zoomScale="120" zoomScaleNormal="12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R23" sqref="R23"/>
    </sheetView>
  </sheetViews>
  <sheetFormatPr baseColWidth="10" defaultRowHeight="13" x14ac:dyDescent="0.15"/>
  <cols>
    <col min="1" max="1" width="17.5" style="6" bestFit="1" customWidth="1"/>
    <col min="2" max="2" width="10.83203125" style="27"/>
    <col min="3" max="5" width="10.83203125" style="26"/>
    <col min="6" max="6" width="10.83203125" style="27"/>
    <col min="7" max="9" width="10.83203125" style="26"/>
    <col min="10" max="10" width="10.83203125" style="27"/>
    <col min="11" max="13" width="10.83203125" style="26"/>
    <col min="14" max="14" width="10.83203125" style="64"/>
    <col min="15" max="16384" width="10.83203125" style="6"/>
  </cols>
  <sheetData>
    <row r="1" spans="1:17" s="26" customFormat="1" x14ac:dyDescent="0.15">
      <c r="A1" s="61" t="s">
        <v>33</v>
      </c>
      <c r="B1" s="28" t="s">
        <v>26</v>
      </c>
      <c r="C1" s="29" t="s">
        <v>27</v>
      </c>
      <c r="D1" s="29" t="s">
        <v>28</v>
      </c>
      <c r="E1" s="29" t="s">
        <v>29</v>
      </c>
      <c r="F1" s="28" t="s">
        <v>40</v>
      </c>
      <c r="G1" s="29" t="s">
        <v>41</v>
      </c>
      <c r="H1" s="29" t="s">
        <v>42</v>
      </c>
      <c r="I1" s="29" t="s">
        <v>43</v>
      </c>
      <c r="J1" s="28" t="s">
        <v>57</v>
      </c>
      <c r="K1" s="29" t="s">
        <v>58</v>
      </c>
      <c r="L1" s="29" t="s">
        <v>59</v>
      </c>
      <c r="M1" s="29" t="s">
        <v>60</v>
      </c>
      <c r="N1" s="27" t="s">
        <v>79</v>
      </c>
      <c r="O1" s="26" t="s">
        <v>80</v>
      </c>
      <c r="P1" s="26" t="s">
        <v>81</v>
      </c>
      <c r="Q1" s="26" t="s">
        <v>82</v>
      </c>
    </row>
    <row r="2" spans="1:17" s="26" customFormat="1" x14ac:dyDescent="0.15">
      <c r="A2" s="1"/>
      <c r="B2" s="27" t="s">
        <v>73</v>
      </c>
      <c r="C2" s="26" t="s">
        <v>72</v>
      </c>
      <c r="D2" s="26" t="s">
        <v>71</v>
      </c>
      <c r="E2" s="26" t="s">
        <v>70</v>
      </c>
      <c r="F2" s="27" t="s">
        <v>63</v>
      </c>
      <c r="G2" s="26" t="s">
        <v>69</v>
      </c>
      <c r="H2" s="26" t="s">
        <v>68</v>
      </c>
      <c r="I2" s="26" t="s">
        <v>67</v>
      </c>
      <c r="J2" s="59">
        <v>43585</v>
      </c>
      <c r="K2" s="60">
        <v>43677</v>
      </c>
      <c r="L2" s="60">
        <v>43769</v>
      </c>
      <c r="M2" s="60">
        <v>43861</v>
      </c>
      <c r="N2" s="59">
        <v>43951</v>
      </c>
      <c r="O2" s="60">
        <v>44043</v>
      </c>
      <c r="P2" s="60">
        <v>44135</v>
      </c>
    </row>
    <row r="3" spans="1:17" s="8" customFormat="1" x14ac:dyDescent="0.15">
      <c r="A3" s="8" t="s">
        <v>61</v>
      </c>
      <c r="B3" s="28">
        <v>29.187000000000001</v>
      </c>
      <c r="C3" s="29">
        <v>32.530999999999999</v>
      </c>
      <c r="D3" s="29">
        <v>37.884999999999998</v>
      </c>
      <c r="E3" s="29">
        <v>46.497999999999998</v>
      </c>
      <c r="F3" s="28">
        <v>46.069000000000003</v>
      </c>
      <c r="G3" s="29">
        <v>51.933</v>
      </c>
      <c r="H3" s="29">
        <v>60.09</v>
      </c>
      <c r="I3" s="29">
        <v>80.632000000000005</v>
      </c>
      <c r="J3" s="28">
        <v>83.994</v>
      </c>
      <c r="K3" s="29">
        <v>94</v>
      </c>
      <c r="L3" s="29">
        <v>104</v>
      </c>
      <c r="M3" s="29">
        <f>I3*1.3</f>
        <v>104.8216</v>
      </c>
      <c r="N3" s="63">
        <v>124.85599999999999</v>
      </c>
      <c r="O3" s="8">
        <v>132.47800000000001</v>
      </c>
      <c r="P3" s="8">
        <v>144.06899999999999</v>
      </c>
    </row>
    <row r="4" spans="1:17" s="8" customFormat="1" x14ac:dyDescent="0.15">
      <c r="A4" s="8" t="s">
        <v>62</v>
      </c>
      <c r="B4" s="28">
        <v>3.2029999999999998</v>
      </c>
      <c r="C4" s="29">
        <v>3.069</v>
      </c>
      <c r="D4" s="29">
        <v>3.6030000000000002</v>
      </c>
      <c r="E4" s="29">
        <v>3.5529999999999999</v>
      </c>
      <c r="F4" s="28">
        <v>4.07</v>
      </c>
      <c r="G4" s="29">
        <v>4.5570000000000004</v>
      </c>
      <c r="H4" s="29">
        <v>4.8949999999999996</v>
      </c>
      <c r="I4" s="29">
        <v>4.8520000000000003</v>
      </c>
      <c r="J4" s="28">
        <v>5.3940000000000001</v>
      </c>
      <c r="K4" s="29">
        <v>5</v>
      </c>
      <c r="L4" s="29">
        <v>6</v>
      </c>
      <c r="M4" s="29">
        <f>I4*1.2</f>
        <v>5.8224</v>
      </c>
      <c r="N4" s="63">
        <v>5.4729999999999999</v>
      </c>
      <c r="O4" s="8">
        <v>5.8029999999999999</v>
      </c>
      <c r="P4" s="8">
        <v>6.702</v>
      </c>
    </row>
    <row r="5" spans="1:17" x14ac:dyDescent="0.15">
      <c r="B5" s="28"/>
      <c r="C5" s="29"/>
      <c r="D5" s="29"/>
      <c r="E5" s="29"/>
      <c r="F5" s="28"/>
      <c r="G5" s="29"/>
      <c r="H5" s="29"/>
      <c r="I5" s="29"/>
      <c r="K5" s="29"/>
      <c r="L5" s="29"/>
      <c r="M5" s="29"/>
    </row>
    <row r="6" spans="1:17" s="58" customFormat="1" x14ac:dyDescent="0.15">
      <c r="A6" s="58" t="s">
        <v>66</v>
      </c>
      <c r="B6" s="68">
        <f>B57/1000000</f>
        <v>3.7000000000000002E-3</v>
      </c>
      <c r="C6" s="69">
        <f>C57/1000000</f>
        <v>4.3E-3</v>
      </c>
      <c r="D6" s="69">
        <f>D57/1000000</f>
        <v>4.8999999999999998E-3</v>
      </c>
      <c r="E6" s="69">
        <f>E57/1000000</f>
        <v>5.7000000000000002E-3</v>
      </c>
      <c r="F6" s="68">
        <f t="shared" ref="F6:Q6" si="0">F57/1000000</f>
        <v>6.6E-3</v>
      </c>
      <c r="G6" s="69">
        <f t="shared" si="0"/>
        <v>7.4000000000000003E-3</v>
      </c>
      <c r="H6" s="69">
        <f t="shared" si="0"/>
        <v>8.3000000000000001E-3</v>
      </c>
      <c r="I6" s="69">
        <f t="shared" si="0"/>
        <v>1.34E-2</v>
      </c>
      <c r="J6" s="68">
        <f t="shared" si="0"/>
        <v>1.4200000000000001E-2</v>
      </c>
      <c r="K6" s="69">
        <f t="shared" si="0"/>
        <v>1.4999999999999999E-2</v>
      </c>
      <c r="L6" s="69">
        <f t="shared" si="0"/>
        <v>1.5900000000000001E-2</v>
      </c>
      <c r="M6" s="69">
        <f t="shared" si="0"/>
        <v>1.5900000000000001E-2</v>
      </c>
      <c r="N6" s="68">
        <f t="shared" si="0"/>
        <v>1.84E-2</v>
      </c>
      <c r="O6" s="69">
        <f t="shared" si="0"/>
        <v>2.0199999999999999E-2</v>
      </c>
      <c r="P6" s="69">
        <f t="shared" si="0"/>
        <v>2.2599999999999999E-2</v>
      </c>
      <c r="Q6" s="69">
        <f>Q57/1000000</f>
        <v>2.3054999999999999E-2</v>
      </c>
    </row>
    <row r="7" spans="1:17" s="8" customFormat="1" x14ac:dyDescent="0.15">
      <c r="A7" s="8" t="s">
        <v>87</v>
      </c>
      <c r="B7" s="34">
        <f>SUM(B3:B4)/B6</f>
        <v>8754.0540540540533</v>
      </c>
      <c r="C7" s="33">
        <f>SUM(C3:C4)/C6</f>
        <v>8279.0697674418607</v>
      </c>
      <c r="D7" s="33">
        <f>SUM(D3:D4)/D6</f>
        <v>8466.9387755102034</v>
      </c>
      <c r="E7" s="33">
        <f t="shared" ref="E7:P7" si="1">SUM(E3:E4)/E6</f>
        <v>8780.8771929824543</v>
      </c>
      <c r="F7" s="34">
        <f t="shared" si="1"/>
        <v>7596.818181818182</v>
      </c>
      <c r="G7" s="33">
        <f t="shared" si="1"/>
        <v>7633.7837837837833</v>
      </c>
      <c r="H7" s="33">
        <f t="shared" si="1"/>
        <v>7829.5180722891564</v>
      </c>
      <c r="I7" s="33">
        <f t="shared" si="1"/>
        <v>6379.4029850746274</v>
      </c>
      <c r="J7" s="34">
        <f t="shared" si="1"/>
        <v>6294.929577464789</v>
      </c>
      <c r="K7" s="33">
        <f t="shared" si="1"/>
        <v>6600</v>
      </c>
      <c r="L7" s="33">
        <f t="shared" si="1"/>
        <v>6918.2389937106918</v>
      </c>
      <c r="M7" s="33">
        <f t="shared" si="1"/>
        <v>6958.7421383647797</v>
      </c>
      <c r="N7" s="34">
        <f t="shared" si="1"/>
        <v>7083.097826086957</v>
      </c>
      <c r="O7" s="33">
        <f t="shared" si="1"/>
        <v>6845.5940594059412</v>
      </c>
      <c r="P7" s="33">
        <f t="shared" si="1"/>
        <v>6671.283185840708</v>
      </c>
      <c r="Q7" s="8">
        <f>M7*0.95</f>
        <v>6610.8050314465409</v>
      </c>
    </row>
    <row r="8" spans="1:17" s="8" customFormat="1" x14ac:dyDescent="0.15">
      <c r="B8" s="28"/>
      <c r="C8" s="29"/>
      <c r="D8" s="29"/>
      <c r="E8" s="29"/>
      <c r="F8" s="28"/>
      <c r="G8" s="29"/>
      <c r="H8" s="29"/>
      <c r="I8" s="29"/>
      <c r="J8" s="28"/>
      <c r="K8" s="29"/>
      <c r="L8" s="29"/>
      <c r="M8" s="29">
        <v>109</v>
      </c>
      <c r="N8" s="63">
        <v>119</v>
      </c>
      <c r="O8" s="8">
        <v>125</v>
      </c>
      <c r="P8" s="8">
        <v>137</v>
      </c>
      <c r="Q8" s="8">
        <v>155</v>
      </c>
    </row>
    <row r="9" spans="1:17" s="17" customFormat="1" x14ac:dyDescent="0.15">
      <c r="A9" s="17" t="s">
        <v>0</v>
      </c>
      <c r="B9" s="32">
        <f t="shared" ref="B9:Q9" si="2">B6*B7</f>
        <v>32.39</v>
      </c>
      <c r="C9" s="31">
        <f t="shared" si="2"/>
        <v>35.6</v>
      </c>
      <c r="D9" s="31">
        <f t="shared" si="2"/>
        <v>41.487999999999992</v>
      </c>
      <c r="E9" s="31">
        <f t="shared" si="2"/>
        <v>50.050999999999988</v>
      </c>
      <c r="F9" s="32">
        <f t="shared" si="2"/>
        <v>50.139000000000003</v>
      </c>
      <c r="G9" s="31">
        <f t="shared" si="2"/>
        <v>56.49</v>
      </c>
      <c r="H9" s="31">
        <f t="shared" si="2"/>
        <v>64.984999999999999</v>
      </c>
      <c r="I9" s="31">
        <f t="shared" si="2"/>
        <v>85.484000000000009</v>
      </c>
      <c r="J9" s="32">
        <f t="shared" si="2"/>
        <v>89.388000000000005</v>
      </c>
      <c r="K9" s="31">
        <f t="shared" si="2"/>
        <v>99</v>
      </c>
      <c r="L9" s="31">
        <f t="shared" si="2"/>
        <v>110</v>
      </c>
      <c r="M9" s="31">
        <f t="shared" si="2"/>
        <v>110.64400000000001</v>
      </c>
      <c r="N9" s="32">
        <f t="shared" si="2"/>
        <v>130.32900000000001</v>
      </c>
      <c r="O9" s="31">
        <f t="shared" si="2"/>
        <v>138.28100000000001</v>
      </c>
      <c r="P9" s="31">
        <f t="shared" si="2"/>
        <v>150.77099999999999</v>
      </c>
      <c r="Q9" s="31">
        <f t="shared" si="2"/>
        <v>152.41210999999998</v>
      </c>
    </row>
    <row r="10" spans="1:17" s="8" customFormat="1" x14ac:dyDescent="0.15">
      <c r="A10" s="8" t="s">
        <v>1</v>
      </c>
      <c r="B10" s="28">
        <v>9.1989999999999998</v>
      </c>
      <c r="C10" s="29">
        <v>10.188000000000001</v>
      </c>
      <c r="D10" s="29">
        <v>11.071</v>
      </c>
      <c r="E10" s="29">
        <v>12.401</v>
      </c>
      <c r="F10" s="28">
        <v>13.749000000000001</v>
      </c>
      <c r="G10" s="29">
        <v>16.494</v>
      </c>
      <c r="H10" s="29">
        <v>17.757999999999999</v>
      </c>
      <c r="I10" s="29">
        <v>25.567</v>
      </c>
      <c r="J10" s="28">
        <v>28.172000000000001</v>
      </c>
      <c r="K10" s="29">
        <v>30</v>
      </c>
      <c r="L10" s="29">
        <v>32</v>
      </c>
      <c r="M10" s="29">
        <v>32</v>
      </c>
      <c r="N10" s="63">
        <v>37.677</v>
      </c>
      <c r="O10" s="8">
        <v>42.304000000000002</v>
      </c>
      <c r="P10" s="8">
        <v>46.11</v>
      </c>
      <c r="Q10" s="8">
        <f>Q9-Q11</f>
        <v>46.611897461050191</v>
      </c>
    </row>
    <row r="11" spans="1:17" s="8" customFormat="1" x14ac:dyDescent="0.15">
      <c r="A11" s="8" t="s">
        <v>2</v>
      </c>
      <c r="B11" s="34">
        <f t="shared" ref="B11:D11" si="3">B9-B10</f>
        <v>23.191000000000003</v>
      </c>
      <c r="C11" s="33">
        <f t="shared" si="3"/>
        <v>25.411999999999999</v>
      </c>
      <c r="D11" s="33">
        <f t="shared" si="3"/>
        <v>30.416999999999994</v>
      </c>
      <c r="E11" s="33">
        <f t="shared" ref="E11" si="4">E9-E10</f>
        <v>37.649999999999991</v>
      </c>
      <c r="F11" s="34">
        <f>F9-F10</f>
        <v>36.39</v>
      </c>
      <c r="G11" s="33">
        <f>G9-G10</f>
        <v>39.996000000000002</v>
      </c>
      <c r="H11" s="33">
        <f t="shared" ref="H11:I11" si="5">H9-H10</f>
        <v>47.227000000000004</v>
      </c>
      <c r="I11" s="33">
        <f t="shared" si="5"/>
        <v>59.917000000000009</v>
      </c>
      <c r="J11" s="34">
        <f t="shared" ref="J11:K11" si="6">J9-J10</f>
        <v>61.216000000000008</v>
      </c>
      <c r="K11" s="33">
        <f t="shared" si="6"/>
        <v>69</v>
      </c>
      <c r="L11" s="33">
        <f t="shared" ref="L11:P11" si="7">L9-L10</f>
        <v>78</v>
      </c>
      <c r="M11" s="33">
        <f t="shared" si="7"/>
        <v>78.644000000000005</v>
      </c>
      <c r="N11" s="34">
        <f t="shared" si="7"/>
        <v>92.652000000000015</v>
      </c>
      <c r="O11" s="33">
        <f t="shared" si="7"/>
        <v>95.977000000000004</v>
      </c>
      <c r="P11" s="33">
        <f t="shared" si="7"/>
        <v>104.66099999999999</v>
      </c>
      <c r="Q11" s="8">
        <f>Q9*P24</f>
        <v>105.80021253894979</v>
      </c>
    </row>
    <row r="12" spans="1:17" s="8" customFormat="1" x14ac:dyDescent="0.15">
      <c r="A12" s="8" t="s">
        <v>3</v>
      </c>
      <c r="B12" s="28">
        <v>13.077</v>
      </c>
      <c r="C12" s="29">
        <v>15.749000000000001</v>
      </c>
      <c r="D12" s="29">
        <v>16.588000000000001</v>
      </c>
      <c r="E12" s="29">
        <v>16.788</v>
      </c>
      <c r="F12" s="28">
        <v>18.645</v>
      </c>
      <c r="G12" s="29">
        <v>21.43</v>
      </c>
      <c r="H12" s="29">
        <v>23.178999999999998</v>
      </c>
      <c r="I12" s="29">
        <v>26.6</v>
      </c>
      <c r="J12" s="28">
        <v>30.867999999999999</v>
      </c>
      <c r="K12" s="29">
        <v>37</v>
      </c>
      <c r="L12" s="29">
        <v>39</v>
      </c>
      <c r="M12" s="29">
        <f>I12*1.6</f>
        <v>42.56</v>
      </c>
      <c r="N12" s="63">
        <v>46</v>
      </c>
      <c r="O12" s="8">
        <v>49</v>
      </c>
      <c r="P12" s="8">
        <v>54</v>
      </c>
      <c r="Q12" s="8">
        <f>M12*1.4</f>
        <v>59.583999999999996</v>
      </c>
    </row>
    <row r="13" spans="1:17" s="8" customFormat="1" x14ac:dyDescent="0.15">
      <c r="A13" s="8" t="s">
        <v>4</v>
      </c>
      <c r="B13" s="28">
        <v>22.145</v>
      </c>
      <c r="C13" s="29">
        <v>26.891999999999999</v>
      </c>
      <c r="D13" s="29">
        <v>28.05</v>
      </c>
      <c r="E13" s="29">
        <v>31.533999999999999</v>
      </c>
      <c r="F13" s="28">
        <v>33.197000000000003</v>
      </c>
      <c r="G13" s="29">
        <v>37.880000000000003</v>
      </c>
      <c r="H13" s="29">
        <v>38.116</v>
      </c>
      <c r="I13" s="29">
        <v>42.481999999999999</v>
      </c>
      <c r="J13" s="28">
        <v>46.12</v>
      </c>
      <c r="K13" s="29">
        <v>54</v>
      </c>
      <c r="L13" s="29">
        <v>57</v>
      </c>
      <c r="M13" s="29">
        <f>I13*1.5</f>
        <v>63.722999999999999</v>
      </c>
      <c r="N13" s="63">
        <v>69</v>
      </c>
      <c r="O13" s="8">
        <v>75</v>
      </c>
      <c r="P13" s="8">
        <v>83</v>
      </c>
      <c r="Q13" s="8">
        <f>M13*1.45</f>
        <v>92.398349999999994</v>
      </c>
    </row>
    <row r="14" spans="1:17" s="8" customFormat="1" x14ac:dyDescent="0.15">
      <c r="A14" s="8" t="s">
        <v>5</v>
      </c>
      <c r="B14" s="28">
        <v>7.7709999999999999</v>
      </c>
      <c r="C14" s="29">
        <v>8.9329999999999998</v>
      </c>
      <c r="D14" s="29">
        <v>9.8290000000000006</v>
      </c>
      <c r="E14" s="29">
        <v>10.242000000000001</v>
      </c>
      <c r="F14" s="28">
        <v>11.227</v>
      </c>
      <c r="G14" s="29">
        <v>12.254</v>
      </c>
      <c r="H14" s="29">
        <v>14.986000000000001</v>
      </c>
      <c r="I14" s="29">
        <v>14.569000000000001</v>
      </c>
      <c r="J14" s="28">
        <v>14.805</v>
      </c>
      <c r="K14" s="29">
        <v>16</v>
      </c>
      <c r="L14" s="29">
        <v>20</v>
      </c>
      <c r="M14" s="29">
        <f>I14*1.3</f>
        <v>18.939700000000002</v>
      </c>
      <c r="N14" s="63">
        <v>20</v>
      </c>
      <c r="O14" s="8">
        <v>21</v>
      </c>
      <c r="P14" s="8">
        <v>25</v>
      </c>
      <c r="Q14" s="8">
        <f>M14*1.25</f>
        <v>23.674625000000002</v>
      </c>
    </row>
    <row r="15" spans="1:17" s="8" customFormat="1" x14ac:dyDescent="0.15">
      <c r="A15" s="8" t="s">
        <v>6</v>
      </c>
      <c r="B15" s="34">
        <f t="shared" ref="B15:D15" si="8">SUM(B12:B14)</f>
        <v>42.993000000000002</v>
      </c>
      <c r="C15" s="33">
        <f t="shared" si="8"/>
        <v>51.573999999999998</v>
      </c>
      <c r="D15" s="33">
        <f t="shared" si="8"/>
        <v>54.467000000000006</v>
      </c>
      <c r="E15" s="33">
        <f t="shared" ref="E15:F15" si="9">SUM(E12:E14)</f>
        <v>58.564000000000007</v>
      </c>
      <c r="F15" s="34">
        <f t="shared" si="9"/>
        <v>63.069000000000003</v>
      </c>
      <c r="G15" s="33">
        <f t="shared" ref="G15:H15" si="10">SUM(G12:G14)</f>
        <v>71.564000000000007</v>
      </c>
      <c r="H15" s="33">
        <f t="shared" si="10"/>
        <v>76.281000000000006</v>
      </c>
      <c r="I15" s="33">
        <f t="shared" ref="I15:K15" si="11">SUM(I12:I14)</f>
        <v>83.650999999999996</v>
      </c>
      <c r="J15" s="34">
        <f t="shared" si="11"/>
        <v>91.793000000000006</v>
      </c>
      <c r="K15" s="33">
        <f t="shared" si="11"/>
        <v>107</v>
      </c>
      <c r="L15" s="33">
        <f t="shared" ref="L15:M15" si="12">SUM(L12:L14)</f>
        <v>116</v>
      </c>
      <c r="M15" s="33">
        <f t="shared" si="12"/>
        <v>125.2227</v>
      </c>
      <c r="N15" s="34">
        <f t="shared" ref="N15:O15" si="13">SUM(N12:N14)</f>
        <v>135</v>
      </c>
      <c r="O15" s="33">
        <f t="shared" si="13"/>
        <v>145</v>
      </c>
      <c r="P15" s="33">
        <f t="shared" ref="P15:Q15" si="14">SUM(P12:P14)</f>
        <v>162</v>
      </c>
      <c r="Q15" s="33">
        <f t="shared" si="14"/>
        <v>175.65697499999999</v>
      </c>
    </row>
    <row r="16" spans="1:17" s="8" customFormat="1" x14ac:dyDescent="0.15">
      <c r="A16" s="8" t="s">
        <v>7</v>
      </c>
      <c r="B16" s="34">
        <f t="shared" ref="B16:H16" si="15">B11-B15</f>
        <v>-19.802</v>
      </c>
      <c r="C16" s="33">
        <f t="shared" si="15"/>
        <v>-26.161999999999999</v>
      </c>
      <c r="D16" s="33">
        <f t="shared" si="15"/>
        <v>-24.050000000000011</v>
      </c>
      <c r="E16" s="33">
        <f t="shared" si="15"/>
        <v>-20.914000000000016</v>
      </c>
      <c r="F16" s="34">
        <f t="shared" si="15"/>
        <v>-26.679000000000002</v>
      </c>
      <c r="G16" s="33">
        <f t="shared" si="15"/>
        <v>-31.568000000000005</v>
      </c>
      <c r="H16" s="33">
        <f t="shared" si="15"/>
        <v>-29.054000000000002</v>
      </c>
      <c r="I16" s="33">
        <f t="shared" ref="I16:K16" si="16">I11-I15</f>
        <v>-23.733999999999988</v>
      </c>
      <c r="J16" s="34">
        <f t="shared" si="16"/>
        <v>-30.576999999999998</v>
      </c>
      <c r="K16" s="33">
        <f t="shared" si="16"/>
        <v>-38</v>
      </c>
      <c r="L16" s="33">
        <f t="shared" ref="L16:M16" si="17">L11-L15</f>
        <v>-38</v>
      </c>
      <c r="M16" s="33">
        <f t="shared" si="17"/>
        <v>-46.578699999999998</v>
      </c>
      <c r="N16" s="34">
        <f t="shared" ref="N16:O16" si="18">N11-N15</f>
        <v>-42.347999999999985</v>
      </c>
      <c r="O16" s="33">
        <f t="shared" si="18"/>
        <v>-49.022999999999996</v>
      </c>
      <c r="P16" s="33">
        <f t="shared" ref="P16:Q16" si="19">P11-P15</f>
        <v>-57.339000000000013</v>
      </c>
      <c r="Q16" s="33">
        <f t="shared" si="19"/>
        <v>-69.856762461050195</v>
      </c>
    </row>
    <row r="17" spans="1:17" s="8" customFormat="1" x14ac:dyDescent="0.15">
      <c r="A17" s="8" t="s">
        <v>8</v>
      </c>
      <c r="B17" s="28">
        <v>0.34100000000000003</v>
      </c>
      <c r="C17" s="29">
        <v>0.33500000000000002</v>
      </c>
      <c r="D17" s="29">
        <v>0.17</v>
      </c>
      <c r="E17" s="29">
        <v>1.349</v>
      </c>
      <c r="F17" s="28">
        <f>0.959-0.368</f>
        <v>0.59099999999999997</v>
      </c>
      <c r="G17" s="29">
        <v>-0.432</v>
      </c>
      <c r="H17" s="29">
        <v>-2.2989999999999999</v>
      </c>
      <c r="I17" s="29">
        <v>-2.4239999999999999</v>
      </c>
      <c r="J17" s="28">
        <f>2.303-4.689-0.415</f>
        <v>-2.8010000000000002</v>
      </c>
      <c r="K17" s="29">
        <f>2-5</f>
        <v>-3</v>
      </c>
      <c r="L17" s="29">
        <f>2-5</f>
        <v>-3</v>
      </c>
      <c r="M17" s="29">
        <f>2-5</f>
        <v>-3</v>
      </c>
      <c r="N17" s="63">
        <v>-12</v>
      </c>
      <c r="O17" s="8">
        <v>-14</v>
      </c>
      <c r="P17" s="8">
        <v>-14</v>
      </c>
      <c r="Q17" s="8">
        <f>P17</f>
        <v>-14</v>
      </c>
    </row>
    <row r="18" spans="1:17" s="8" customFormat="1" x14ac:dyDescent="0.15">
      <c r="A18" s="8" t="s">
        <v>9</v>
      </c>
      <c r="B18" s="34">
        <f t="shared" ref="B18:C18" si="20">B16+B17</f>
        <v>-19.460999999999999</v>
      </c>
      <c r="C18" s="33">
        <f t="shared" si="20"/>
        <v>-25.826999999999998</v>
      </c>
      <c r="D18" s="33">
        <f t="shared" ref="D18:F18" si="21">D16+D17</f>
        <v>-23.88000000000001</v>
      </c>
      <c r="E18" s="33">
        <f>E16+E17</f>
        <v>-19.565000000000015</v>
      </c>
      <c r="F18" s="34">
        <f t="shared" si="21"/>
        <v>-26.088000000000001</v>
      </c>
      <c r="G18" s="33">
        <f t="shared" ref="G18" si="22">G16+G17</f>
        <v>-32.000000000000007</v>
      </c>
      <c r="H18" s="33">
        <f t="shared" ref="H18:Q18" si="23">H16+H17</f>
        <v>-31.353000000000002</v>
      </c>
      <c r="I18" s="33">
        <f t="shared" si="23"/>
        <v>-26.157999999999987</v>
      </c>
      <c r="J18" s="34">
        <f t="shared" si="23"/>
        <v>-33.378</v>
      </c>
      <c r="K18" s="33">
        <f t="shared" si="23"/>
        <v>-41</v>
      </c>
      <c r="L18" s="33">
        <f t="shared" si="23"/>
        <v>-41</v>
      </c>
      <c r="M18" s="33">
        <f t="shared" si="23"/>
        <v>-49.578699999999998</v>
      </c>
      <c r="N18" s="34">
        <f t="shared" si="23"/>
        <v>-54.347999999999985</v>
      </c>
      <c r="O18" s="33">
        <f t="shared" si="23"/>
        <v>-63.022999999999996</v>
      </c>
      <c r="P18" s="33">
        <f t="shared" si="23"/>
        <v>-71.339000000000013</v>
      </c>
      <c r="Q18" s="33">
        <f t="shared" si="23"/>
        <v>-83.856762461050195</v>
      </c>
    </row>
    <row r="19" spans="1:17" s="8" customFormat="1" x14ac:dyDescent="0.15">
      <c r="A19" s="8" t="s">
        <v>10</v>
      </c>
      <c r="B19" s="28">
        <v>0.22900000000000001</v>
      </c>
      <c r="C19" s="29">
        <v>0.252</v>
      </c>
      <c r="D19" s="29">
        <v>3.3599999999999998E-2</v>
      </c>
      <c r="E19" s="29">
        <v>0.47</v>
      </c>
      <c r="F19" s="28">
        <v>-0.46700000000000003</v>
      </c>
      <c r="G19" s="29">
        <v>0.246</v>
      </c>
      <c r="H19" s="29">
        <v>-3.3000000000000002E-2</v>
      </c>
      <c r="I19" s="29">
        <v>-3.9980000000000002</v>
      </c>
      <c r="J19" s="28">
        <v>-0.13800000000000001</v>
      </c>
      <c r="K19" s="29">
        <v>-3</v>
      </c>
      <c r="L19" s="29">
        <v>1</v>
      </c>
      <c r="M19" s="29">
        <v>1</v>
      </c>
      <c r="N19" s="63">
        <v>0</v>
      </c>
      <c r="O19" s="8">
        <v>1</v>
      </c>
      <c r="P19" s="8">
        <v>1</v>
      </c>
      <c r="Q19" s="8">
        <f>P19</f>
        <v>1</v>
      </c>
    </row>
    <row r="20" spans="1:17" s="17" customFormat="1" x14ac:dyDescent="0.15">
      <c r="A20" s="17" t="s">
        <v>11</v>
      </c>
      <c r="B20" s="32">
        <f t="shared" ref="B20:Q20" si="24">B18-B19</f>
        <v>-19.689999999999998</v>
      </c>
      <c r="C20" s="31">
        <f t="shared" si="24"/>
        <v>-26.078999999999997</v>
      </c>
      <c r="D20" s="31">
        <f t="shared" si="24"/>
        <v>-23.91360000000001</v>
      </c>
      <c r="E20" s="31">
        <f t="shared" si="24"/>
        <v>-20.035000000000014</v>
      </c>
      <c r="F20" s="32">
        <f t="shared" si="24"/>
        <v>-25.621000000000002</v>
      </c>
      <c r="G20" s="31">
        <f t="shared" si="24"/>
        <v>-32.246000000000009</v>
      </c>
      <c r="H20" s="31">
        <f t="shared" si="24"/>
        <v>-31.32</v>
      </c>
      <c r="I20" s="31">
        <f t="shared" si="24"/>
        <v>-22.159999999999986</v>
      </c>
      <c r="J20" s="32">
        <f t="shared" si="24"/>
        <v>-33.24</v>
      </c>
      <c r="K20" s="31">
        <f t="shared" si="24"/>
        <v>-38</v>
      </c>
      <c r="L20" s="31">
        <f t="shared" si="24"/>
        <v>-42</v>
      </c>
      <c r="M20" s="31">
        <f t="shared" si="24"/>
        <v>-50.578699999999998</v>
      </c>
      <c r="N20" s="32">
        <f t="shared" si="24"/>
        <v>-54.347999999999985</v>
      </c>
      <c r="O20" s="31">
        <f t="shared" si="24"/>
        <v>-64.022999999999996</v>
      </c>
      <c r="P20" s="31">
        <f t="shared" si="24"/>
        <v>-72.339000000000013</v>
      </c>
      <c r="Q20" s="31">
        <f t="shared" si="24"/>
        <v>-84.856762461050195</v>
      </c>
    </row>
    <row r="21" spans="1:17" x14ac:dyDescent="0.15">
      <c r="A21" s="6" t="s">
        <v>12</v>
      </c>
      <c r="B21" s="36">
        <f t="shared" ref="B21:D21" si="25">IFERROR(B20/B22,0)</f>
        <v>-1.4956824607645418</v>
      </c>
      <c r="C21" s="35">
        <f t="shared" si="25"/>
        <v>-1.9175121972201623</v>
      </c>
      <c r="D21" s="35">
        <f t="shared" si="25"/>
        <v>-1.372637550467402</v>
      </c>
      <c r="E21" s="35">
        <f t="shared" ref="E21" si="26">IFERROR(E20/E22,0)</f>
        <v>-0.39841182526864438</v>
      </c>
      <c r="F21" s="36">
        <f t="shared" ref="F21:M21" si="27">IFERROR(F20/F22,0)</f>
        <v>-0.50885746850867208</v>
      </c>
      <c r="G21" s="35">
        <f t="shared" si="27"/>
        <v>-0.62998607919491212</v>
      </c>
      <c r="H21" s="35">
        <f t="shared" si="27"/>
        <v>-0.5942789155874616</v>
      </c>
      <c r="I21" s="35">
        <f t="shared" si="27"/>
        <v>-0.4117003072202069</v>
      </c>
      <c r="J21" s="36">
        <f t="shared" si="27"/>
        <v>-0.60755888797421997</v>
      </c>
      <c r="K21" s="35">
        <f t="shared" si="27"/>
        <v>-0.6785714285714286</v>
      </c>
      <c r="L21" s="35">
        <f t="shared" si="27"/>
        <v>-0.75</v>
      </c>
      <c r="M21" s="35">
        <f t="shared" si="27"/>
        <v>-0.90319107142857136</v>
      </c>
      <c r="N21" s="36">
        <f t="shared" ref="N21:O21" si="28">IFERROR(N20/N22,0)</f>
        <v>-0.94273111431067469</v>
      </c>
      <c r="O21" s="35">
        <f t="shared" si="28"/>
        <v>-1.0963988803349882</v>
      </c>
      <c r="P21" s="35">
        <f t="shared" ref="P21:Q21" si="29">IFERROR(P20/P22,0)</f>
        <v>-1.2184812780222778</v>
      </c>
      <c r="Q21" s="35">
        <f t="shared" si="29"/>
        <v>-1.4293310160822414</v>
      </c>
    </row>
    <row r="22" spans="1:17" s="8" customFormat="1" x14ac:dyDescent="0.15">
      <c r="A22" s="8" t="s">
        <v>13</v>
      </c>
      <c r="B22" s="28">
        <v>13.164559000000001</v>
      </c>
      <c r="C22" s="29">
        <v>13.600434999999999</v>
      </c>
      <c r="D22" s="29">
        <v>17.421641999999999</v>
      </c>
      <c r="E22" s="29">
        <v>50.287162000000002</v>
      </c>
      <c r="F22" s="28">
        <v>50.350051999999998</v>
      </c>
      <c r="G22" s="29">
        <v>51.185257999999997</v>
      </c>
      <c r="H22" s="29">
        <v>52.702525999999999</v>
      </c>
      <c r="I22" s="29">
        <v>53.825561</v>
      </c>
      <c r="J22" s="28">
        <v>54.710746</v>
      </c>
      <c r="K22" s="29">
        <v>56</v>
      </c>
      <c r="L22" s="29">
        <v>56</v>
      </c>
      <c r="M22" s="29">
        <v>56</v>
      </c>
      <c r="N22" s="63">
        <v>57.649524</v>
      </c>
      <c r="O22" s="8">
        <v>58.393894000000003</v>
      </c>
      <c r="P22" s="8">
        <v>59.368167</v>
      </c>
      <c r="Q22" s="8">
        <f>P22</f>
        <v>59.368167</v>
      </c>
    </row>
    <row r="23" spans="1:17" x14ac:dyDescent="0.15">
      <c r="B23" s="28"/>
      <c r="C23" s="29"/>
      <c r="D23" s="29"/>
      <c r="E23" s="29"/>
      <c r="I23" s="29"/>
    </row>
    <row r="24" spans="1:17" x14ac:dyDescent="0.15">
      <c r="A24" s="6" t="s">
        <v>15</v>
      </c>
      <c r="B24" s="42">
        <f t="shared" ref="B24:Q24" si="30">IFERROR(B11/B9,0)</f>
        <v>0.71599259030564999</v>
      </c>
      <c r="C24" s="41">
        <f t="shared" si="30"/>
        <v>0.71382022471910112</v>
      </c>
      <c r="D24" s="41">
        <f t="shared" si="30"/>
        <v>0.73315175472425764</v>
      </c>
      <c r="E24" s="41">
        <f t="shared" si="30"/>
        <v>0.75223272262292462</v>
      </c>
      <c r="F24" s="42">
        <f t="shared" si="30"/>
        <v>0.72578232513612151</v>
      </c>
      <c r="G24" s="41">
        <f t="shared" si="30"/>
        <v>0.70801911842804033</v>
      </c>
      <c r="H24" s="41">
        <f t="shared" si="30"/>
        <v>0.72673693929368322</v>
      </c>
      <c r="I24" s="41">
        <f t="shared" si="30"/>
        <v>0.70091479107201349</v>
      </c>
      <c r="J24" s="42">
        <f t="shared" si="30"/>
        <v>0.68483465342104088</v>
      </c>
      <c r="K24" s="41">
        <f t="shared" si="30"/>
        <v>0.69696969696969702</v>
      </c>
      <c r="L24" s="41">
        <f t="shared" si="30"/>
        <v>0.70909090909090911</v>
      </c>
      <c r="M24" s="41">
        <f t="shared" si="30"/>
        <v>0.71078413650988759</v>
      </c>
      <c r="N24" s="42">
        <f t="shared" si="30"/>
        <v>0.71090854683148041</v>
      </c>
      <c r="O24" s="41">
        <f t="shared" si="30"/>
        <v>0.69407221527180163</v>
      </c>
      <c r="P24" s="41">
        <f t="shared" si="30"/>
        <v>0.69417195614541261</v>
      </c>
      <c r="Q24" s="41">
        <f t="shared" si="30"/>
        <v>0.69417195614541261</v>
      </c>
    </row>
    <row r="25" spans="1:17" x14ac:dyDescent="0.15">
      <c r="A25" s="6" t="s">
        <v>16</v>
      </c>
      <c r="B25" s="44">
        <f t="shared" ref="B25:Q25" si="31">IFERROR(B16/B9,0)</f>
        <v>-0.61136153133683235</v>
      </c>
      <c r="C25" s="43">
        <f t="shared" si="31"/>
        <v>-0.73488764044943811</v>
      </c>
      <c r="D25" s="43">
        <f t="shared" si="31"/>
        <v>-0.57968569224836131</v>
      </c>
      <c r="E25" s="43">
        <f t="shared" si="31"/>
        <v>-0.41785378913508264</v>
      </c>
      <c r="F25" s="44">
        <f t="shared" si="31"/>
        <v>-0.53210075988751271</v>
      </c>
      <c r="G25" s="43">
        <f t="shared" si="31"/>
        <v>-0.55882457072048153</v>
      </c>
      <c r="H25" s="43">
        <f t="shared" si="31"/>
        <v>-0.44708778948988231</v>
      </c>
      <c r="I25" s="43">
        <f t="shared" si="31"/>
        <v>-0.27764259978475486</v>
      </c>
      <c r="J25" s="44">
        <f t="shared" si="31"/>
        <v>-0.34207052400769672</v>
      </c>
      <c r="K25" s="43">
        <f t="shared" si="31"/>
        <v>-0.38383838383838381</v>
      </c>
      <c r="L25" s="43">
        <f t="shared" si="31"/>
        <v>-0.34545454545454546</v>
      </c>
      <c r="M25" s="43">
        <f t="shared" si="31"/>
        <v>-0.42097809189834057</v>
      </c>
      <c r="N25" s="44">
        <f t="shared" si="31"/>
        <v>-0.32493151946228377</v>
      </c>
      <c r="O25" s="43">
        <f t="shared" si="31"/>
        <v>-0.35451725110463472</v>
      </c>
      <c r="P25" s="43">
        <f t="shared" si="31"/>
        <v>-0.38030523111208403</v>
      </c>
      <c r="Q25" s="43">
        <f t="shared" si="31"/>
        <v>-0.45834128574855504</v>
      </c>
    </row>
    <row r="26" spans="1:17" x14ac:dyDescent="0.15">
      <c r="A26" s="6" t="s">
        <v>17</v>
      </c>
      <c r="B26" s="44">
        <f t="shared" ref="B26:Q26" si="32">IFERROR(B19/B18,0)</f>
        <v>-1.1767123991572891E-2</v>
      </c>
      <c r="C26" s="43">
        <f t="shared" si="32"/>
        <v>-9.757230804971543E-3</v>
      </c>
      <c r="D26" s="43">
        <f t="shared" si="32"/>
        <v>-1.4070351758793964E-3</v>
      </c>
      <c r="E26" s="43">
        <f t="shared" si="32"/>
        <v>-2.4022489138768189E-2</v>
      </c>
      <c r="F26" s="44">
        <f t="shared" si="32"/>
        <v>1.7900950628641523E-2</v>
      </c>
      <c r="G26" s="43">
        <f t="shared" si="32"/>
        <v>-7.6874999999999982E-3</v>
      </c>
      <c r="H26" s="43">
        <f t="shared" si="32"/>
        <v>1.0525308582910726E-3</v>
      </c>
      <c r="I26" s="43">
        <f t="shared" si="32"/>
        <v>0.15284043122562896</v>
      </c>
      <c r="J26" s="44">
        <f t="shared" si="32"/>
        <v>4.1344598238360602E-3</v>
      </c>
      <c r="K26" s="43">
        <f t="shared" si="32"/>
        <v>7.3170731707317069E-2</v>
      </c>
      <c r="L26" s="43">
        <f t="shared" si="32"/>
        <v>-2.4390243902439025E-2</v>
      </c>
      <c r="M26" s="43">
        <f t="shared" si="32"/>
        <v>-2.0169952015684157E-2</v>
      </c>
      <c r="N26" s="44">
        <f t="shared" si="32"/>
        <v>0</v>
      </c>
      <c r="O26" s="43">
        <f t="shared" si="32"/>
        <v>-1.5867223077289244E-2</v>
      </c>
      <c r="P26" s="43">
        <f t="shared" si="32"/>
        <v>-1.4017578042865752E-2</v>
      </c>
      <c r="Q26" s="43">
        <f t="shared" si="32"/>
        <v>-1.1925096684533704E-2</v>
      </c>
    </row>
    <row r="27" spans="1:17" x14ac:dyDescent="0.15">
      <c r="B27" s="28"/>
      <c r="C27" s="29"/>
      <c r="D27" s="29"/>
      <c r="E27" s="29"/>
      <c r="I27" s="29"/>
      <c r="N27" s="27"/>
      <c r="O27" s="26"/>
      <c r="P27" s="26"/>
    </row>
    <row r="28" spans="1:17" s="11" customFormat="1" x14ac:dyDescent="0.15">
      <c r="A28" s="11" t="s">
        <v>14</v>
      </c>
      <c r="B28" s="28"/>
      <c r="C28" s="29"/>
      <c r="D28" s="29"/>
      <c r="E28" s="29"/>
      <c r="F28" s="38">
        <f t="shared" ref="F28:Q28" si="33">IFERROR((F9/B9)-1,0)</f>
        <v>0.54797777091694977</v>
      </c>
      <c r="G28" s="37">
        <f t="shared" si="33"/>
        <v>0.58679775280898872</v>
      </c>
      <c r="H28" s="37">
        <f t="shared" si="33"/>
        <v>0.56635653682992704</v>
      </c>
      <c r="I28" s="37">
        <f t="shared" si="33"/>
        <v>0.7079379033385953</v>
      </c>
      <c r="J28" s="38">
        <f t="shared" si="33"/>
        <v>0.78280380542092987</v>
      </c>
      <c r="K28" s="37">
        <f t="shared" si="33"/>
        <v>0.75252257036643644</v>
      </c>
      <c r="L28" s="37">
        <f t="shared" si="33"/>
        <v>0.69269831499576817</v>
      </c>
      <c r="M28" s="37">
        <f t="shared" si="33"/>
        <v>0.29432408403911836</v>
      </c>
      <c r="N28" s="38">
        <f t="shared" si="33"/>
        <v>0.45801449859041488</v>
      </c>
      <c r="O28" s="37">
        <f t="shared" si="33"/>
        <v>0.3967777777777779</v>
      </c>
      <c r="P28" s="37">
        <f t="shared" si="33"/>
        <v>0.3706454545454545</v>
      </c>
      <c r="Q28" s="37">
        <f t="shared" si="33"/>
        <v>0.37749999999999972</v>
      </c>
    </row>
    <row r="29" spans="1:17" s="11" customFormat="1" x14ac:dyDescent="0.15">
      <c r="A29" s="6" t="s">
        <v>30</v>
      </c>
      <c r="B29" s="28"/>
      <c r="C29" s="29"/>
      <c r="D29" s="29"/>
      <c r="E29" s="29"/>
      <c r="F29" s="40">
        <f t="shared" ref="F29:Q32" si="34">F12/B12-1</f>
        <v>0.4257857306721724</v>
      </c>
      <c r="G29" s="39">
        <f t="shared" si="34"/>
        <v>0.36072131563908805</v>
      </c>
      <c r="H29" s="39">
        <f t="shared" si="34"/>
        <v>0.39733542319749193</v>
      </c>
      <c r="I29" s="39">
        <f t="shared" si="34"/>
        <v>0.58446509411484393</v>
      </c>
      <c r="J29" s="40">
        <f t="shared" si="34"/>
        <v>0.65556449450254761</v>
      </c>
      <c r="K29" s="39">
        <f t="shared" si="34"/>
        <v>0.72655156322911818</v>
      </c>
      <c r="L29" s="39">
        <f t="shared" si="34"/>
        <v>0.68255748738081889</v>
      </c>
      <c r="M29" s="39">
        <f t="shared" si="34"/>
        <v>0.60000000000000009</v>
      </c>
      <c r="N29" s="40">
        <f t="shared" si="34"/>
        <v>0.49021640533886224</v>
      </c>
      <c r="O29" s="39">
        <f t="shared" si="34"/>
        <v>0.32432432432432434</v>
      </c>
      <c r="P29" s="39">
        <f t="shared" si="34"/>
        <v>0.38461538461538458</v>
      </c>
      <c r="Q29" s="39">
        <f t="shared" si="34"/>
        <v>0.39999999999999991</v>
      </c>
    </row>
    <row r="30" spans="1:17" s="11" customFormat="1" x14ac:dyDescent="0.15">
      <c r="A30" s="6" t="s">
        <v>31</v>
      </c>
      <c r="B30" s="28"/>
      <c r="C30" s="29"/>
      <c r="D30" s="29"/>
      <c r="E30" s="29"/>
      <c r="F30" s="40">
        <f t="shared" si="34"/>
        <v>0.49907428313389035</v>
      </c>
      <c r="G30" s="39">
        <f t="shared" si="34"/>
        <v>0.40859735237245287</v>
      </c>
      <c r="H30" s="39">
        <f t="shared" si="34"/>
        <v>0.35885918003565065</v>
      </c>
      <c r="I30" s="39">
        <f t="shared" si="34"/>
        <v>0.34718082070146505</v>
      </c>
      <c r="J30" s="40">
        <f t="shared" si="34"/>
        <v>0.38928216405096827</v>
      </c>
      <c r="K30" s="39">
        <f t="shared" si="34"/>
        <v>0.42555438225976761</v>
      </c>
      <c r="L30" s="39">
        <f t="shared" si="34"/>
        <v>0.49543498793157736</v>
      </c>
      <c r="M30" s="39">
        <f t="shared" si="34"/>
        <v>0.5</v>
      </c>
      <c r="N30" s="40">
        <f t="shared" si="34"/>
        <v>0.49609713790112764</v>
      </c>
      <c r="O30" s="39">
        <f t="shared" si="34"/>
        <v>0.38888888888888884</v>
      </c>
      <c r="P30" s="39">
        <f t="shared" si="34"/>
        <v>0.45614035087719307</v>
      </c>
      <c r="Q30" s="39">
        <f t="shared" si="34"/>
        <v>0.44999999999999996</v>
      </c>
    </row>
    <row r="31" spans="1:17" s="11" customFormat="1" x14ac:dyDescent="0.15">
      <c r="A31" s="6" t="s">
        <v>32</v>
      </c>
      <c r="B31" s="28"/>
      <c r="C31" s="29"/>
      <c r="D31" s="29"/>
      <c r="E31" s="29"/>
      <c r="F31" s="40">
        <f t="shared" si="34"/>
        <v>0.44473040792690788</v>
      </c>
      <c r="G31" s="39">
        <f t="shared" si="34"/>
        <v>0.37176760326877867</v>
      </c>
      <c r="H31" s="39">
        <f t="shared" si="34"/>
        <v>0.52467188930715225</v>
      </c>
      <c r="I31" s="39">
        <f t="shared" si="34"/>
        <v>0.42247607889084149</v>
      </c>
      <c r="J31" s="40">
        <f t="shared" si="34"/>
        <v>0.31869600071256787</v>
      </c>
      <c r="K31" s="39">
        <f t="shared" si="34"/>
        <v>0.30569609923290364</v>
      </c>
      <c r="L31" s="39">
        <f t="shared" si="34"/>
        <v>0.33457894034432134</v>
      </c>
      <c r="M31" s="39">
        <f t="shared" si="34"/>
        <v>0.30000000000000004</v>
      </c>
      <c r="N31" s="40">
        <f t="shared" si="34"/>
        <v>0.35089496791624453</v>
      </c>
      <c r="O31" s="39">
        <f t="shared" si="34"/>
        <v>0.3125</v>
      </c>
      <c r="P31" s="39">
        <f t="shared" si="34"/>
        <v>0.25</v>
      </c>
      <c r="Q31" s="39">
        <f t="shared" si="34"/>
        <v>0.25</v>
      </c>
    </row>
    <row r="32" spans="1:17" x14ac:dyDescent="0.15">
      <c r="A32" s="6" t="s">
        <v>78</v>
      </c>
      <c r="B32" s="28"/>
      <c r="C32" s="29"/>
      <c r="D32" s="29"/>
      <c r="E32" s="29"/>
      <c r="F32" s="42">
        <f t="shared" si="34"/>
        <v>0.46695973763170739</v>
      </c>
      <c r="G32" s="41">
        <f t="shared" si="34"/>
        <v>0.38759840229573062</v>
      </c>
      <c r="H32" s="41">
        <f t="shared" si="34"/>
        <v>0.40049938494868442</v>
      </c>
      <c r="I32" s="41">
        <f t="shared" si="34"/>
        <v>0.42836896386858792</v>
      </c>
      <c r="J32" s="42">
        <f t="shared" si="34"/>
        <v>0.45543769522269262</v>
      </c>
      <c r="K32" s="41">
        <f t="shared" si="34"/>
        <v>0.4951651668436643</v>
      </c>
      <c r="L32" s="41">
        <f t="shared" si="34"/>
        <v>0.52069322636043047</v>
      </c>
      <c r="M32" s="41">
        <f t="shared" si="34"/>
        <v>0.49696596573860452</v>
      </c>
      <c r="N32" s="42">
        <f t="shared" si="34"/>
        <v>0.47070038020328342</v>
      </c>
      <c r="O32" s="41">
        <f t="shared" si="34"/>
        <v>0.35514018691588789</v>
      </c>
      <c r="P32" s="41">
        <f t="shared" si="34"/>
        <v>0.39655172413793105</v>
      </c>
      <c r="Q32" s="41">
        <f t="shared" si="34"/>
        <v>0.40275664875457862</v>
      </c>
    </row>
    <row r="33" spans="1:16" x14ac:dyDescent="0.15">
      <c r="B33" s="56"/>
      <c r="C33" s="55"/>
      <c r="D33" s="55"/>
      <c r="E33" s="55"/>
      <c r="F33" s="56"/>
      <c r="G33" s="55"/>
      <c r="H33" s="55"/>
      <c r="I33" s="55"/>
      <c r="J33" s="56"/>
      <c r="K33" s="55"/>
      <c r="L33" s="55"/>
      <c r="M33" s="55"/>
    </row>
    <row r="34" spans="1:16" s="17" customFormat="1" x14ac:dyDescent="0.15">
      <c r="A34" s="17" t="s">
        <v>18</v>
      </c>
      <c r="B34" s="52"/>
      <c r="C34" s="51"/>
      <c r="D34" s="51"/>
      <c r="E34" s="31">
        <f t="shared" ref="E34:H34" si="35">E35-E36</f>
        <v>278.97399999999999</v>
      </c>
      <c r="F34" s="32">
        <f t="shared" si="35"/>
        <v>270.988</v>
      </c>
      <c r="G34" s="31">
        <f t="shared" si="35"/>
        <v>312.12400000000002</v>
      </c>
      <c r="H34" s="31">
        <f t="shared" si="35"/>
        <v>308.47900000000004</v>
      </c>
      <c r="I34" s="31">
        <f t="shared" ref="I34:K34" si="36">I35-I36</f>
        <v>249.11200000000002</v>
      </c>
      <c r="J34" s="32">
        <f t="shared" si="36"/>
        <v>256.327</v>
      </c>
      <c r="K34" s="31">
        <f t="shared" si="36"/>
        <v>213</v>
      </c>
      <c r="L34" s="31">
        <f t="shared" ref="L34:P34" si="37">L35-L36</f>
        <v>199</v>
      </c>
      <c r="M34" s="31">
        <f t="shared" si="37"/>
        <v>75</v>
      </c>
      <c r="N34" s="32">
        <f t="shared" si="37"/>
        <v>54</v>
      </c>
      <c r="O34" s="31">
        <f t="shared" si="37"/>
        <v>39</v>
      </c>
      <c r="P34" s="31">
        <f t="shared" si="37"/>
        <v>19</v>
      </c>
    </row>
    <row r="35" spans="1:16" s="8" customFormat="1" x14ac:dyDescent="0.15">
      <c r="A35" s="8" t="s">
        <v>19</v>
      </c>
      <c r="B35" s="28"/>
      <c r="C35" s="29"/>
      <c r="D35" s="29"/>
      <c r="E35" s="29">
        <f>61.902+217.072</f>
        <v>278.97399999999999</v>
      </c>
      <c r="F35" s="28">
        <f>111.617+159.371</f>
        <v>270.988</v>
      </c>
      <c r="G35" s="29">
        <f>122.771+399.906</f>
        <v>522.67700000000002</v>
      </c>
      <c r="H35" s="29">
        <f>139.49+382.681</f>
        <v>522.17100000000005</v>
      </c>
      <c r="I35" s="29">
        <f>147.831+318.139</f>
        <v>465.97</v>
      </c>
      <c r="J35" s="28">
        <f>158.06+318.346</f>
        <v>476.40600000000001</v>
      </c>
      <c r="K35" s="29">
        <f>187+249</f>
        <v>436</v>
      </c>
      <c r="L35" s="29">
        <f>151+275</f>
        <v>426</v>
      </c>
      <c r="M35" s="29">
        <f>706+280</f>
        <v>986</v>
      </c>
      <c r="N35" s="63">
        <f>701+276</f>
        <v>977</v>
      </c>
      <c r="O35" s="8">
        <f>469+505</f>
        <v>974</v>
      </c>
      <c r="P35" s="8">
        <f>415+552</f>
        <v>967</v>
      </c>
    </row>
    <row r="36" spans="1:16" s="8" customFormat="1" x14ac:dyDescent="0.15">
      <c r="A36" s="8" t="s">
        <v>20</v>
      </c>
      <c r="B36" s="28"/>
      <c r="C36" s="29"/>
      <c r="D36" s="29"/>
      <c r="E36" s="29">
        <v>0</v>
      </c>
      <c r="F36" s="28">
        <v>0</v>
      </c>
      <c r="G36" s="29">
        <v>210.553</v>
      </c>
      <c r="H36" s="29">
        <v>213.69200000000001</v>
      </c>
      <c r="I36" s="29">
        <v>216.858</v>
      </c>
      <c r="J36" s="28">
        <v>220.07900000000001</v>
      </c>
      <c r="K36" s="29">
        <v>223</v>
      </c>
      <c r="L36" s="29">
        <v>227</v>
      </c>
      <c r="M36" s="29">
        <v>911</v>
      </c>
      <c r="N36" s="63">
        <v>923</v>
      </c>
      <c r="O36" s="8">
        <v>935</v>
      </c>
      <c r="P36" s="8">
        <v>948</v>
      </c>
    </row>
    <row r="37" spans="1:16" s="8" customFormat="1" x14ac:dyDescent="0.15">
      <c r="B37" s="28"/>
      <c r="C37" s="29"/>
      <c r="D37" s="29"/>
      <c r="E37" s="29"/>
      <c r="F37" s="28"/>
      <c r="G37" s="29"/>
      <c r="H37" s="29"/>
      <c r="I37" s="29"/>
      <c r="J37" s="28"/>
      <c r="K37" s="29"/>
      <c r="L37" s="29"/>
      <c r="M37" s="29"/>
      <c r="N37" s="63"/>
    </row>
    <row r="38" spans="1:16" s="8" customFormat="1" x14ac:dyDescent="0.15">
      <c r="A38" s="49" t="s">
        <v>44</v>
      </c>
      <c r="B38" s="28"/>
      <c r="C38" s="29"/>
      <c r="D38" s="29"/>
      <c r="E38" s="45">
        <f>1.7+1.627</f>
        <v>3.327</v>
      </c>
      <c r="F38" s="28">
        <f>1.7+1.406</f>
        <v>3.1059999999999999</v>
      </c>
      <c r="G38" s="29">
        <f>1.7+1.185</f>
        <v>2.8849999999999998</v>
      </c>
      <c r="H38" s="29">
        <f>1.7+0.965</f>
        <v>2.665</v>
      </c>
      <c r="I38" s="29">
        <f>41.878+15.894</f>
        <v>57.771999999999998</v>
      </c>
      <c r="J38" s="28">
        <f>41.878+14.223</f>
        <v>56.100999999999999</v>
      </c>
      <c r="K38" s="29">
        <f>55+12</f>
        <v>67</v>
      </c>
      <c r="L38" s="29">
        <f>12+55</f>
        <v>67</v>
      </c>
      <c r="M38" s="29">
        <f>56+35</f>
        <v>91</v>
      </c>
      <c r="N38" s="63">
        <f>56+33</f>
        <v>89</v>
      </c>
      <c r="O38" s="8">
        <f>56+31</f>
        <v>87</v>
      </c>
      <c r="P38" s="8">
        <f>56+28</f>
        <v>84</v>
      </c>
    </row>
    <row r="39" spans="1:16" s="8" customFormat="1" x14ac:dyDescent="0.15">
      <c r="A39" s="49" t="s">
        <v>45</v>
      </c>
      <c r="B39" s="28"/>
      <c r="C39" s="29"/>
      <c r="D39" s="29"/>
      <c r="E39" s="45">
        <v>415.19600000000003</v>
      </c>
      <c r="F39" s="28">
        <v>400.22699999999998</v>
      </c>
      <c r="G39" s="29">
        <v>663.93</v>
      </c>
      <c r="H39" s="29">
        <v>670.67</v>
      </c>
      <c r="I39" s="29">
        <v>733.476</v>
      </c>
      <c r="J39" s="28">
        <v>734.24099999999999</v>
      </c>
      <c r="K39" s="29">
        <v>742</v>
      </c>
      <c r="L39" s="29">
        <v>735</v>
      </c>
      <c r="M39" s="29">
        <v>1329</v>
      </c>
      <c r="N39" s="63">
        <v>1337</v>
      </c>
      <c r="O39" s="8">
        <v>1355</v>
      </c>
      <c r="P39" s="8">
        <v>1356</v>
      </c>
    </row>
    <row r="40" spans="1:16" s="8" customFormat="1" x14ac:dyDescent="0.15">
      <c r="A40" s="49" t="s">
        <v>46</v>
      </c>
      <c r="B40" s="28"/>
      <c r="C40" s="29"/>
      <c r="D40" s="29"/>
      <c r="E40" s="45">
        <v>221.703</v>
      </c>
      <c r="F40" s="28">
        <v>227.72</v>
      </c>
      <c r="G40" s="29">
        <v>455.30599999999998</v>
      </c>
      <c r="H40" s="29">
        <v>473.42500000000001</v>
      </c>
      <c r="I40" s="29">
        <v>468.91</v>
      </c>
      <c r="J40" s="28">
        <v>486.37299999999999</v>
      </c>
      <c r="K40" s="29">
        <v>502</v>
      </c>
      <c r="L40" s="29">
        <v>516</v>
      </c>
      <c r="M40" s="29">
        <v>1246</v>
      </c>
      <c r="N40" s="63">
        <v>1274</v>
      </c>
      <c r="O40" s="8">
        <v>1307</v>
      </c>
      <c r="P40" s="8">
        <v>1334</v>
      </c>
    </row>
    <row r="41" spans="1:16" x14ac:dyDescent="0.15">
      <c r="E41" s="46"/>
    </row>
    <row r="42" spans="1:16" x14ac:dyDescent="0.15">
      <c r="A42" s="24" t="s">
        <v>47</v>
      </c>
      <c r="E42" s="33">
        <f t="shared" ref="E42:G42" si="38">E39-E35-E38</f>
        <v>132.89500000000004</v>
      </c>
      <c r="F42" s="34">
        <f t="shared" si="38"/>
        <v>126.13299999999998</v>
      </c>
      <c r="G42" s="33">
        <f t="shared" si="38"/>
        <v>138.36799999999994</v>
      </c>
      <c r="H42" s="33">
        <f t="shared" ref="H42:M42" si="39">H39-H35-H38</f>
        <v>145.83399999999992</v>
      </c>
      <c r="I42" s="33">
        <f t="shared" si="39"/>
        <v>209.73399999999998</v>
      </c>
      <c r="J42" s="34">
        <f t="shared" si="39"/>
        <v>201.73399999999998</v>
      </c>
      <c r="K42" s="33">
        <f t="shared" si="39"/>
        <v>239</v>
      </c>
      <c r="L42" s="33">
        <f t="shared" si="39"/>
        <v>242</v>
      </c>
      <c r="M42" s="33">
        <f t="shared" si="39"/>
        <v>252</v>
      </c>
      <c r="N42" s="34">
        <f t="shared" ref="N42:O42" si="40">N39-N35-N38</f>
        <v>271</v>
      </c>
      <c r="O42" s="33">
        <f t="shared" si="40"/>
        <v>294</v>
      </c>
      <c r="P42" s="33">
        <f t="shared" ref="P42" si="41">P39-P35-P38</f>
        <v>305</v>
      </c>
    </row>
    <row r="43" spans="1:16" x14ac:dyDescent="0.15">
      <c r="A43" s="24" t="s">
        <v>48</v>
      </c>
      <c r="E43" s="33">
        <f t="shared" ref="E43:H43" si="42">E39-E40</f>
        <v>193.49300000000002</v>
      </c>
      <c r="F43" s="34">
        <f t="shared" si="42"/>
        <v>172.50699999999998</v>
      </c>
      <c r="G43" s="33">
        <f t="shared" si="42"/>
        <v>208.62399999999997</v>
      </c>
      <c r="H43" s="33">
        <f t="shared" si="42"/>
        <v>197.24499999999995</v>
      </c>
      <c r="I43" s="33">
        <f t="shared" ref="I43:K43" si="43">I39-I40</f>
        <v>264.56599999999997</v>
      </c>
      <c r="J43" s="34">
        <f t="shared" si="43"/>
        <v>247.86799999999999</v>
      </c>
      <c r="K43" s="33">
        <f t="shared" si="43"/>
        <v>240</v>
      </c>
      <c r="L43" s="33">
        <f t="shared" ref="L43:M43" si="44">L39-L40</f>
        <v>219</v>
      </c>
      <c r="M43" s="33">
        <f t="shared" si="44"/>
        <v>83</v>
      </c>
      <c r="N43" s="34">
        <f t="shared" ref="N43:O43" si="45">N39-N40</f>
        <v>63</v>
      </c>
      <c r="O43" s="33">
        <f t="shared" si="45"/>
        <v>48</v>
      </c>
      <c r="P43" s="33">
        <f t="shared" ref="P43" si="46">P39-P40</f>
        <v>22</v>
      </c>
    </row>
    <row r="44" spans="1:16" x14ac:dyDescent="0.15">
      <c r="E44" s="46"/>
      <c r="O44" s="26"/>
    </row>
    <row r="45" spans="1:16" s="11" customFormat="1" x14ac:dyDescent="0.15">
      <c r="A45" s="30" t="s">
        <v>49</v>
      </c>
      <c r="B45" s="27"/>
      <c r="C45" s="26"/>
      <c r="D45" s="26"/>
      <c r="E45" s="31">
        <f t="shared" ref="E45:P45" si="47">SUM(B20:E20)</f>
        <v>-89.717600000000019</v>
      </c>
      <c r="F45" s="32">
        <f t="shared" si="47"/>
        <v>-95.648600000000016</v>
      </c>
      <c r="G45" s="31">
        <f t="shared" si="47"/>
        <v>-101.81560000000005</v>
      </c>
      <c r="H45" s="31">
        <f t="shared" si="47"/>
        <v>-109.22200000000004</v>
      </c>
      <c r="I45" s="31">
        <f t="shared" si="47"/>
        <v>-111.34699999999999</v>
      </c>
      <c r="J45" s="32">
        <f>SUM(G20:J20)</f>
        <v>-118.96600000000001</v>
      </c>
      <c r="K45" s="31">
        <f t="shared" si="47"/>
        <v>-124.72</v>
      </c>
      <c r="L45" s="31">
        <f t="shared" si="47"/>
        <v>-135.39999999999998</v>
      </c>
      <c r="M45" s="31">
        <f t="shared" si="47"/>
        <v>-163.81870000000001</v>
      </c>
      <c r="N45" s="32">
        <f t="shared" si="47"/>
        <v>-184.92669999999998</v>
      </c>
      <c r="O45" s="31">
        <f t="shared" si="47"/>
        <v>-210.94969999999998</v>
      </c>
      <c r="P45" s="31">
        <f t="shared" si="47"/>
        <v>-241.28870000000001</v>
      </c>
    </row>
    <row r="46" spans="1:16" x14ac:dyDescent="0.15">
      <c r="A46" s="24" t="s">
        <v>50</v>
      </c>
      <c r="E46" s="41">
        <f t="shared" ref="E46:G46" si="48">E45/E43</f>
        <v>-0.46367362126795286</v>
      </c>
      <c r="F46" s="42">
        <f t="shared" si="48"/>
        <v>-0.55446213776832265</v>
      </c>
      <c r="G46" s="41">
        <f t="shared" si="48"/>
        <v>-0.48803397499808299</v>
      </c>
      <c r="H46" s="41">
        <f t="shared" ref="H46:M46" si="49">H45/H43</f>
        <v>-0.55373773733174514</v>
      </c>
      <c r="I46" s="41">
        <f t="shared" si="49"/>
        <v>-0.42086662685303478</v>
      </c>
      <c r="J46" s="42">
        <f t="shared" si="49"/>
        <v>-0.47995707392644477</v>
      </c>
      <c r="K46" s="41">
        <f t="shared" si="49"/>
        <v>-0.51966666666666661</v>
      </c>
      <c r="L46" s="41">
        <f t="shared" si="49"/>
        <v>-0.61826484018264827</v>
      </c>
      <c r="M46" s="41">
        <f t="shared" si="49"/>
        <v>-1.9737192771084338</v>
      </c>
      <c r="N46" s="42">
        <f t="shared" ref="N46:O46" si="50">N45/N43</f>
        <v>-2.9353444444444441</v>
      </c>
      <c r="O46" s="41">
        <f t="shared" si="50"/>
        <v>-4.3947854166666662</v>
      </c>
      <c r="P46" s="41">
        <f t="shared" ref="P46" si="51">P45/P43</f>
        <v>-10.967668181818182</v>
      </c>
    </row>
    <row r="47" spans="1:16" x14ac:dyDescent="0.15">
      <c r="A47" s="24" t="s">
        <v>51</v>
      </c>
      <c r="E47" s="41">
        <f t="shared" ref="E47:G47" si="52">E45/E39</f>
        <v>-0.21608493338086113</v>
      </c>
      <c r="F47" s="42">
        <f t="shared" si="52"/>
        <v>-0.23898587551564493</v>
      </c>
      <c r="G47" s="41">
        <f t="shared" si="52"/>
        <v>-0.15335291371078286</v>
      </c>
      <c r="H47" s="41">
        <f t="shared" ref="H47:M47" si="53">H45/H39</f>
        <v>-0.16285505539236889</v>
      </c>
      <c r="I47" s="41">
        <f t="shared" si="53"/>
        <v>-0.15180728476460034</v>
      </c>
      <c r="J47" s="42">
        <f t="shared" si="53"/>
        <v>-0.16202581986023665</v>
      </c>
      <c r="K47" s="41">
        <f t="shared" si="53"/>
        <v>-0.16808625336927224</v>
      </c>
      <c r="L47" s="41">
        <f t="shared" si="53"/>
        <v>-0.18421768707482991</v>
      </c>
      <c r="M47" s="41">
        <f t="shared" si="53"/>
        <v>-0.12326463506395786</v>
      </c>
      <c r="N47" s="42">
        <f t="shared" ref="N47:O47" si="54">N45/N39</f>
        <v>-0.13831465968586387</v>
      </c>
      <c r="O47" s="41">
        <f t="shared" si="54"/>
        <v>-0.15568243542435423</v>
      </c>
      <c r="P47" s="41">
        <f t="shared" ref="P47" si="55">P45/P39</f>
        <v>-0.1779415191740413</v>
      </c>
    </row>
    <row r="48" spans="1:16" x14ac:dyDescent="0.15">
      <c r="A48" s="24" t="s">
        <v>52</v>
      </c>
      <c r="E48" s="41">
        <f t="shared" ref="E48:G48" si="56">E45/(E43-E38)</f>
        <v>-0.47178570301736383</v>
      </c>
      <c r="F48" s="42">
        <f t="shared" si="56"/>
        <v>-0.56462830797929187</v>
      </c>
      <c r="G48" s="41">
        <f t="shared" si="56"/>
        <v>-0.49487749041261042</v>
      </c>
      <c r="H48" s="41">
        <f t="shared" ref="H48:M48" si="57">H45/(H43-H38)</f>
        <v>-0.56132182135882447</v>
      </c>
      <c r="I48" s="41">
        <f t="shared" si="57"/>
        <v>-0.53844405543681151</v>
      </c>
      <c r="J48" s="42">
        <f t="shared" si="57"/>
        <v>-0.62036742505227704</v>
      </c>
      <c r="K48" s="41">
        <f t="shared" si="57"/>
        <v>-0.72092485549132945</v>
      </c>
      <c r="L48" s="41">
        <f t="shared" si="57"/>
        <v>-0.89078947368421035</v>
      </c>
      <c r="M48" s="41">
        <f t="shared" si="57"/>
        <v>20.477337500000001</v>
      </c>
      <c r="N48" s="42">
        <f t="shared" ref="N48:O48" si="58">N45/(N43-N38)</f>
        <v>7.112565384615384</v>
      </c>
      <c r="O48" s="41">
        <f t="shared" si="58"/>
        <v>5.4089666666666663</v>
      </c>
      <c r="P48" s="41">
        <f t="shared" ref="P48" si="59">P45/(P43-P38)</f>
        <v>3.8917532258064518</v>
      </c>
    </row>
    <row r="49" spans="1:17" x14ac:dyDescent="0.15">
      <c r="A49" s="24" t="s">
        <v>53</v>
      </c>
      <c r="E49" s="41">
        <f t="shared" ref="E49:G49" si="60">E45/E42</f>
        <v>-0.67510139583882012</v>
      </c>
      <c r="F49" s="42">
        <f t="shared" si="60"/>
        <v>-0.75831542895197945</v>
      </c>
      <c r="G49" s="41">
        <f t="shared" si="60"/>
        <v>-0.73583198427382124</v>
      </c>
      <c r="H49" s="41">
        <f t="shared" ref="H49:M49" si="61">H45/H42</f>
        <v>-0.74894743338316239</v>
      </c>
      <c r="I49" s="41">
        <f t="shared" si="61"/>
        <v>-0.53089627814279039</v>
      </c>
      <c r="J49" s="42">
        <f t="shared" si="61"/>
        <v>-0.58971715228964883</v>
      </c>
      <c r="K49" s="41">
        <f t="shared" si="61"/>
        <v>-0.5218410041841004</v>
      </c>
      <c r="L49" s="41">
        <f t="shared" si="61"/>
        <v>-0.55950413223140483</v>
      </c>
      <c r="M49" s="41">
        <f t="shared" si="61"/>
        <v>-0.65007420634920643</v>
      </c>
      <c r="N49" s="42">
        <f t="shared" ref="N49:O49" si="62">N45/N42</f>
        <v>-0.68238634686346855</v>
      </c>
      <c r="O49" s="41">
        <f t="shared" si="62"/>
        <v>-0.71751598639455771</v>
      </c>
      <c r="P49" s="41">
        <f t="shared" ref="P49" si="63">P45/P42</f>
        <v>-0.79111049180327875</v>
      </c>
    </row>
    <row r="50" spans="1:17" x14ac:dyDescent="0.15">
      <c r="N50" s="27"/>
      <c r="O50" s="26"/>
      <c r="P50" s="26"/>
    </row>
    <row r="51" spans="1:17" x14ac:dyDescent="0.15">
      <c r="A51" s="6" t="s">
        <v>64</v>
      </c>
      <c r="F51" s="42">
        <f t="shared" ref="F51:P52" si="64">F3/B3-1</f>
        <v>0.57840819542947197</v>
      </c>
      <c r="G51" s="41">
        <f t="shared" si="64"/>
        <v>0.59641572653776409</v>
      </c>
      <c r="H51" s="41">
        <f t="shared" si="64"/>
        <v>0.58611587699617274</v>
      </c>
      <c r="I51" s="41">
        <f t="shared" si="64"/>
        <v>0.73409609015441535</v>
      </c>
      <c r="J51" s="42">
        <f t="shared" si="64"/>
        <v>0.82322168920532235</v>
      </c>
      <c r="K51" s="41">
        <f t="shared" si="64"/>
        <v>0.81002445458571626</v>
      </c>
      <c r="L51" s="41">
        <f t="shared" si="64"/>
        <v>0.73073722749209513</v>
      </c>
      <c r="M51" s="41">
        <f t="shared" si="64"/>
        <v>0.30000000000000004</v>
      </c>
      <c r="N51" s="42">
        <f t="shared" si="64"/>
        <v>0.48648713003309751</v>
      </c>
      <c r="O51" s="41">
        <f t="shared" si="64"/>
        <v>0.40934042553191508</v>
      </c>
      <c r="P51" s="41">
        <f t="shared" si="64"/>
        <v>0.38527884615384611</v>
      </c>
      <c r="Q51" s="41"/>
    </row>
    <row r="52" spans="1:17" x14ac:dyDescent="0.15">
      <c r="A52" s="6" t="s">
        <v>65</v>
      </c>
      <c r="F52" s="42">
        <f t="shared" si="64"/>
        <v>0.27068373399937573</v>
      </c>
      <c r="G52" s="41">
        <f t="shared" si="64"/>
        <v>0.48484848484848508</v>
      </c>
      <c r="H52" s="41">
        <f t="shared" si="64"/>
        <v>0.35859006383569225</v>
      </c>
      <c r="I52" s="41">
        <f t="shared" si="64"/>
        <v>0.36560652969321716</v>
      </c>
      <c r="J52" s="42">
        <f t="shared" si="64"/>
        <v>0.32530712530712536</v>
      </c>
      <c r="K52" s="41">
        <f t="shared" si="64"/>
        <v>9.7213078779899043E-2</v>
      </c>
      <c r="L52" s="41">
        <f t="shared" si="64"/>
        <v>0.22574055158324824</v>
      </c>
      <c r="M52" s="41">
        <f t="shared" si="64"/>
        <v>0.19999999999999996</v>
      </c>
      <c r="N52" s="42">
        <f t="shared" si="64"/>
        <v>1.4645902855024096E-2</v>
      </c>
      <c r="O52" s="41">
        <f t="shared" si="64"/>
        <v>0.16060000000000008</v>
      </c>
      <c r="P52" s="41">
        <f t="shared" si="64"/>
        <v>0.11699999999999999</v>
      </c>
      <c r="Q52" s="41"/>
    </row>
    <row r="54" spans="1:17" s="22" customFormat="1" x14ac:dyDescent="0.15">
      <c r="A54" s="22" t="s">
        <v>55</v>
      </c>
      <c r="B54" s="42"/>
      <c r="C54" s="41"/>
      <c r="D54" s="41"/>
      <c r="E54" s="41"/>
      <c r="F54" s="42"/>
      <c r="G54" s="41"/>
      <c r="H54" s="41"/>
      <c r="I54" s="41"/>
      <c r="J54" s="42"/>
      <c r="K54" s="41"/>
      <c r="L54" s="41"/>
      <c r="M54" s="41"/>
      <c r="N54" s="65"/>
    </row>
    <row r="55" spans="1:17" s="22" customFormat="1" x14ac:dyDescent="0.15">
      <c r="A55" s="22" t="s">
        <v>56</v>
      </c>
      <c r="B55" s="42"/>
      <c r="C55" s="41"/>
      <c r="D55" s="41"/>
      <c r="E55" s="41"/>
      <c r="F55" s="42"/>
      <c r="G55" s="41"/>
      <c r="H55" s="41"/>
      <c r="I55" s="41"/>
      <c r="J55" s="42"/>
      <c r="K55" s="41"/>
      <c r="L55" s="41"/>
      <c r="M55" s="41"/>
      <c r="N55" s="65"/>
    </row>
    <row r="57" spans="1:17" s="8" customFormat="1" x14ac:dyDescent="0.15">
      <c r="A57" s="8" t="s">
        <v>66</v>
      </c>
      <c r="B57" s="28">
        <v>3700</v>
      </c>
      <c r="C57" s="29">
        <v>4300</v>
      </c>
      <c r="D57" s="29">
        <v>4900</v>
      </c>
      <c r="E57" s="29">
        <v>5700</v>
      </c>
      <c r="F57" s="28">
        <v>6600</v>
      </c>
      <c r="G57" s="29">
        <v>7400</v>
      </c>
      <c r="H57" s="29">
        <v>8300</v>
      </c>
      <c r="I57" s="29">
        <v>13400</v>
      </c>
      <c r="J57" s="28">
        <v>14200</v>
      </c>
      <c r="K57" s="29">
        <v>15000</v>
      </c>
      <c r="L57" s="29">
        <v>15900</v>
      </c>
      <c r="M57" s="29">
        <v>15900</v>
      </c>
      <c r="N57" s="63">
        <v>18400</v>
      </c>
      <c r="O57" s="8">
        <v>20200</v>
      </c>
      <c r="P57" s="8">
        <v>22600</v>
      </c>
      <c r="Q57" s="8">
        <f>M57*1.45</f>
        <v>23055</v>
      </c>
    </row>
    <row r="58" spans="1:17" s="8" customFormat="1" x14ac:dyDescent="0.15">
      <c r="B58" s="28"/>
      <c r="C58" s="29"/>
      <c r="D58" s="29"/>
      <c r="E58" s="29"/>
      <c r="F58" s="28"/>
      <c r="G58" s="29"/>
      <c r="H58" s="29"/>
      <c r="I58" s="29"/>
      <c r="J58" s="28"/>
      <c r="K58" s="29"/>
      <c r="L58" s="29"/>
      <c r="M58" s="29"/>
      <c r="N58" s="63"/>
    </row>
    <row r="59" spans="1:17" s="22" customFormat="1" x14ac:dyDescent="0.15">
      <c r="A59" s="22" t="s">
        <v>74</v>
      </c>
      <c r="B59" s="42"/>
      <c r="C59" s="41"/>
      <c r="D59" s="41"/>
      <c r="E59" s="41"/>
      <c r="F59" s="42">
        <f>F57/B57-1</f>
        <v>0.78378378378378377</v>
      </c>
      <c r="G59" s="41">
        <f t="shared" ref="G59:P59" si="65">G57/C57-1</f>
        <v>0.72093023255813948</v>
      </c>
      <c r="H59" s="41">
        <f t="shared" si="65"/>
        <v>0.69387755102040827</v>
      </c>
      <c r="I59" s="41">
        <f t="shared" si="65"/>
        <v>1.3508771929824563</v>
      </c>
      <c r="J59" s="42">
        <f t="shared" si="65"/>
        <v>1.1515151515151514</v>
      </c>
      <c r="K59" s="41">
        <f t="shared" si="65"/>
        <v>1.0270270270270272</v>
      </c>
      <c r="L59" s="41">
        <f t="shared" si="65"/>
        <v>0.9156626506024097</v>
      </c>
      <c r="M59" s="41">
        <f t="shared" si="65"/>
        <v>0.18656716417910446</v>
      </c>
      <c r="N59" s="42">
        <f t="shared" si="65"/>
        <v>0.29577464788732399</v>
      </c>
      <c r="O59" s="41">
        <f t="shared" si="65"/>
        <v>0.34666666666666668</v>
      </c>
      <c r="P59" s="41">
        <f t="shared" si="65"/>
        <v>0.42138364779874204</v>
      </c>
      <c r="Q59" s="41">
        <f>Q57/M57-1</f>
        <v>0.44999999999999996</v>
      </c>
    </row>
    <row r="60" spans="1:17" x14ac:dyDescent="0.15">
      <c r="A60" s="6" t="s">
        <v>88</v>
      </c>
      <c r="F60" s="42">
        <f>F7/B7-1</f>
        <v>-0.13219427994049782</v>
      </c>
      <c r="G60" s="41">
        <f t="shared" ref="G60:I60" si="66">G7/C7-1</f>
        <v>-7.7941846340722876E-2</v>
      </c>
      <c r="H60" s="41">
        <f t="shared" si="66"/>
        <v>-7.5283490305223966E-2</v>
      </c>
      <c r="I60" s="41">
        <f t="shared" si="66"/>
        <v>-0.27348910081865729</v>
      </c>
      <c r="J60" s="42">
        <f>J7/F7-1</f>
        <v>-0.17137287917055377</v>
      </c>
      <c r="K60" s="41">
        <f t="shared" ref="K60" si="67">K7/G7-1</f>
        <v>-0.13542219861922455</v>
      </c>
      <c r="L60" s="41">
        <f t="shared" ref="L60" si="68">L7/H7-1</f>
        <v>-0.1163901877695046</v>
      </c>
      <c r="M60" s="41">
        <f t="shared" ref="M60" si="69">M7/I7-1</f>
        <v>9.0814007932338736E-2</v>
      </c>
      <c r="N60" s="42">
        <f>N7/J7-1</f>
        <v>0.12520684130347237</v>
      </c>
      <c r="O60" s="41">
        <f t="shared" ref="O60" si="70">O7/K7-1</f>
        <v>3.7211221122112281E-2</v>
      </c>
      <c r="P60" s="41">
        <f t="shared" ref="P60:Q60" si="71">P7/L7-1</f>
        <v>-3.5696339501206764E-2</v>
      </c>
      <c r="Q60" s="41">
        <f t="shared" si="71"/>
        <v>-4.9999999999999933E-2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948-E774-CC47-BD3E-C5F284440C3A}">
  <dimension ref="B4:C7"/>
  <sheetViews>
    <sheetView zoomScale="120" zoomScaleNormal="120" workbookViewId="0">
      <selection activeCell="D14" sqref="D14"/>
    </sheetView>
  </sheetViews>
  <sheetFormatPr baseColWidth="10" defaultRowHeight="13" x14ac:dyDescent="0.15"/>
  <cols>
    <col min="1" max="1" width="10.83203125" style="3"/>
    <col min="2" max="2" width="25.83203125" style="3" bestFit="1" customWidth="1"/>
    <col min="3" max="16384" width="10.83203125" style="3"/>
  </cols>
  <sheetData>
    <row r="4" spans="2:3" x14ac:dyDescent="0.15">
      <c r="B4" s="62" t="s">
        <v>83</v>
      </c>
    </row>
    <row r="6" spans="2:3" x14ac:dyDescent="0.15">
      <c r="B6" s="3" t="s">
        <v>84</v>
      </c>
    </row>
    <row r="7" spans="2:3" x14ac:dyDescent="0.15">
      <c r="B7" s="3" t="s">
        <v>85</v>
      </c>
      <c r="C7" s="3" t="s">
        <v>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2021-02-18T20:30:31Z</dcterms:modified>
</cp:coreProperties>
</file>