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0098E886-A635-BB40-A654-6BE4E3195EF3}" xr6:coauthVersionLast="46" xr6:coauthVersionMax="46" xr10:uidLastSave="{00000000-0000-0000-0000-000000000000}"/>
  <bookViews>
    <workbookView xWindow="-52260" yWindow="-5940" windowWidth="26120" windowHeight="26740" tabRatio="500" activeTab="1" xr2:uid="{00000000-000D-0000-FFFF-FFFF00000000}"/>
  </bookViews>
  <sheets>
    <sheet name="Main" sheetId="2" r:id="rId1"/>
    <sheet name="Reports" sheetId="1" r:id="rId2"/>
    <sheet name="Product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1" l="1"/>
  <c r="M54" i="1"/>
  <c r="L54" i="1"/>
  <c r="K54" i="1"/>
  <c r="J54" i="1"/>
  <c r="Q54" i="1"/>
  <c r="P54" i="1"/>
  <c r="O54" i="1"/>
  <c r="N54" i="1"/>
  <c r="U54" i="1"/>
  <c r="T54" i="1"/>
  <c r="S54" i="1"/>
  <c r="R54" i="1"/>
  <c r="V54" i="1"/>
  <c r="W54" i="1"/>
  <c r="X54" i="1"/>
  <c r="Y54" i="1"/>
  <c r="V53" i="1"/>
  <c r="Y53" i="1"/>
  <c r="E53" i="1"/>
  <c r="I53" i="1"/>
  <c r="H53" i="1"/>
  <c r="G53" i="1"/>
  <c r="F53" i="1"/>
  <c r="M53" i="1"/>
  <c r="L53" i="1"/>
  <c r="K53" i="1"/>
  <c r="J53" i="1"/>
  <c r="Q53" i="1"/>
  <c r="P53" i="1"/>
  <c r="O53" i="1"/>
  <c r="N53" i="1"/>
  <c r="U53" i="1"/>
  <c r="T53" i="1"/>
  <c r="S53" i="1"/>
  <c r="R53" i="1"/>
  <c r="W53" i="1"/>
  <c r="X53" i="1"/>
  <c r="C3" i="2"/>
  <c r="R9" i="2"/>
  <c r="S9" i="2" s="1"/>
  <c r="T9" i="2" s="1"/>
  <c r="U9" i="2" s="1"/>
  <c r="Q9" i="2"/>
  <c r="G31" i="2"/>
  <c r="G15" i="2"/>
  <c r="H15" i="2" s="1"/>
  <c r="F49" i="2"/>
  <c r="F48" i="2"/>
  <c r="F51" i="2" s="1"/>
  <c r="F47" i="2"/>
  <c r="F45" i="2"/>
  <c r="F44" i="2"/>
  <c r="F15" i="2"/>
  <c r="F59" i="2" s="1"/>
  <c r="F31" i="2"/>
  <c r="E31" i="2"/>
  <c r="F28" i="2"/>
  <c r="F22" i="2"/>
  <c r="F21" i="2"/>
  <c r="F24" i="2" s="1"/>
  <c r="F19" i="2"/>
  <c r="F13" i="2"/>
  <c r="F16" i="2" s="1"/>
  <c r="F12" i="2"/>
  <c r="F64" i="2" s="1"/>
  <c r="F11" i="2"/>
  <c r="F63" i="2" s="1"/>
  <c r="F10" i="2"/>
  <c r="F62" i="2" s="1"/>
  <c r="E49" i="2"/>
  <c r="E48" i="2"/>
  <c r="E47" i="2"/>
  <c r="E15" i="2"/>
  <c r="E28" i="2"/>
  <c r="E22" i="2"/>
  <c r="E21" i="2"/>
  <c r="E19" i="2"/>
  <c r="E13" i="2"/>
  <c r="E12" i="2"/>
  <c r="E11" i="2"/>
  <c r="E10" i="2"/>
  <c r="Y56" i="1"/>
  <c r="Y24" i="1"/>
  <c r="Y19" i="1"/>
  <c r="Y15" i="1"/>
  <c r="G22" i="2" s="1"/>
  <c r="Y14" i="1"/>
  <c r="Y31" i="1" s="1"/>
  <c r="Y32" i="1"/>
  <c r="Y8" i="1"/>
  <c r="Q42" i="1"/>
  <c r="Q45" i="1" s="1"/>
  <c r="Q40" i="1"/>
  <c r="Q38" i="1"/>
  <c r="E45" i="2" s="1"/>
  <c r="Q37" i="1"/>
  <c r="E44" i="2" s="1"/>
  <c r="Q62" i="1"/>
  <c r="Q61" i="1"/>
  <c r="Q60" i="1"/>
  <c r="Q59" i="1"/>
  <c r="Q56" i="1"/>
  <c r="Q32" i="1"/>
  <c r="Q31" i="1"/>
  <c r="Q19" i="1"/>
  <c r="Q16" i="1"/>
  <c r="Q17" i="1" s="1"/>
  <c r="Q9" i="1"/>
  <c r="R62" i="1"/>
  <c r="R61" i="1"/>
  <c r="R60" i="1"/>
  <c r="R59" i="1"/>
  <c r="R56" i="1"/>
  <c r="R32" i="1"/>
  <c r="R31" i="1"/>
  <c r="R19" i="1"/>
  <c r="R16" i="1"/>
  <c r="R9" i="1"/>
  <c r="V57" i="1"/>
  <c r="R65" i="1"/>
  <c r="Q65" i="1"/>
  <c r="S65" i="1"/>
  <c r="T65" i="1"/>
  <c r="U65" i="1"/>
  <c r="V65" i="1"/>
  <c r="W65" i="1"/>
  <c r="X65" i="1"/>
  <c r="U42" i="1"/>
  <c r="U45" i="1" s="1"/>
  <c r="U40" i="1"/>
  <c r="U38" i="1"/>
  <c r="U37" i="1"/>
  <c r="U36" i="1"/>
  <c r="S62" i="1"/>
  <c r="S61" i="1"/>
  <c r="S60" i="1"/>
  <c r="S59" i="1"/>
  <c r="S56" i="1"/>
  <c r="S32" i="1"/>
  <c r="S31" i="1"/>
  <c r="S19" i="1"/>
  <c r="S16" i="1"/>
  <c r="S17" i="1" s="1"/>
  <c r="S9" i="1"/>
  <c r="T62" i="1"/>
  <c r="T61" i="1"/>
  <c r="T60" i="1"/>
  <c r="T59" i="1"/>
  <c r="T56" i="1"/>
  <c r="T32" i="1"/>
  <c r="T31" i="1"/>
  <c r="T19" i="1"/>
  <c r="F26" i="2" s="1"/>
  <c r="T16" i="1"/>
  <c r="F23" i="2" s="1"/>
  <c r="T9" i="1"/>
  <c r="U62" i="1"/>
  <c r="U61" i="1"/>
  <c r="U60" i="1"/>
  <c r="U59" i="1"/>
  <c r="U56" i="1"/>
  <c r="U32" i="1"/>
  <c r="U31" i="1"/>
  <c r="U19" i="1"/>
  <c r="U16" i="1"/>
  <c r="Y16" i="1" s="1"/>
  <c r="Y33" i="1" s="1"/>
  <c r="U9" i="1"/>
  <c r="U11" i="1" s="1"/>
  <c r="U13" i="1" s="1"/>
  <c r="U26" i="1" s="1"/>
  <c r="V62" i="1"/>
  <c r="V61" i="1"/>
  <c r="V60" i="1"/>
  <c r="V59" i="1"/>
  <c r="V56" i="1"/>
  <c r="V32" i="1"/>
  <c r="V31" i="1"/>
  <c r="V19" i="1"/>
  <c r="G26" i="2" s="1"/>
  <c r="V16" i="1"/>
  <c r="V17" i="1" s="1"/>
  <c r="V9" i="1"/>
  <c r="V11" i="1" s="1"/>
  <c r="W62" i="1"/>
  <c r="W61" i="1"/>
  <c r="W60" i="1"/>
  <c r="W59" i="1"/>
  <c r="W56" i="1"/>
  <c r="W32" i="1"/>
  <c r="W31" i="1"/>
  <c r="W19" i="1"/>
  <c r="W16" i="1"/>
  <c r="G23" i="2" s="1"/>
  <c r="W17" i="1"/>
  <c r="W34" i="1" s="1"/>
  <c r="W9" i="1"/>
  <c r="W11" i="1" s="1"/>
  <c r="W13" i="1" s="1"/>
  <c r="W26" i="1" s="1"/>
  <c r="X42" i="1"/>
  <c r="X45" i="1" s="1"/>
  <c r="X62" i="1"/>
  <c r="X61" i="1"/>
  <c r="X60" i="1"/>
  <c r="X59" i="1"/>
  <c r="X56" i="1"/>
  <c r="X40" i="1"/>
  <c r="X38" i="1"/>
  <c r="X37" i="1"/>
  <c r="X36" i="1" s="1"/>
  <c r="C5" i="2" s="1"/>
  <c r="X32" i="1"/>
  <c r="X31" i="1"/>
  <c r="X19" i="1"/>
  <c r="X16" i="1"/>
  <c r="X17" i="1" s="1"/>
  <c r="X9" i="1"/>
  <c r="X11" i="1" s="1"/>
  <c r="X13" i="1" s="1"/>
  <c r="X26" i="1" s="1"/>
  <c r="E43" i="2" l="1"/>
  <c r="E51" i="2"/>
  <c r="I15" i="2"/>
  <c r="J15" i="2" s="1"/>
  <c r="H59" i="2"/>
  <c r="E64" i="2"/>
  <c r="F65" i="2"/>
  <c r="E16" i="2"/>
  <c r="E18" i="2" s="1"/>
  <c r="E20" i="2" s="1"/>
  <c r="G21" i="2"/>
  <c r="G24" i="2" s="1"/>
  <c r="G16" i="2"/>
  <c r="F52" i="2"/>
  <c r="F18" i="2"/>
  <c r="F20" i="2" s="1"/>
  <c r="F25" i="2" s="1"/>
  <c r="F27" i="2" s="1"/>
  <c r="X44" i="1"/>
  <c r="E52" i="2"/>
  <c r="Y9" i="1"/>
  <c r="Y57" i="1" s="1"/>
  <c r="U33" i="1"/>
  <c r="Y11" i="1"/>
  <c r="F43" i="2"/>
  <c r="X18" i="1"/>
  <c r="Y30" i="1"/>
  <c r="Y13" i="1"/>
  <c r="Y26" i="1" s="1"/>
  <c r="V13" i="1"/>
  <c r="W33" i="1"/>
  <c r="U57" i="1"/>
  <c r="U17" i="1"/>
  <c r="X33" i="1"/>
  <c r="T17" i="1"/>
  <c r="R11" i="1"/>
  <c r="V30" i="1" s="1"/>
  <c r="V33" i="1"/>
  <c r="U44" i="1"/>
  <c r="X57" i="1"/>
  <c r="Q11" i="1"/>
  <c r="W57" i="1"/>
  <c r="S57" i="1"/>
  <c r="T11" i="1"/>
  <c r="W18" i="1"/>
  <c r="S11" i="1"/>
  <c r="Y17" i="1"/>
  <c r="Q36" i="1"/>
  <c r="Q44" i="1"/>
  <c r="R17" i="1"/>
  <c r="F4" i="2"/>
  <c r="P62" i="1"/>
  <c r="O62" i="1"/>
  <c r="N62" i="1"/>
  <c r="M62" i="1"/>
  <c r="L62" i="1"/>
  <c r="K62" i="1"/>
  <c r="J62" i="1"/>
  <c r="P61" i="1"/>
  <c r="O61" i="1"/>
  <c r="N61" i="1"/>
  <c r="M61" i="1"/>
  <c r="L61" i="1"/>
  <c r="K61" i="1"/>
  <c r="J61" i="1"/>
  <c r="I61" i="1"/>
  <c r="H61" i="1"/>
  <c r="P60" i="1"/>
  <c r="O60" i="1"/>
  <c r="N60" i="1"/>
  <c r="M60" i="1"/>
  <c r="L60" i="1"/>
  <c r="K60" i="1"/>
  <c r="J60" i="1"/>
  <c r="I60" i="1"/>
  <c r="H60" i="1"/>
  <c r="P59" i="1"/>
  <c r="O59" i="1"/>
  <c r="N59" i="1"/>
  <c r="M59" i="1"/>
  <c r="L59" i="1"/>
  <c r="K59" i="1"/>
  <c r="J59" i="1"/>
  <c r="G61" i="1"/>
  <c r="G60" i="1"/>
  <c r="F61" i="1"/>
  <c r="F60" i="1"/>
  <c r="M9" i="1"/>
  <c r="M11" i="1" s="1"/>
  <c r="C10" i="2"/>
  <c r="C11" i="2"/>
  <c r="C12" i="2"/>
  <c r="C13" i="2"/>
  <c r="C15" i="2"/>
  <c r="B11" i="2"/>
  <c r="B12" i="2"/>
  <c r="B15" i="2"/>
  <c r="D10" i="2"/>
  <c r="E62" i="2" s="1"/>
  <c r="D11" i="2"/>
  <c r="D12" i="2"/>
  <c r="D13" i="2"/>
  <c r="E65" i="2" s="1"/>
  <c r="D15" i="2"/>
  <c r="D48" i="2"/>
  <c r="D19" i="2"/>
  <c r="D21" i="2"/>
  <c r="D22" i="2"/>
  <c r="P42" i="1"/>
  <c r="P38" i="1"/>
  <c r="P45" i="1"/>
  <c r="P40" i="1"/>
  <c r="P37" i="1"/>
  <c r="P44" i="1" s="1"/>
  <c r="P19" i="1"/>
  <c r="P16" i="1"/>
  <c r="P9" i="1"/>
  <c r="O9" i="1"/>
  <c r="O11" i="1" s="1"/>
  <c r="N9" i="1"/>
  <c r="N11" i="1" s="1"/>
  <c r="N13" i="1" s="1"/>
  <c r="L9" i="1"/>
  <c r="L11" i="1" s="1"/>
  <c r="K9" i="1"/>
  <c r="J9" i="1"/>
  <c r="I9" i="1"/>
  <c r="I11" i="1" s="1"/>
  <c r="I13" i="1" s="1"/>
  <c r="H9" i="1"/>
  <c r="H11" i="1" s="1"/>
  <c r="G9" i="1"/>
  <c r="G11" i="1" s="1"/>
  <c r="G13" i="1" s="1"/>
  <c r="G26" i="1" s="1"/>
  <c r="F9" i="1"/>
  <c r="F11" i="1" s="1"/>
  <c r="F13" i="1" s="1"/>
  <c r="O37" i="1"/>
  <c r="O44" i="1" s="1"/>
  <c r="O38" i="1"/>
  <c r="C4" i="2"/>
  <c r="N16" i="1"/>
  <c r="N19" i="1"/>
  <c r="O16" i="1"/>
  <c r="O19" i="1"/>
  <c r="L16" i="1"/>
  <c r="L19" i="1"/>
  <c r="M16" i="1"/>
  <c r="M19" i="1"/>
  <c r="J16" i="1"/>
  <c r="J19" i="1"/>
  <c r="J21" i="1"/>
  <c r="K16" i="1"/>
  <c r="K17" i="1" s="1"/>
  <c r="K34" i="1" s="1"/>
  <c r="K19" i="1"/>
  <c r="K21" i="1"/>
  <c r="M40" i="1"/>
  <c r="D47" i="2" s="1"/>
  <c r="M37" i="1"/>
  <c r="D44" i="2" s="1"/>
  <c r="M42" i="1"/>
  <c r="D49" i="2" s="1"/>
  <c r="M45" i="1"/>
  <c r="H31" i="2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D31" i="2"/>
  <c r="P65" i="1"/>
  <c r="P56" i="1"/>
  <c r="P32" i="1"/>
  <c r="P31" i="1"/>
  <c r="N40" i="1"/>
  <c r="N37" i="1"/>
  <c r="N44" i="1"/>
  <c r="I16" i="1"/>
  <c r="M33" i="1" s="1"/>
  <c r="I17" i="1"/>
  <c r="I34" i="1" s="1"/>
  <c r="I19" i="1"/>
  <c r="I21" i="1"/>
  <c r="L40" i="1"/>
  <c r="L37" i="1"/>
  <c r="N42" i="1"/>
  <c r="N45" i="1"/>
  <c r="L42" i="1"/>
  <c r="L45" i="1" s="1"/>
  <c r="O40" i="1"/>
  <c r="O42" i="1"/>
  <c r="O45" i="1" s="1"/>
  <c r="B3" i="1"/>
  <c r="B16" i="1"/>
  <c r="B17" i="1" s="1"/>
  <c r="B19" i="1"/>
  <c r="B21" i="1"/>
  <c r="C3" i="1"/>
  <c r="G59" i="1" s="1"/>
  <c r="C16" i="1"/>
  <c r="C19" i="1"/>
  <c r="B26" i="2" s="1"/>
  <c r="C21" i="1"/>
  <c r="D3" i="1"/>
  <c r="D9" i="1" s="1"/>
  <c r="D11" i="1" s="1"/>
  <c r="D13" i="1" s="1"/>
  <c r="D16" i="1"/>
  <c r="D17" i="1" s="1"/>
  <c r="D19" i="1"/>
  <c r="D21" i="1"/>
  <c r="E3" i="1"/>
  <c r="E9" i="1" s="1"/>
  <c r="E16" i="1"/>
  <c r="E17" i="1"/>
  <c r="E19" i="1"/>
  <c r="E21" i="1"/>
  <c r="H16" i="1"/>
  <c r="H19" i="1"/>
  <c r="H21" i="1"/>
  <c r="G16" i="1"/>
  <c r="G17" i="1"/>
  <c r="G19" i="1"/>
  <c r="G21" i="1"/>
  <c r="F16" i="1"/>
  <c r="F17" i="1" s="1"/>
  <c r="F34" i="1" s="1"/>
  <c r="F19" i="1"/>
  <c r="F21" i="1"/>
  <c r="O32" i="1"/>
  <c r="N32" i="1"/>
  <c r="M32" i="1"/>
  <c r="L32" i="1"/>
  <c r="K32" i="1"/>
  <c r="J32" i="1"/>
  <c r="I32" i="1"/>
  <c r="H32" i="1"/>
  <c r="G32" i="1"/>
  <c r="O31" i="1"/>
  <c r="N31" i="1"/>
  <c r="M31" i="1"/>
  <c r="L31" i="1"/>
  <c r="K31" i="1"/>
  <c r="J31" i="1"/>
  <c r="I31" i="1"/>
  <c r="H31" i="1"/>
  <c r="G31" i="1"/>
  <c r="F32" i="1"/>
  <c r="F31" i="1"/>
  <c r="L38" i="1"/>
  <c r="L65" i="1"/>
  <c r="L56" i="1"/>
  <c r="M38" i="1"/>
  <c r="D45" i="2" s="1"/>
  <c r="M65" i="1"/>
  <c r="M56" i="1"/>
  <c r="N38" i="1"/>
  <c r="J65" i="1"/>
  <c r="I65" i="1"/>
  <c r="H65" i="1"/>
  <c r="G65" i="1"/>
  <c r="F65" i="1"/>
  <c r="J56" i="1"/>
  <c r="I56" i="1"/>
  <c r="H56" i="1"/>
  <c r="G56" i="1"/>
  <c r="F56" i="1"/>
  <c r="K65" i="1"/>
  <c r="K56" i="1"/>
  <c r="N56" i="1"/>
  <c r="N65" i="1"/>
  <c r="O65" i="1"/>
  <c r="O56" i="1"/>
  <c r="C19" i="2"/>
  <c r="C21" i="2"/>
  <c r="D38" i="2" s="1"/>
  <c r="C22" i="2"/>
  <c r="I37" i="1"/>
  <c r="C44" i="2" s="1"/>
  <c r="I38" i="1"/>
  <c r="C45" i="2" s="1"/>
  <c r="K37" i="1"/>
  <c r="K38" i="1"/>
  <c r="K36" i="1"/>
  <c r="C31" i="2"/>
  <c r="B21" i="2"/>
  <c r="B22" i="2"/>
  <c r="E37" i="1"/>
  <c r="E38" i="1"/>
  <c r="B31" i="2"/>
  <c r="B19" i="2"/>
  <c r="B38" i="1"/>
  <c r="B45" i="2" s="1"/>
  <c r="B37" i="1"/>
  <c r="C38" i="1"/>
  <c r="C37" i="1"/>
  <c r="C36" i="1" s="1"/>
  <c r="D38" i="1"/>
  <c r="D37" i="1"/>
  <c r="D36" i="1" s="1"/>
  <c r="F38" i="1"/>
  <c r="F37" i="1"/>
  <c r="G38" i="1"/>
  <c r="G37" i="1"/>
  <c r="G36" i="1" s="1"/>
  <c r="J38" i="1"/>
  <c r="H38" i="1"/>
  <c r="H37" i="1"/>
  <c r="J37" i="1"/>
  <c r="D9" i="2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C28" i="2" l="1"/>
  <c r="O36" i="1"/>
  <c r="Y18" i="1"/>
  <c r="Y34" i="1"/>
  <c r="V34" i="1"/>
  <c r="C59" i="2"/>
  <c r="U18" i="1"/>
  <c r="U27" i="1" s="1"/>
  <c r="U34" i="1"/>
  <c r="G41" i="2"/>
  <c r="R33" i="1"/>
  <c r="E23" i="2"/>
  <c r="E24" i="2" s="1"/>
  <c r="F60" i="2"/>
  <c r="K15" i="2"/>
  <c r="H16" i="2"/>
  <c r="G18" i="2"/>
  <c r="D59" i="2"/>
  <c r="D16" i="2"/>
  <c r="D18" i="2" s="1"/>
  <c r="D65" i="2"/>
  <c r="D64" i="2"/>
  <c r="X34" i="1"/>
  <c r="D52" i="2"/>
  <c r="E26" i="2"/>
  <c r="I59" i="1"/>
  <c r="L44" i="1"/>
  <c r="D43" i="2"/>
  <c r="N17" i="1"/>
  <c r="N34" i="1" s="1"/>
  <c r="P57" i="1"/>
  <c r="D63" i="2"/>
  <c r="E63" i="2"/>
  <c r="M36" i="1"/>
  <c r="P17" i="1"/>
  <c r="P34" i="1" s="1"/>
  <c r="T33" i="1"/>
  <c r="W30" i="1"/>
  <c r="S30" i="1"/>
  <c r="S13" i="1"/>
  <c r="W27" i="1"/>
  <c r="W20" i="1"/>
  <c r="V26" i="1"/>
  <c r="V18" i="1"/>
  <c r="Q57" i="1"/>
  <c r="X30" i="1"/>
  <c r="T13" i="1"/>
  <c r="R30" i="1"/>
  <c r="R13" i="1"/>
  <c r="R26" i="1" s="1"/>
  <c r="M57" i="1"/>
  <c r="I18" i="1"/>
  <c r="I27" i="1" s="1"/>
  <c r="M17" i="1"/>
  <c r="Q33" i="1"/>
  <c r="J57" i="1"/>
  <c r="T57" i="1"/>
  <c r="H36" i="1"/>
  <c r="K57" i="1"/>
  <c r="Q30" i="1"/>
  <c r="Q13" i="1"/>
  <c r="J36" i="1"/>
  <c r="F36" i="1"/>
  <c r="I36" i="1"/>
  <c r="P33" i="1"/>
  <c r="Y12" i="1"/>
  <c r="G19" i="2" s="1"/>
  <c r="N36" i="1"/>
  <c r="O33" i="1"/>
  <c r="P36" i="1"/>
  <c r="S33" i="1"/>
  <c r="R57" i="1"/>
  <c r="E36" i="1"/>
  <c r="B36" i="1"/>
  <c r="L36" i="1"/>
  <c r="X27" i="1"/>
  <c r="X20" i="1"/>
  <c r="M30" i="1"/>
  <c r="N57" i="1"/>
  <c r="E39" i="2"/>
  <c r="B23" i="2"/>
  <c r="B24" i="2" s="1"/>
  <c r="G18" i="1"/>
  <c r="G20" i="1" s="1"/>
  <c r="C23" i="2"/>
  <c r="C40" i="2" s="1"/>
  <c r="D62" i="2"/>
  <c r="F33" i="1"/>
  <c r="K33" i="1"/>
  <c r="C9" i="1"/>
  <c r="C11" i="1" s="1"/>
  <c r="G30" i="1" s="1"/>
  <c r="H59" i="1"/>
  <c r="I33" i="1"/>
  <c r="D26" i="2"/>
  <c r="C16" i="2"/>
  <c r="C18" i="2" s="1"/>
  <c r="C38" i="2"/>
  <c r="H57" i="1"/>
  <c r="C64" i="2"/>
  <c r="L33" i="1"/>
  <c r="B10" i="2"/>
  <c r="B16" i="2" s="1"/>
  <c r="B18" i="2" s="1"/>
  <c r="B20" i="2" s="1"/>
  <c r="B33" i="2" s="1"/>
  <c r="D28" i="2"/>
  <c r="J11" i="1"/>
  <c r="J30" i="1" s="1"/>
  <c r="D39" i="2"/>
  <c r="K11" i="1"/>
  <c r="O30" i="1" s="1"/>
  <c r="N33" i="1"/>
  <c r="C26" i="2"/>
  <c r="C63" i="2"/>
  <c r="L30" i="1"/>
  <c r="L13" i="1"/>
  <c r="F26" i="1"/>
  <c r="F18" i="1"/>
  <c r="F39" i="2"/>
  <c r="D51" i="2"/>
  <c r="C43" i="2"/>
  <c r="N18" i="1"/>
  <c r="N26" i="1"/>
  <c r="E11" i="1"/>
  <c r="I57" i="1"/>
  <c r="O13" i="1"/>
  <c r="H13" i="1"/>
  <c r="H30" i="1"/>
  <c r="D18" i="1"/>
  <c r="D26" i="1"/>
  <c r="M13" i="1"/>
  <c r="C17" i="1"/>
  <c r="G34" i="1" s="1"/>
  <c r="L17" i="1"/>
  <c r="L34" i="1" s="1"/>
  <c r="B9" i="1"/>
  <c r="B11" i="1" s="1"/>
  <c r="L57" i="1"/>
  <c r="B44" i="2"/>
  <c r="B43" i="2" s="1"/>
  <c r="P11" i="1"/>
  <c r="T30" i="1" s="1"/>
  <c r="G33" i="1"/>
  <c r="U30" i="1"/>
  <c r="C6" i="2"/>
  <c r="C7" i="2" s="1"/>
  <c r="H33" i="1"/>
  <c r="C13" i="1"/>
  <c r="B28" i="2"/>
  <c r="M44" i="1"/>
  <c r="O57" i="1"/>
  <c r="J33" i="1"/>
  <c r="E38" i="2"/>
  <c r="H17" i="1"/>
  <c r="H34" i="1" s="1"/>
  <c r="J17" i="1"/>
  <c r="J34" i="1" s="1"/>
  <c r="O17" i="1"/>
  <c r="D23" i="2"/>
  <c r="F59" i="1"/>
  <c r="I26" i="1"/>
  <c r="C39" i="2"/>
  <c r="K59" i="2" l="1"/>
  <c r="E25" i="2"/>
  <c r="E27" i="2" s="1"/>
  <c r="F41" i="2"/>
  <c r="T34" i="1"/>
  <c r="R34" i="1"/>
  <c r="I20" i="1"/>
  <c r="I22" i="1" s="1"/>
  <c r="U20" i="1"/>
  <c r="U28" i="1" s="1"/>
  <c r="Y27" i="1"/>
  <c r="Y20" i="1"/>
  <c r="G20" i="2"/>
  <c r="G25" i="2" s="1"/>
  <c r="G27" i="2" s="1"/>
  <c r="O34" i="1"/>
  <c r="S34" i="1"/>
  <c r="N30" i="1"/>
  <c r="G27" i="1"/>
  <c r="H60" i="2"/>
  <c r="I16" i="2"/>
  <c r="J16" i="2" s="1"/>
  <c r="J13" i="1"/>
  <c r="M34" i="1"/>
  <c r="Q34" i="1"/>
  <c r="X22" i="1"/>
  <c r="X23" i="1" s="1"/>
  <c r="X28" i="1"/>
  <c r="Q26" i="1"/>
  <c r="Q18" i="1"/>
  <c r="W28" i="1"/>
  <c r="W22" i="1"/>
  <c r="W23" i="1" s="1"/>
  <c r="V27" i="1"/>
  <c r="V20" i="1"/>
  <c r="U22" i="1"/>
  <c r="S26" i="1"/>
  <c r="S18" i="1"/>
  <c r="T26" i="1"/>
  <c r="T18" i="1"/>
  <c r="B25" i="2"/>
  <c r="B34" i="2" s="1"/>
  <c r="R18" i="1"/>
  <c r="C60" i="2"/>
  <c r="F57" i="1"/>
  <c r="D60" i="2"/>
  <c r="K30" i="1"/>
  <c r="K13" i="1"/>
  <c r="C24" i="2"/>
  <c r="C41" i="2" s="1"/>
  <c r="C62" i="2"/>
  <c r="G57" i="1"/>
  <c r="G39" i="2"/>
  <c r="H22" i="2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E59" i="2"/>
  <c r="C18" i="1"/>
  <c r="C26" i="1"/>
  <c r="J26" i="1"/>
  <c r="J18" i="1"/>
  <c r="F27" i="1"/>
  <c r="F20" i="1"/>
  <c r="L26" i="1"/>
  <c r="L18" i="1"/>
  <c r="D40" i="2"/>
  <c r="D24" i="2"/>
  <c r="D20" i="2"/>
  <c r="D37" i="2"/>
  <c r="F38" i="2"/>
  <c r="E37" i="2"/>
  <c r="I30" i="1"/>
  <c r="E13" i="1"/>
  <c r="N20" i="1"/>
  <c r="N27" i="1"/>
  <c r="I23" i="1"/>
  <c r="G28" i="1"/>
  <c r="G22" i="1"/>
  <c r="M18" i="1"/>
  <c r="M26" i="1"/>
  <c r="C20" i="2"/>
  <c r="C37" i="2"/>
  <c r="D27" i="1"/>
  <c r="D20" i="1"/>
  <c r="P13" i="1"/>
  <c r="P30" i="1"/>
  <c r="H26" i="1"/>
  <c r="H18" i="1"/>
  <c r="B13" i="1"/>
  <c r="F30" i="1"/>
  <c r="O18" i="1"/>
  <c r="O26" i="1"/>
  <c r="I28" i="1"/>
  <c r="D41" i="2" l="1"/>
  <c r="Y21" i="1"/>
  <c r="Y22" i="1" s="1"/>
  <c r="Y23" i="1" s="1"/>
  <c r="E41" i="2"/>
  <c r="K16" i="2"/>
  <c r="J18" i="2"/>
  <c r="S22" i="2"/>
  <c r="R39" i="2"/>
  <c r="R20" i="1"/>
  <c r="R27" i="1"/>
  <c r="Q20" i="1"/>
  <c r="Q27" i="1"/>
  <c r="U23" i="1"/>
  <c r="S20" i="1"/>
  <c r="S27" i="1"/>
  <c r="T20" i="1"/>
  <c r="T27" i="1"/>
  <c r="V28" i="1"/>
  <c r="V22" i="1"/>
  <c r="V23" i="1" s="1"/>
  <c r="K18" i="1"/>
  <c r="K26" i="1"/>
  <c r="P18" i="1"/>
  <c r="P26" i="1"/>
  <c r="L20" i="1"/>
  <c r="L27" i="1"/>
  <c r="D28" i="1"/>
  <c r="D22" i="1"/>
  <c r="F22" i="1"/>
  <c r="F28" i="1"/>
  <c r="C33" i="2"/>
  <c r="C25" i="2"/>
  <c r="J27" i="1"/>
  <c r="J20" i="1"/>
  <c r="H21" i="2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G38" i="2"/>
  <c r="H27" i="1"/>
  <c r="H20" i="1"/>
  <c r="M27" i="1"/>
  <c r="M20" i="1"/>
  <c r="E60" i="2"/>
  <c r="G23" i="1"/>
  <c r="C20" i="1"/>
  <c r="C27" i="1"/>
  <c r="D25" i="2"/>
  <c r="D33" i="2"/>
  <c r="O20" i="1"/>
  <c r="O27" i="1"/>
  <c r="H39" i="2"/>
  <c r="E18" i="1"/>
  <c r="E26" i="1"/>
  <c r="E40" i="2"/>
  <c r="N28" i="1"/>
  <c r="N22" i="1"/>
  <c r="B18" i="1"/>
  <c r="B26" i="1"/>
  <c r="T22" i="2" l="1"/>
  <c r="S39" i="2"/>
  <c r="K60" i="2"/>
  <c r="K18" i="2"/>
  <c r="L18" i="2" s="1"/>
  <c r="M18" i="2" s="1"/>
  <c r="N18" i="2" s="1"/>
  <c r="O18" i="2" s="1"/>
  <c r="P18" i="2" s="1"/>
  <c r="S21" i="2"/>
  <c r="R38" i="2"/>
  <c r="Y28" i="1"/>
  <c r="G28" i="2"/>
  <c r="N23" i="1"/>
  <c r="Q22" i="1"/>
  <c r="Q23" i="1" s="1"/>
  <c r="Q28" i="1"/>
  <c r="T22" i="1"/>
  <c r="T28" i="1"/>
  <c r="S22" i="1"/>
  <c r="S28" i="1"/>
  <c r="X47" i="1"/>
  <c r="R22" i="1"/>
  <c r="R28" i="1"/>
  <c r="K20" i="1"/>
  <c r="K27" i="1"/>
  <c r="O28" i="1"/>
  <c r="O22" i="1"/>
  <c r="O23" i="1" s="1"/>
  <c r="G59" i="2"/>
  <c r="H38" i="2"/>
  <c r="J28" i="1"/>
  <c r="J22" i="1"/>
  <c r="F37" i="2"/>
  <c r="B20" i="1"/>
  <c r="B27" i="1"/>
  <c r="D34" i="2"/>
  <c r="D27" i="2"/>
  <c r="C34" i="2"/>
  <c r="C27" i="2"/>
  <c r="C22" i="1"/>
  <c r="C28" i="1"/>
  <c r="F23" i="1"/>
  <c r="F40" i="2"/>
  <c r="D23" i="1"/>
  <c r="E20" i="1"/>
  <c r="E27" i="1"/>
  <c r="M28" i="1"/>
  <c r="M22" i="1"/>
  <c r="L28" i="1"/>
  <c r="L22" i="1"/>
  <c r="I39" i="2"/>
  <c r="H22" i="1"/>
  <c r="I47" i="1" s="1"/>
  <c r="H28" i="1"/>
  <c r="P20" i="1"/>
  <c r="P27" i="1"/>
  <c r="T21" i="2" l="1"/>
  <c r="S38" i="2"/>
  <c r="U22" i="2"/>
  <c r="U39" i="2" s="1"/>
  <c r="T39" i="2"/>
  <c r="X50" i="1"/>
  <c r="X49" i="1"/>
  <c r="X48" i="1"/>
  <c r="X51" i="1"/>
  <c r="S23" i="1"/>
  <c r="V47" i="1"/>
  <c r="R23" i="1"/>
  <c r="U47" i="1"/>
  <c r="W47" i="1"/>
  <c r="T23" i="1"/>
  <c r="K28" i="1"/>
  <c r="K22" i="1"/>
  <c r="K23" i="1" s="1"/>
  <c r="E22" i="1"/>
  <c r="E28" i="1"/>
  <c r="H18" i="2"/>
  <c r="G60" i="2"/>
  <c r="J23" i="1"/>
  <c r="G40" i="2"/>
  <c r="H23" i="2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B27" i="2"/>
  <c r="B22" i="1"/>
  <c r="B28" i="1"/>
  <c r="P28" i="1"/>
  <c r="P22" i="1"/>
  <c r="P23" i="1" s="1"/>
  <c r="I38" i="2"/>
  <c r="E33" i="2"/>
  <c r="L23" i="1"/>
  <c r="O47" i="1"/>
  <c r="M23" i="1"/>
  <c r="H23" i="1"/>
  <c r="J47" i="1"/>
  <c r="J39" i="2"/>
  <c r="F47" i="1"/>
  <c r="C23" i="1"/>
  <c r="C29" i="2"/>
  <c r="C30" i="2" s="1"/>
  <c r="C35" i="2"/>
  <c r="D29" i="2"/>
  <c r="D35" i="2"/>
  <c r="S23" i="2" l="1"/>
  <c r="R40" i="2"/>
  <c r="R24" i="2"/>
  <c r="U21" i="2"/>
  <c r="T38" i="2"/>
  <c r="I59" i="2"/>
  <c r="J59" i="2"/>
  <c r="Q47" i="1"/>
  <c r="U50" i="1"/>
  <c r="U49" i="1"/>
  <c r="U48" i="1"/>
  <c r="U51" i="1"/>
  <c r="N47" i="1"/>
  <c r="N50" i="1" s="1"/>
  <c r="E56" i="2" s="1"/>
  <c r="L47" i="1"/>
  <c r="L50" i="1" s="1"/>
  <c r="M47" i="1"/>
  <c r="M51" i="1" s="1"/>
  <c r="D57" i="2" s="1"/>
  <c r="P47" i="1"/>
  <c r="P51" i="1" s="1"/>
  <c r="K47" i="1"/>
  <c r="B23" i="1"/>
  <c r="E47" i="1"/>
  <c r="H37" i="2"/>
  <c r="F33" i="2"/>
  <c r="H40" i="2"/>
  <c r="H24" i="2"/>
  <c r="H41" i="2" s="1"/>
  <c r="B29" i="2"/>
  <c r="B30" i="2" s="1"/>
  <c r="B35" i="2"/>
  <c r="J38" i="2"/>
  <c r="O49" i="1"/>
  <c r="F55" i="2" s="1"/>
  <c r="O48" i="1"/>
  <c r="F54" i="2" s="1"/>
  <c r="O50" i="1"/>
  <c r="F56" i="2" s="1"/>
  <c r="O51" i="1"/>
  <c r="F57" i="2" s="1"/>
  <c r="E34" i="2"/>
  <c r="K39" i="2"/>
  <c r="G37" i="2"/>
  <c r="D30" i="2"/>
  <c r="H47" i="1"/>
  <c r="E23" i="1"/>
  <c r="G47" i="1"/>
  <c r="N51" i="1" l="1"/>
  <c r="E57" i="2" s="1"/>
  <c r="L48" i="1"/>
  <c r="N49" i="1"/>
  <c r="E55" i="2" s="1"/>
  <c r="N48" i="1"/>
  <c r="E54" i="2" s="1"/>
  <c r="L51" i="1"/>
  <c r="L49" i="1"/>
  <c r="U38" i="2"/>
  <c r="M48" i="1"/>
  <c r="D54" i="2" s="1"/>
  <c r="T23" i="2"/>
  <c r="S40" i="2"/>
  <c r="S24" i="2"/>
  <c r="S41" i="2" s="1"/>
  <c r="I60" i="2"/>
  <c r="J60" i="2"/>
  <c r="P48" i="1"/>
  <c r="P50" i="1"/>
  <c r="P49" i="1"/>
  <c r="M50" i="1"/>
  <c r="D56" i="2" s="1"/>
  <c r="M49" i="1"/>
  <c r="D55" i="2" s="1"/>
  <c r="Q49" i="1"/>
  <c r="Q51" i="1"/>
  <c r="Q48" i="1"/>
  <c r="Q50" i="1"/>
  <c r="T47" i="1"/>
  <c r="R47" i="1"/>
  <c r="S47" i="1"/>
  <c r="I40" i="2"/>
  <c r="I24" i="2"/>
  <c r="I41" i="2" s="1"/>
  <c r="G33" i="2"/>
  <c r="H20" i="2" s="1"/>
  <c r="K38" i="2"/>
  <c r="L39" i="2"/>
  <c r="F34" i="2"/>
  <c r="I18" i="2"/>
  <c r="E35" i="2"/>
  <c r="U23" i="2" l="1"/>
  <c r="T40" i="2"/>
  <c r="T24" i="2"/>
  <c r="T41" i="2" s="1"/>
  <c r="E29" i="2"/>
  <c r="E30" i="2" s="1"/>
  <c r="I37" i="2"/>
  <c r="M39" i="2"/>
  <c r="H33" i="2"/>
  <c r="I20" i="2" s="1"/>
  <c r="H25" i="2"/>
  <c r="H19" i="2"/>
  <c r="J40" i="2"/>
  <c r="J24" i="2"/>
  <c r="J41" i="2" s="1"/>
  <c r="L38" i="2"/>
  <c r="G34" i="2"/>
  <c r="U40" i="2" l="1"/>
  <c r="U24" i="2"/>
  <c r="U41" i="2" s="1"/>
  <c r="I25" i="2"/>
  <c r="I33" i="2"/>
  <c r="J20" i="2" s="1"/>
  <c r="I19" i="2"/>
  <c r="K40" i="2"/>
  <c r="K24" i="2"/>
  <c r="K41" i="2" s="1"/>
  <c r="H34" i="2"/>
  <c r="N39" i="2"/>
  <c r="J37" i="2"/>
  <c r="M38" i="2"/>
  <c r="K37" i="2" l="1"/>
  <c r="O39" i="2"/>
  <c r="F35" i="2"/>
  <c r="L40" i="2"/>
  <c r="L24" i="2"/>
  <c r="L41" i="2" s="1"/>
  <c r="J33" i="2"/>
  <c r="K20" i="2" s="1"/>
  <c r="J25" i="2"/>
  <c r="J19" i="2"/>
  <c r="N38" i="2"/>
  <c r="I34" i="2"/>
  <c r="F29" i="2" l="1"/>
  <c r="F30" i="2" s="1"/>
  <c r="K25" i="2"/>
  <c r="K33" i="2"/>
  <c r="L20" i="2" s="1"/>
  <c r="L19" i="2" s="1"/>
  <c r="K19" i="2"/>
  <c r="O38" i="2"/>
  <c r="J34" i="2"/>
  <c r="M40" i="2"/>
  <c r="M24" i="2"/>
  <c r="M41" i="2" s="1"/>
  <c r="Q39" i="2"/>
  <c r="P39" i="2"/>
  <c r="L37" i="2"/>
  <c r="N40" i="2" l="1"/>
  <c r="N24" i="2"/>
  <c r="N41" i="2" s="1"/>
  <c r="M37" i="2"/>
  <c r="P38" i="2"/>
  <c r="L33" i="2"/>
  <c r="M20" i="2" s="1"/>
  <c r="L25" i="2"/>
  <c r="K34" i="2"/>
  <c r="M25" i="2" l="1"/>
  <c r="M33" i="2"/>
  <c r="N20" i="2" s="1"/>
  <c r="M19" i="2"/>
  <c r="N37" i="2"/>
  <c r="L34" i="2"/>
  <c r="O40" i="2"/>
  <c r="O24" i="2"/>
  <c r="O41" i="2" s="1"/>
  <c r="Q38" i="2"/>
  <c r="G35" i="2"/>
  <c r="G29" i="2" l="1"/>
  <c r="P40" i="2"/>
  <c r="P24" i="2"/>
  <c r="P41" i="2" s="1"/>
  <c r="N33" i="2"/>
  <c r="O20" i="2" s="1"/>
  <c r="O19" i="2" s="1"/>
  <c r="N25" i="2"/>
  <c r="O37" i="2"/>
  <c r="N19" i="2"/>
  <c r="M34" i="2"/>
  <c r="G43" i="2" l="1"/>
  <c r="G30" i="2"/>
  <c r="Q40" i="2"/>
  <c r="Q24" i="2"/>
  <c r="H26" i="2"/>
  <c r="H27" i="2" s="1"/>
  <c r="N34" i="2"/>
  <c r="P37" i="2"/>
  <c r="Q18" i="2"/>
  <c r="R18" i="2" s="1"/>
  <c r="O25" i="2"/>
  <c r="O33" i="2"/>
  <c r="P20" i="2" s="1"/>
  <c r="R37" i="2" l="1"/>
  <c r="S18" i="2"/>
  <c r="Q41" i="2"/>
  <c r="R41" i="2"/>
  <c r="P25" i="2"/>
  <c r="P33" i="2"/>
  <c r="Q20" i="2" s="1"/>
  <c r="P19" i="2"/>
  <c r="Q37" i="2"/>
  <c r="O34" i="2"/>
  <c r="H28" i="2"/>
  <c r="H35" i="2" s="1"/>
  <c r="T18" i="2" l="1"/>
  <c r="S37" i="2"/>
  <c r="Q33" i="2"/>
  <c r="R20" i="2" s="1"/>
  <c r="Q25" i="2"/>
  <c r="H29" i="2"/>
  <c r="Q19" i="2"/>
  <c r="P34" i="2"/>
  <c r="R19" i="2" l="1"/>
  <c r="R33" i="2"/>
  <c r="S20" i="2" s="1"/>
  <c r="R25" i="2"/>
  <c r="R34" i="2" s="1"/>
  <c r="U18" i="2"/>
  <c r="T37" i="2"/>
  <c r="Q34" i="2"/>
  <c r="H30" i="2"/>
  <c r="H43" i="2"/>
  <c r="U37" i="2" l="1"/>
  <c r="S33" i="2"/>
  <c r="T20" i="2" s="1"/>
  <c r="S25" i="2"/>
  <c r="S34" i="2" s="1"/>
  <c r="S19" i="2"/>
  <c r="I26" i="2"/>
  <c r="I27" i="2" s="1"/>
  <c r="T33" i="2" l="1"/>
  <c r="U20" i="2" s="1"/>
  <c r="T25" i="2"/>
  <c r="T34" i="2" s="1"/>
  <c r="T19" i="2"/>
  <c r="I28" i="2"/>
  <c r="I35" i="2" s="1"/>
  <c r="U33" i="2" l="1"/>
  <c r="U25" i="2"/>
  <c r="U34" i="2" s="1"/>
  <c r="U19" i="2"/>
  <c r="I29" i="2"/>
  <c r="I30" i="2"/>
  <c r="I43" i="2"/>
  <c r="J26" i="2" l="1"/>
  <c r="J27" i="2" s="1"/>
  <c r="J28" i="2" l="1"/>
  <c r="J35" i="2" s="1"/>
  <c r="J29" i="2" l="1"/>
  <c r="J30" i="2"/>
  <c r="J43" i="2"/>
  <c r="K26" i="2" l="1"/>
  <c r="K27" i="2" s="1"/>
  <c r="K28" i="2" l="1"/>
  <c r="K35" i="2" s="1"/>
  <c r="K29" i="2" l="1"/>
  <c r="K30" i="2"/>
  <c r="K43" i="2"/>
  <c r="L26" i="2" l="1"/>
  <c r="L27" i="2" s="1"/>
  <c r="L28" i="2" l="1"/>
  <c r="L35" i="2" s="1"/>
  <c r="L29" i="2" l="1"/>
  <c r="L30" i="2" l="1"/>
  <c r="L43" i="2"/>
  <c r="M26" i="2" l="1"/>
  <c r="M27" i="2" s="1"/>
  <c r="M28" i="2" l="1"/>
  <c r="M35" i="2" s="1"/>
  <c r="M29" i="2" l="1"/>
  <c r="M30" i="2" s="1"/>
  <c r="M43" i="2" l="1"/>
  <c r="N26" i="2"/>
  <c r="N27" i="2" s="1"/>
  <c r="N28" i="2" l="1"/>
  <c r="N35" i="2" s="1"/>
  <c r="N29" i="2"/>
  <c r="N30" i="2" l="1"/>
  <c r="N43" i="2"/>
  <c r="O26" i="2" l="1"/>
  <c r="O27" i="2" s="1"/>
  <c r="O28" i="2" l="1"/>
  <c r="O35" i="2" s="1"/>
  <c r="O29" i="2"/>
  <c r="O30" i="2" l="1"/>
  <c r="O43" i="2"/>
  <c r="P26" i="2" l="1"/>
  <c r="P27" i="2" s="1"/>
  <c r="P28" i="2" l="1"/>
  <c r="P35" i="2" s="1"/>
  <c r="P29" i="2"/>
  <c r="P30" i="2" l="1"/>
  <c r="P43" i="2"/>
  <c r="Q26" i="2" l="1"/>
  <c r="Q27" i="2" s="1"/>
  <c r="Q28" i="2" l="1"/>
  <c r="Q35" i="2" s="1"/>
  <c r="Q29" i="2" l="1"/>
  <c r="Q30" i="2" l="1"/>
  <c r="Q43" i="2"/>
  <c r="R26" i="2" l="1"/>
  <c r="R27" i="2" s="1"/>
  <c r="R28" i="2" l="1"/>
  <c r="R35" i="2" s="1"/>
  <c r="R29" i="2" l="1"/>
  <c r="R30" i="2"/>
  <c r="R43" i="2"/>
  <c r="S26" i="2" l="1"/>
  <c r="S27" i="2" s="1"/>
  <c r="S28" i="2" l="1"/>
  <c r="S35" i="2" s="1"/>
  <c r="S29" i="2"/>
  <c r="S30" i="2" l="1"/>
  <c r="S43" i="2"/>
  <c r="T26" i="2" l="1"/>
  <c r="T27" i="2" s="1"/>
  <c r="T28" i="2" l="1"/>
  <c r="T35" i="2" s="1"/>
  <c r="T29" i="2"/>
  <c r="T30" i="2" l="1"/>
  <c r="T43" i="2"/>
  <c r="U26" i="2" l="1"/>
  <c r="U27" i="2" s="1"/>
  <c r="U28" i="2" l="1"/>
  <c r="U35" i="2" s="1"/>
  <c r="U29" i="2"/>
  <c r="V29" i="2" s="1"/>
  <c r="U30" i="2" l="1"/>
  <c r="W29" i="2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U43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<sst xmlns="http://schemas.openxmlformats.org/spreadsheetml/2006/main" count="181" uniqueCount="125">
  <si>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</si>
  <si>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</si>
  <si>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</si>
  <si>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</si>
  <si>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</si>
  <si>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</si>
  <si>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</si>
  <si>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</si>
  <si>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</si>
  <si>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</si>
  <si>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</si>
  <si>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</si>
  <si>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</si>
  <si>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</si>
  <si>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</si>
  <si>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</si>
  <si>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</si>
  <si>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</si>
  <si>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</si>
  <si>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</si>
  <si>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</si>
  <si>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</si>
  <si>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</si>
  <si>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</si>
  <si>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</si>
  <si>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</si>
  <si>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</si>
  <si>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</si>
  <si>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</si>
  <si>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</si>
  <si>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</si>
  <si>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</si>
  <si>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</si>
  <si>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</si>
  <si>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</si>
  <si>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</si>
  <si>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</si>
  <si>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</si>
  <si>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</si>
  <si>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</si>
  <si>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</si>
  <si>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</si>
  <si>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</si>
  <si>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</si>
  <si>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</si>
  <si>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</si>
  <si>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</si>
  <si>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30/6/2015</t>
  </si>
  <si>
    <t>30/9/2015</t>
  </si>
  <si>
    <t>31/12/2015</t>
  </si>
  <si>
    <t>Commerce</t>
  </si>
  <si>
    <t>Cloud computing</t>
  </si>
  <si>
    <t>Digital media</t>
  </si>
  <si>
    <t>Other</t>
  </si>
  <si>
    <t>Mobile MAU</t>
  </si>
  <si>
    <t>Alibaba Group Holding Ltd (BABA)</t>
  </si>
  <si>
    <t>Investor Relations</t>
  </si>
  <si>
    <t>CEO</t>
  </si>
  <si>
    <t>Founder</t>
  </si>
  <si>
    <t>Jack Ma</t>
  </si>
  <si>
    <t>Daniel Zhang</t>
  </si>
  <si>
    <t>Peng Lei</t>
  </si>
  <si>
    <t>Price</t>
  </si>
  <si>
    <t>Market Cap</t>
  </si>
  <si>
    <t>EV</t>
  </si>
  <si>
    <t>per share</t>
  </si>
  <si>
    <t>R&amp;D y/y</t>
  </si>
  <si>
    <t>S&amp;M y/y</t>
  </si>
  <si>
    <t>G&amp;A y/y</t>
  </si>
  <si>
    <t>EDGAR</t>
  </si>
  <si>
    <t>Commerce y/y</t>
  </si>
  <si>
    <t>Cloud computing y/y</t>
  </si>
  <si>
    <t>Digital media y/y</t>
  </si>
  <si>
    <t>Other y/y</t>
  </si>
  <si>
    <t>Active consumers</t>
  </si>
  <si>
    <t>Active consumers y/y</t>
  </si>
  <si>
    <t>Mobile MAU y/y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</si>
  <si>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</si>
  <si>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</si>
  <si>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</si>
  <si>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</si>
  <si>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</si>
  <si>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</si>
  <si>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</si>
  <si>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</si>
  <si>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</si>
  <si>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ARPU</t>
  </si>
  <si>
    <t>ARPU y/y</t>
  </si>
  <si>
    <t>Q119</t>
  </si>
  <si>
    <t>Q219</t>
  </si>
  <si>
    <t>Q319</t>
  </si>
  <si>
    <t>Q419</t>
  </si>
  <si>
    <t>PRODUCTS</t>
  </si>
  <si>
    <t>Holdings</t>
  </si>
  <si>
    <t>Best Inc</t>
  </si>
  <si>
    <t>Bilibili</t>
  </si>
  <si>
    <t>Groupon</t>
  </si>
  <si>
    <t>Lyft</t>
  </si>
  <si>
    <t>Momo</t>
  </si>
  <si>
    <t>Weibo</t>
  </si>
  <si>
    <t>Xpeng</t>
  </si>
  <si>
    <t>E-commerce</t>
  </si>
  <si>
    <t>Multimedia</t>
  </si>
  <si>
    <t>Ride-sharing</t>
  </si>
  <si>
    <t>Social media</t>
  </si>
  <si>
    <t>CooTek Cayman</t>
  </si>
  <si>
    <t>App developer</t>
  </si>
  <si>
    <t>Q120</t>
  </si>
  <si>
    <t>Q220</t>
  </si>
  <si>
    <t>Q320</t>
  </si>
  <si>
    <t>Q420</t>
  </si>
  <si>
    <t>Q121</t>
  </si>
  <si>
    <t>Q221</t>
  </si>
  <si>
    <t>Q321</t>
  </si>
  <si>
    <t>Q421</t>
  </si>
  <si>
    <t>Net Income TTM</t>
  </si>
  <si>
    <t>Alibaba Cloud</t>
  </si>
  <si>
    <t>Taobao</t>
  </si>
  <si>
    <t>Tmall</t>
  </si>
  <si>
    <t>YouKu</t>
  </si>
  <si>
    <t>Video hosting</t>
  </si>
  <si>
    <t>OE y/y</t>
  </si>
  <si>
    <t>E-commerce y/y</t>
  </si>
  <si>
    <t>Revenue TTM</t>
  </si>
  <si>
    <t>Revenue TTM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</si>
</sst>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4" fillId="0" borderId="0" xfId="4" applyFont="1"/>
    <xf numFmtId="0" fontId="5" fillId="0" borderId="0" xfId="0" applyFont="1"/>
    <xf numFmtId="0" fontId="6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/>
    <xf numFmtId="164" fontId="6" fillId="2" borderId="0" xfId="0" applyNumberFormat="1" applyFont="1" applyFill="1"/>
    <xf numFmtId="0" fontId="7" fillId="0" borderId="0" xfId="0" applyFont="1"/>
    <xf numFmtId="0" fontId="5" fillId="0" borderId="0" xfId="0" applyFont="1" applyBorder="1"/>
    <xf numFmtId="164" fontId="6" fillId="0" borderId="0" xfId="0" applyNumberFormat="1" applyFont="1"/>
    <xf numFmtId="3" fontId="6" fillId="0" borderId="0" xfId="0" applyNumberFormat="1" applyFont="1" applyBorder="1"/>
    <xf numFmtId="3" fontId="5" fillId="0" borderId="0" xfId="0" applyNumberFormat="1" applyFont="1" applyBorder="1"/>
    <xf numFmtId="3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0" applyNumberFormat="1" applyFont="1" applyBorder="1"/>
    <xf numFmtId="9" fontId="6" fillId="0" borderId="0" xfId="1" applyFont="1" applyBorder="1"/>
    <xf numFmtId="164" fontId="5" fillId="2" borderId="0" xfId="0" applyNumberFormat="1" applyFont="1" applyFill="1"/>
    <xf numFmtId="0" fontId="7" fillId="0" borderId="0" xfId="0" applyFont="1" applyBorder="1"/>
    <xf numFmtId="2" fontId="6" fillId="2" borderId="0" xfId="0" applyNumberFormat="1" applyFont="1" applyFill="1"/>
    <xf numFmtId="3" fontId="5" fillId="2" borderId="0" xfId="0" applyNumberFormat="1" applyFont="1" applyFill="1" applyBorder="1"/>
    <xf numFmtId="165" fontId="6" fillId="0" borderId="0" xfId="0" applyNumberFormat="1" applyFont="1"/>
    <xf numFmtId="9" fontId="6" fillId="0" borderId="0" xfId="0" applyNumberFormat="1" applyFont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9" fontId="6" fillId="0" borderId="0" xfId="1" applyFont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0" fontId="6" fillId="0" borderId="1" xfId="0" applyFont="1" applyBorder="1"/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6" fillId="0" borderId="0" xfId="0" applyNumberFormat="1" applyFont="1" applyFill="1" applyBorder="1" applyAlignment="1">
      <alignment horizontal="right"/>
    </xf>
    <xf numFmtId="9" fontId="6" fillId="0" borderId="0" xfId="1" applyFont="1" applyFill="1" applyBorder="1" applyAlignment="1">
      <alignment horizontal="right"/>
    </xf>
    <xf numFmtId="3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9" fontId="6" fillId="0" borderId="0" xfId="0" applyNumberFormat="1" applyFont="1" applyFill="1" applyAlignment="1">
      <alignment horizontal="right"/>
    </xf>
    <xf numFmtId="0" fontId="6" fillId="0" borderId="0" xfId="0" applyFont="1" applyFill="1"/>
    <xf numFmtId="3" fontId="5" fillId="0" borderId="0" xfId="0" applyNumberFormat="1" applyFont="1" applyFill="1" applyBorder="1"/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4" fontId="6" fillId="0" borderId="0" xfId="0" applyNumberFormat="1" applyFont="1"/>
    <xf numFmtId="14" fontId="6" fillId="0" borderId="0" xfId="0" applyNumberFormat="1" applyFont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8" fillId="0" borderId="0" xfId="0" applyFont="1"/>
    <xf numFmtId="0" fontId="4" fillId="0" borderId="0" xfId="4" applyFont="1" applyAlignment="1">
      <alignment horizontal="left"/>
    </xf>
    <xf numFmtId="0" fontId="5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4" fontId="6" fillId="2" borderId="0" xfId="0" applyNumberFormat="1" applyFont="1" applyFill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3" fontId="6" fillId="0" borderId="1" xfId="0" applyNumberFormat="1" applyFont="1" applyBorder="1"/>
    <xf numFmtId="9" fontId="6" fillId="0" borderId="1" xfId="0" applyNumberFormat="1" applyFont="1" applyFill="1" applyBorder="1" applyAlignment="1">
      <alignment horizontal="right"/>
    </xf>
    <xf numFmtId="9" fontId="6" fillId="0" borderId="1" xfId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9" fontId="5" fillId="0" borderId="1" xfId="1" applyNumberFormat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3" fontId="5" fillId="0" borderId="1" xfId="0" applyNumberFormat="1" applyFont="1" applyBorder="1"/>
    <xf numFmtId="9" fontId="6" fillId="0" borderId="1" xfId="0" applyNumberFormat="1" applyFont="1" applyBorder="1"/>
    <xf numFmtId="2" fontId="6" fillId="2" borderId="0" xfId="0" applyNumberFormat="1" applyFont="1" applyFill="1" applyBorder="1"/>
    <xf numFmtId="4" fontId="6" fillId="0" borderId="0" xfId="0" applyNumberFormat="1" applyFont="1" applyAlignment="1">
      <alignment horizontal="right"/>
    </xf>
    <xf numFmtId="9" fontId="5" fillId="0" borderId="0" xfId="1" applyFont="1" applyBorder="1" applyAlignment="1">
      <alignment horizontal="right"/>
    </xf>
    <xf numFmtId="165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9" fontId="5" fillId="0" borderId="0" xfId="0" applyNumberFormat="1" applyFont="1" applyBorder="1" applyAlignment="1">
      <alignment horizontal="right"/>
    </xf>
    <xf numFmtId="3" fontId="5" fillId="2" borderId="0" xfId="0" applyNumberFormat="1" applyFont="1" applyFill="1"/>
    <xf numFmtId="3" fontId="5" fillId="2" borderId="1" xfId="0" applyNumberFormat="1" applyFont="1" applyFill="1" applyBorder="1"/>
    <xf numFmtId="9" fontId="5" fillId="0" borderId="0" xfId="0" applyNumberFormat="1" applyFont="1" applyAlignment="1">
      <alignment horizontal="left"/>
    </xf>
    <xf numFmtId="9" fontId="5" fillId="0" borderId="1" xfId="0" applyNumberFormat="1" applyFont="1" applyBorder="1"/>
    <xf numFmtId="9" fontId="5" fillId="0" borderId="0" xfId="0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166077</xdr:colOff>
      <xdr:row>8</xdr:row>
      <xdr:rowOff>12700</xdr:rowOff>
    </xdr:from>
    <xdr:to>
      <xdr:col>6</xdr:col>
      <xdr:colOff>166077</xdr:colOff>
      <xdr:row>66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998308" y="1341315"/>
          <a:ext cx="0" cy="963246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160215</xdr:colOff>
      <xdr:row>1</xdr:row>
      <xdr:rowOff>0</xdr:rowOff>
    </xdr:from>
    <xdr:to>
      <xdr:col>24</xdr:col>
      <xdr:colOff>160215</xdr:colOff>
      <xdr:row>66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919830" y="166077"/>
          <a:ext cx="0" cy="1014339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Jack_Ma" TargetMode="External"/><Relationship Id="rId2" Type="http://schemas.openxmlformats.org/officeDocument/2006/relationships/hyperlink" Target="https://en.wikipedia.org/wiki/Daniel_Zhang" TargetMode="External"/><Relationship Id="rId1" Type="http://schemas.openxmlformats.org/officeDocument/2006/relationships/hyperlink" Target="https://www.alibabagroup.com/en/ir/home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Peng_Le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577552&amp;owner=exclude&amp;count=40&amp;hidefilings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5"/>
  <sheetViews>
    <sheetView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26" sqref="H26"/>
    </sheetView>
  </sheetViews>
  <sheetFormatPr baseColWidth="10" defaultRowHeight="13" x14ac:dyDescent="0.15"/>
  <cols>
    <col min="1" max="1" width="22" style="3" bestFit="1" customWidth="1"/>
    <col min="2" max="2" width="10.83203125" style="3"/>
    <col min="3" max="3" width="10.83203125" style="24"/>
    <col min="4" max="6" width="10.83203125" style="3"/>
    <col min="7" max="7" width="10.83203125" style="24"/>
    <col min="8" max="16384" width="10.83203125" style="3"/>
  </cols>
  <sheetData>
    <row r="1" spans="1:21" x14ac:dyDescent="0.15">
      <c r="A1" s="1" t="s">
        <v>56</v>
      </c>
      <c r="B1" s="2" t="s">
        <v>55</v>
      </c>
    </row>
    <row r="2" spans="1:21" x14ac:dyDescent="0.15">
      <c r="B2" s="3" t="s">
        <v>62</v>
      </c>
      <c r="C2" s="85">
        <v>237.76</v>
      </c>
      <c r="D2" s="89">
        <v>44253</v>
      </c>
      <c r="E2" s="4" t="s">
        <v>37</v>
      </c>
      <c r="F2" s="5">
        <v>-0.02</v>
      </c>
      <c r="I2" s="6"/>
    </row>
    <row r="3" spans="1:21" x14ac:dyDescent="0.15">
      <c r="A3" s="2" t="s">
        <v>57</v>
      </c>
      <c r="B3" s="3" t="s">
        <v>17</v>
      </c>
      <c r="C3" s="27">
        <f>Reports!X24</f>
        <v>2752.625</v>
      </c>
      <c r="D3" s="3" t="s">
        <v>113</v>
      </c>
      <c r="E3" s="4" t="s">
        <v>38</v>
      </c>
      <c r="F3" s="5">
        <v>0.05</v>
      </c>
      <c r="G3" s="88"/>
      <c r="I3" s="6"/>
    </row>
    <row r="4" spans="1:21" x14ac:dyDescent="0.15">
      <c r="A4" s="1" t="s">
        <v>60</v>
      </c>
      <c r="B4" s="3" t="s">
        <v>63</v>
      </c>
      <c r="C4" s="36">
        <f>C3*C2</f>
        <v>654464.12</v>
      </c>
      <c r="E4" s="4" t="s">
        <v>39</v>
      </c>
      <c r="F4" s="5">
        <f>2%+6%</f>
        <v>0.08</v>
      </c>
      <c r="G4" s="88"/>
      <c r="I4" s="23"/>
    </row>
    <row r="5" spans="1:21" x14ac:dyDescent="0.15">
      <c r="B5" s="3" t="s">
        <v>33</v>
      </c>
      <c r="C5" s="27">
        <f>Reports!X36</f>
        <v>132878</v>
      </c>
      <c r="D5" s="3" t="s">
        <v>113</v>
      </c>
      <c r="E5" s="4" t="s">
        <v>40</v>
      </c>
      <c r="F5" s="7">
        <f>NPV(F4,G29:DR29)</f>
        <v>1341259.4306588818</v>
      </c>
      <c r="G5" s="88"/>
      <c r="I5" s="23"/>
    </row>
    <row r="6" spans="1:21" x14ac:dyDescent="0.15">
      <c r="A6" s="2" t="s">
        <v>58</v>
      </c>
      <c r="B6" s="3" t="s">
        <v>64</v>
      </c>
      <c r="C6" s="36">
        <f>C4-C5</f>
        <v>521586.12</v>
      </c>
      <c r="E6" s="9" t="s">
        <v>41</v>
      </c>
      <c r="F6" s="18">
        <f>F5+C5</f>
        <v>1474137.4306588818</v>
      </c>
      <c r="I6" s="23"/>
    </row>
    <row r="7" spans="1:21" x14ac:dyDescent="0.15">
      <c r="A7" s="1" t="s">
        <v>59</v>
      </c>
      <c r="B7" s="8" t="s">
        <v>65</v>
      </c>
      <c r="C7" s="71">
        <f>C6/C3</f>
        <v>189.48680623041642</v>
      </c>
      <c r="E7" s="19" t="s">
        <v>65</v>
      </c>
      <c r="F7" s="20">
        <f>F6/C3</f>
        <v>535.53877867812787</v>
      </c>
      <c r="G7" s="41">
        <f>F7/C2-1</f>
        <v>1.2524342979396361</v>
      </c>
    </row>
    <row r="8" spans="1:21" x14ac:dyDescent="0.15">
      <c r="A8" s="1" t="s">
        <v>61</v>
      </c>
      <c r="E8" s="4"/>
      <c r="F8" s="10"/>
    </row>
    <row r="9" spans="1:21" x14ac:dyDescent="0.15">
      <c r="B9" s="3">
        <v>2016</v>
      </c>
      <c r="C9" s="24">
        <v>2017</v>
      </c>
      <c r="D9" s="3">
        <f>C9+1</f>
        <v>2018</v>
      </c>
      <c r="E9" s="3">
        <f t="shared" ref="E9:P9" si="0">D9+1</f>
        <v>2019</v>
      </c>
      <c r="F9" s="3">
        <f t="shared" si="0"/>
        <v>2020</v>
      </c>
      <c r="G9" s="24">
        <f t="shared" si="0"/>
        <v>2021</v>
      </c>
      <c r="H9" s="3">
        <f t="shared" si="0"/>
        <v>2022</v>
      </c>
      <c r="I9" s="3">
        <f t="shared" si="0"/>
        <v>2023</v>
      </c>
      <c r="J9" s="3">
        <f t="shared" si="0"/>
        <v>2024</v>
      </c>
      <c r="K9" s="3">
        <f t="shared" si="0"/>
        <v>2025</v>
      </c>
      <c r="L9" s="3">
        <f t="shared" si="0"/>
        <v>2026</v>
      </c>
      <c r="M9" s="3">
        <f t="shared" si="0"/>
        <v>2027</v>
      </c>
      <c r="N9" s="3">
        <f t="shared" si="0"/>
        <v>2028</v>
      </c>
      <c r="O9" s="3">
        <f t="shared" si="0"/>
        <v>2029</v>
      </c>
      <c r="P9" s="3">
        <f t="shared" si="0"/>
        <v>2030</v>
      </c>
      <c r="Q9" s="3">
        <f t="shared" ref="Q9" si="1">P9+1</f>
        <v>2031</v>
      </c>
      <c r="R9" s="3">
        <f t="shared" ref="R9" si="2">Q9+1</f>
        <v>2032</v>
      </c>
      <c r="S9" s="3">
        <f t="shared" ref="S9" si="3">R9+1</f>
        <v>2033</v>
      </c>
      <c r="T9" s="3">
        <f t="shared" ref="T9" si="4">S9+1</f>
        <v>2034</v>
      </c>
      <c r="U9" s="3">
        <f t="shared" ref="U9" si="5">T9+1</f>
        <v>2035</v>
      </c>
    </row>
    <row r="10" spans="1:21" x14ac:dyDescent="0.15">
      <c r="A10" s="3" t="s">
        <v>101</v>
      </c>
      <c r="B10" s="11">
        <f>SUM(Reports!B3:E3)</f>
        <v>14397</v>
      </c>
      <c r="C10" s="28">
        <f>SUM(Reports!F3:I3)</f>
        <v>19667</v>
      </c>
      <c r="D10" s="6">
        <f>SUM(Reports!J3:M3)</f>
        <v>32763</v>
      </c>
      <c r="E10" s="6">
        <f>SUM(Reports!N3:Q3)</f>
        <v>47723</v>
      </c>
      <c r="F10" s="6">
        <f>SUM(Reports!R3:U3)</f>
        <v>62239</v>
      </c>
    </row>
    <row r="11" spans="1:21" x14ac:dyDescent="0.15">
      <c r="A11" s="3" t="s">
        <v>51</v>
      </c>
      <c r="B11" s="11">
        <f>SUM(Reports!B4:E4)</f>
        <v>471</v>
      </c>
      <c r="C11" s="28">
        <f>SUM(Reports!F4:I4)</f>
        <v>979</v>
      </c>
      <c r="D11" s="6">
        <f>SUM(Reports!J4:M4)</f>
        <v>2058</v>
      </c>
      <c r="E11" s="6">
        <f>SUM(Reports!N4:Q4)</f>
        <v>3648</v>
      </c>
      <c r="F11" s="6">
        <f>SUM(Reports!R4:U4)</f>
        <v>5699</v>
      </c>
    </row>
    <row r="12" spans="1:21" x14ac:dyDescent="0.15">
      <c r="A12" s="3" t="s">
        <v>52</v>
      </c>
      <c r="B12" s="11">
        <f>SUM(Reports!B5:E5)</f>
        <v>969</v>
      </c>
      <c r="C12" s="28">
        <f>SUM(Reports!F5:I5)</f>
        <v>2169</v>
      </c>
      <c r="D12" s="6">
        <f>SUM(Reports!J5:M5)</f>
        <v>2995</v>
      </c>
      <c r="E12" s="6">
        <f>SUM(Reports!N5:Q5)</f>
        <v>3557</v>
      </c>
      <c r="F12" s="6">
        <f>SUM(Reports!R5:U5)</f>
        <v>3843</v>
      </c>
    </row>
    <row r="13" spans="1:21" x14ac:dyDescent="0.15">
      <c r="A13" s="3" t="s">
        <v>53</v>
      </c>
      <c r="B13" s="11"/>
      <c r="C13" s="28">
        <f>SUM(Reports!F6:I6)</f>
        <v>439</v>
      </c>
      <c r="D13" s="6">
        <f>SUM(Reports!J6:M6)</f>
        <v>506</v>
      </c>
      <c r="E13" s="6">
        <f>SUM(Reports!N6:Q6)</f>
        <v>688</v>
      </c>
      <c r="F13" s="6">
        <f>SUM(Reports!R6:U6)</f>
        <v>947</v>
      </c>
    </row>
    <row r="14" spans="1:21" x14ac:dyDescent="0.15">
      <c r="B14" s="11"/>
      <c r="C14" s="28"/>
      <c r="D14" s="6"/>
      <c r="E14" s="6"/>
    </row>
    <row r="15" spans="1:21" x14ac:dyDescent="0.15">
      <c r="A15" s="3" t="s">
        <v>74</v>
      </c>
      <c r="B15" s="11">
        <f>Reports!E8</f>
        <v>423</v>
      </c>
      <c r="C15" s="28">
        <f>Reports!I8</f>
        <v>454</v>
      </c>
      <c r="D15" s="6">
        <f>Reports!M8</f>
        <v>552</v>
      </c>
      <c r="E15" s="6">
        <f>Reports!Q8</f>
        <v>654</v>
      </c>
      <c r="F15" s="6">
        <f>Reports!U8</f>
        <v>726</v>
      </c>
      <c r="G15" s="27">
        <f>Reports!Y8</f>
        <v>798.6</v>
      </c>
      <c r="H15" s="6">
        <f>G15*1.1</f>
        <v>878.46000000000015</v>
      </c>
      <c r="I15" s="6">
        <f t="shared" ref="I15:K15" si="6">H15*1.1</f>
        <v>966.30600000000027</v>
      </c>
      <c r="J15" s="6">
        <f t="shared" si="6"/>
        <v>1062.9366000000005</v>
      </c>
      <c r="K15" s="6">
        <f t="shared" si="6"/>
        <v>1169.2302600000005</v>
      </c>
    </row>
    <row r="16" spans="1:21" s="6" customFormat="1" x14ac:dyDescent="0.15">
      <c r="A16" s="6" t="s">
        <v>86</v>
      </c>
      <c r="B16" s="13">
        <f>SUM(B10:B13)/B15</f>
        <v>37.439716312056738</v>
      </c>
      <c r="C16" s="34">
        <f>SUM(C10:C13)/C15</f>
        <v>51.220264317180614</v>
      </c>
      <c r="D16" s="13">
        <f>SUM(D10:D13)/D15</f>
        <v>69.423913043478265</v>
      </c>
      <c r="E16" s="13">
        <f>SUM(E10:E13)/E15</f>
        <v>85.039755351681961</v>
      </c>
      <c r="F16" s="13">
        <f>SUM(F10:F13)/F15</f>
        <v>100.1763085399449</v>
      </c>
      <c r="G16" s="27">
        <f>SUM(Reports!V9:Y9)</f>
        <v>131.90142551866595</v>
      </c>
      <c r="H16" s="6">
        <f>G16*1.2</f>
        <v>158.28171062239912</v>
      </c>
      <c r="I16" s="6">
        <f t="shared" ref="I16:K16" si="7">H16*1.2</f>
        <v>189.93805274687892</v>
      </c>
      <c r="J16" s="6">
        <f t="shared" si="7"/>
        <v>227.9256632962547</v>
      </c>
      <c r="K16" s="6">
        <f t="shared" si="7"/>
        <v>273.51079595550561</v>
      </c>
    </row>
    <row r="17" spans="1:122" x14ac:dyDescent="0.15">
      <c r="E17" s="58"/>
    </row>
    <row r="18" spans="1:122" x14ac:dyDescent="0.15">
      <c r="A18" s="2" t="s">
        <v>4</v>
      </c>
      <c r="B18" s="21">
        <f>B15*B16</f>
        <v>15837</v>
      </c>
      <c r="C18" s="30">
        <f>C15*C16</f>
        <v>23254</v>
      </c>
      <c r="D18" s="21">
        <f>D15*D16</f>
        <v>38322</v>
      </c>
      <c r="E18" s="21">
        <f>E15*E16</f>
        <v>55616</v>
      </c>
      <c r="F18" s="21">
        <f>F15*F16</f>
        <v>72728</v>
      </c>
      <c r="G18" s="30">
        <f>G15*G16</f>
        <v>105336.47841920663</v>
      </c>
      <c r="H18" s="12">
        <f t="shared" ref="G18:K18" si="8">H15*H16</f>
        <v>139044.15151335276</v>
      </c>
      <c r="I18" s="12">
        <f t="shared" si="8"/>
        <v>183538.27999762565</v>
      </c>
      <c r="J18" s="12">
        <f t="shared" si="8"/>
        <v>242270.52959686588</v>
      </c>
      <c r="K18" s="12">
        <f t="shared" si="8"/>
        <v>319797.0990678629</v>
      </c>
      <c r="L18" s="12">
        <f>K18*1.15</f>
        <v>367766.66392804228</v>
      </c>
      <c r="M18" s="12">
        <f t="shared" ref="M18:P18" si="9">L18*1.15</f>
        <v>422931.66351724858</v>
      </c>
      <c r="N18" s="12">
        <f t="shared" si="9"/>
        <v>486371.41304483585</v>
      </c>
      <c r="O18" s="12">
        <f t="shared" si="9"/>
        <v>559327.12500156113</v>
      </c>
      <c r="P18" s="12">
        <f t="shared" si="9"/>
        <v>643226.19375179522</v>
      </c>
      <c r="Q18" s="12">
        <f t="shared" ref="K18:U18" si="10">P18*1.05</f>
        <v>675387.50343938498</v>
      </c>
      <c r="R18" s="12">
        <f t="shared" si="10"/>
        <v>709156.87861135427</v>
      </c>
      <c r="S18" s="12">
        <f t="shared" si="10"/>
        <v>744614.722541922</v>
      </c>
      <c r="T18" s="12">
        <f t="shared" si="10"/>
        <v>781845.45866901812</v>
      </c>
      <c r="U18" s="12">
        <f t="shared" si="10"/>
        <v>820937.73160246911</v>
      </c>
      <c r="V18" s="12"/>
    </row>
    <row r="19" spans="1:122" x14ac:dyDescent="0.15">
      <c r="A19" s="3" t="s">
        <v>5</v>
      </c>
      <c r="B19" s="11">
        <f>SUM(Reports!B12:E12)</f>
        <v>5379</v>
      </c>
      <c r="C19" s="28">
        <f>SUM(Reports!F12:I12)</f>
        <v>8740</v>
      </c>
      <c r="D19" s="6">
        <f>SUM(Reports!J12:M12)</f>
        <v>16455</v>
      </c>
      <c r="E19" s="6">
        <f>SUM(Reports!N12:Q12)</f>
        <v>30550</v>
      </c>
      <c r="F19" s="6">
        <f>SUM(Reports!R12:U12)</f>
        <v>40261</v>
      </c>
      <c r="G19" s="28">
        <f>SUM(Reports!V12:Y12)</f>
        <v>56460.746014225428</v>
      </c>
      <c r="H19" s="11">
        <f t="shared" ref="H19:Q19" si="11">H18-H20</f>
        <v>74528.184738777563</v>
      </c>
      <c r="I19" s="11">
        <f t="shared" ref="I19" si="12">I18-I20</f>
        <v>98377.203855186395</v>
      </c>
      <c r="J19" s="11">
        <f t="shared" ref="J19" si="13">J18-J20</f>
        <v>129857.90908884605</v>
      </c>
      <c r="K19" s="11">
        <f t="shared" ref="K19" si="14">K18-K20</f>
        <v>171412.43999727676</v>
      </c>
      <c r="L19" s="11">
        <f t="shared" ref="L19" si="15">L18-L20</f>
        <v>197124.30599686824</v>
      </c>
      <c r="M19" s="11">
        <f t="shared" si="11"/>
        <v>226692.95189639844</v>
      </c>
      <c r="N19" s="11">
        <f t="shared" si="11"/>
        <v>260696.89468085821</v>
      </c>
      <c r="O19" s="11">
        <f t="shared" si="11"/>
        <v>299801.42888298689</v>
      </c>
      <c r="P19" s="11">
        <f t="shared" si="11"/>
        <v>344771.64321543486</v>
      </c>
      <c r="Q19" s="11">
        <f t="shared" si="11"/>
        <v>362010.22537620662</v>
      </c>
      <c r="R19" s="11">
        <f t="shared" ref="R19:U19" si="16">R18-R20</f>
        <v>380110.73664501699</v>
      </c>
      <c r="S19" s="11">
        <f t="shared" si="16"/>
        <v>399116.27347726788</v>
      </c>
      <c r="T19" s="11">
        <f t="shared" si="16"/>
        <v>419072.0871511313</v>
      </c>
      <c r="U19" s="11">
        <f t="shared" si="16"/>
        <v>440025.69150868792</v>
      </c>
      <c r="V19" s="11"/>
    </row>
    <row r="20" spans="1:122" x14ac:dyDescent="0.15">
      <c r="A20" s="3" t="s">
        <v>6</v>
      </c>
      <c r="B20" s="13">
        <f>B18-B19</f>
        <v>10458</v>
      </c>
      <c r="C20" s="34">
        <f>C18-C19</f>
        <v>14514</v>
      </c>
      <c r="D20" s="13">
        <f>D18-D19</f>
        <v>21867</v>
      </c>
      <c r="E20" s="13">
        <f>E18-E19</f>
        <v>25066</v>
      </c>
      <c r="F20" s="13">
        <f>F18-F19</f>
        <v>32467</v>
      </c>
      <c r="G20" s="34">
        <f>G18-G19</f>
        <v>48875.732404981201</v>
      </c>
      <c r="H20" s="11">
        <f t="shared" ref="F20:U20" si="17">H18*G33</f>
        <v>64515.966774575194</v>
      </c>
      <c r="I20" s="11">
        <f t="shared" si="17"/>
        <v>85161.076142439255</v>
      </c>
      <c r="J20" s="11">
        <f t="shared" si="17"/>
        <v>112412.62050801983</v>
      </c>
      <c r="K20" s="11">
        <f t="shared" si="17"/>
        <v>148384.65907058615</v>
      </c>
      <c r="L20" s="11">
        <f t="shared" si="17"/>
        <v>170642.35793117405</v>
      </c>
      <c r="M20" s="11">
        <f t="shared" si="17"/>
        <v>196238.71162085014</v>
      </c>
      <c r="N20" s="11">
        <f t="shared" si="17"/>
        <v>225674.51836397764</v>
      </c>
      <c r="O20" s="11">
        <f t="shared" si="17"/>
        <v>259525.69611857424</v>
      </c>
      <c r="P20" s="11">
        <f t="shared" si="17"/>
        <v>298454.55053636036</v>
      </c>
      <c r="Q20" s="11">
        <f t="shared" si="17"/>
        <v>313377.27806317835</v>
      </c>
      <c r="R20" s="11">
        <f t="shared" si="17"/>
        <v>329046.14196633728</v>
      </c>
      <c r="S20" s="11">
        <f t="shared" si="17"/>
        <v>345498.44906465412</v>
      </c>
      <c r="T20" s="11">
        <f t="shared" si="17"/>
        <v>362773.37151788682</v>
      </c>
      <c r="U20" s="11">
        <f t="shared" si="17"/>
        <v>380912.04009378119</v>
      </c>
      <c r="V20" s="11"/>
    </row>
    <row r="21" spans="1:122" x14ac:dyDescent="0.15">
      <c r="A21" s="3" t="s">
        <v>7</v>
      </c>
      <c r="B21" s="11">
        <f>SUM(Reports!B14:E14)</f>
        <v>2163</v>
      </c>
      <c r="C21" s="28">
        <f>SUM(Reports!F14:I14)</f>
        <v>2513</v>
      </c>
      <c r="D21" s="6">
        <f>SUM(Reports!J14:M14)</f>
        <v>3490</v>
      </c>
      <c r="E21" s="6">
        <f>SUM(Reports!N14:Q14)</f>
        <v>5542</v>
      </c>
      <c r="F21" s="6">
        <f>SUM(Reports!R14:U14)</f>
        <v>6142</v>
      </c>
      <c r="G21" s="28">
        <f>SUM(Reports!V14:Y14)</f>
        <v>8208.25</v>
      </c>
      <c r="H21" s="11">
        <f t="shared" ref="G21:I21" si="18">G21*1.3</f>
        <v>10670.725</v>
      </c>
      <c r="I21" s="11">
        <f t="shared" ref="I21" si="19">H21*1.3</f>
        <v>13871.942500000001</v>
      </c>
      <c r="J21" s="11">
        <f t="shared" ref="J21" si="20">I21*1.3</f>
        <v>18033.525250000002</v>
      </c>
      <c r="K21" s="11">
        <f t="shared" ref="K21" si="21">J21*1.3</f>
        <v>23443.582825000005</v>
      </c>
      <c r="L21" s="11">
        <f>K21*1.15</f>
        <v>26960.120248750005</v>
      </c>
      <c r="M21" s="11">
        <f t="shared" ref="M21:P21" si="22">L21*1.15</f>
        <v>31004.138286062502</v>
      </c>
      <c r="N21" s="11">
        <f t="shared" si="22"/>
        <v>35654.759028971872</v>
      </c>
      <c r="O21" s="11">
        <f t="shared" si="22"/>
        <v>41002.972883317649</v>
      </c>
      <c r="P21" s="11">
        <f t="shared" si="22"/>
        <v>47153.41881581529</v>
      </c>
      <c r="Q21" s="11">
        <f>P21*1.05</f>
        <v>49511.089756606059</v>
      </c>
      <c r="R21" s="11">
        <f t="shared" ref="R21:U21" si="23">Q21*1.05</f>
        <v>51986.644244436364</v>
      </c>
      <c r="S21" s="11">
        <f t="shared" si="23"/>
        <v>54585.976456658187</v>
      </c>
      <c r="T21" s="11">
        <f t="shared" si="23"/>
        <v>57315.275279491099</v>
      </c>
      <c r="U21" s="11">
        <f t="shared" si="23"/>
        <v>60181.039043465658</v>
      </c>
      <c r="V21" s="11"/>
    </row>
    <row r="22" spans="1:122" x14ac:dyDescent="0.15">
      <c r="A22" s="3" t="s">
        <v>8</v>
      </c>
      <c r="B22" s="11">
        <f>SUM(Reports!B15:E15)</f>
        <v>1770</v>
      </c>
      <c r="C22" s="28">
        <f>SUM(Reports!F15:I15)</f>
        <v>2401</v>
      </c>
      <c r="D22" s="6">
        <f>SUM(Reports!J15:M15)</f>
        <v>4188</v>
      </c>
      <c r="E22" s="6">
        <f>SUM(Reports!N15:Q15)</f>
        <v>5873</v>
      </c>
      <c r="F22" s="6">
        <f>SUM(Reports!R15:U15)</f>
        <v>7227</v>
      </c>
      <c r="G22" s="28">
        <f>SUM(Reports!V15:Y15)</f>
        <v>10439</v>
      </c>
      <c r="H22" s="11">
        <f t="shared" ref="G22:I22" si="24">G22*1.4</f>
        <v>14614.599999999999</v>
      </c>
      <c r="I22" s="11">
        <f t="shared" ref="I22" si="25">H22*1.4</f>
        <v>20460.439999999995</v>
      </c>
      <c r="J22" s="11">
        <f t="shared" ref="J22" si="26">I22*1.4</f>
        <v>28644.615999999991</v>
      </c>
      <c r="K22" s="11">
        <f t="shared" ref="K22" si="27">J22*1.4</f>
        <v>40102.462399999982</v>
      </c>
      <c r="L22" s="11">
        <f>K22*1.2</f>
        <v>48122.954879999976</v>
      </c>
      <c r="M22" s="11">
        <f t="shared" ref="M22:P22" si="28">L22*1.2</f>
        <v>57747.545855999968</v>
      </c>
      <c r="N22" s="11">
        <f t="shared" si="28"/>
        <v>69297.055027199953</v>
      </c>
      <c r="O22" s="11">
        <f t="shared" si="28"/>
        <v>83156.466032639946</v>
      </c>
      <c r="P22" s="11">
        <f t="shared" si="28"/>
        <v>99787.759239167935</v>
      </c>
      <c r="Q22" s="11">
        <f>P22*1.1</f>
        <v>109766.53516308474</v>
      </c>
      <c r="R22" s="11">
        <f t="shared" ref="R22:U22" si="29">Q22*1.1</f>
        <v>120743.18867939322</v>
      </c>
      <c r="S22" s="11">
        <f t="shared" si="29"/>
        <v>132817.50754733256</v>
      </c>
      <c r="T22" s="11">
        <f t="shared" si="29"/>
        <v>146099.25830206583</v>
      </c>
      <c r="U22" s="11">
        <f t="shared" si="29"/>
        <v>160709.18413227244</v>
      </c>
      <c r="V22" s="11"/>
    </row>
    <row r="23" spans="1:122" x14ac:dyDescent="0.15">
      <c r="A23" s="3" t="s">
        <v>9</v>
      </c>
      <c r="B23" s="11">
        <f>SUM(Reports!B16:E16)</f>
        <v>1975</v>
      </c>
      <c r="C23" s="28">
        <f>SUM(Reports!F16:I16)</f>
        <v>2557</v>
      </c>
      <c r="D23" s="6">
        <f>SUM(Reports!J16:M16)</f>
        <v>3647</v>
      </c>
      <c r="E23" s="6">
        <f>SUM(Reports!N16:Q16)</f>
        <v>5269</v>
      </c>
      <c r="F23" s="6">
        <f>SUM(Reports!R16:U16)</f>
        <v>6009</v>
      </c>
      <c r="G23" s="28">
        <f>SUM(Reports!V16:Y16)</f>
        <v>7158.15</v>
      </c>
      <c r="H23" s="11">
        <f t="shared" ref="H23" si="30">G23*1.2</f>
        <v>8589.7799999999988</v>
      </c>
      <c r="I23" s="11">
        <f t="shared" ref="I23" si="31">H23*1.2</f>
        <v>10307.735999999999</v>
      </c>
      <c r="J23" s="11">
        <f t="shared" ref="J23" si="32">I23*1.2</f>
        <v>12369.283199999998</v>
      </c>
      <c r="K23" s="11">
        <f t="shared" ref="K23" si="33">J23*1.2</f>
        <v>14843.139839999996</v>
      </c>
      <c r="L23" s="11">
        <f>K23*1.1</f>
        <v>16327.453823999997</v>
      </c>
      <c r="M23" s="11">
        <f t="shared" ref="M23:P23" si="34">L23*1.1</f>
        <v>17960.199206399997</v>
      </c>
      <c r="N23" s="11">
        <f t="shared" si="34"/>
        <v>19756.21912704</v>
      </c>
      <c r="O23" s="11">
        <f t="shared" si="34"/>
        <v>21731.841039744002</v>
      </c>
      <c r="P23" s="11">
        <f t="shared" si="34"/>
        <v>23905.025143718405</v>
      </c>
      <c r="Q23" s="11">
        <f>P23*0.95</f>
        <v>22709.773886532483</v>
      </c>
      <c r="R23" s="11">
        <f t="shared" ref="R23:U23" si="35">Q23*0.95</f>
        <v>21574.285192205858</v>
      </c>
      <c r="S23" s="11">
        <f t="shared" si="35"/>
        <v>20495.570932595565</v>
      </c>
      <c r="T23" s="11">
        <f t="shared" si="35"/>
        <v>19470.792385965786</v>
      </c>
      <c r="U23" s="11">
        <f t="shared" si="35"/>
        <v>18497.252766667494</v>
      </c>
      <c r="V23" s="11"/>
    </row>
    <row r="24" spans="1:122" x14ac:dyDescent="0.15">
      <c r="A24" s="3" t="s">
        <v>10</v>
      </c>
      <c r="B24" s="13">
        <f>SUM(B21:B23)</f>
        <v>5908</v>
      </c>
      <c r="C24" s="34">
        <f>SUM(C21:C23)</f>
        <v>7471</v>
      </c>
      <c r="D24" s="13">
        <f>SUM(D21:D23)</f>
        <v>11325</v>
      </c>
      <c r="E24" s="13">
        <f>SUM(E21:E23)</f>
        <v>16684</v>
      </c>
      <c r="F24" s="13">
        <f>SUM(F21:F23)</f>
        <v>19378</v>
      </c>
      <c r="G24" s="34">
        <f>SUM(G21:G23)</f>
        <v>25805.4</v>
      </c>
      <c r="H24" s="11">
        <f t="shared" ref="H24:Q24" si="36">SUM(H21:H23)</f>
        <v>33875.104999999996</v>
      </c>
      <c r="I24" s="11">
        <f t="shared" ref="I24" si="37">SUM(I21:I23)</f>
        <v>44640.11849999999</v>
      </c>
      <c r="J24" s="11">
        <f t="shared" ref="J24" si="38">SUM(J21:J23)</f>
        <v>59047.424449999991</v>
      </c>
      <c r="K24" s="11">
        <f t="shared" ref="K24" si="39">SUM(K21:K23)</f>
        <v>78389.185064999983</v>
      </c>
      <c r="L24" s="11">
        <f t="shared" ref="L24" si="40">SUM(L21:L23)</f>
        <v>91410.52895274997</v>
      </c>
      <c r="M24" s="11">
        <f t="shared" si="36"/>
        <v>106711.88334846246</v>
      </c>
      <c r="N24" s="11">
        <f t="shared" si="36"/>
        <v>124708.03318321184</v>
      </c>
      <c r="O24" s="11">
        <f t="shared" si="36"/>
        <v>145891.27995570161</v>
      </c>
      <c r="P24" s="11">
        <f t="shared" si="36"/>
        <v>170846.20319870164</v>
      </c>
      <c r="Q24" s="11">
        <f t="shared" si="36"/>
        <v>181987.3988062233</v>
      </c>
      <c r="R24" s="11">
        <f t="shared" ref="R24:U24" si="41">SUM(R21:R23)</f>
        <v>194304.11811603545</v>
      </c>
      <c r="S24" s="11">
        <f t="shared" si="41"/>
        <v>207899.0549365863</v>
      </c>
      <c r="T24" s="11">
        <f t="shared" si="41"/>
        <v>222885.32596752272</v>
      </c>
      <c r="U24" s="11">
        <f t="shared" si="41"/>
        <v>239387.47594240558</v>
      </c>
      <c r="V24" s="11"/>
    </row>
    <row r="25" spans="1:122" x14ac:dyDescent="0.15">
      <c r="A25" s="3" t="s">
        <v>11</v>
      </c>
      <c r="B25" s="13">
        <f>B20-B24</f>
        <v>4550</v>
      </c>
      <c r="C25" s="34">
        <f>C20-C24</f>
        <v>7043</v>
      </c>
      <c r="D25" s="13">
        <f>D20-D24</f>
        <v>10542</v>
      </c>
      <c r="E25" s="13">
        <f>E20-E24</f>
        <v>8382</v>
      </c>
      <c r="F25" s="13">
        <f>F20-F24</f>
        <v>13089</v>
      </c>
      <c r="G25" s="34">
        <f>G20-G24</f>
        <v>23070.3324049812</v>
      </c>
      <c r="H25" s="11">
        <f t="shared" ref="H25:Q25" si="42">H20-H24</f>
        <v>30640.861774575198</v>
      </c>
      <c r="I25" s="11">
        <f t="shared" ref="I25" si="43">I20-I24</f>
        <v>40520.957642439265</v>
      </c>
      <c r="J25" s="11">
        <f t="shared" ref="J25" si="44">J20-J24</f>
        <v>53365.196058019836</v>
      </c>
      <c r="K25" s="11">
        <f t="shared" ref="K25" si="45">K20-K24</f>
        <v>69995.474005586162</v>
      </c>
      <c r="L25" s="11">
        <f t="shared" ref="L25" si="46">L20-L24</f>
        <v>79231.828978424077</v>
      </c>
      <c r="M25" s="11">
        <f t="shared" si="42"/>
        <v>89526.828272387676</v>
      </c>
      <c r="N25" s="11">
        <f t="shared" si="42"/>
        <v>100966.4851807658</v>
      </c>
      <c r="O25" s="11">
        <f t="shared" si="42"/>
        <v>113634.41616287263</v>
      </c>
      <c r="P25" s="11">
        <f t="shared" si="42"/>
        <v>127608.34733765872</v>
      </c>
      <c r="Q25" s="11">
        <f t="shared" si="42"/>
        <v>131389.87925695506</v>
      </c>
      <c r="R25" s="11">
        <f t="shared" ref="R25:U25" si="47">R20-R24</f>
        <v>134742.02385030183</v>
      </c>
      <c r="S25" s="11">
        <f t="shared" si="47"/>
        <v>137599.39412806783</v>
      </c>
      <c r="T25" s="11">
        <f t="shared" si="47"/>
        <v>139888.0455503641</v>
      </c>
      <c r="U25" s="11">
        <f t="shared" si="47"/>
        <v>141524.56415137561</v>
      </c>
      <c r="V25" s="11"/>
    </row>
    <row r="26" spans="1:122" x14ac:dyDescent="0.15">
      <c r="A26" s="3" t="s">
        <v>12</v>
      </c>
      <c r="B26" s="11">
        <f>SUM(Reports!B19:E19)</f>
        <v>8331</v>
      </c>
      <c r="C26" s="28">
        <f>SUM(Reports!F19:I19)</f>
        <v>1749</v>
      </c>
      <c r="D26" s="6">
        <f>SUM(Reports!J19:M19)</f>
        <v>1910</v>
      </c>
      <c r="E26" s="6">
        <f>SUM(Reports!N19:Q19)</f>
        <v>5874</v>
      </c>
      <c r="F26" s="6">
        <f>SUM(Reports!R19:U19)</f>
        <v>9795</v>
      </c>
      <c r="G26" s="28">
        <f>SUM(Reports!V19:Y19)</f>
        <v>17907.900000000001</v>
      </c>
      <c r="H26" s="11">
        <f t="shared" ref="F26:U26" si="48">G43*$F$3</f>
        <v>5952.4773076285192</v>
      </c>
      <c r="I26" s="11">
        <f t="shared" si="48"/>
        <v>7507.6942186221777</v>
      </c>
      <c r="J26" s="11">
        <f t="shared" si="48"/>
        <v>9548.9119227172905</v>
      </c>
      <c r="K26" s="11">
        <f t="shared" si="48"/>
        <v>12222.761511898618</v>
      </c>
      <c r="L26" s="11">
        <f t="shared" si="48"/>
        <v>15717.036521391719</v>
      </c>
      <c r="M26" s="11">
        <f t="shared" si="48"/>
        <v>19752.363305133891</v>
      </c>
      <c r="N26" s="11">
        <f t="shared" si="48"/>
        <v>24396.728947178559</v>
      </c>
      <c r="O26" s="11">
        <f t="shared" si="48"/>
        <v>29724.665547616194</v>
      </c>
      <c r="P26" s="11">
        <f t="shared" si="48"/>
        <v>35817.426520311965</v>
      </c>
      <c r="Q26" s="11">
        <f t="shared" si="48"/>
        <v>42763.021909275725</v>
      </c>
      <c r="R26" s="11">
        <f t="shared" si="48"/>
        <v>50164.520208840528</v>
      </c>
      <c r="S26" s="11">
        <f t="shared" si="48"/>
        <v>58023.048331354083</v>
      </c>
      <c r="T26" s="11">
        <f t="shared" si="48"/>
        <v>66337.00213587952</v>
      </c>
      <c r="U26" s="11">
        <f t="shared" si="48"/>
        <v>75101.566662544865</v>
      </c>
      <c r="V26" s="11"/>
    </row>
    <row r="27" spans="1:122" x14ac:dyDescent="0.15">
      <c r="A27" s="3" t="s">
        <v>13</v>
      </c>
      <c r="B27" s="13">
        <f>SUM(Reports!B20:E20)</f>
        <v>12881</v>
      </c>
      <c r="C27" s="34">
        <f>C25+C26</f>
        <v>8792</v>
      </c>
      <c r="D27" s="13">
        <f>D25+D26</f>
        <v>12452</v>
      </c>
      <c r="E27" s="13">
        <f>E25+E26</f>
        <v>14256</v>
      </c>
      <c r="F27" s="13">
        <f>F25+F26</f>
        <v>22884</v>
      </c>
      <c r="G27" s="34">
        <f>G25+G26</f>
        <v>40978.232404981201</v>
      </c>
      <c r="H27" s="11">
        <f t="shared" ref="H27:Q27" si="49">H25+H26</f>
        <v>36593.339082203718</v>
      </c>
      <c r="I27" s="11">
        <f t="shared" ref="I27" si="50">I25+I26</f>
        <v>48028.651861061444</v>
      </c>
      <c r="J27" s="11">
        <f t="shared" ref="J27" si="51">J25+J26</f>
        <v>62914.107980737128</v>
      </c>
      <c r="K27" s="11">
        <f t="shared" ref="K27" si="52">K25+K26</f>
        <v>82218.235517484776</v>
      </c>
      <c r="L27" s="11">
        <f t="shared" ref="L27" si="53">L25+L26</f>
        <v>94948.865499815802</v>
      </c>
      <c r="M27" s="11">
        <f t="shared" si="49"/>
        <v>109279.19157752156</v>
      </c>
      <c r="N27" s="11">
        <f t="shared" si="49"/>
        <v>125363.21412794436</v>
      </c>
      <c r="O27" s="11">
        <f t="shared" si="49"/>
        <v>143359.08171048883</v>
      </c>
      <c r="P27" s="11">
        <f t="shared" si="49"/>
        <v>163425.77385797069</v>
      </c>
      <c r="Q27" s="11">
        <f t="shared" si="49"/>
        <v>174152.90116623079</v>
      </c>
      <c r="R27" s="11">
        <f t="shared" ref="R27:U27" si="54">R25+R26</f>
        <v>184906.54405914235</v>
      </c>
      <c r="S27" s="11">
        <f t="shared" si="54"/>
        <v>195622.4424594219</v>
      </c>
      <c r="T27" s="11">
        <f t="shared" si="54"/>
        <v>206225.0476862436</v>
      </c>
      <c r="U27" s="11">
        <f t="shared" si="54"/>
        <v>216626.13081392046</v>
      </c>
      <c r="V27" s="11"/>
    </row>
    <row r="28" spans="1:122" x14ac:dyDescent="0.15">
      <c r="A28" s="3" t="s">
        <v>14</v>
      </c>
      <c r="B28" s="11">
        <f>SUM(Reports!B21:E21)</f>
        <v>1592</v>
      </c>
      <c r="C28" s="28">
        <f>SUM(Reports!F21:I21)</f>
        <v>2754</v>
      </c>
      <c r="D28" s="6">
        <f>SUM(Reports!J21:M21)</f>
        <v>3121</v>
      </c>
      <c r="E28" s="6">
        <f>SUM(Reports!N21:Q21)</f>
        <v>2456</v>
      </c>
      <c r="F28" s="6">
        <f>SUM(Reports!R21:U21)</f>
        <v>2951</v>
      </c>
      <c r="G28" s="28">
        <f>SUM(Reports!V21:Y21)</f>
        <v>4478.6862524108374</v>
      </c>
      <c r="H28" s="11">
        <f t="shared" ref="G28:Q28" si="55">H27*0.15</f>
        <v>5489.0008623305575</v>
      </c>
      <c r="I28" s="11">
        <f t="shared" si="55"/>
        <v>7204.2977791592166</v>
      </c>
      <c r="J28" s="11">
        <f t="shared" si="55"/>
        <v>9437.1161971105685</v>
      </c>
      <c r="K28" s="11">
        <f t="shared" si="55"/>
        <v>12332.735327622717</v>
      </c>
      <c r="L28" s="11">
        <f t="shared" si="55"/>
        <v>14242.32982497237</v>
      </c>
      <c r="M28" s="11">
        <f t="shared" si="55"/>
        <v>16391.878736628234</v>
      </c>
      <c r="N28" s="11">
        <f t="shared" si="55"/>
        <v>18804.482119191653</v>
      </c>
      <c r="O28" s="11">
        <f t="shared" si="55"/>
        <v>21503.862256573324</v>
      </c>
      <c r="P28" s="11">
        <f t="shared" si="55"/>
        <v>24513.866078695602</v>
      </c>
      <c r="Q28" s="11">
        <f t="shared" si="55"/>
        <v>26122.935174934617</v>
      </c>
      <c r="R28" s="11">
        <f t="shared" ref="R28:U28" si="56">R27*0.15</f>
        <v>27735.981608871352</v>
      </c>
      <c r="S28" s="11">
        <f t="shared" si="56"/>
        <v>29343.366368913285</v>
      </c>
      <c r="T28" s="11">
        <f t="shared" si="56"/>
        <v>30933.757152936538</v>
      </c>
      <c r="U28" s="11">
        <f t="shared" si="56"/>
        <v>32493.919622088069</v>
      </c>
      <c r="V28" s="11"/>
    </row>
    <row r="29" spans="1:122" s="2" customFormat="1" x14ac:dyDescent="0.15">
      <c r="A29" s="2" t="s">
        <v>15</v>
      </c>
      <c r="B29" s="21">
        <f>B27-B28</f>
        <v>11289</v>
      </c>
      <c r="C29" s="30">
        <f>C27-C28</f>
        <v>6038</v>
      </c>
      <c r="D29" s="21">
        <f>D27-D28</f>
        <v>9331</v>
      </c>
      <c r="E29" s="21">
        <f t="shared" ref="E29:G29" si="57">E27-E28</f>
        <v>11800</v>
      </c>
      <c r="F29" s="21">
        <f t="shared" si="57"/>
        <v>19933</v>
      </c>
      <c r="G29" s="30">
        <f t="shared" si="57"/>
        <v>36499.546152570365</v>
      </c>
      <c r="H29" s="21">
        <f t="shared" ref="H29:Q29" si="58">H27-H28</f>
        <v>31104.33821987316</v>
      </c>
      <c r="I29" s="21">
        <f t="shared" ref="I29" si="59">I27-I28</f>
        <v>40824.354081902231</v>
      </c>
      <c r="J29" s="21">
        <f t="shared" ref="J29" si="60">J27-J28</f>
        <v>53476.991783626559</v>
      </c>
      <c r="K29" s="21">
        <f t="shared" ref="K29" si="61">K27-K28</f>
        <v>69885.500189862054</v>
      </c>
      <c r="L29" s="21">
        <f t="shared" ref="L29" si="62">L27-L28</f>
        <v>80706.535674843428</v>
      </c>
      <c r="M29" s="21">
        <f t="shared" si="58"/>
        <v>92887.312840893326</v>
      </c>
      <c r="N29" s="21">
        <f t="shared" si="58"/>
        <v>106558.7320087527</v>
      </c>
      <c r="O29" s="21">
        <f t="shared" si="58"/>
        <v>121855.2194539155</v>
      </c>
      <c r="P29" s="21">
        <f t="shared" si="58"/>
        <v>138911.90777927509</v>
      </c>
      <c r="Q29" s="21">
        <f t="shared" si="58"/>
        <v>148029.96599129617</v>
      </c>
      <c r="R29" s="21">
        <f t="shared" ref="R29:U29" si="63">R27-R28</f>
        <v>157170.56245027101</v>
      </c>
      <c r="S29" s="21">
        <f t="shared" si="63"/>
        <v>166279.07609050861</v>
      </c>
      <c r="T29" s="21">
        <f t="shared" si="63"/>
        <v>175291.29053330707</v>
      </c>
      <c r="U29" s="21">
        <f t="shared" si="63"/>
        <v>184132.21119183238</v>
      </c>
      <c r="V29" s="21">
        <f>U29*($F$2+1)</f>
        <v>180449.56696799572</v>
      </c>
      <c r="W29" s="21">
        <f t="shared" ref="S29:CD29" si="64">V29*($F$2+1)</f>
        <v>176840.57562863579</v>
      </c>
      <c r="X29" s="21">
        <f t="shared" si="64"/>
        <v>173303.76411606307</v>
      </c>
      <c r="Y29" s="21">
        <f t="shared" si="64"/>
        <v>169837.68883374182</v>
      </c>
      <c r="Z29" s="21">
        <f t="shared" si="64"/>
        <v>166440.93505706699</v>
      </c>
      <c r="AA29" s="21">
        <f t="shared" si="64"/>
        <v>163112.11635592565</v>
      </c>
      <c r="AB29" s="21">
        <f t="shared" si="64"/>
        <v>159849.87402880713</v>
      </c>
      <c r="AC29" s="21">
        <f t="shared" si="64"/>
        <v>156652.87654823097</v>
      </c>
      <c r="AD29" s="21">
        <f t="shared" si="64"/>
        <v>153519.81901726636</v>
      </c>
      <c r="AE29" s="21">
        <f t="shared" si="64"/>
        <v>150449.42263692102</v>
      </c>
      <c r="AF29" s="21">
        <f t="shared" si="64"/>
        <v>147440.43418418261</v>
      </c>
      <c r="AG29" s="21">
        <f t="shared" si="64"/>
        <v>144491.62550049895</v>
      </c>
      <c r="AH29" s="21">
        <f t="shared" si="64"/>
        <v>141601.79299048896</v>
      </c>
      <c r="AI29" s="21">
        <f t="shared" si="64"/>
        <v>138769.75713067918</v>
      </c>
      <c r="AJ29" s="21">
        <f t="shared" si="64"/>
        <v>135994.36198806559</v>
      </c>
      <c r="AK29" s="21">
        <f t="shared" si="64"/>
        <v>133274.47474830429</v>
      </c>
      <c r="AL29" s="21">
        <f t="shared" si="64"/>
        <v>130608.98525333821</v>
      </c>
      <c r="AM29" s="21">
        <f t="shared" si="64"/>
        <v>127996.80554827144</v>
      </c>
      <c r="AN29" s="21">
        <f t="shared" si="64"/>
        <v>125436.86943730601</v>
      </c>
      <c r="AO29" s="21">
        <f t="shared" si="64"/>
        <v>122928.13204855988</v>
      </c>
      <c r="AP29" s="21">
        <f t="shared" si="64"/>
        <v>120469.56940758869</v>
      </c>
      <c r="AQ29" s="21">
        <f t="shared" si="64"/>
        <v>118060.17801943691</v>
      </c>
      <c r="AR29" s="21">
        <f t="shared" si="64"/>
        <v>115698.97445904817</v>
      </c>
      <c r="AS29" s="21">
        <f t="shared" si="64"/>
        <v>113384.9949698672</v>
      </c>
      <c r="AT29" s="21">
        <f t="shared" si="64"/>
        <v>111117.29507046986</v>
      </c>
      <c r="AU29" s="21">
        <f t="shared" si="64"/>
        <v>108894.94916906046</v>
      </c>
      <c r="AV29" s="21">
        <f t="shared" si="64"/>
        <v>106717.05018567925</v>
      </c>
      <c r="AW29" s="21">
        <f t="shared" si="64"/>
        <v>104582.70918196566</v>
      </c>
      <c r="AX29" s="21">
        <f t="shared" si="64"/>
        <v>102491.05499832635</v>
      </c>
      <c r="AY29" s="21">
        <f t="shared" si="64"/>
        <v>100441.23389835982</v>
      </c>
      <c r="AZ29" s="21">
        <f t="shared" si="64"/>
        <v>98432.409220392612</v>
      </c>
      <c r="BA29" s="21">
        <f t="shared" si="64"/>
        <v>96463.76103598476</v>
      </c>
      <c r="BB29" s="21">
        <f t="shared" si="64"/>
        <v>94534.48581526507</v>
      </c>
      <c r="BC29" s="21">
        <f t="shared" si="64"/>
        <v>92643.796098959763</v>
      </c>
      <c r="BD29" s="21">
        <f t="shared" si="64"/>
        <v>90790.920176980566</v>
      </c>
      <c r="BE29" s="21">
        <f t="shared" si="64"/>
        <v>88975.101773440954</v>
      </c>
      <c r="BF29" s="21">
        <f t="shared" si="64"/>
        <v>87195.599737972138</v>
      </c>
      <c r="BG29" s="21">
        <f t="shared" si="64"/>
        <v>85451.687743212693</v>
      </c>
      <c r="BH29" s="21">
        <f t="shared" si="64"/>
        <v>83742.653988348437</v>
      </c>
      <c r="BI29" s="21">
        <f t="shared" si="64"/>
        <v>82067.80090858147</v>
      </c>
      <c r="BJ29" s="21">
        <f t="shared" si="64"/>
        <v>80426.444890409839</v>
      </c>
      <c r="BK29" s="21">
        <f t="shared" si="64"/>
        <v>78817.915992601644</v>
      </c>
      <c r="BL29" s="21">
        <f t="shared" si="64"/>
        <v>77241.557672749608</v>
      </c>
      <c r="BM29" s="21">
        <f t="shared" si="64"/>
        <v>75696.726519294622</v>
      </c>
      <c r="BN29" s="21">
        <f t="shared" si="64"/>
        <v>74182.791988908721</v>
      </c>
      <c r="BO29" s="21">
        <f t="shared" si="64"/>
        <v>72699.136149130543</v>
      </c>
      <c r="BP29" s="21">
        <f t="shared" si="64"/>
        <v>71245.153426147925</v>
      </c>
      <c r="BQ29" s="21">
        <f t="shared" si="64"/>
        <v>69820.250357624958</v>
      </c>
      <c r="BR29" s="21">
        <f t="shared" si="64"/>
        <v>68423.84535047246</v>
      </c>
      <c r="BS29" s="21">
        <f t="shared" si="64"/>
        <v>67055.368443463012</v>
      </c>
      <c r="BT29" s="21">
        <f t="shared" si="64"/>
        <v>65714.261074593756</v>
      </c>
      <c r="BU29" s="21">
        <f t="shared" si="64"/>
        <v>64399.975853101882</v>
      </c>
      <c r="BV29" s="21">
        <f t="shared" si="64"/>
        <v>63111.976336039843</v>
      </c>
      <c r="BW29" s="21">
        <f t="shared" si="64"/>
        <v>61849.736809319045</v>
      </c>
      <c r="BX29" s="21">
        <f t="shared" si="64"/>
        <v>60612.742073132664</v>
      </c>
      <c r="BY29" s="21">
        <f t="shared" si="64"/>
        <v>59400.487231670013</v>
      </c>
      <c r="BZ29" s="21">
        <f t="shared" si="64"/>
        <v>58212.477487036609</v>
      </c>
      <c r="CA29" s="21">
        <f t="shared" si="64"/>
        <v>57048.227937295873</v>
      </c>
      <c r="CB29" s="21">
        <f t="shared" si="64"/>
        <v>55907.263378549957</v>
      </c>
      <c r="CC29" s="21">
        <f t="shared" si="64"/>
        <v>54789.118110978954</v>
      </c>
      <c r="CD29" s="21">
        <f t="shared" si="64"/>
        <v>53693.335748759375</v>
      </c>
      <c r="CE29" s="21">
        <f t="shared" ref="CE29:DR29" si="65">CD29*($F$2+1)</f>
        <v>52619.469033784189</v>
      </c>
      <c r="CF29" s="21">
        <f t="shared" si="65"/>
        <v>51567.079653108507</v>
      </c>
      <c r="CG29" s="21">
        <f t="shared" si="65"/>
        <v>50535.738060046337</v>
      </c>
      <c r="CH29" s="21">
        <f t="shared" si="65"/>
        <v>49525.023298845408</v>
      </c>
      <c r="CI29" s="21">
        <f t="shared" si="65"/>
        <v>48534.522832868497</v>
      </c>
      <c r="CJ29" s="21">
        <f t="shared" si="65"/>
        <v>47563.832376211125</v>
      </c>
      <c r="CK29" s="21">
        <f t="shared" si="65"/>
        <v>46612.555728686901</v>
      </c>
      <c r="CL29" s="21">
        <f t="shared" si="65"/>
        <v>45680.304614113164</v>
      </c>
      <c r="CM29" s="21">
        <f t="shared" si="65"/>
        <v>44766.698521830898</v>
      </c>
      <c r="CN29" s="21">
        <f t="shared" si="65"/>
        <v>43871.364551394283</v>
      </c>
      <c r="CO29" s="21">
        <f t="shared" si="65"/>
        <v>42993.937260366394</v>
      </c>
      <c r="CP29" s="21">
        <f t="shared" si="65"/>
        <v>42134.058515159064</v>
      </c>
      <c r="CQ29" s="21">
        <f t="shared" si="65"/>
        <v>41291.377344855879</v>
      </c>
      <c r="CR29" s="21">
        <f t="shared" si="65"/>
        <v>40465.54979795876</v>
      </c>
      <c r="CS29" s="21">
        <f t="shared" si="65"/>
        <v>39656.238801999585</v>
      </c>
      <c r="CT29" s="21">
        <f t="shared" si="65"/>
        <v>38863.114025959592</v>
      </c>
      <c r="CU29" s="21">
        <f t="shared" si="65"/>
        <v>38085.851745440399</v>
      </c>
      <c r="CV29" s="21">
        <f t="shared" si="65"/>
        <v>37324.134710531587</v>
      </c>
      <c r="CW29" s="21">
        <f t="shared" si="65"/>
        <v>36577.652016320957</v>
      </c>
      <c r="CX29" s="21">
        <f t="shared" si="65"/>
        <v>35846.098975994537</v>
      </c>
      <c r="CY29" s="21">
        <f t="shared" si="65"/>
        <v>35129.176996474649</v>
      </c>
      <c r="CZ29" s="21">
        <f t="shared" si="65"/>
        <v>34426.593456545153</v>
      </c>
      <c r="DA29" s="21">
        <f t="shared" si="65"/>
        <v>33738.061587414253</v>
      </c>
      <c r="DB29" s="21">
        <f t="shared" si="65"/>
        <v>33063.300355665968</v>
      </c>
      <c r="DC29" s="21">
        <f t="shared" si="65"/>
        <v>32402.034348552646</v>
      </c>
      <c r="DD29" s="21">
        <f t="shared" si="65"/>
        <v>31753.993661581593</v>
      </c>
      <c r="DE29" s="21">
        <f t="shared" si="65"/>
        <v>31118.913788349961</v>
      </c>
      <c r="DF29" s="21">
        <f t="shared" si="65"/>
        <v>30496.535512582959</v>
      </c>
      <c r="DG29" s="21">
        <f t="shared" si="65"/>
        <v>29886.604802331298</v>
      </c>
      <c r="DH29" s="21">
        <f t="shared" si="65"/>
        <v>29288.87270628467</v>
      </c>
      <c r="DI29" s="21">
        <f t="shared" si="65"/>
        <v>28703.095252158975</v>
      </c>
      <c r="DJ29" s="21">
        <f t="shared" si="65"/>
        <v>28129.033347115794</v>
      </c>
      <c r="DK29" s="21">
        <f t="shared" si="65"/>
        <v>27566.452680173479</v>
      </c>
      <c r="DL29" s="21">
        <f t="shared" si="65"/>
        <v>27015.12362657001</v>
      </c>
      <c r="DM29" s="21">
        <f t="shared" si="65"/>
        <v>26474.821154038611</v>
      </c>
      <c r="DN29" s="21">
        <f t="shared" si="65"/>
        <v>25945.32473095784</v>
      </c>
      <c r="DO29" s="21">
        <f t="shared" si="65"/>
        <v>25426.418236338683</v>
      </c>
      <c r="DP29" s="21">
        <f t="shared" si="65"/>
        <v>24917.889871611907</v>
      </c>
      <c r="DQ29" s="21">
        <f t="shared" si="65"/>
        <v>24419.532074179668</v>
      </c>
      <c r="DR29" s="21">
        <f t="shared" si="65"/>
        <v>23931.141432696073</v>
      </c>
    </row>
    <row r="30" spans="1:122" x14ac:dyDescent="0.15">
      <c r="A30" s="3" t="s">
        <v>16</v>
      </c>
      <c r="B30" s="84">
        <f>B29/B31</f>
        <v>4.4340141398271795</v>
      </c>
      <c r="C30" s="60">
        <f>C29/C31</f>
        <v>2.3394033320418441</v>
      </c>
      <c r="D30" s="84">
        <f>D29/D31</f>
        <v>3.5628102329133258</v>
      </c>
      <c r="E30" s="84">
        <f>E29/E31</f>
        <v>4.4952380952380953</v>
      </c>
      <c r="F30" s="84">
        <f>F29/F31</f>
        <v>7.3074878562918153</v>
      </c>
      <c r="G30" s="60">
        <f>G29/G31</f>
        <v>13.380825278185451</v>
      </c>
      <c r="H30" s="14">
        <f t="shared" ref="H30:Q30" si="66">H29/H31</f>
        <v>11.402928501465736</v>
      </c>
      <c r="I30" s="14">
        <f t="shared" ref="I30" si="67">I29/I31</f>
        <v>14.966310725653829</v>
      </c>
      <c r="J30" s="14">
        <f t="shared" ref="J30" si="68">J29/J31</f>
        <v>19.60479948075394</v>
      </c>
      <c r="K30" s="14">
        <f t="shared" ref="K30" si="69">K29/K31</f>
        <v>25.620199867972524</v>
      </c>
      <c r="L30" s="14">
        <f t="shared" ref="L30" si="70">L29/L31</f>
        <v>29.587218650845358</v>
      </c>
      <c r="M30" s="14">
        <f t="shared" si="66"/>
        <v>34.052722148618209</v>
      </c>
      <c r="N30" s="14">
        <f t="shared" si="66"/>
        <v>39.064698747595159</v>
      </c>
      <c r="O30" s="14">
        <f t="shared" si="66"/>
        <v>44.67242945794721</v>
      </c>
      <c r="P30" s="14">
        <f t="shared" si="66"/>
        <v>50.925454231243734</v>
      </c>
      <c r="Q30" s="14">
        <f t="shared" si="66"/>
        <v>54.268157269286469</v>
      </c>
      <c r="R30" s="14">
        <f t="shared" ref="R30:U30" si="71">R29/R31</f>
        <v>57.61912288526112</v>
      </c>
      <c r="S30" s="14">
        <f t="shared" si="71"/>
        <v>60.958326859319442</v>
      </c>
      <c r="T30" s="14">
        <f t="shared" si="71"/>
        <v>64.262227305767411</v>
      </c>
      <c r="U30" s="14">
        <f t="shared" si="71"/>
        <v>67.503331020743246</v>
      </c>
      <c r="V30" s="14"/>
    </row>
    <row r="31" spans="1:122" x14ac:dyDescent="0.15">
      <c r="A31" s="3" t="s">
        <v>17</v>
      </c>
      <c r="B31" s="11">
        <f>Reports!E24</f>
        <v>2546</v>
      </c>
      <c r="C31" s="28">
        <f>Reports!I24</f>
        <v>2581</v>
      </c>
      <c r="D31" s="11">
        <f>Reports!M24</f>
        <v>2619</v>
      </c>
      <c r="E31" s="11">
        <f>Reports!Q24</f>
        <v>2625</v>
      </c>
      <c r="F31" s="11">
        <f>Reports!U24</f>
        <v>2727.75</v>
      </c>
      <c r="G31" s="28">
        <f>F31</f>
        <v>2727.75</v>
      </c>
      <c r="H31" s="11">
        <f t="shared" ref="H31:U31" si="72">G31</f>
        <v>2727.75</v>
      </c>
      <c r="I31" s="11">
        <f t="shared" ref="I31:L31" si="73">H31</f>
        <v>2727.75</v>
      </c>
      <c r="J31" s="11">
        <f t="shared" si="73"/>
        <v>2727.75</v>
      </c>
      <c r="K31" s="11">
        <f t="shared" si="73"/>
        <v>2727.75</v>
      </c>
      <c r="L31" s="11">
        <f t="shared" si="73"/>
        <v>2727.75</v>
      </c>
      <c r="M31" s="11">
        <f t="shared" si="72"/>
        <v>2727.75</v>
      </c>
      <c r="N31" s="11">
        <f t="shared" si="72"/>
        <v>2727.75</v>
      </c>
      <c r="O31" s="11">
        <f t="shared" si="72"/>
        <v>2727.75</v>
      </c>
      <c r="P31" s="11">
        <f t="shared" si="72"/>
        <v>2727.75</v>
      </c>
      <c r="Q31" s="11">
        <f t="shared" si="72"/>
        <v>2727.75</v>
      </c>
      <c r="R31" s="11">
        <f t="shared" si="72"/>
        <v>2727.75</v>
      </c>
      <c r="S31" s="11">
        <f t="shared" si="72"/>
        <v>2727.75</v>
      </c>
      <c r="T31" s="11">
        <f t="shared" si="72"/>
        <v>2727.75</v>
      </c>
      <c r="U31" s="11">
        <f t="shared" si="72"/>
        <v>2727.75</v>
      </c>
      <c r="V31" s="11"/>
    </row>
    <row r="32" spans="1:122" x14ac:dyDescent="0.15">
      <c r="B32" s="11"/>
      <c r="C32" s="28"/>
      <c r="D32" s="11"/>
      <c r="E32" s="11"/>
      <c r="F32" s="11"/>
      <c r="G32" s="2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122" x14ac:dyDescent="0.15">
      <c r="A33" s="3" t="s">
        <v>19</v>
      </c>
      <c r="B33" s="16">
        <f t="shared" ref="B33:Q33" si="74">IFERROR(B20/B18,0)</f>
        <v>0.66035233945823069</v>
      </c>
      <c r="C33" s="39">
        <f t="shared" si="74"/>
        <v>0.62415068375333271</v>
      </c>
      <c r="D33" s="16">
        <f t="shared" si="74"/>
        <v>0.57061218099264133</v>
      </c>
      <c r="E33" s="16">
        <f t="shared" si="74"/>
        <v>0.45069764096662829</v>
      </c>
      <c r="F33" s="16">
        <f t="shared" si="74"/>
        <v>0.44641678583214167</v>
      </c>
      <c r="G33" s="39">
        <f t="shared" si="74"/>
        <v>0.46399626357804458</v>
      </c>
      <c r="H33" s="16">
        <f t="shared" si="74"/>
        <v>0.46399626357804458</v>
      </c>
      <c r="I33" s="16">
        <f t="shared" si="74"/>
        <v>0.46399626357804458</v>
      </c>
      <c r="J33" s="16">
        <f t="shared" si="74"/>
        <v>0.46399626357804458</v>
      </c>
      <c r="K33" s="16">
        <f t="shared" si="74"/>
        <v>0.46399626357804458</v>
      </c>
      <c r="L33" s="16">
        <f t="shared" si="74"/>
        <v>0.46399626357804458</v>
      </c>
      <c r="M33" s="16">
        <f t="shared" si="74"/>
        <v>0.46399626357804458</v>
      </c>
      <c r="N33" s="16">
        <f t="shared" si="74"/>
        <v>0.46399626357804458</v>
      </c>
      <c r="O33" s="16">
        <f t="shared" si="74"/>
        <v>0.46399626357804458</v>
      </c>
      <c r="P33" s="16">
        <f t="shared" si="74"/>
        <v>0.46399626357804458</v>
      </c>
      <c r="Q33" s="16">
        <f t="shared" si="74"/>
        <v>0.46399626357804458</v>
      </c>
      <c r="R33" s="16">
        <f t="shared" ref="R33:U33" si="75">IFERROR(R20/R18,0)</f>
        <v>0.46399626357804452</v>
      </c>
      <c r="S33" s="16">
        <f t="shared" si="75"/>
        <v>0.46399626357804452</v>
      </c>
      <c r="T33" s="16">
        <f t="shared" si="75"/>
        <v>0.46399626357804447</v>
      </c>
      <c r="U33" s="16">
        <f t="shared" si="75"/>
        <v>0.46399626357804447</v>
      </c>
      <c r="V33" s="16"/>
    </row>
    <row r="34" spans="1:122" x14ac:dyDescent="0.15">
      <c r="A34" s="3" t="s">
        <v>20</v>
      </c>
      <c r="B34" s="17">
        <f t="shared" ref="B34:Q34" si="76">IFERROR(B25/B18,0)</f>
        <v>0.28730188798383532</v>
      </c>
      <c r="C34" s="42">
        <f t="shared" si="76"/>
        <v>0.30287262406467702</v>
      </c>
      <c r="D34" s="17">
        <f t="shared" si="76"/>
        <v>0.2750900266165649</v>
      </c>
      <c r="E34" s="17">
        <f t="shared" si="76"/>
        <v>0.15071202531645569</v>
      </c>
      <c r="F34" s="17">
        <f t="shared" si="76"/>
        <v>0.1799719502804972</v>
      </c>
      <c r="G34" s="42">
        <f t="shared" si="76"/>
        <v>0.21901560362753353</v>
      </c>
      <c r="H34" s="17">
        <f t="shared" si="76"/>
        <v>0.22036785755517865</v>
      </c>
      <c r="I34" s="17">
        <f t="shared" si="76"/>
        <v>0.2207766011698675</v>
      </c>
      <c r="J34" s="17">
        <f t="shared" si="76"/>
        <v>0.22027110002532554</v>
      </c>
      <c r="K34" s="17">
        <f t="shared" si="76"/>
        <v>0.21887463710461205</v>
      </c>
      <c r="L34" s="17">
        <f t="shared" si="76"/>
        <v>0.21544048645454902</v>
      </c>
      <c r="M34" s="17">
        <f t="shared" si="76"/>
        <v>0.21168154573211914</v>
      </c>
      <c r="N34" s="17">
        <f t="shared" si="76"/>
        <v>0.20759132315915588</v>
      </c>
      <c r="O34" s="17">
        <f t="shared" si="76"/>
        <v>0.20316271298760177</v>
      </c>
      <c r="P34" s="17">
        <f t="shared" si="76"/>
        <v>0.19838798322771595</v>
      </c>
      <c r="Q34" s="17">
        <f t="shared" si="76"/>
        <v>0.19453999161645297</v>
      </c>
      <c r="R34" s="17">
        <f t="shared" ref="R34:U34" si="77">IFERROR(R25/R18,0)</f>
        <v>0.19000312612654743</v>
      </c>
      <c r="S34" s="17">
        <f t="shared" si="77"/>
        <v>0.18479273906690846</v>
      </c>
      <c r="T34" s="17">
        <f t="shared" si="77"/>
        <v>0.1789203275395419</v>
      </c>
      <c r="U34" s="17">
        <f t="shared" si="77"/>
        <v>0.17239378664581526</v>
      </c>
      <c r="V34" s="17"/>
    </row>
    <row r="35" spans="1:122" x14ac:dyDescent="0.15">
      <c r="A35" s="3" t="s">
        <v>21</v>
      </c>
      <c r="B35" s="17">
        <f t="shared" ref="B35:Q35" si="78">IFERROR(B28/B27,0)</f>
        <v>0.12359288875087338</v>
      </c>
      <c r="C35" s="42">
        <f t="shared" si="78"/>
        <v>0.31323930846223841</v>
      </c>
      <c r="D35" s="17">
        <f t="shared" si="78"/>
        <v>0.25064246707356247</v>
      </c>
      <c r="E35" s="17">
        <f t="shared" si="78"/>
        <v>0.1722783389450056</v>
      </c>
      <c r="F35" s="17">
        <f t="shared" si="78"/>
        <v>0.12895472819437162</v>
      </c>
      <c r="G35" s="42">
        <f t="shared" si="78"/>
        <v>0.10929427624277958</v>
      </c>
      <c r="H35" s="17">
        <f t="shared" si="78"/>
        <v>0.15</v>
      </c>
      <c r="I35" s="17">
        <f t="shared" si="78"/>
        <v>0.15</v>
      </c>
      <c r="J35" s="17">
        <f t="shared" si="78"/>
        <v>0.15</v>
      </c>
      <c r="K35" s="17">
        <f t="shared" si="78"/>
        <v>0.15</v>
      </c>
      <c r="L35" s="17">
        <f t="shared" si="78"/>
        <v>0.15</v>
      </c>
      <c r="M35" s="17">
        <f t="shared" si="78"/>
        <v>0.15</v>
      </c>
      <c r="N35" s="17">
        <f t="shared" si="78"/>
        <v>0.15</v>
      </c>
      <c r="O35" s="17">
        <f t="shared" si="78"/>
        <v>0.15</v>
      </c>
      <c r="P35" s="17">
        <f t="shared" si="78"/>
        <v>0.15</v>
      </c>
      <c r="Q35" s="17">
        <f t="shared" si="78"/>
        <v>0.15</v>
      </c>
      <c r="R35" s="17">
        <f t="shared" ref="R35:U35" si="79">IFERROR(R28/R27,0)</f>
        <v>0.15</v>
      </c>
      <c r="S35" s="17">
        <f t="shared" si="79"/>
        <v>0.15</v>
      </c>
      <c r="T35" s="17">
        <f t="shared" si="79"/>
        <v>0.15</v>
      </c>
      <c r="U35" s="17">
        <f t="shared" si="79"/>
        <v>0.15</v>
      </c>
      <c r="V35" s="17"/>
    </row>
    <row r="36" spans="1:122" x14ac:dyDescent="0.15">
      <c r="B36" s="4"/>
      <c r="C36" s="29"/>
      <c r="D36" s="4"/>
      <c r="E36" s="4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122" x14ac:dyDescent="0.15">
      <c r="A37" s="2" t="s">
        <v>18</v>
      </c>
      <c r="B37" s="9"/>
      <c r="C37" s="86">
        <f t="shared" ref="C37:U37" si="80">C18/B18-1</f>
        <v>0.46833364904969366</v>
      </c>
      <c r="D37" s="15">
        <f t="shared" si="80"/>
        <v>0.64797454201427707</v>
      </c>
      <c r="E37" s="15">
        <f t="shared" si="80"/>
        <v>0.45128124836908312</v>
      </c>
      <c r="F37" s="15">
        <f t="shared" si="80"/>
        <v>0.30768124280782505</v>
      </c>
      <c r="G37" s="86">
        <f t="shared" si="80"/>
        <v>0.4483620946431448</v>
      </c>
      <c r="H37" s="15">
        <f t="shared" si="80"/>
        <v>0.32000000000000006</v>
      </c>
      <c r="I37" s="15">
        <f t="shared" si="80"/>
        <v>0.32000000000000006</v>
      </c>
      <c r="J37" s="15">
        <f t="shared" si="80"/>
        <v>0.32000000000000006</v>
      </c>
      <c r="K37" s="15">
        <f t="shared" si="80"/>
        <v>0.31999999999999984</v>
      </c>
      <c r="L37" s="15">
        <f t="shared" si="80"/>
        <v>0.14999999999999991</v>
      </c>
      <c r="M37" s="15">
        <f t="shared" si="80"/>
        <v>0.14999999999999991</v>
      </c>
      <c r="N37" s="15">
        <f t="shared" si="80"/>
        <v>0.14999999999999991</v>
      </c>
      <c r="O37" s="15">
        <f t="shared" si="80"/>
        <v>0.14999999999999991</v>
      </c>
      <c r="P37" s="15">
        <f t="shared" si="80"/>
        <v>0.14999999999999991</v>
      </c>
      <c r="Q37" s="15">
        <f t="shared" si="80"/>
        <v>5.0000000000000044E-2</v>
      </c>
      <c r="R37" s="15">
        <f t="shared" si="80"/>
        <v>5.0000000000000044E-2</v>
      </c>
      <c r="S37" s="15">
        <f t="shared" si="80"/>
        <v>5.0000000000000044E-2</v>
      </c>
      <c r="T37" s="15">
        <f t="shared" si="80"/>
        <v>5.0000000000000044E-2</v>
      </c>
      <c r="U37" s="15">
        <f t="shared" si="80"/>
        <v>5.0000000000000044E-2</v>
      </c>
      <c r="V37" s="15"/>
    </row>
    <row r="38" spans="1:122" x14ac:dyDescent="0.15">
      <c r="A38" s="3" t="s">
        <v>66</v>
      </c>
      <c r="B38" s="4"/>
      <c r="C38" s="42">
        <f t="shared" ref="C38:U38" si="81">C21/B21-1</f>
        <v>0.16181229773462791</v>
      </c>
      <c r="D38" s="17">
        <f t="shared" si="81"/>
        <v>0.3887783525666535</v>
      </c>
      <c r="E38" s="17">
        <f t="shared" si="81"/>
        <v>0.5879656160458453</v>
      </c>
      <c r="F38" s="17">
        <f t="shared" si="81"/>
        <v>0.1082641645615301</v>
      </c>
      <c r="G38" s="42">
        <f t="shared" si="81"/>
        <v>0.33641322044936506</v>
      </c>
      <c r="H38" s="17">
        <f t="shared" si="81"/>
        <v>0.30000000000000004</v>
      </c>
      <c r="I38" s="17">
        <f t="shared" si="81"/>
        <v>0.30000000000000004</v>
      </c>
      <c r="J38" s="17">
        <f t="shared" si="81"/>
        <v>0.30000000000000004</v>
      </c>
      <c r="K38" s="17">
        <f t="shared" si="81"/>
        <v>0.30000000000000004</v>
      </c>
      <c r="L38" s="17">
        <f t="shared" si="81"/>
        <v>0.14999999999999991</v>
      </c>
      <c r="M38" s="17">
        <f t="shared" si="81"/>
        <v>0.14999999999999991</v>
      </c>
      <c r="N38" s="17">
        <f t="shared" si="81"/>
        <v>0.14999999999999991</v>
      </c>
      <c r="O38" s="17">
        <f t="shared" si="81"/>
        <v>0.14999999999999991</v>
      </c>
      <c r="P38" s="17">
        <f t="shared" si="81"/>
        <v>0.14999999999999991</v>
      </c>
      <c r="Q38" s="17">
        <f t="shared" si="81"/>
        <v>5.0000000000000044E-2</v>
      </c>
      <c r="R38" s="17">
        <f t="shared" si="81"/>
        <v>5.0000000000000044E-2</v>
      </c>
      <c r="S38" s="17">
        <f t="shared" si="81"/>
        <v>5.0000000000000044E-2</v>
      </c>
      <c r="T38" s="17">
        <f t="shared" si="81"/>
        <v>5.0000000000000044E-2</v>
      </c>
      <c r="U38" s="17">
        <f t="shared" si="81"/>
        <v>5.0000000000000044E-2</v>
      </c>
      <c r="V38" s="17"/>
    </row>
    <row r="39" spans="1:122" x14ac:dyDescent="0.15">
      <c r="A39" s="3" t="s">
        <v>67</v>
      </c>
      <c r="B39" s="4"/>
      <c r="C39" s="42">
        <f t="shared" ref="C39:U39" si="82">C22/B22-1</f>
        <v>0.35649717514124291</v>
      </c>
      <c r="D39" s="17">
        <f t="shared" si="82"/>
        <v>0.74427321949187841</v>
      </c>
      <c r="E39" s="17">
        <f t="shared" si="82"/>
        <v>0.40234001910219686</v>
      </c>
      <c r="F39" s="17">
        <f t="shared" si="82"/>
        <v>0.23054656904478121</v>
      </c>
      <c r="G39" s="42">
        <f t="shared" si="82"/>
        <v>0.44444444444444442</v>
      </c>
      <c r="H39" s="17">
        <f t="shared" si="82"/>
        <v>0.39999999999999991</v>
      </c>
      <c r="I39" s="17">
        <f t="shared" si="82"/>
        <v>0.39999999999999991</v>
      </c>
      <c r="J39" s="17">
        <f t="shared" si="82"/>
        <v>0.39999999999999991</v>
      </c>
      <c r="K39" s="17">
        <f t="shared" si="82"/>
        <v>0.39999999999999991</v>
      </c>
      <c r="L39" s="17">
        <f t="shared" si="82"/>
        <v>0.19999999999999996</v>
      </c>
      <c r="M39" s="17">
        <f t="shared" si="82"/>
        <v>0.19999999999999996</v>
      </c>
      <c r="N39" s="17">
        <f t="shared" si="82"/>
        <v>0.19999999999999996</v>
      </c>
      <c r="O39" s="17">
        <f t="shared" si="82"/>
        <v>0.19999999999999996</v>
      </c>
      <c r="P39" s="17">
        <f t="shared" si="82"/>
        <v>0.19999999999999996</v>
      </c>
      <c r="Q39" s="17">
        <f t="shared" si="82"/>
        <v>0.10000000000000009</v>
      </c>
      <c r="R39" s="17">
        <f t="shared" si="82"/>
        <v>0.10000000000000009</v>
      </c>
      <c r="S39" s="17">
        <f t="shared" si="82"/>
        <v>0.10000000000000009</v>
      </c>
      <c r="T39" s="17">
        <f t="shared" si="82"/>
        <v>0.10000000000000009</v>
      </c>
      <c r="U39" s="17">
        <f t="shared" si="82"/>
        <v>0.10000000000000009</v>
      </c>
      <c r="V39" s="17"/>
    </row>
    <row r="40" spans="1:122" x14ac:dyDescent="0.15">
      <c r="A40" s="3" t="s">
        <v>68</v>
      </c>
      <c r="B40" s="4"/>
      <c r="C40" s="42">
        <f t="shared" ref="C40:U40" si="83">C23/B23-1</f>
        <v>0.2946835443037974</v>
      </c>
      <c r="D40" s="17">
        <f t="shared" si="83"/>
        <v>0.42628079780993344</v>
      </c>
      <c r="E40" s="17">
        <f t="shared" si="83"/>
        <v>0.44474910885659447</v>
      </c>
      <c r="F40" s="17">
        <f t="shared" si="83"/>
        <v>0.14044410704118437</v>
      </c>
      <c r="G40" s="42">
        <f t="shared" si="83"/>
        <v>0.19123814278582119</v>
      </c>
      <c r="H40" s="17">
        <f t="shared" si="83"/>
        <v>0.19999999999999996</v>
      </c>
      <c r="I40" s="17">
        <f t="shared" si="83"/>
        <v>0.19999999999999996</v>
      </c>
      <c r="J40" s="17">
        <f t="shared" si="83"/>
        <v>0.19999999999999996</v>
      </c>
      <c r="K40" s="17">
        <f t="shared" si="83"/>
        <v>0.19999999999999996</v>
      </c>
      <c r="L40" s="17">
        <f t="shared" si="83"/>
        <v>0.10000000000000009</v>
      </c>
      <c r="M40" s="17">
        <f t="shared" si="83"/>
        <v>0.10000000000000009</v>
      </c>
      <c r="N40" s="17">
        <f t="shared" si="83"/>
        <v>0.10000000000000009</v>
      </c>
      <c r="O40" s="17">
        <f t="shared" si="83"/>
        <v>0.10000000000000009</v>
      </c>
      <c r="P40" s="17">
        <f t="shared" si="83"/>
        <v>0.10000000000000009</v>
      </c>
      <c r="Q40" s="17">
        <f t="shared" si="83"/>
        <v>-5.0000000000000044E-2</v>
      </c>
      <c r="R40" s="17">
        <f t="shared" si="83"/>
        <v>-5.0000000000000044E-2</v>
      </c>
      <c r="S40" s="17">
        <f t="shared" si="83"/>
        <v>-5.0000000000000044E-2</v>
      </c>
      <c r="T40" s="17">
        <f t="shared" si="83"/>
        <v>-5.0000000000000044E-2</v>
      </c>
      <c r="U40" s="17">
        <f t="shared" si="83"/>
        <v>-5.0000000000000155E-2</v>
      </c>
      <c r="V40" s="17"/>
    </row>
    <row r="41" spans="1:122" s="23" customFormat="1" x14ac:dyDescent="0.15">
      <c r="A41" s="23" t="s">
        <v>121</v>
      </c>
      <c r="B41" s="16"/>
      <c r="C41" s="39">
        <f>C24/B24-1</f>
        <v>0.26455653351387953</v>
      </c>
      <c r="D41" s="16">
        <f t="shared" ref="D41:U41" si="84">D24/C24-1</f>
        <v>0.51586133047784766</v>
      </c>
      <c r="E41" s="16">
        <f t="shared" si="84"/>
        <v>0.47320088300220742</v>
      </c>
      <c r="F41" s="16">
        <f t="shared" si="84"/>
        <v>0.16147206904818989</v>
      </c>
      <c r="G41" s="39">
        <f t="shared" si="84"/>
        <v>0.33168541645164629</v>
      </c>
      <c r="H41" s="16">
        <f t="shared" si="84"/>
        <v>0.31271381183783209</v>
      </c>
      <c r="I41" s="16">
        <f t="shared" si="84"/>
        <v>0.31778539136631445</v>
      </c>
      <c r="J41" s="16">
        <f t="shared" si="84"/>
        <v>0.32274345217071954</v>
      </c>
      <c r="K41" s="16">
        <f t="shared" si="84"/>
        <v>0.32756315445016826</v>
      </c>
      <c r="L41" s="16">
        <f t="shared" si="84"/>
        <v>0.16611148434510126</v>
      </c>
      <c r="M41" s="16">
        <f t="shared" si="84"/>
        <v>0.16739159669037407</v>
      </c>
      <c r="N41" s="16">
        <f t="shared" si="84"/>
        <v>0.16864241610265496</v>
      </c>
      <c r="O41" s="16">
        <f t="shared" si="84"/>
        <v>0.16986272842078187</v>
      </c>
      <c r="P41" s="16">
        <f t="shared" si="84"/>
        <v>0.17105150664643798</v>
      </c>
      <c r="Q41" s="16">
        <f t="shared" si="84"/>
        <v>6.5211841989628372E-2</v>
      </c>
      <c r="R41" s="16">
        <f t="shared" si="84"/>
        <v>6.767896783296945E-2</v>
      </c>
      <c r="S41" s="16">
        <f t="shared" si="84"/>
        <v>6.9967311822141331E-2</v>
      </c>
      <c r="T41" s="16">
        <f t="shared" si="84"/>
        <v>7.2084363421024422E-2</v>
      </c>
      <c r="U41" s="16">
        <f t="shared" si="84"/>
        <v>7.4038745723832289E-2</v>
      </c>
      <c r="V41" s="16"/>
    </row>
    <row r="42" spans="1:122" x14ac:dyDescent="0.15">
      <c r="B42" s="4"/>
      <c r="C42" s="29"/>
      <c r="D42" s="4"/>
      <c r="E42" s="4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122" x14ac:dyDescent="0.15">
      <c r="A43" s="2" t="s">
        <v>33</v>
      </c>
      <c r="B43" s="21">
        <f>B44-B45</f>
        <v>18359</v>
      </c>
      <c r="C43" s="30">
        <f>C44-C45</f>
        <v>15246</v>
      </c>
      <c r="D43" s="21">
        <f>D44-D45</f>
        <v>19856</v>
      </c>
      <c r="E43" s="21">
        <f>E44-E45</f>
        <v>46253</v>
      </c>
      <c r="F43" s="21">
        <f>F44-F45</f>
        <v>82550</v>
      </c>
      <c r="G43" s="48">
        <f t="shared" ref="E43:U43" si="85">F43+G29</f>
        <v>119049.54615257037</v>
      </c>
      <c r="H43" s="59">
        <f t="shared" si="85"/>
        <v>150153.88437244354</v>
      </c>
      <c r="I43" s="59">
        <f t="shared" si="85"/>
        <v>190978.23845434579</v>
      </c>
      <c r="J43" s="59">
        <f t="shared" si="85"/>
        <v>244455.23023797234</v>
      </c>
      <c r="K43" s="59">
        <f t="shared" si="85"/>
        <v>314340.73042783438</v>
      </c>
      <c r="L43" s="59">
        <f t="shared" si="85"/>
        <v>395047.26610267779</v>
      </c>
      <c r="M43" s="59">
        <f t="shared" si="85"/>
        <v>487934.57894357113</v>
      </c>
      <c r="N43" s="59">
        <f t="shared" si="85"/>
        <v>594493.31095232384</v>
      </c>
      <c r="O43" s="59">
        <f t="shared" si="85"/>
        <v>716348.53040623933</v>
      </c>
      <c r="P43" s="59">
        <f t="shared" si="85"/>
        <v>855260.43818551442</v>
      </c>
      <c r="Q43" s="59">
        <f t="shared" si="85"/>
        <v>1003290.4041768105</v>
      </c>
      <c r="R43" s="59">
        <f t="shared" si="85"/>
        <v>1160460.9666270816</v>
      </c>
      <c r="S43" s="59">
        <f t="shared" si="85"/>
        <v>1326740.0427175902</v>
      </c>
      <c r="T43" s="59">
        <f t="shared" si="85"/>
        <v>1502031.3332508972</v>
      </c>
      <c r="U43" s="59">
        <f t="shared" si="85"/>
        <v>1686163.5444427296</v>
      </c>
      <c r="V43" s="12"/>
    </row>
    <row r="44" spans="1:122" x14ac:dyDescent="0.15">
      <c r="A44" s="3" t="s">
        <v>34</v>
      </c>
      <c r="B44" s="6">
        <f>Reports!B37</f>
        <v>18997</v>
      </c>
      <c r="C44" s="27">
        <f>Reports!I37</f>
        <v>21908</v>
      </c>
      <c r="D44" s="6">
        <f>Reports!M37</f>
        <v>39602</v>
      </c>
      <c r="E44" s="6">
        <f>Reports!Q37</f>
        <v>66264</v>
      </c>
      <c r="F44" s="6">
        <f>Reports!U37</f>
        <v>100264</v>
      </c>
      <c r="G44" s="27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spans="1:122" x14ac:dyDescent="0.15">
      <c r="A45" s="3" t="s">
        <v>35</v>
      </c>
      <c r="B45" s="6">
        <f>Reports!B38</f>
        <v>638</v>
      </c>
      <c r="C45" s="27">
        <f>Reports!I38</f>
        <v>6662</v>
      </c>
      <c r="D45" s="6">
        <f>Reports!M38</f>
        <v>19746</v>
      </c>
      <c r="E45" s="6">
        <f>Reports!Q38</f>
        <v>20011</v>
      </c>
      <c r="F45" s="6">
        <f>Reports!U38</f>
        <v>17714</v>
      </c>
      <c r="G45" s="2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spans="1:122" x14ac:dyDescent="0.15">
      <c r="B46" s="22"/>
      <c r="C46" s="87"/>
      <c r="D46" s="6"/>
      <c r="E46" s="6"/>
      <c r="F46" s="6"/>
      <c r="G46" s="27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spans="1:122" x14ac:dyDescent="0.15">
      <c r="A47" s="3" t="s">
        <v>77</v>
      </c>
      <c r="B47" s="22"/>
      <c r="C47" s="87"/>
      <c r="D47" s="6">
        <f>Reports!M40</f>
        <v>30228</v>
      </c>
      <c r="E47" s="6">
        <f>Reports!Q40</f>
        <v>49650</v>
      </c>
      <c r="F47" s="6">
        <f>Reports!U40</f>
        <v>47696</v>
      </c>
      <c r="G47" s="27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spans="1:122" x14ac:dyDescent="0.15">
      <c r="A48" s="3" t="s">
        <v>78</v>
      </c>
      <c r="B48" s="22"/>
      <c r="C48" s="87"/>
      <c r="D48" s="6">
        <f>Reports!M41</f>
        <v>114326</v>
      </c>
      <c r="E48" s="6">
        <f>Reports!Q41</f>
        <v>143801</v>
      </c>
      <c r="F48" s="6">
        <f>Reports!U41</f>
        <v>185429</v>
      </c>
      <c r="G48" s="2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spans="1:122" x14ac:dyDescent="0.15">
      <c r="A49" s="3" t="s">
        <v>79</v>
      </c>
      <c r="B49" s="22"/>
      <c r="C49" s="87"/>
      <c r="D49" s="6">
        <f>Reports!M42</f>
        <v>44748</v>
      </c>
      <c r="E49" s="6">
        <f>Reports!Q42</f>
        <v>53120</v>
      </c>
      <c r="F49" s="6">
        <f>Reports!U42</f>
        <v>62484</v>
      </c>
      <c r="G49" s="2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spans="1:122" x14ac:dyDescent="0.15">
      <c r="B50" s="22"/>
      <c r="C50" s="87"/>
      <c r="D50" s="22"/>
      <c r="E50" s="22"/>
      <c r="F50" s="22"/>
      <c r="G50" s="87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</row>
    <row r="51" spans="1:122" x14ac:dyDescent="0.15">
      <c r="A51" s="3" t="s">
        <v>80</v>
      </c>
      <c r="B51" s="22"/>
      <c r="C51" s="87"/>
      <c r="D51" s="34">
        <f>D48-D47-D44</f>
        <v>44496</v>
      </c>
      <c r="E51" s="34">
        <f>E48-E47-E44</f>
        <v>27887</v>
      </c>
      <c r="F51" s="34">
        <f>F48-F47-F44</f>
        <v>37469</v>
      </c>
      <c r="G51" s="87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</row>
    <row r="52" spans="1:122" x14ac:dyDescent="0.15">
      <c r="A52" s="3" t="s">
        <v>81</v>
      </c>
      <c r="B52" s="22"/>
      <c r="C52" s="87"/>
      <c r="D52" s="34">
        <f t="shared" ref="D52:E52" si="86">D48-D49</f>
        <v>69578</v>
      </c>
      <c r="E52" s="34">
        <f t="shared" si="86"/>
        <v>90681</v>
      </c>
      <c r="F52" s="34">
        <f t="shared" ref="F52" si="87">F48-F49</f>
        <v>122945</v>
      </c>
      <c r="G52" s="87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</row>
    <row r="53" spans="1:122" x14ac:dyDescent="0.15">
      <c r="B53" s="22"/>
      <c r="C53" s="87"/>
      <c r="D53" s="22"/>
      <c r="E53" s="22"/>
      <c r="F53" s="22"/>
      <c r="G53" s="87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</row>
    <row r="54" spans="1:122" x14ac:dyDescent="0.15">
      <c r="A54" s="3" t="s">
        <v>82</v>
      </c>
      <c r="B54" s="22"/>
      <c r="C54" s="87"/>
      <c r="D54" s="23">
        <f>Reports!M48</f>
        <v>0.13410848256632843</v>
      </c>
      <c r="E54" s="23">
        <f>Reports!N48</f>
        <v>0.11785214225707084</v>
      </c>
      <c r="F54" s="23">
        <f>Reports!O48</f>
        <v>0.11725639176972991</v>
      </c>
      <c r="G54" s="87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</row>
    <row r="55" spans="1:122" x14ac:dyDescent="0.15">
      <c r="A55" s="3" t="s">
        <v>83</v>
      </c>
      <c r="B55" s="22"/>
      <c r="C55" s="87"/>
      <c r="D55" s="23">
        <f>Reports!M49</f>
        <v>8.1617479838356974E-2</v>
      </c>
      <c r="E55" s="23">
        <f>Reports!N49</f>
        <v>6.9912121866538196E-2</v>
      </c>
      <c r="F55" s="23">
        <f>Reports!O49</f>
        <v>7.0423356205449331E-2</v>
      </c>
      <c r="G55" s="87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</row>
    <row r="56" spans="1:122" x14ac:dyDescent="0.15">
      <c r="A56" s="3" t="s">
        <v>84</v>
      </c>
      <c r="B56" s="22"/>
      <c r="C56" s="87"/>
      <c r="D56" s="23">
        <f>Reports!M50</f>
        <v>0.23712833545108006</v>
      </c>
      <c r="E56" s="23">
        <f>Reports!N50</f>
        <v>0.26104890984089568</v>
      </c>
      <c r="F56" s="23">
        <f>Reports!O50</f>
        <v>0.2410775370581528</v>
      </c>
      <c r="G56" s="87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</row>
    <row r="57" spans="1:122" x14ac:dyDescent="0.15">
      <c r="A57" s="3" t="s">
        <v>85</v>
      </c>
      <c r="B57" s="22"/>
      <c r="C57" s="87"/>
      <c r="D57" s="23">
        <f>Reports!M51</f>
        <v>0.20970424307802948</v>
      </c>
      <c r="E57" s="23">
        <f>Reports!N51</f>
        <v>0.23501982464957838</v>
      </c>
      <c r="F57" s="23">
        <f>Reports!O51</f>
        <v>0.2265773610180844</v>
      </c>
      <c r="G57" s="87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</row>
    <row r="58" spans="1:122" x14ac:dyDescent="0.15">
      <c r="B58" s="22"/>
      <c r="C58" s="87"/>
      <c r="D58" s="23"/>
      <c r="E58" s="23"/>
      <c r="F58" s="23"/>
      <c r="G58" s="87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</row>
    <row r="59" spans="1:122" x14ac:dyDescent="0.15">
      <c r="A59" s="3" t="s">
        <v>75</v>
      </c>
      <c r="B59" s="22"/>
      <c r="C59" s="41">
        <f>C15/B15-1</f>
        <v>7.328605200945626E-2</v>
      </c>
      <c r="D59" s="23">
        <f>D15/C15-1</f>
        <v>0.21585903083700431</v>
      </c>
      <c r="E59" s="23">
        <f t="shared" ref="E59:H59" si="88">E15/D15-1</f>
        <v>0.18478260869565211</v>
      </c>
      <c r="F59" s="23">
        <f t="shared" si="88"/>
        <v>0.11009174311926606</v>
      </c>
      <c r="G59" s="41">
        <f t="shared" si="88"/>
        <v>0.10000000000000009</v>
      </c>
      <c r="H59" s="23">
        <f t="shared" ref="H59:H60" si="89">H15/G15-1</f>
        <v>0.10000000000000009</v>
      </c>
      <c r="I59" s="23">
        <f t="shared" ref="I59:I60" si="90">I15/H15-1</f>
        <v>0.10000000000000009</v>
      </c>
      <c r="J59" s="23">
        <f t="shared" ref="J59:J60" si="91">J15/I15-1</f>
        <v>0.10000000000000009</v>
      </c>
      <c r="K59" s="23">
        <f t="shared" ref="K59:K60" si="92">K15/J15-1</f>
        <v>0.10000000000000009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</row>
    <row r="60" spans="1:122" x14ac:dyDescent="0.15">
      <c r="A60" s="3" t="s">
        <v>87</v>
      </c>
      <c r="B60" s="22"/>
      <c r="C60" s="41">
        <f>C16/B16-1</f>
        <v>0.3680729813833048</v>
      </c>
      <c r="D60" s="23">
        <f>D16/C16-1</f>
        <v>0.35539935158420621</v>
      </c>
      <c r="E60" s="23">
        <f t="shared" ref="E60:I60" si="93">E16/D16-1</f>
        <v>0.22493463165096905</v>
      </c>
      <c r="F60" s="23">
        <f t="shared" si="93"/>
        <v>0.17799384682688357</v>
      </c>
      <c r="G60" s="41">
        <f t="shared" si="93"/>
        <v>0.31669281331194976</v>
      </c>
      <c r="H60" s="23">
        <f t="shared" si="89"/>
        <v>0.19999999999999996</v>
      </c>
      <c r="I60" s="23">
        <f t="shared" si="90"/>
        <v>0.19999999999999996</v>
      </c>
      <c r="J60" s="23">
        <f t="shared" si="91"/>
        <v>0.19999999999999996</v>
      </c>
      <c r="K60" s="23">
        <f t="shared" si="92"/>
        <v>0.19999999999999996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</row>
    <row r="62" spans="1:122" x14ac:dyDescent="0.15">
      <c r="A62" s="3" t="s">
        <v>122</v>
      </c>
      <c r="C62" s="41">
        <f t="shared" ref="C62:F64" si="94">C10/B10-1</f>
        <v>0.36604848232270615</v>
      </c>
      <c r="D62" s="23">
        <f t="shared" si="94"/>
        <v>0.66588701886408708</v>
      </c>
      <c r="E62" s="23">
        <f t="shared" si="94"/>
        <v>0.45661264230992282</v>
      </c>
      <c r="F62" s="23">
        <f t="shared" si="94"/>
        <v>0.3041719925402846</v>
      </c>
    </row>
    <row r="63" spans="1:122" x14ac:dyDescent="0.15">
      <c r="A63" s="3" t="s">
        <v>71</v>
      </c>
      <c r="C63" s="41">
        <f t="shared" si="94"/>
        <v>1.0785562632696393</v>
      </c>
      <c r="D63" s="23">
        <f t="shared" si="94"/>
        <v>1.1021450459652709</v>
      </c>
      <c r="E63" s="23">
        <f t="shared" si="94"/>
        <v>0.77259475218658902</v>
      </c>
      <c r="F63" s="23">
        <f t="shared" si="94"/>
        <v>0.56222587719298245</v>
      </c>
    </row>
    <row r="64" spans="1:122" x14ac:dyDescent="0.15">
      <c r="A64" s="3" t="s">
        <v>72</v>
      </c>
      <c r="C64" s="41">
        <f t="shared" si="94"/>
        <v>1.2383900928792571</v>
      </c>
      <c r="D64" s="23">
        <f t="shared" si="94"/>
        <v>0.38082065467957582</v>
      </c>
      <c r="E64" s="23">
        <f t="shared" si="94"/>
        <v>0.18764607679465772</v>
      </c>
      <c r="F64" s="23">
        <f t="shared" si="94"/>
        <v>8.0404835535563768E-2</v>
      </c>
    </row>
    <row r="65" spans="1:6" x14ac:dyDescent="0.15">
      <c r="A65" s="3" t="s">
        <v>73</v>
      </c>
      <c r="C65" s="41"/>
      <c r="D65" s="23">
        <f>D13/C13-1</f>
        <v>0.15261958997722092</v>
      </c>
      <c r="E65" s="23">
        <f>E13/D13-1</f>
        <v>0.35968379446640308</v>
      </c>
      <c r="F65" s="23">
        <f>F13/E13-1</f>
        <v>0.37645348837209291</v>
      </c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5"/>
  <sheetViews>
    <sheetView tabSelected="1" zoomScale="130" zoomScaleNormal="130" workbookViewId="0">
      <pane xSplit="1" ySplit="2" topLeftCell="N6" activePane="bottomRight" state="frozen"/>
      <selection pane="topRight" activeCell="B1" sqref="B1"/>
      <selection pane="bottomLeft" activeCell="A3" sqref="A3"/>
      <selection pane="bottomRight" activeCell="S43" sqref="S43"/>
    </sheetView>
  </sheetViews>
  <sheetFormatPr baseColWidth="10" defaultRowHeight="13" x14ac:dyDescent="0.15"/>
  <cols>
    <col min="1" max="1" width="21.83203125" style="62" bestFit="1" customWidth="1"/>
    <col min="2" max="5" width="10.83203125" style="24" customWidth="1"/>
    <col min="6" max="6" width="10.83203125" style="25" customWidth="1"/>
    <col min="7" max="8" width="10.83203125" style="24" customWidth="1"/>
    <col min="9" max="9" width="10.83203125" style="24"/>
    <col min="10" max="10" width="10.83203125" style="25"/>
    <col min="11" max="13" width="10.83203125" style="24"/>
    <col min="14" max="14" width="10.83203125" style="25"/>
    <col min="15" max="17" width="10.83203125" style="24"/>
    <col min="18" max="18" width="10.83203125" style="47"/>
    <col min="19" max="21" width="10.83203125" style="3"/>
    <col min="22" max="22" width="10.83203125" style="47"/>
    <col min="23" max="16384" width="10.83203125" style="3"/>
  </cols>
  <sheetData>
    <row r="1" spans="1:25" s="24" customFormat="1" x14ac:dyDescent="0.15">
      <c r="A1" s="67" t="s">
        <v>69</v>
      </c>
      <c r="B1" s="25" t="s">
        <v>22</v>
      </c>
      <c r="C1" s="24" t="s">
        <v>23</v>
      </c>
      <c r="D1" s="24" t="s">
        <v>24</v>
      </c>
      <c r="E1" s="24" t="s">
        <v>25</v>
      </c>
      <c r="F1" s="26" t="s">
        <v>0</v>
      </c>
      <c r="G1" s="27" t="s">
        <v>1</v>
      </c>
      <c r="H1" s="27" t="s">
        <v>2</v>
      </c>
      <c r="I1" s="27" t="s">
        <v>3</v>
      </c>
      <c r="J1" s="26" t="s">
        <v>42</v>
      </c>
      <c r="K1" s="27" t="s">
        <v>43</v>
      </c>
      <c r="L1" s="27" t="s">
        <v>44</v>
      </c>
      <c r="M1" s="27" t="s">
        <v>45</v>
      </c>
      <c r="N1" s="25" t="s">
        <v>88</v>
      </c>
      <c r="O1" s="24" t="s">
        <v>89</v>
      </c>
      <c r="P1" s="24" t="s">
        <v>90</v>
      </c>
      <c r="Q1" s="24" t="s">
        <v>91</v>
      </c>
      <c r="R1" s="25" t="s">
        <v>107</v>
      </c>
      <c r="S1" s="24" t="s">
        <v>108</v>
      </c>
      <c r="T1" s="24" t="s">
        <v>109</v>
      </c>
      <c r="U1" s="24" t="s">
        <v>110</v>
      </c>
      <c r="V1" s="25" t="s">
        <v>111</v>
      </c>
      <c r="W1" s="24" t="s">
        <v>112</v>
      </c>
      <c r="X1" s="24" t="s">
        <v>113</v>
      </c>
      <c r="Y1" s="24" t="s">
        <v>114</v>
      </c>
    </row>
    <row r="2" spans="1:25" s="24" customFormat="1" x14ac:dyDescent="0.15">
      <c r="A2" s="67"/>
      <c r="B2" s="24" t="s">
        <v>47</v>
      </c>
      <c r="C2" s="24" t="s">
        <v>48</v>
      </c>
      <c r="D2" s="24" t="s">
        <v>49</v>
      </c>
      <c r="E2" s="24" t="s">
        <v>29</v>
      </c>
      <c r="F2" s="25" t="s">
        <v>28</v>
      </c>
      <c r="G2" s="24" t="s">
        <v>27</v>
      </c>
      <c r="H2" s="24" t="s">
        <v>32</v>
      </c>
      <c r="I2" s="24" t="s">
        <v>31</v>
      </c>
      <c r="J2" s="25" t="s">
        <v>30</v>
      </c>
      <c r="K2" s="24" t="s">
        <v>26</v>
      </c>
      <c r="L2" s="24" t="s">
        <v>36</v>
      </c>
      <c r="M2" s="24" t="s">
        <v>46</v>
      </c>
      <c r="N2" s="65">
        <v>43281</v>
      </c>
      <c r="O2" s="64">
        <v>43373</v>
      </c>
      <c r="P2" s="64">
        <v>43465</v>
      </c>
      <c r="Q2" s="64">
        <v>43555</v>
      </c>
      <c r="R2" s="65">
        <v>43646</v>
      </c>
      <c r="S2" s="64">
        <v>43738</v>
      </c>
      <c r="T2" s="64">
        <v>43830</v>
      </c>
      <c r="U2" s="64">
        <v>43921</v>
      </c>
      <c r="V2" s="65">
        <v>44012</v>
      </c>
      <c r="W2" s="64">
        <v>44104</v>
      </c>
      <c r="X2" s="64">
        <v>44196</v>
      </c>
    </row>
    <row r="3" spans="1:25" s="6" customFormat="1" x14ac:dyDescent="0.15">
      <c r="A3" s="69" t="s">
        <v>50</v>
      </c>
      <c r="B3" s="27">
        <f>2695+282</f>
        <v>2977</v>
      </c>
      <c r="C3" s="27">
        <f>2881+289</f>
        <v>3170</v>
      </c>
      <c r="D3" s="27">
        <f>4612+318</f>
        <v>4930</v>
      </c>
      <c r="E3" s="27">
        <f>3012+308</f>
        <v>3320</v>
      </c>
      <c r="F3" s="26">
        <v>4099</v>
      </c>
      <c r="G3" s="27">
        <v>4273</v>
      </c>
      <c r="H3" s="27">
        <v>6708</v>
      </c>
      <c r="I3" s="27">
        <v>4587</v>
      </c>
      <c r="J3" s="26">
        <v>6347</v>
      </c>
      <c r="K3" s="28">
        <v>6983</v>
      </c>
      <c r="L3" s="28">
        <v>11257</v>
      </c>
      <c r="M3" s="28">
        <v>8176</v>
      </c>
      <c r="N3" s="26">
        <v>10456</v>
      </c>
      <c r="O3" s="28">
        <v>10553</v>
      </c>
      <c r="P3" s="28">
        <v>14958</v>
      </c>
      <c r="Q3" s="28">
        <v>11756</v>
      </c>
      <c r="R3" s="76">
        <v>14500</v>
      </c>
      <c r="S3" s="6">
        <v>14161</v>
      </c>
      <c r="T3" s="6">
        <v>20322</v>
      </c>
      <c r="U3" s="6">
        <v>13256</v>
      </c>
      <c r="V3" s="76">
        <v>18870</v>
      </c>
      <c r="W3" s="6">
        <v>19283</v>
      </c>
      <c r="X3" s="6">
        <v>29968</v>
      </c>
    </row>
    <row r="4" spans="1:25" s="6" customFormat="1" x14ac:dyDescent="0.15">
      <c r="A4" s="69" t="s">
        <v>51</v>
      </c>
      <c r="B4" s="27">
        <v>78</v>
      </c>
      <c r="C4" s="27">
        <v>102</v>
      </c>
      <c r="D4" s="27">
        <v>126</v>
      </c>
      <c r="E4" s="27">
        <v>165</v>
      </c>
      <c r="F4" s="26">
        <v>187</v>
      </c>
      <c r="G4" s="27">
        <v>224</v>
      </c>
      <c r="H4" s="27">
        <v>254</v>
      </c>
      <c r="I4" s="27">
        <v>314</v>
      </c>
      <c r="J4" s="26">
        <v>359</v>
      </c>
      <c r="K4" s="28">
        <v>447</v>
      </c>
      <c r="L4" s="28">
        <v>553</v>
      </c>
      <c r="M4" s="28">
        <v>699</v>
      </c>
      <c r="N4" s="26">
        <v>710</v>
      </c>
      <c r="O4" s="28">
        <v>825</v>
      </c>
      <c r="P4" s="28">
        <v>962</v>
      </c>
      <c r="Q4" s="28">
        <v>1151</v>
      </c>
      <c r="R4" s="76">
        <v>1134</v>
      </c>
      <c r="S4" s="6">
        <v>1300</v>
      </c>
      <c r="T4" s="6">
        <v>1540</v>
      </c>
      <c r="U4" s="6">
        <v>1725</v>
      </c>
      <c r="V4" s="76">
        <v>1747</v>
      </c>
      <c r="W4" s="6">
        <v>2194</v>
      </c>
      <c r="X4" s="6">
        <v>2470</v>
      </c>
    </row>
    <row r="5" spans="1:25" s="6" customFormat="1" x14ac:dyDescent="0.15">
      <c r="A5" s="69" t="s">
        <v>52</v>
      </c>
      <c r="B5" s="27">
        <v>210</v>
      </c>
      <c r="C5" s="27">
        <v>216</v>
      </c>
      <c r="D5" s="27">
        <v>277</v>
      </c>
      <c r="E5" s="27">
        <v>266</v>
      </c>
      <c r="F5" s="26">
        <v>472</v>
      </c>
      <c r="G5" s="27">
        <v>541</v>
      </c>
      <c r="H5" s="27">
        <v>585</v>
      </c>
      <c r="I5" s="27">
        <v>571</v>
      </c>
      <c r="J5" s="26">
        <v>602</v>
      </c>
      <c r="K5" s="28">
        <v>721</v>
      </c>
      <c r="L5" s="28">
        <v>832</v>
      </c>
      <c r="M5" s="28">
        <v>840</v>
      </c>
      <c r="N5" s="26">
        <v>903</v>
      </c>
      <c r="O5" s="28">
        <v>865</v>
      </c>
      <c r="P5" s="28">
        <v>944</v>
      </c>
      <c r="Q5" s="28">
        <v>845</v>
      </c>
      <c r="R5" s="76">
        <v>920</v>
      </c>
      <c r="S5" s="6">
        <v>1021</v>
      </c>
      <c r="T5" s="6">
        <v>1062</v>
      </c>
      <c r="U5" s="6">
        <v>840</v>
      </c>
      <c r="V5" s="76">
        <v>990</v>
      </c>
      <c r="W5" s="6">
        <v>1188</v>
      </c>
      <c r="X5" s="6">
        <v>1238</v>
      </c>
    </row>
    <row r="6" spans="1:25" s="6" customFormat="1" x14ac:dyDescent="0.15">
      <c r="A6" s="69" t="s">
        <v>53</v>
      </c>
      <c r="B6" s="27"/>
      <c r="C6" s="27"/>
      <c r="D6" s="27"/>
      <c r="E6" s="27"/>
      <c r="F6" s="26">
        <v>80</v>
      </c>
      <c r="G6" s="27">
        <v>104</v>
      </c>
      <c r="H6" s="27">
        <v>122</v>
      </c>
      <c r="I6" s="27">
        <v>133</v>
      </c>
      <c r="J6" s="26">
        <v>95</v>
      </c>
      <c r="K6" s="28">
        <v>134</v>
      </c>
      <c r="L6" s="28">
        <v>119</v>
      </c>
      <c r="M6" s="28">
        <v>158</v>
      </c>
      <c r="N6" s="26">
        <v>160</v>
      </c>
      <c r="O6" s="28">
        <v>155</v>
      </c>
      <c r="P6" s="28">
        <v>193</v>
      </c>
      <c r="Q6" s="28">
        <v>180</v>
      </c>
      <c r="R6" s="76">
        <v>187</v>
      </c>
      <c r="S6" s="6">
        <v>169</v>
      </c>
      <c r="T6" s="6">
        <v>268</v>
      </c>
      <c r="U6" s="6">
        <v>323</v>
      </c>
      <c r="V6" s="76">
        <v>155</v>
      </c>
      <c r="W6" s="6">
        <v>173</v>
      </c>
      <c r="X6" s="6">
        <v>207</v>
      </c>
    </row>
    <row r="7" spans="1:25" s="6" customFormat="1" x14ac:dyDescent="0.15">
      <c r="A7" s="69"/>
      <c r="B7" s="27"/>
      <c r="C7" s="27"/>
      <c r="D7" s="27"/>
      <c r="E7" s="27"/>
      <c r="F7" s="26"/>
      <c r="G7" s="27"/>
      <c r="H7" s="27"/>
      <c r="I7" s="27"/>
      <c r="J7" s="26"/>
      <c r="K7" s="28"/>
      <c r="L7" s="28"/>
      <c r="M7" s="28"/>
      <c r="N7" s="26"/>
      <c r="O7" s="28"/>
      <c r="P7" s="28"/>
      <c r="Q7" s="28"/>
      <c r="R7" s="76"/>
      <c r="V7" s="76"/>
    </row>
    <row r="8" spans="1:25" s="6" customFormat="1" x14ac:dyDescent="0.15">
      <c r="A8" s="69" t="s">
        <v>74</v>
      </c>
      <c r="B8" s="27">
        <v>367</v>
      </c>
      <c r="C8" s="27">
        <v>386</v>
      </c>
      <c r="D8" s="27">
        <v>407</v>
      </c>
      <c r="E8" s="27">
        <v>423</v>
      </c>
      <c r="F8" s="26">
        <v>434</v>
      </c>
      <c r="G8" s="27">
        <v>439</v>
      </c>
      <c r="H8" s="27">
        <v>443</v>
      </c>
      <c r="I8" s="27">
        <v>454</v>
      </c>
      <c r="J8" s="26">
        <v>466</v>
      </c>
      <c r="K8" s="27">
        <v>488</v>
      </c>
      <c r="L8" s="27">
        <v>488</v>
      </c>
      <c r="M8" s="27">
        <v>552</v>
      </c>
      <c r="N8" s="26">
        <v>576</v>
      </c>
      <c r="O8" s="27">
        <v>601</v>
      </c>
      <c r="P8" s="55">
        <v>636</v>
      </c>
      <c r="Q8" s="55">
        <v>654</v>
      </c>
      <c r="R8" s="76">
        <v>674</v>
      </c>
      <c r="S8" s="6">
        <v>693</v>
      </c>
      <c r="T8" s="6">
        <v>711</v>
      </c>
      <c r="U8" s="6">
        <v>726</v>
      </c>
      <c r="V8" s="76">
        <v>742</v>
      </c>
      <c r="W8" s="6">
        <v>757</v>
      </c>
      <c r="X8" s="6">
        <v>779</v>
      </c>
      <c r="Y8" s="6">
        <f>U8*1.1</f>
        <v>798.6</v>
      </c>
    </row>
    <row r="9" spans="1:25" s="63" customFormat="1" x14ac:dyDescent="0.15">
      <c r="A9" s="70" t="s">
        <v>86</v>
      </c>
      <c r="B9" s="71">
        <f>SUM(B3:B6)/B8</f>
        <v>8.8964577656675754</v>
      </c>
      <c r="C9" s="71">
        <f t="shared" ref="C9:P9" si="0">SUM(C3:C6)/C8</f>
        <v>9.0362694300518136</v>
      </c>
      <c r="D9" s="71">
        <f t="shared" si="0"/>
        <v>13.103194103194102</v>
      </c>
      <c r="E9" s="71">
        <f t="shared" si="0"/>
        <v>8.8676122931442087</v>
      </c>
      <c r="F9" s="72">
        <f t="shared" si="0"/>
        <v>11.147465437788018</v>
      </c>
      <c r="G9" s="71">
        <f t="shared" si="0"/>
        <v>11.712984054669704</v>
      </c>
      <c r="H9" s="71">
        <f t="shared" si="0"/>
        <v>17.311512415349888</v>
      </c>
      <c r="I9" s="71">
        <f t="shared" si="0"/>
        <v>12.345814977973568</v>
      </c>
      <c r="J9" s="72">
        <f t="shared" si="0"/>
        <v>15.8862660944206</v>
      </c>
      <c r="K9" s="71">
        <f t="shared" si="0"/>
        <v>16.977459016393443</v>
      </c>
      <c r="L9" s="71">
        <f t="shared" si="0"/>
        <v>26.149590163934427</v>
      </c>
      <c r="M9" s="71">
        <f>SUM(M3:M6)/M8</f>
        <v>17.885869565217391</v>
      </c>
      <c r="N9" s="72">
        <f t="shared" si="0"/>
        <v>21.230902777777779</v>
      </c>
      <c r="O9" s="71">
        <f t="shared" si="0"/>
        <v>20.628951747088188</v>
      </c>
      <c r="P9" s="71">
        <f t="shared" si="0"/>
        <v>26.819182389937108</v>
      </c>
      <c r="Q9" s="71">
        <f>SUM(Q3:Q6)/Q8</f>
        <v>21.302752293577981</v>
      </c>
      <c r="R9" s="72">
        <f>SUM(R3:R6)/R8</f>
        <v>24.838278931750743</v>
      </c>
      <c r="S9" s="71">
        <f>SUM(S3:S6)/S8</f>
        <v>24.027417027417027</v>
      </c>
      <c r="T9" s="71">
        <f>SUM(T3:T6)/T8</f>
        <v>32.618846694796062</v>
      </c>
      <c r="U9" s="71">
        <f>SUM(U3:U6)/U8</f>
        <v>22.236914600550964</v>
      </c>
      <c r="V9" s="72">
        <f>SUM(V3:V6)/V8</f>
        <v>29.328840970350406</v>
      </c>
      <c r="W9" s="71">
        <f>SUM(W3:W6)/W8</f>
        <v>30.169088507265521</v>
      </c>
      <c r="X9" s="71">
        <f t="shared" ref="W9:X9" si="1">SUM(X3:X6)/X8</f>
        <v>43.495507060333765</v>
      </c>
      <c r="Y9" s="63">
        <f>U9*1.3</f>
        <v>28.907988980716254</v>
      </c>
    </row>
    <row r="10" spans="1:25" x14ac:dyDescent="0.15">
      <c r="B10" s="27"/>
      <c r="F10" s="26"/>
      <c r="I10" s="27"/>
      <c r="K10" s="29"/>
      <c r="L10" s="29"/>
      <c r="M10" s="29"/>
      <c r="O10" s="29"/>
      <c r="P10" s="29"/>
      <c r="Q10" s="29"/>
    </row>
    <row r="11" spans="1:25" s="73" customFormat="1" x14ac:dyDescent="0.15">
      <c r="A11" s="74" t="s">
        <v>4</v>
      </c>
      <c r="B11" s="30">
        <f>B8*B9</f>
        <v>3265</v>
      </c>
      <c r="C11" s="30">
        <f t="shared" ref="C11:O11" si="2">C8*C9</f>
        <v>3488</v>
      </c>
      <c r="D11" s="30">
        <f t="shared" si="2"/>
        <v>5333</v>
      </c>
      <c r="E11" s="30">
        <f t="shared" si="2"/>
        <v>3751.0000000000005</v>
      </c>
      <c r="F11" s="31">
        <f t="shared" si="2"/>
        <v>4838</v>
      </c>
      <c r="G11" s="30">
        <f t="shared" si="2"/>
        <v>5142</v>
      </c>
      <c r="H11" s="30">
        <f t="shared" si="2"/>
        <v>7669.0000000000009</v>
      </c>
      <c r="I11" s="30">
        <f t="shared" si="2"/>
        <v>5605</v>
      </c>
      <c r="J11" s="31">
        <f t="shared" si="2"/>
        <v>7403</v>
      </c>
      <c r="K11" s="30">
        <f t="shared" si="2"/>
        <v>8285</v>
      </c>
      <c r="L11" s="30">
        <f t="shared" si="2"/>
        <v>12761</v>
      </c>
      <c r="M11" s="30">
        <f>M8*M9</f>
        <v>9873</v>
      </c>
      <c r="N11" s="31">
        <f t="shared" si="2"/>
        <v>12229</v>
      </c>
      <c r="O11" s="30">
        <f t="shared" si="2"/>
        <v>12398</v>
      </c>
      <c r="P11" s="30">
        <f>P8*P9</f>
        <v>17057</v>
      </c>
      <c r="Q11" s="30">
        <f>Q8*Q9</f>
        <v>13932</v>
      </c>
      <c r="R11" s="31">
        <f>R8*R9</f>
        <v>16741</v>
      </c>
      <c r="S11" s="30">
        <f>S8*S9</f>
        <v>16651</v>
      </c>
      <c r="T11" s="30">
        <f>T8*T9</f>
        <v>23192</v>
      </c>
      <c r="U11" s="30">
        <f>U8*U9</f>
        <v>16144</v>
      </c>
      <c r="V11" s="31">
        <f>V8*V9</f>
        <v>21762</v>
      </c>
      <c r="W11" s="30">
        <f>W8*W9</f>
        <v>22838</v>
      </c>
      <c r="X11" s="30">
        <f>X8*X9</f>
        <v>33883</v>
      </c>
      <c r="Y11" s="30">
        <f>Y8*Y9</f>
        <v>23085.920000000002</v>
      </c>
    </row>
    <row r="12" spans="1:25" s="6" customFormat="1" x14ac:dyDescent="0.15">
      <c r="A12" s="69" t="s">
        <v>5</v>
      </c>
      <c r="B12" s="28">
        <v>1083</v>
      </c>
      <c r="C12" s="28">
        <v>1122</v>
      </c>
      <c r="D12" s="28">
        <v>1691</v>
      </c>
      <c r="E12" s="28">
        <v>1483</v>
      </c>
      <c r="F12" s="26">
        <v>1767</v>
      </c>
      <c r="G12" s="27">
        <v>1968</v>
      </c>
      <c r="H12" s="27">
        <v>2755</v>
      </c>
      <c r="I12" s="27">
        <v>2250</v>
      </c>
      <c r="J12" s="26">
        <v>2576</v>
      </c>
      <c r="K12" s="28">
        <v>3307</v>
      </c>
      <c r="L12" s="28">
        <v>5390</v>
      </c>
      <c r="M12" s="28">
        <v>5182</v>
      </c>
      <c r="N12" s="26">
        <v>6607</v>
      </c>
      <c r="O12" s="28">
        <v>6812</v>
      </c>
      <c r="P12" s="49">
        <v>8845</v>
      </c>
      <c r="Q12" s="49">
        <v>8286</v>
      </c>
      <c r="R12" s="76">
        <v>8738</v>
      </c>
      <c r="S12" s="6">
        <v>9170</v>
      </c>
      <c r="T12" s="6">
        <v>12114</v>
      </c>
      <c r="U12" s="6">
        <v>10239</v>
      </c>
      <c r="V12" s="76">
        <v>11963</v>
      </c>
      <c r="W12" s="6">
        <v>13250</v>
      </c>
      <c r="X12" s="6">
        <v>18585</v>
      </c>
      <c r="Y12" s="6">
        <f>Y11-Y13</f>
        <v>12662.746014225424</v>
      </c>
    </row>
    <row r="13" spans="1:25" s="6" customFormat="1" x14ac:dyDescent="0.15">
      <c r="A13" s="69" t="s">
        <v>6</v>
      </c>
      <c r="B13" s="34">
        <f>B11-B12</f>
        <v>2182</v>
      </c>
      <c r="C13" s="34">
        <f>C11-C12</f>
        <v>2366</v>
      </c>
      <c r="D13" s="34">
        <f>D11-D12</f>
        <v>3642</v>
      </c>
      <c r="E13" s="34">
        <f>E11-E12</f>
        <v>2268.0000000000005</v>
      </c>
      <c r="F13" s="35">
        <f>F11-F12</f>
        <v>3071</v>
      </c>
      <c r="G13" s="36">
        <f t="shared" ref="G13:K13" si="3">G11-G12</f>
        <v>3174</v>
      </c>
      <c r="H13" s="36">
        <f t="shared" si="3"/>
        <v>4914.0000000000009</v>
      </c>
      <c r="I13" s="36">
        <f t="shared" si="3"/>
        <v>3355</v>
      </c>
      <c r="J13" s="35">
        <f t="shared" si="3"/>
        <v>4827</v>
      </c>
      <c r="K13" s="34">
        <f t="shared" si="3"/>
        <v>4978</v>
      </c>
      <c r="L13" s="34">
        <f t="shared" ref="L13" si="4">L11-L12</f>
        <v>7371</v>
      </c>
      <c r="M13" s="34">
        <f t="shared" ref="M13" si="5">M11-M12</f>
        <v>4691</v>
      </c>
      <c r="N13" s="35">
        <f t="shared" ref="N13:P13" si="6">N11-N12</f>
        <v>5622</v>
      </c>
      <c r="O13" s="34">
        <f t="shared" si="6"/>
        <v>5586</v>
      </c>
      <c r="P13" s="34">
        <f t="shared" si="6"/>
        <v>8212</v>
      </c>
      <c r="Q13" s="34">
        <f t="shared" ref="Q13:X13" si="7">Q11-Q12</f>
        <v>5646</v>
      </c>
      <c r="R13" s="35">
        <f t="shared" si="7"/>
        <v>8003</v>
      </c>
      <c r="S13" s="34">
        <f t="shared" si="7"/>
        <v>7481</v>
      </c>
      <c r="T13" s="34">
        <f t="shared" si="7"/>
        <v>11078</v>
      </c>
      <c r="U13" s="34">
        <f t="shared" si="7"/>
        <v>5905</v>
      </c>
      <c r="V13" s="35">
        <f t="shared" si="7"/>
        <v>9799</v>
      </c>
      <c r="W13" s="34">
        <f t="shared" si="7"/>
        <v>9588</v>
      </c>
      <c r="X13" s="34">
        <f t="shared" si="7"/>
        <v>15298</v>
      </c>
      <c r="Y13" s="6">
        <f>Y11*X26</f>
        <v>10423.173985774578</v>
      </c>
    </row>
    <row r="14" spans="1:25" s="6" customFormat="1" x14ac:dyDescent="0.15">
      <c r="A14" s="69" t="s">
        <v>7</v>
      </c>
      <c r="B14" s="28">
        <v>523</v>
      </c>
      <c r="C14" s="28">
        <v>507</v>
      </c>
      <c r="D14" s="28">
        <v>579</v>
      </c>
      <c r="E14" s="28">
        <v>554</v>
      </c>
      <c r="F14" s="26">
        <v>600</v>
      </c>
      <c r="G14" s="27">
        <v>620</v>
      </c>
      <c r="H14" s="27">
        <v>636</v>
      </c>
      <c r="I14" s="27">
        <v>657</v>
      </c>
      <c r="J14" s="26">
        <v>693</v>
      </c>
      <c r="K14" s="28">
        <v>764</v>
      </c>
      <c r="L14" s="28">
        <v>967</v>
      </c>
      <c r="M14" s="28">
        <v>1066</v>
      </c>
      <c r="N14" s="26">
        <v>1739</v>
      </c>
      <c r="O14" s="28">
        <v>1218</v>
      </c>
      <c r="P14" s="49">
        <v>1295</v>
      </c>
      <c r="Q14" s="49">
        <v>1290</v>
      </c>
      <c r="R14" s="76">
        <v>1526</v>
      </c>
      <c r="S14" s="6">
        <v>1530</v>
      </c>
      <c r="T14" s="6">
        <v>1591</v>
      </c>
      <c r="U14" s="6">
        <v>1495</v>
      </c>
      <c r="V14" s="76">
        <v>1569</v>
      </c>
      <c r="W14" s="6">
        <v>2834</v>
      </c>
      <c r="X14" s="6">
        <v>2086</v>
      </c>
      <c r="Y14" s="6">
        <f>U14*1.15</f>
        <v>1719.2499999999998</v>
      </c>
    </row>
    <row r="15" spans="1:25" s="6" customFormat="1" x14ac:dyDescent="0.15">
      <c r="A15" s="69" t="s">
        <v>8</v>
      </c>
      <c r="B15" s="28">
        <v>361</v>
      </c>
      <c r="C15" s="28">
        <v>403</v>
      </c>
      <c r="D15" s="28">
        <v>562</v>
      </c>
      <c r="E15" s="28">
        <v>444</v>
      </c>
      <c r="F15" s="26">
        <v>544</v>
      </c>
      <c r="G15" s="27">
        <v>581</v>
      </c>
      <c r="H15" s="27">
        <v>647</v>
      </c>
      <c r="I15" s="27">
        <v>629</v>
      </c>
      <c r="J15" s="26">
        <v>715</v>
      </c>
      <c r="K15" s="28">
        <v>942</v>
      </c>
      <c r="L15" s="28">
        <v>1313</v>
      </c>
      <c r="M15" s="28">
        <v>1218</v>
      </c>
      <c r="N15" s="26">
        <v>1348</v>
      </c>
      <c r="O15" s="28">
        <v>1326</v>
      </c>
      <c r="P15" s="49">
        <v>1760</v>
      </c>
      <c r="Q15" s="49">
        <v>1439</v>
      </c>
      <c r="R15" s="76">
        <v>1558</v>
      </c>
      <c r="S15" s="6">
        <v>1679</v>
      </c>
      <c r="T15" s="6">
        <v>2270</v>
      </c>
      <c r="U15" s="6">
        <v>1720</v>
      </c>
      <c r="V15" s="76">
        <v>1932</v>
      </c>
      <c r="W15" s="6">
        <v>2559</v>
      </c>
      <c r="X15" s="6">
        <v>3884</v>
      </c>
      <c r="Y15" s="6">
        <f>U15*1.2</f>
        <v>2064</v>
      </c>
    </row>
    <row r="16" spans="1:25" s="6" customFormat="1" x14ac:dyDescent="0.15">
      <c r="A16" s="69" t="s">
        <v>9</v>
      </c>
      <c r="B16" s="28">
        <f>361+105</f>
        <v>466</v>
      </c>
      <c r="C16" s="28">
        <f>335+115</f>
        <v>450</v>
      </c>
      <c r="D16" s="28">
        <f>386+126+70</f>
        <v>582</v>
      </c>
      <c r="E16" s="28">
        <f>362+115</f>
        <v>477</v>
      </c>
      <c r="F16" s="26">
        <f>413+188</f>
        <v>601</v>
      </c>
      <c r="G16" s="27">
        <f>422+195</f>
        <v>617</v>
      </c>
      <c r="H16" s="27">
        <f>473+182</f>
        <v>655</v>
      </c>
      <c r="I16" s="27">
        <f>493+191</f>
        <v>684</v>
      </c>
      <c r="J16" s="26">
        <f>543+293</f>
        <v>836</v>
      </c>
      <c r="K16" s="28">
        <f>516+263</f>
        <v>779</v>
      </c>
      <c r="L16" s="28">
        <f>703+316+76</f>
        <v>1095</v>
      </c>
      <c r="M16" s="28">
        <f>725+212</f>
        <v>937</v>
      </c>
      <c r="N16" s="26">
        <f>1005+318</f>
        <v>1323</v>
      </c>
      <c r="O16" s="28">
        <f>696+380</f>
        <v>1076</v>
      </c>
      <c r="P16" s="49">
        <f>851+408</f>
        <v>1259</v>
      </c>
      <c r="Q16" s="49">
        <f>1134+477</f>
        <v>1611</v>
      </c>
      <c r="R16" s="76">
        <f>921+447</f>
        <v>1368</v>
      </c>
      <c r="S16" s="6">
        <f>922+420+81</f>
        <v>1423</v>
      </c>
      <c r="T16" s="6">
        <f>1065+470</f>
        <v>1535</v>
      </c>
      <c r="U16" s="6">
        <f>1112+571</f>
        <v>1683</v>
      </c>
      <c r="V16" s="76">
        <f>968+418</f>
        <v>1386</v>
      </c>
      <c r="W16" s="6">
        <f>1762+425</f>
        <v>2187</v>
      </c>
      <c r="X16" s="6">
        <f>1332+486</f>
        <v>1818</v>
      </c>
      <c r="Y16" s="6">
        <f>U16*1.05</f>
        <v>1767.15</v>
      </c>
    </row>
    <row r="17" spans="1:25" s="6" customFormat="1" x14ac:dyDescent="0.15">
      <c r="A17" s="69" t="s">
        <v>10</v>
      </c>
      <c r="B17" s="34">
        <f>SUM(B14:B16)</f>
        <v>1350</v>
      </c>
      <c r="C17" s="34">
        <f>SUM(C14:C16)</f>
        <v>1360</v>
      </c>
      <c r="D17" s="34">
        <f>SUM(D14:D16)</f>
        <v>1723</v>
      </c>
      <c r="E17" s="34">
        <f>SUM(E14:E16)</f>
        <v>1475</v>
      </c>
      <c r="F17" s="35">
        <f>SUM(F14:F16)</f>
        <v>1745</v>
      </c>
      <c r="G17" s="36">
        <f t="shared" ref="G17:K17" si="8">SUM(G14:G16)</f>
        <v>1818</v>
      </c>
      <c r="H17" s="36">
        <f t="shared" si="8"/>
        <v>1938</v>
      </c>
      <c r="I17" s="36">
        <f t="shared" si="8"/>
        <v>1970</v>
      </c>
      <c r="J17" s="35">
        <f t="shared" si="8"/>
        <v>2244</v>
      </c>
      <c r="K17" s="34">
        <f t="shared" si="8"/>
        <v>2485</v>
      </c>
      <c r="L17" s="34">
        <f t="shared" ref="L17" si="9">SUM(L14:L16)</f>
        <v>3375</v>
      </c>
      <c r="M17" s="34">
        <f t="shared" ref="M17" si="10">SUM(M14:M16)</f>
        <v>3221</v>
      </c>
      <c r="N17" s="35">
        <f t="shared" ref="N17:O17" si="11">SUM(N14:N16)</f>
        <v>4410</v>
      </c>
      <c r="O17" s="34">
        <f t="shared" si="11"/>
        <v>3620</v>
      </c>
      <c r="P17" s="34">
        <f t="shared" ref="P17" si="12">SUM(P14:P16)</f>
        <v>4314</v>
      </c>
      <c r="Q17" s="34">
        <f t="shared" ref="Q17:R17" si="13">SUM(Q14:Q16)</f>
        <v>4340</v>
      </c>
      <c r="R17" s="35">
        <f t="shared" si="13"/>
        <v>4452</v>
      </c>
      <c r="S17" s="34">
        <f t="shared" ref="S17:T17" si="14">SUM(S14:S16)</f>
        <v>4632</v>
      </c>
      <c r="T17" s="34">
        <f t="shared" si="14"/>
        <v>5396</v>
      </c>
      <c r="U17" s="34">
        <f t="shared" ref="U17:V17" si="15">SUM(U14:U16)</f>
        <v>4898</v>
      </c>
      <c r="V17" s="35">
        <f t="shared" si="15"/>
        <v>4887</v>
      </c>
      <c r="W17" s="34">
        <f t="shared" ref="W17:X17" si="16">SUM(W14:W16)</f>
        <v>7580</v>
      </c>
      <c r="X17" s="34">
        <f t="shared" si="16"/>
        <v>7788</v>
      </c>
      <c r="Y17" s="34">
        <f t="shared" ref="Y17" si="17">SUM(Y14:Y16)</f>
        <v>5550.4</v>
      </c>
    </row>
    <row r="18" spans="1:25" s="6" customFormat="1" x14ac:dyDescent="0.15">
      <c r="A18" s="69" t="s">
        <v>11</v>
      </c>
      <c r="B18" s="34">
        <f>B13-B17</f>
        <v>832</v>
      </c>
      <c r="C18" s="34">
        <f>C13-C17</f>
        <v>1006</v>
      </c>
      <c r="D18" s="34">
        <f>D13-D17</f>
        <v>1919</v>
      </c>
      <c r="E18" s="34">
        <f>E13-E17</f>
        <v>793.00000000000045</v>
      </c>
      <c r="F18" s="35">
        <f>F13-F17</f>
        <v>1326</v>
      </c>
      <c r="G18" s="36">
        <f t="shared" ref="G18:H18" si="18">G13-G17</f>
        <v>1356</v>
      </c>
      <c r="H18" s="36">
        <f t="shared" si="18"/>
        <v>2976.0000000000009</v>
      </c>
      <c r="I18" s="36">
        <f t="shared" ref="I18:O18" si="19">I13-I17</f>
        <v>1385</v>
      </c>
      <c r="J18" s="35">
        <f t="shared" si="19"/>
        <v>2583</v>
      </c>
      <c r="K18" s="34">
        <f t="shared" si="19"/>
        <v>2493</v>
      </c>
      <c r="L18" s="34">
        <f t="shared" si="19"/>
        <v>3996</v>
      </c>
      <c r="M18" s="34">
        <f t="shared" si="19"/>
        <v>1470</v>
      </c>
      <c r="N18" s="35">
        <f t="shared" si="19"/>
        <v>1212</v>
      </c>
      <c r="O18" s="34">
        <f t="shared" si="19"/>
        <v>1966</v>
      </c>
      <c r="P18" s="34">
        <f t="shared" ref="P18" si="20">P13-P17</f>
        <v>3898</v>
      </c>
      <c r="Q18" s="34">
        <f t="shared" ref="Q18:R18" si="21">Q13-Q17</f>
        <v>1306</v>
      </c>
      <c r="R18" s="35">
        <f t="shared" si="21"/>
        <v>3551</v>
      </c>
      <c r="S18" s="34">
        <f t="shared" ref="S18:T18" si="22">S13-S17</f>
        <v>2849</v>
      </c>
      <c r="T18" s="34">
        <f t="shared" si="22"/>
        <v>5682</v>
      </c>
      <c r="U18" s="34">
        <f t="shared" ref="U18:V18" si="23">U13-U17</f>
        <v>1007</v>
      </c>
      <c r="V18" s="35">
        <f t="shared" si="23"/>
        <v>4912</v>
      </c>
      <c r="W18" s="34">
        <f t="shared" ref="W18:X18" si="24">W13-W17</f>
        <v>2008</v>
      </c>
      <c r="X18" s="34">
        <f t="shared" si="24"/>
        <v>7510</v>
      </c>
      <c r="Y18" s="34">
        <f t="shared" ref="Y18" si="25">Y13-Y17</f>
        <v>4872.7739857745783</v>
      </c>
    </row>
    <row r="19" spans="1:25" s="6" customFormat="1" x14ac:dyDescent="0.15">
      <c r="A19" s="69" t="s">
        <v>12</v>
      </c>
      <c r="B19" s="28">
        <f>4417-77+89</f>
        <v>4429</v>
      </c>
      <c r="C19" s="28">
        <f>2856-76+67</f>
        <v>2847</v>
      </c>
      <c r="D19" s="28">
        <f>455-73+248</f>
        <v>630</v>
      </c>
      <c r="E19" s="28">
        <f>586-79-82</f>
        <v>425</v>
      </c>
      <c r="F19" s="26">
        <f>113-94+265</f>
        <v>284</v>
      </c>
      <c r="G19" s="27">
        <f>63-100+130</f>
        <v>93</v>
      </c>
      <c r="H19" s="27">
        <f>121-101+434</f>
        <v>454</v>
      </c>
      <c r="I19" s="27">
        <f>952-98+64</f>
        <v>918</v>
      </c>
      <c r="J19" s="26">
        <f>217-118+279</f>
        <v>378</v>
      </c>
      <c r="K19" s="28">
        <f>516-112+261</f>
        <v>665</v>
      </c>
      <c r="L19" s="28">
        <f>3634-130-54-2836</f>
        <v>614</v>
      </c>
      <c r="M19" s="28">
        <f>310-187+141-11</f>
        <v>253</v>
      </c>
      <c r="N19" s="26">
        <f>1095-183-13-99</f>
        <v>800</v>
      </c>
      <c r="O19" s="28">
        <f>966-195-223+182</f>
        <v>730</v>
      </c>
      <c r="P19" s="49">
        <f>1681-194+56-125</f>
        <v>1418</v>
      </c>
      <c r="Q19" s="49">
        <f>2781-194+216+123</f>
        <v>2926</v>
      </c>
      <c r="R19" s="76">
        <f>27-196+306+75</f>
        <v>212</v>
      </c>
      <c r="S19" s="6">
        <f>8862-190+444-1673</f>
        <v>7443</v>
      </c>
      <c r="T19" s="6">
        <f>2462-188+142+311</f>
        <v>2727</v>
      </c>
      <c r="U19" s="6">
        <f>-1089-165+167+500</f>
        <v>-587</v>
      </c>
      <c r="V19" s="76">
        <f>3133-159+212+49</f>
        <v>3235</v>
      </c>
      <c r="W19" s="6">
        <f>1548-162+169+625</f>
        <v>2180</v>
      </c>
      <c r="X19" s="6">
        <f>6135-167+433-552</f>
        <v>5849</v>
      </c>
      <c r="Y19" s="6">
        <f>X36*0.05</f>
        <v>6643.9000000000005</v>
      </c>
    </row>
    <row r="20" spans="1:25" s="6" customFormat="1" x14ac:dyDescent="0.15">
      <c r="A20" s="69" t="s">
        <v>13</v>
      </c>
      <c r="B20" s="34">
        <f>B18+B19</f>
        <v>5261</v>
      </c>
      <c r="C20" s="34">
        <f>C18+C19</f>
        <v>3853</v>
      </c>
      <c r="D20" s="34">
        <f>D18+D19</f>
        <v>2549</v>
      </c>
      <c r="E20" s="34">
        <f>E18+E19</f>
        <v>1218.0000000000005</v>
      </c>
      <c r="F20" s="35">
        <f>F18+F19</f>
        <v>1610</v>
      </c>
      <c r="G20" s="36">
        <f t="shared" ref="G20:I20" si="26">G18+G19</f>
        <v>1449</v>
      </c>
      <c r="H20" s="36">
        <f t="shared" si="26"/>
        <v>3430.0000000000009</v>
      </c>
      <c r="I20" s="36">
        <f t="shared" si="26"/>
        <v>2303</v>
      </c>
      <c r="J20" s="35">
        <f t="shared" ref="J20:K20" si="27">J18+J19</f>
        <v>2961</v>
      </c>
      <c r="K20" s="34">
        <f t="shared" si="27"/>
        <v>3158</v>
      </c>
      <c r="L20" s="34">
        <f t="shared" ref="L20" si="28">L18+L19</f>
        <v>4610</v>
      </c>
      <c r="M20" s="34">
        <f t="shared" ref="M20" si="29">M18+M19</f>
        <v>1723</v>
      </c>
      <c r="N20" s="35">
        <f t="shared" ref="N20:P20" si="30">N18+N19</f>
        <v>2012</v>
      </c>
      <c r="O20" s="34">
        <f t="shared" si="30"/>
        <v>2696</v>
      </c>
      <c r="P20" s="34">
        <f t="shared" si="30"/>
        <v>5316</v>
      </c>
      <c r="Q20" s="34">
        <f t="shared" ref="Q20:Y20" si="31">Q18+Q19</f>
        <v>4232</v>
      </c>
      <c r="R20" s="35">
        <f t="shared" si="31"/>
        <v>3763</v>
      </c>
      <c r="S20" s="34">
        <f t="shared" si="31"/>
        <v>10292</v>
      </c>
      <c r="T20" s="34">
        <f t="shared" si="31"/>
        <v>8409</v>
      </c>
      <c r="U20" s="34">
        <f t="shared" si="31"/>
        <v>420</v>
      </c>
      <c r="V20" s="35">
        <f t="shared" si="31"/>
        <v>8147</v>
      </c>
      <c r="W20" s="34">
        <f t="shared" si="31"/>
        <v>4188</v>
      </c>
      <c r="X20" s="34">
        <f t="shared" si="31"/>
        <v>13359</v>
      </c>
      <c r="Y20" s="34">
        <f t="shared" si="31"/>
        <v>11516.673985774578</v>
      </c>
    </row>
    <row r="21" spans="1:25" s="6" customFormat="1" x14ac:dyDescent="0.15">
      <c r="A21" s="69" t="s">
        <v>14</v>
      </c>
      <c r="B21" s="28">
        <f>225+66</f>
        <v>291</v>
      </c>
      <c r="C21" s="28">
        <f>263+18</f>
        <v>281</v>
      </c>
      <c r="D21" s="28">
        <f>549+77</f>
        <v>626</v>
      </c>
      <c r="E21" s="28">
        <f>283+111</f>
        <v>394</v>
      </c>
      <c r="F21" s="26">
        <f>314+221</f>
        <v>535</v>
      </c>
      <c r="G21" s="27">
        <f>303+85</f>
        <v>388</v>
      </c>
      <c r="H21" s="27">
        <f>736+223</f>
        <v>959</v>
      </c>
      <c r="I21" s="27">
        <f>662+210</f>
        <v>872</v>
      </c>
      <c r="J21" s="26">
        <f>686+205</f>
        <v>891</v>
      </c>
      <c r="K21" s="28">
        <f>409+133</f>
        <v>542</v>
      </c>
      <c r="L21" s="28">
        <v>1024</v>
      </c>
      <c r="M21" s="28">
        <v>664</v>
      </c>
      <c r="N21" s="26">
        <v>856</v>
      </c>
      <c r="O21" s="28">
        <v>40</v>
      </c>
      <c r="P21" s="49">
        <v>812</v>
      </c>
      <c r="Q21" s="49">
        <v>748</v>
      </c>
      <c r="R21" s="76">
        <v>978</v>
      </c>
      <c r="S21" s="6">
        <v>394</v>
      </c>
      <c r="T21" s="6">
        <v>1208</v>
      </c>
      <c r="U21" s="6">
        <v>371</v>
      </c>
      <c r="V21" s="76">
        <v>1574</v>
      </c>
      <c r="W21" s="6">
        <v>281</v>
      </c>
      <c r="X21" s="6">
        <v>1409</v>
      </c>
      <c r="Y21" s="6">
        <f>Y20*X28</f>
        <v>1214.6862524108376</v>
      </c>
    </row>
    <row r="22" spans="1:25" s="73" customFormat="1" x14ac:dyDescent="0.15">
      <c r="A22" s="74" t="s">
        <v>15</v>
      </c>
      <c r="B22" s="30">
        <f>B20-B21</f>
        <v>4970</v>
      </c>
      <c r="C22" s="30">
        <f>C20-C21</f>
        <v>3572</v>
      </c>
      <c r="D22" s="30">
        <f>D20-D21</f>
        <v>1923</v>
      </c>
      <c r="E22" s="30">
        <f>E20-E21</f>
        <v>824.00000000000045</v>
      </c>
      <c r="F22" s="31">
        <f>F20-F21</f>
        <v>1075</v>
      </c>
      <c r="G22" s="32">
        <f t="shared" ref="G22:H22" si="32">G20-G21</f>
        <v>1061</v>
      </c>
      <c r="H22" s="32">
        <f t="shared" si="32"/>
        <v>2471.0000000000009</v>
      </c>
      <c r="I22" s="32">
        <f t="shared" ref="I22:R22" si="33">I20-I21</f>
        <v>1431</v>
      </c>
      <c r="J22" s="31">
        <f t="shared" si="33"/>
        <v>2070</v>
      </c>
      <c r="K22" s="30">
        <f t="shared" si="33"/>
        <v>2616</v>
      </c>
      <c r="L22" s="30">
        <f t="shared" si="33"/>
        <v>3586</v>
      </c>
      <c r="M22" s="30">
        <f t="shared" si="33"/>
        <v>1059</v>
      </c>
      <c r="N22" s="31">
        <f t="shared" si="33"/>
        <v>1156</v>
      </c>
      <c r="O22" s="30">
        <f t="shared" si="33"/>
        <v>2656</v>
      </c>
      <c r="P22" s="30">
        <f t="shared" si="33"/>
        <v>4504</v>
      </c>
      <c r="Q22" s="30">
        <f t="shared" ref="Q22" si="34">Q20-Q21</f>
        <v>3484</v>
      </c>
      <c r="R22" s="31">
        <f t="shared" si="33"/>
        <v>2785</v>
      </c>
      <c r="S22" s="30">
        <f t="shared" ref="S22:T22" si="35">S20-S21</f>
        <v>9898</v>
      </c>
      <c r="T22" s="30">
        <f t="shared" si="35"/>
        <v>7201</v>
      </c>
      <c r="U22" s="30">
        <f t="shared" ref="U22:V22" si="36">U20-U21</f>
        <v>49</v>
      </c>
      <c r="V22" s="31">
        <f t="shared" si="36"/>
        <v>6573</v>
      </c>
      <c r="W22" s="30">
        <f t="shared" ref="W22:X22" si="37">W20-W21</f>
        <v>3907</v>
      </c>
      <c r="X22" s="30">
        <f t="shared" si="37"/>
        <v>11950</v>
      </c>
      <c r="Y22" s="30">
        <f t="shared" ref="Y22" si="38">Y20-Y21</f>
        <v>10301.98773336374</v>
      </c>
    </row>
    <row r="23" spans="1:25" x14ac:dyDescent="0.15">
      <c r="A23" s="62" t="s">
        <v>16</v>
      </c>
      <c r="B23" s="60">
        <f>B22/B24</f>
        <v>1.9204018547140649</v>
      </c>
      <c r="C23" s="60">
        <f>C22/C24</f>
        <v>1.3931357254290171</v>
      </c>
      <c r="D23" s="60">
        <f t="shared" ref="D23:L23" si="39">D22/D24</f>
        <v>0.75411764705882356</v>
      </c>
      <c r="E23" s="60">
        <f t="shared" si="39"/>
        <v>0.32364493322859406</v>
      </c>
      <c r="F23" s="61">
        <f t="shared" si="39"/>
        <v>0.41861370716510904</v>
      </c>
      <c r="G23" s="60">
        <f t="shared" si="39"/>
        <v>0.41348402182385036</v>
      </c>
      <c r="H23" s="60">
        <f t="shared" si="39"/>
        <v>0.96110462854920298</v>
      </c>
      <c r="I23" s="60">
        <f t="shared" si="39"/>
        <v>0.55443626501356058</v>
      </c>
      <c r="J23" s="61">
        <f t="shared" si="39"/>
        <v>0.79646017699115046</v>
      </c>
      <c r="K23" s="60">
        <f t="shared" si="39"/>
        <v>1.0034522439585731</v>
      </c>
      <c r="L23" s="60">
        <f t="shared" si="39"/>
        <v>1.3713193116634799</v>
      </c>
      <c r="M23" s="60">
        <f t="shared" ref="M23:R23" si="40">M22/M24</f>
        <v>0.40435280641466209</v>
      </c>
      <c r="N23" s="61">
        <f t="shared" si="40"/>
        <v>0.44004567948229922</v>
      </c>
      <c r="O23" s="60">
        <f t="shared" si="40"/>
        <v>1.0106544901065448</v>
      </c>
      <c r="P23" s="60">
        <f t="shared" si="40"/>
        <v>1.7230298393267023</v>
      </c>
      <c r="Q23" s="60">
        <f t="shared" ref="Q23" si="41">Q22/Q24</f>
        <v>1.3272380952380953</v>
      </c>
      <c r="R23" s="61">
        <f t="shared" si="40"/>
        <v>1.0571767497034401</v>
      </c>
      <c r="S23" s="60">
        <f t="shared" ref="S23:T23" si="42">S22/S24</f>
        <v>3.7540416251837101</v>
      </c>
      <c r="T23" s="60">
        <f t="shared" si="42"/>
        <v>2.6928434534660872</v>
      </c>
      <c r="U23" s="60">
        <f t="shared" ref="U23:V23" si="43">U22/U24</f>
        <v>1.7963523050132893E-2</v>
      </c>
      <c r="V23" s="61">
        <f t="shared" si="43"/>
        <v>2.3982486545653563</v>
      </c>
      <c r="W23" s="60">
        <f t="shared" ref="W23:X23" si="44">W22/W24</f>
        <v>1.4231855022311264</v>
      </c>
      <c r="X23" s="60">
        <f t="shared" si="44"/>
        <v>4.3413105671858681</v>
      </c>
      <c r="Y23" s="60">
        <f t="shared" ref="Y23" si="45">Y22/Y24</f>
        <v>3.7426048711189281</v>
      </c>
    </row>
    <row r="24" spans="1:25" s="6" customFormat="1" x14ac:dyDescent="0.15">
      <c r="A24" s="69" t="s">
        <v>17</v>
      </c>
      <c r="B24" s="28">
        <v>2588</v>
      </c>
      <c r="C24" s="28">
        <v>2564</v>
      </c>
      <c r="D24" s="28">
        <v>2550</v>
      </c>
      <c r="E24" s="28">
        <v>2546</v>
      </c>
      <c r="F24" s="26">
        <v>2568</v>
      </c>
      <c r="G24" s="28">
        <v>2566</v>
      </c>
      <c r="H24" s="27">
        <v>2571</v>
      </c>
      <c r="I24" s="27">
        <v>2581</v>
      </c>
      <c r="J24" s="26">
        <v>2599</v>
      </c>
      <c r="K24" s="28">
        <v>2607</v>
      </c>
      <c r="L24" s="28">
        <v>2615</v>
      </c>
      <c r="M24" s="28">
        <v>2619</v>
      </c>
      <c r="N24" s="26">
        <v>2627</v>
      </c>
      <c r="O24" s="28">
        <v>2628</v>
      </c>
      <c r="P24" s="49">
        <v>2614</v>
      </c>
      <c r="Q24" s="49">
        <v>2625</v>
      </c>
      <c r="R24" s="76">
        <v>2634.375</v>
      </c>
      <c r="S24" s="6">
        <v>2636.625</v>
      </c>
      <c r="T24" s="6">
        <v>2674.125</v>
      </c>
      <c r="U24" s="6">
        <v>2727.75</v>
      </c>
      <c r="V24" s="76">
        <v>2740.75</v>
      </c>
      <c r="W24" s="6">
        <v>2745.25</v>
      </c>
      <c r="X24" s="6">
        <v>2752.625</v>
      </c>
      <c r="Y24" s="6">
        <f>X24</f>
        <v>2752.625</v>
      </c>
    </row>
    <row r="25" spans="1:25" x14ac:dyDescent="0.15">
      <c r="B25" s="29"/>
      <c r="C25" s="29"/>
      <c r="D25" s="29"/>
      <c r="E25" s="29"/>
      <c r="K25" s="29"/>
      <c r="L25" s="29"/>
      <c r="M25" s="29"/>
      <c r="O25" s="29"/>
      <c r="P25" s="50"/>
      <c r="Q25" s="50"/>
    </row>
    <row r="26" spans="1:25" x14ac:dyDescent="0.15">
      <c r="A26" s="62" t="s">
        <v>19</v>
      </c>
      <c r="B26" s="39">
        <f t="shared" ref="B26:R26" si="46">IFERROR(B13/B11,0)</f>
        <v>0.66830015313935687</v>
      </c>
      <c r="C26" s="39">
        <f t="shared" si="46"/>
        <v>0.67832568807339455</v>
      </c>
      <c r="D26" s="39">
        <f t="shared" si="46"/>
        <v>0.68291768235514716</v>
      </c>
      <c r="E26" s="39">
        <f t="shared" si="46"/>
        <v>0.6046387629965343</v>
      </c>
      <c r="F26" s="40">
        <f t="shared" si="46"/>
        <v>0.63476643241008679</v>
      </c>
      <c r="G26" s="41">
        <f t="shared" si="46"/>
        <v>0.61726954492415398</v>
      </c>
      <c r="H26" s="41">
        <f t="shared" si="46"/>
        <v>0.64076150736732307</v>
      </c>
      <c r="I26" s="41">
        <f t="shared" si="46"/>
        <v>0.59857270294380016</v>
      </c>
      <c r="J26" s="40">
        <f t="shared" si="46"/>
        <v>0.65203295961096852</v>
      </c>
      <c r="K26" s="39">
        <f t="shared" si="46"/>
        <v>0.6008449004224502</v>
      </c>
      <c r="L26" s="39">
        <f t="shared" si="46"/>
        <v>0.57761930883159629</v>
      </c>
      <c r="M26" s="39">
        <f t="shared" si="46"/>
        <v>0.47513420439582699</v>
      </c>
      <c r="N26" s="40">
        <f t="shared" si="46"/>
        <v>0.45972687873088558</v>
      </c>
      <c r="O26" s="39">
        <f t="shared" si="46"/>
        <v>0.45055654137764156</v>
      </c>
      <c r="P26" s="53">
        <f t="shared" si="46"/>
        <v>0.48144456821246406</v>
      </c>
      <c r="Q26" s="53">
        <f t="shared" si="46"/>
        <v>0.40525409130060291</v>
      </c>
      <c r="R26" s="77">
        <f t="shared" si="46"/>
        <v>0.4780479063377337</v>
      </c>
      <c r="S26" s="53">
        <f t="shared" ref="S26:T26" si="47">IFERROR(S13/S11,0)</f>
        <v>0.44928232538586271</v>
      </c>
      <c r="T26" s="53">
        <f t="shared" si="47"/>
        <v>0.47766471196964472</v>
      </c>
      <c r="U26" s="53">
        <f t="shared" ref="U26:V26" si="48">IFERROR(U13/U11,0)</f>
        <v>0.36577056491575816</v>
      </c>
      <c r="V26" s="77">
        <f t="shared" si="48"/>
        <v>0.45028030511901479</v>
      </c>
      <c r="W26" s="53">
        <f t="shared" ref="W26:X26" si="49">IFERROR(W13/W11,0)</f>
        <v>0.41982660478150452</v>
      </c>
      <c r="X26" s="53">
        <f t="shared" si="49"/>
        <v>0.45149484992474104</v>
      </c>
      <c r="Y26" s="53">
        <f t="shared" ref="Y26" si="50">IFERROR(Y13/Y11,0)</f>
        <v>0.45149484992474104</v>
      </c>
    </row>
    <row r="27" spans="1:25" x14ac:dyDescent="0.15">
      <c r="A27" s="62" t="s">
        <v>20</v>
      </c>
      <c r="B27" s="42">
        <f t="shared" ref="B27:R27" si="51">IFERROR(B18/B11,0)</f>
        <v>0.25482388973966308</v>
      </c>
      <c r="C27" s="42">
        <f t="shared" si="51"/>
        <v>0.28841743119266056</v>
      </c>
      <c r="D27" s="42">
        <f t="shared" si="51"/>
        <v>0.35983498968685546</v>
      </c>
      <c r="E27" s="42">
        <f t="shared" si="51"/>
        <v>0.21141029058917632</v>
      </c>
      <c r="F27" s="43">
        <f t="shared" si="51"/>
        <v>0.27408019842910292</v>
      </c>
      <c r="G27" s="44">
        <f t="shared" si="51"/>
        <v>0.26371061843640609</v>
      </c>
      <c r="H27" s="44">
        <f t="shared" si="51"/>
        <v>0.38805580910157783</v>
      </c>
      <c r="I27" s="44">
        <f t="shared" si="51"/>
        <v>0.24710080285459413</v>
      </c>
      <c r="J27" s="43">
        <f t="shared" si="51"/>
        <v>0.34891260299878429</v>
      </c>
      <c r="K27" s="42">
        <f t="shared" si="51"/>
        <v>0.30090525045262523</v>
      </c>
      <c r="L27" s="42">
        <f t="shared" si="51"/>
        <v>0.31314160332262364</v>
      </c>
      <c r="M27" s="42">
        <f t="shared" si="51"/>
        <v>0.14889091461561835</v>
      </c>
      <c r="N27" s="43">
        <f t="shared" si="51"/>
        <v>9.9108676097800316E-2</v>
      </c>
      <c r="O27" s="42">
        <f t="shared" si="51"/>
        <v>0.15857396354250686</v>
      </c>
      <c r="P27" s="54">
        <f t="shared" si="51"/>
        <v>0.22852787711789882</v>
      </c>
      <c r="Q27" s="54">
        <f t="shared" si="51"/>
        <v>9.3741027849554986E-2</v>
      </c>
      <c r="R27" s="78">
        <f t="shared" si="51"/>
        <v>0.21211397168627918</v>
      </c>
      <c r="S27" s="54">
        <f t="shared" ref="S27:T27" si="52">IFERROR(S18/S11,0)</f>
        <v>0.17110083478469762</v>
      </c>
      <c r="T27" s="54">
        <f t="shared" si="52"/>
        <v>0.24499827526733356</v>
      </c>
      <c r="U27" s="54">
        <f t="shared" ref="U27:V27" si="53">IFERROR(U18/U11,0)</f>
        <v>6.2376114965312188E-2</v>
      </c>
      <c r="V27" s="78">
        <f t="shared" si="53"/>
        <v>0.22571454829519347</v>
      </c>
      <c r="W27" s="54">
        <f t="shared" ref="W27:X27" si="54">IFERROR(W18/W11,0)</f>
        <v>8.7923636045187839E-2</v>
      </c>
      <c r="X27" s="54">
        <f t="shared" si="54"/>
        <v>0.22164507275034678</v>
      </c>
      <c r="Y27" s="54">
        <f t="shared" ref="Y27" si="55">IFERROR(Y18/Y11,0)</f>
        <v>0.21107124973900013</v>
      </c>
    </row>
    <row r="28" spans="1:25" x14ac:dyDescent="0.15">
      <c r="A28" s="62" t="s">
        <v>21</v>
      </c>
      <c r="B28" s="42">
        <f t="shared" ref="B28:R28" si="56">IFERROR(B21/B20,0)</f>
        <v>5.5312678198061203E-2</v>
      </c>
      <c r="C28" s="42">
        <f t="shared" si="56"/>
        <v>7.2930184271995852E-2</v>
      </c>
      <c r="D28" s="42">
        <f t="shared" si="56"/>
        <v>0.24558650451157316</v>
      </c>
      <c r="E28" s="42">
        <f t="shared" si="56"/>
        <v>0.32348111658456474</v>
      </c>
      <c r="F28" s="43">
        <f t="shared" si="56"/>
        <v>0.33229813664596275</v>
      </c>
      <c r="G28" s="44">
        <f t="shared" si="56"/>
        <v>0.26777087646652864</v>
      </c>
      <c r="H28" s="44">
        <f t="shared" si="56"/>
        <v>0.27959183673469379</v>
      </c>
      <c r="I28" s="44">
        <f t="shared" si="56"/>
        <v>0.37863656100738169</v>
      </c>
      <c r="J28" s="43">
        <f t="shared" si="56"/>
        <v>0.30091185410334348</v>
      </c>
      <c r="K28" s="42">
        <f t="shared" si="56"/>
        <v>0.17162761241291957</v>
      </c>
      <c r="L28" s="42">
        <f t="shared" si="56"/>
        <v>0.22212581344902385</v>
      </c>
      <c r="M28" s="42">
        <f t="shared" si="56"/>
        <v>0.38537434706906559</v>
      </c>
      <c r="N28" s="43">
        <f t="shared" si="56"/>
        <v>0.42544731610337971</v>
      </c>
      <c r="O28" s="42">
        <f t="shared" si="56"/>
        <v>1.483679525222552E-2</v>
      </c>
      <c r="P28" s="54">
        <f t="shared" si="56"/>
        <v>0.1527464258841234</v>
      </c>
      <c r="Q28" s="54">
        <f t="shared" si="56"/>
        <v>0.17674858223062381</v>
      </c>
      <c r="R28" s="78">
        <f t="shared" si="56"/>
        <v>0.2598990167419612</v>
      </c>
      <c r="S28" s="54">
        <f t="shared" ref="S28:T28" si="57">IFERROR(S21/S20,0)</f>
        <v>3.8282160901671199E-2</v>
      </c>
      <c r="T28" s="54">
        <f t="shared" si="57"/>
        <v>0.14365560708764419</v>
      </c>
      <c r="U28" s="54">
        <f t="shared" ref="U28:V28" si="58">IFERROR(U21/U20,0)</f>
        <v>0.8833333333333333</v>
      </c>
      <c r="V28" s="78">
        <f t="shared" si="58"/>
        <v>0.19319995090217257</v>
      </c>
      <c r="W28" s="54">
        <f t="shared" ref="W28:X28" si="59">IFERROR(W21/W20,0)</f>
        <v>6.709646609360076E-2</v>
      </c>
      <c r="X28" s="54">
        <f t="shared" si="59"/>
        <v>0.10547196646455573</v>
      </c>
      <c r="Y28" s="54">
        <f t="shared" ref="Y28" si="60">IFERROR(Y21/Y20,0)</f>
        <v>0.10547196646455573</v>
      </c>
    </row>
    <row r="29" spans="1:25" x14ac:dyDescent="0.15">
      <c r="B29" s="29"/>
      <c r="C29" s="29"/>
      <c r="D29" s="29"/>
      <c r="E29" s="29"/>
      <c r="K29" s="29"/>
      <c r="L29" s="29"/>
      <c r="M29" s="29"/>
      <c r="O29" s="29"/>
      <c r="P29" s="50"/>
      <c r="Q29" s="50"/>
      <c r="R29" s="79"/>
      <c r="S29" s="50"/>
      <c r="T29" s="50"/>
      <c r="U29" s="50"/>
      <c r="V29" s="79"/>
      <c r="W29" s="50"/>
      <c r="X29" s="50"/>
      <c r="Y29" s="50"/>
    </row>
    <row r="30" spans="1:25" s="2" customFormat="1" x14ac:dyDescent="0.15">
      <c r="A30" s="68" t="s">
        <v>18</v>
      </c>
      <c r="B30" s="37"/>
      <c r="C30" s="37"/>
      <c r="D30" s="37"/>
      <c r="E30" s="37"/>
      <c r="F30" s="38">
        <f t="shared" ref="F30:P30" si="61">IFERROR((F11/B11)-1,0)</f>
        <v>0.48177641653905057</v>
      </c>
      <c r="G30" s="37">
        <f t="shared" si="61"/>
        <v>0.47419724770642202</v>
      </c>
      <c r="H30" s="37">
        <f t="shared" si="61"/>
        <v>0.43802737671104452</v>
      </c>
      <c r="I30" s="37">
        <f t="shared" si="61"/>
        <v>0.49426819514796039</v>
      </c>
      <c r="J30" s="38">
        <f t="shared" si="61"/>
        <v>0.53017775940471279</v>
      </c>
      <c r="K30" s="37">
        <f t="shared" si="61"/>
        <v>0.61124076234928038</v>
      </c>
      <c r="L30" s="37">
        <f t="shared" si="61"/>
        <v>0.66397183465901666</v>
      </c>
      <c r="M30" s="37">
        <f t="shared" si="61"/>
        <v>0.76146297948260488</v>
      </c>
      <c r="N30" s="38">
        <f t="shared" si="61"/>
        <v>0.65189787923814668</v>
      </c>
      <c r="O30" s="37">
        <f t="shared" si="61"/>
        <v>0.49643934821967406</v>
      </c>
      <c r="P30" s="51">
        <f t="shared" si="61"/>
        <v>0.33665073270119894</v>
      </c>
      <c r="Q30" s="51">
        <f t="shared" ref="Q30:Y30" si="62">IFERROR((Q11/M11)-1,0)</f>
        <v>0.41112123974475834</v>
      </c>
      <c r="R30" s="80">
        <f t="shared" si="62"/>
        <v>0.36895903180963274</v>
      </c>
      <c r="S30" s="51">
        <f t="shared" si="62"/>
        <v>0.343039199870947</v>
      </c>
      <c r="T30" s="51">
        <f t="shared" si="62"/>
        <v>0.35967637919915574</v>
      </c>
      <c r="U30" s="51">
        <f t="shared" si="62"/>
        <v>0.15877117427505016</v>
      </c>
      <c r="V30" s="80">
        <f t="shared" si="62"/>
        <v>0.29992234633534443</v>
      </c>
      <c r="W30" s="51">
        <f t="shared" si="62"/>
        <v>0.37156927511861149</v>
      </c>
      <c r="X30" s="51">
        <f t="shared" si="62"/>
        <v>0.46097792342186961</v>
      </c>
      <c r="Y30" s="51">
        <f t="shared" si="62"/>
        <v>0.43000000000000016</v>
      </c>
    </row>
    <row r="31" spans="1:25" x14ac:dyDescent="0.15">
      <c r="A31" s="62" t="s">
        <v>66</v>
      </c>
      <c r="B31" s="45"/>
      <c r="C31" s="45"/>
      <c r="D31" s="45"/>
      <c r="E31" s="45"/>
      <c r="F31" s="46">
        <f t="shared" ref="F31:P33" si="63">F14/B14-1</f>
        <v>0.14722753346080308</v>
      </c>
      <c r="G31" s="45">
        <f t="shared" si="63"/>
        <v>0.22287968441814598</v>
      </c>
      <c r="H31" s="45">
        <f t="shared" si="63"/>
        <v>9.8445595854922185E-2</v>
      </c>
      <c r="I31" s="45">
        <f t="shared" si="63"/>
        <v>0.1859205776173285</v>
      </c>
      <c r="J31" s="46">
        <f t="shared" si="63"/>
        <v>0.15500000000000003</v>
      </c>
      <c r="K31" s="45">
        <f t="shared" si="63"/>
        <v>0.23225806451612896</v>
      </c>
      <c r="L31" s="45">
        <f t="shared" si="63"/>
        <v>0.52044025157232698</v>
      </c>
      <c r="M31" s="45">
        <f t="shared" si="63"/>
        <v>0.62252663622526638</v>
      </c>
      <c r="N31" s="46">
        <f t="shared" si="63"/>
        <v>1.5093795093795093</v>
      </c>
      <c r="O31" s="45">
        <f t="shared" si="63"/>
        <v>0.59424083769633507</v>
      </c>
      <c r="P31" s="52">
        <f t="shared" si="63"/>
        <v>0.3391933815925543</v>
      </c>
      <c r="Q31" s="52">
        <f t="shared" ref="Q31:Y33" si="64">Q14/M14-1</f>
        <v>0.21013133208255153</v>
      </c>
      <c r="R31" s="81">
        <f t="shared" si="64"/>
        <v>-0.12248418631397351</v>
      </c>
      <c r="S31" s="52">
        <f t="shared" si="64"/>
        <v>0.2561576354679802</v>
      </c>
      <c r="T31" s="52">
        <f t="shared" si="64"/>
        <v>0.22857142857142865</v>
      </c>
      <c r="U31" s="52">
        <f t="shared" si="64"/>
        <v>0.1589147286821706</v>
      </c>
      <c r="V31" s="81">
        <f t="shared" si="64"/>
        <v>2.8178243774574119E-2</v>
      </c>
      <c r="W31" s="52">
        <f t="shared" si="64"/>
        <v>0.85228758169934649</v>
      </c>
      <c r="X31" s="52">
        <f t="shared" si="64"/>
        <v>0.31112507856693905</v>
      </c>
      <c r="Y31" s="52">
        <f t="shared" si="64"/>
        <v>0.14999999999999991</v>
      </c>
    </row>
    <row r="32" spans="1:25" x14ac:dyDescent="0.15">
      <c r="A32" s="62" t="s">
        <v>67</v>
      </c>
      <c r="B32" s="45"/>
      <c r="C32" s="45"/>
      <c r="D32" s="45"/>
      <c r="E32" s="45"/>
      <c r="F32" s="46">
        <f t="shared" si="63"/>
        <v>0.50692520775623273</v>
      </c>
      <c r="G32" s="45">
        <f t="shared" si="63"/>
        <v>0.44168734491315131</v>
      </c>
      <c r="H32" s="45">
        <f t="shared" si="63"/>
        <v>0.1512455516014235</v>
      </c>
      <c r="I32" s="45">
        <f t="shared" si="63"/>
        <v>0.41666666666666674</v>
      </c>
      <c r="J32" s="46">
        <f t="shared" si="63"/>
        <v>0.31433823529411775</v>
      </c>
      <c r="K32" s="45">
        <f t="shared" si="63"/>
        <v>0.62134251290877796</v>
      </c>
      <c r="L32" s="45">
        <f t="shared" si="63"/>
        <v>1.0293663060278209</v>
      </c>
      <c r="M32" s="45">
        <f t="shared" si="63"/>
        <v>0.93640699523052473</v>
      </c>
      <c r="N32" s="46">
        <f t="shared" si="63"/>
        <v>0.88531468531468538</v>
      </c>
      <c r="O32" s="45">
        <f t="shared" si="63"/>
        <v>0.40764331210191074</v>
      </c>
      <c r="P32" s="52">
        <f t="shared" si="63"/>
        <v>0.34044173648134035</v>
      </c>
      <c r="Q32" s="52">
        <f t="shared" si="64"/>
        <v>0.18144499178981932</v>
      </c>
      <c r="R32" s="81">
        <f t="shared" si="64"/>
        <v>0.15578635014836806</v>
      </c>
      <c r="S32" s="52">
        <f t="shared" si="64"/>
        <v>0.2662141779788838</v>
      </c>
      <c r="T32" s="52">
        <f t="shared" si="64"/>
        <v>0.28977272727272729</v>
      </c>
      <c r="U32" s="52">
        <f t="shared" si="64"/>
        <v>0.19527449617790138</v>
      </c>
      <c r="V32" s="81">
        <f t="shared" si="64"/>
        <v>0.24005134788189997</v>
      </c>
      <c r="W32" s="52">
        <f t="shared" si="64"/>
        <v>0.52412150089338883</v>
      </c>
      <c r="X32" s="52">
        <f t="shared" si="64"/>
        <v>0.71101321585903077</v>
      </c>
      <c r="Y32" s="52">
        <f t="shared" si="64"/>
        <v>0.19999999999999996</v>
      </c>
    </row>
    <row r="33" spans="1:25" x14ac:dyDescent="0.15">
      <c r="A33" s="62" t="s">
        <v>68</v>
      </c>
      <c r="B33" s="45"/>
      <c r="C33" s="45"/>
      <c r="D33" s="45"/>
      <c r="E33" s="45"/>
      <c r="F33" s="46">
        <f t="shared" si="63"/>
        <v>0.28969957081545061</v>
      </c>
      <c r="G33" s="45">
        <f t="shared" si="63"/>
        <v>0.37111111111111117</v>
      </c>
      <c r="H33" s="45">
        <f t="shared" si="63"/>
        <v>0.12542955326460481</v>
      </c>
      <c r="I33" s="45">
        <f t="shared" si="63"/>
        <v>0.4339622641509433</v>
      </c>
      <c r="J33" s="46">
        <f t="shared" si="63"/>
        <v>0.39101497504159743</v>
      </c>
      <c r="K33" s="45">
        <f t="shared" si="63"/>
        <v>0.2625607779578607</v>
      </c>
      <c r="L33" s="45">
        <f t="shared" si="63"/>
        <v>0.6717557251908397</v>
      </c>
      <c r="M33" s="45">
        <f t="shared" si="63"/>
        <v>0.36988304093567259</v>
      </c>
      <c r="N33" s="46">
        <f t="shared" si="63"/>
        <v>0.58253588516746402</v>
      </c>
      <c r="O33" s="45">
        <f t="shared" si="63"/>
        <v>0.38125802310654677</v>
      </c>
      <c r="P33" s="52">
        <f t="shared" si="63"/>
        <v>0.1497716894977168</v>
      </c>
      <c r="Q33" s="52">
        <f t="shared" si="64"/>
        <v>0.71931696905016018</v>
      </c>
      <c r="R33" s="81">
        <f t="shared" si="64"/>
        <v>3.4013605442176909E-2</v>
      </c>
      <c r="S33" s="52">
        <f t="shared" si="64"/>
        <v>0.32249070631970267</v>
      </c>
      <c r="T33" s="52">
        <f t="shared" si="64"/>
        <v>0.21922160444797467</v>
      </c>
      <c r="U33" s="52">
        <f t="shared" si="64"/>
        <v>4.4692737430167551E-2</v>
      </c>
      <c r="V33" s="81">
        <f t="shared" si="64"/>
        <v>1.3157894736842035E-2</v>
      </c>
      <c r="W33" s="52">
        <f t="shared" si="64"/>
        <v>0.53689388615600842</v>
      </c>
      <c r="X33" s="52">
        <f t="shared" si="64"/>
        <v>0.18436482084690553</v>
      </c>
      <c r="Y33" s="52">
        <f t="shared" si="64"/>
        <v>5.0000000000000044E-2</v>
      </c>
    </row>
    <row r="34" spans="1:25" x14ac:dyDescent="0.15">
      <c r="A34" s="62" t="s">
        <v>121</v>
      </c>
      <c r="B34" s="45"/>
      <c r="C34" s="45"/>
      <c r="D34" s="45"/>
      <c r="E34" s="45"/>
      <c r="F34" s="81">
        <f>F17/B17-1</f>
        <v>0.29259259259259252</v>
      </c>
      <c r="G34" s="52">
        <f>G17/C17-1</f>
        <v>0.33676470588235285</v>
      </c>
      <c r="H34" s="52">
        <f>H17/D17-1</f>
        <v>0.12478235635519441</v>
      </c>
      <c r="I34" s="52">
        <f>I17/E17-1</f>
        <v>0.33559322033898309</v>
      </c>
      <c r="J34" s="81">
        <f>J17/F17-1</f>
        <v>0.28595988538681949</v>
      </c>
      <c r="K34" s="52">
        <f>K17/G17-1</f>
        <v>0.36688668866886687</v>
      </c>
      <c r="L34" s="52">
        <f>L17/H17-1</f>
        <v>0.74148606811145501</v>
      </c>
      <c r="M34" s="52">
        <f>M17/I17-1</f>
        <v>0.63502538071065984</v>
      </c>
      <c r="N34" s="81">
        <f>N17/J17-1</f>
        <v>0.96524064171123003</v>
      </c>
      <c r="O34" s="52">
        <f>O17/K17-1</f>
        <v>0.45674044265593561</v>
      </c>
      <c r="P34" s="52">
        <f>P17/L17-1</f>
        <v>0.27822222222222215</v>
      </c>
      <c r="Q34" s="52">
        <f>Q17/M17-1</f>
        <v>0.34740763737969571</v>
      </c>
      <c r="R34" s="81">
        <f>R17/N17-1</f>
        <v>9.52380952380949E-3</v>
      </c>
      <c r="S34" s="52">
        <f>S17/O17-1</f>
        <v>0.27955801104972378</v>
      </c>
      <c r="T34" s="52">
        <f>T17/P17-1</f>
        <v>0.2508113120074178</v>
      </c>
      <c r="U34" s="52">
        <f>U17/Q17-1</f>
        <v>0.12857142857142856</v>
      </c>
      <c r="V34" s="81">
        <f>V17/R17-1</f>
        <v>9.7708894878706154E-2</v>
      </c>
      <c r="W34" s="52">
        <f>W17/S17-1</f>
        <v>0.63644214162348867</v>
      </c>
      <c r="X34" s="52">
        <f>X17/T17-1</f>
        <v>0.44329132690882145</v>
      </c>
      <c r="Y34" s="52">
        <f>Y17/U17-1</f>
        <v>0.13319722335647199</v>
      </c>
    </row>
    <row r="35" spans="1:25" x14ac:dyDescent="0.15">
      <c r="B35" s="29"/>
      <c r="C35" s="29"/>
      <c r="D35" s="29"/>
      <c r="E35" s="29"/>
      <c r="K35" s="29"/>
      <c r="L35" s="29"/>
      <c r="M35" s="29"/>
      <c r="O35" s="29"/>
      <c r="P35" s="50"/>
      <c r="Q35" s="3"/>
    </row>
    <row r="36" spans="1:25" s="73" customFormat="1" x14ac:dyDescent="0.15">
      <c r="A36" s="74" t="s">
        <v>33</v>
      </c>
      <c r="B36" s="30">
        <f>B37-B38</f>
        <v>18359</v>
      </c>
      <c r="C36" s="30">
        <f>C37-C38</f>
        <v>16443</v>
      </c>
      <c r="D36" s="30">
        <f>D37-D38</f>
        <v>17858</v>
      </c>
      <c r="E36" s="30">
        <f>E37-E38</f>
        <v>16986</v>
      </c>
      <c r="F36" s="31">
        <f>F37-F38</f>
        <v>9887</v>
      </c>
      <c r="G36" s="32">
        <f t="shared" ref="G36:K36" si="65">G37-G38</f>
        <v>11391</v>
      </c>
      <c r="H36" s="32">
        <f t="shared" si="65"/>
        <v>14004</v>
      </c>
      <c r="I36" s="32">
        <f t="shared" si="65"/>
        <v>15246</v>
      </c>
      <c r="J36" s="31">
        <f t="shared" si="65"/>
        <v>15397</v>
      </c>
      <c r="K36" s="30">
        <f t="shared" si="65"/>
        <v>17688</v>
      </c>
      <c r="L36" s="30">
        <f t="shared" ref="L36" si="66">L37-L38</f>
        <v>19928</v>
      </c>
      <c r="M36" s="30">
        <f t="shared" ref="M36" si="67">M37-M38</f>
        <v>19856</v>
      </c>
      <c r="N36" s="31">
        <f t="shared" ref="N36:O36" si="68">N37-N38</f>
        <v>24534</v>
      </c>
      <c r="O36" s="30">
        <f t="shared" si="68"/>
        <v>25595</v>
      </c>
      <c r="P36" s="30">
        <f>P37-P38</f>
        <v>29313</v>
      </c>
      <c r="Q36" s="30">
        <f>Q37-Q38</f>
        <v>46253</v>
      </c>
      <c r="R36" s="82"/>
      <c r="U36" s="30">
        <f>U37-U38</f>
        <v>82550</v>
      </c>
      <c r="V36" s="82"/>
      <c r="X36" s="30">
        <f>X37-X38</f>
        <v>132878</v>
      </c>
    </row>
    <row r="37" spans="1:25" s="6" customFormat="1" x14ac:dyDescent="0.15">
      <c r="A37" s="69" t="s">
        <v>34</v>
      </c>
      <c r="B37" s="28">
        <f>16785+1807+405</f>
        <v>18997</v>
      </c>
      <c r="C37" s="28">
        <f>15222+1407+358</f>
        <v>16987</v>
      </c>
      <c r="D37" s="28">
        <f>17028+1238+318</f>
        <v>18584</v>
      </c>
      <c r="E37" s="28">
        <f>16566+729+648</f>
        <v>17943</v>
      </c>
      <c r="F37" s="26">
        <f>12375+1079+402</f>
        <v>13856</v>
      </c>
      <c r="G37" s="27">
        <f>15548+581+518</f>
        <v>16647</v>
      </c>
      <c r="H37" s="27">
        <f>19298+648+476</f>
        <v>20422</v>
      </c>
      <c r="I37" s="27">
        <f>20882+437+589</f>
        <v>21908</v>
      </c>
      <c r="J37" s="26">
        <f>21410+444+658</f>
        <v>22512</v>
      </c>
      <c r="K37" s="28">
        <f>22357+1670+775</f>
        <v>24802</v>
      </c>
      <c r="L37" s="28">
        <f>32614+1258+577+5357</f>
        <v>39806</v>
      </c>
      <c r="M37" s="28">
        <f>31775+970+768+6089</f>
        <v>39602</v>
      </c>
      <c r="N37" s="26">
        <f>25373+1419+1189+17422</f>
        <v>45403</v>
      </c>
      <c r="O37" s="28">
        <f>23933+1092+1407+19287</f>
        <v>45719</v>
      </c>
      <c r="P37" s="49">
        <f>27519+453+1203+19926</f>
        <v>49101</v>
      </c>
      <c r="Q37" s="6">
        <f>28308+486+1479+23407+12584</f>
        <v>66264</v>
      </c>
      <c r="R37" s="76"/>
      <c r="U37" s="6">
        <f>46676+4022+22784+26782</f>
        <v>100264</v>
      </c>
      <c r="V37" s="76"/>
      <c r="X37" s="6">
        <f>47837+22096+36821+28430</f>
        <v>135184</v>
      </c>
    </row>
    <row r="38" spans="1:25" s="6" customFormat="1" x14ac:dyDescent="0.15">
      <c r="A38" s="69" t="s">
        <v>35</v>
      </c>
      <c r="B38" s="28">
        <f>365+273</f>
        <v>638</v>
      </c>
      <c r="C38" s="28">
        <f>227+317</f>
        <v>544</v>
      </c>
      <c r="D38" s="28">
        <f>455+271</f>
        <v>726</v>
      </c>
      <c r="E38" s="28">
        <f>667+290</f>
        <v>957</v>
      </c>
      <c r="F38" s="26">
        <f>705+3264</f>
        <v>3969</v>
      </c>
      <c r="G38" s="27">
        <f>828+4428</f>
        <v>5256</v>
      </c>
      <c r="H38" s="27">
        <f>670+1300+4448</f>
        <v>6418</v>
      </c>
      <c r="I38" s="27">
        <f>864+1300+4498</f>
        <v>6662</v>
      </c>
      <c r="J38" s="26">
        <f>1130+1297+4688</f>
        <v>7115</v>
      </c>
      <c r="K38" s="28">
        <f>1157+1302+4655</f>
        <v>7114</v>
      </c>
      <c r="L38" s="28">
        <f>991+5285+13602</f>
        <v>19878</v>
      </c>
      <c r="M38" s="28">
        <f>691+5445+13610</f>
        <v>19746</v>
      </c>
      <c r="N38" s="26">
        <f>2069+5167+13633</f>
        <v>20869</v>
      </c>
      <c r="O38" s="28">
        <f>1313+5166+13645</f>
        <v>20124</v>
      </c>
      <c r="P38" s="49">
        <f>1071+2247+5103+11367</f>
        <v>19788</v>
      </c>
      <c r="Q38" s="6">
        <f>1096+2251+5279+11385</f>
        <v>20011</v>
      </c>
      <c r="R38" s="76"/>
      <c r="U38" s="6">
        <f>728+5601+11385</f>
        <v>17714</v>
      </c>
      <c r="V38" s="76"/>
      <c r="X38" s="6">
        <f>808+1498</f>
        <v>2306</v>
      </c>
    </row>
    <row r="39" spans="1:25" s="6" customFormat="1" x14ac:dyDescent="0.15">
      <c r="A39" s="69"/>
      <c r="B39" s="28"/>
      <c r="C39" s="28"/>
      <c r="D39" s="28"/>
      <c r="E39" s="28"/>
      <c r="F39" s="26"/>
      <c r="G39" s="27"/>
      <c r="H39" s="27"/>
      <c r="I39" s="27"/>
      <c r="J39" s="26"/>
      <c r="K39" s="28"/>
      <c r="L39" s="28"/>
      <c r="M39" s="28"/>
      <c r="N39" s="26"/>
      <c r="O39" s="28"/>
      <c r="P39" s="49"/>
      <c r="R39" s="76"/>
      <c r="V39" s="76"/>
    </row>
    <row r="40" spans="1:25" s="6" customFormat="1" x14ac:dyDescent="0.15">
      <c r="A40" s="69" t="s">
        <v>77</v>
      </c>
      <c r="B40" s="28"/>
      <c r="C40" s="28"/>
      <c r="D40" s="28"/>
      <c r="E40" s="28"/>
      <c r="F40" s="26"/>
      <c r="G40" s="27"/>
      <c r="H40" s="27"/>
      <c r="I40" s="27"/>
      <c r="J40" s="26"/>
      <c r="K40" s="28"/>
      <c r="L40" s="28">
        <f>4168+25004</f>
        <v>29172</v>
      </c>
      <c r="M40" s="28">
        <f>4378+25850</f>
        <v>30228</v>
      </c>
      <c r="N40" s="26">
        <f>7838+31339</f>
        <v>39177</v>
      </c>
      <c r="O40" s="28">
        <f>7380+29664</f>
        <v>37044</v>
      </c>
      <c r="P40" s="49">
        <f>9889+35526</f>
        <v>45415</v>
      </c>
      <c r="Q40" s="6">
        <f>10173+39477</f>
        <v>49650</v>
      </c>
      <c r="R40" s="76"/>
      <c r="U40" s="6">
        <f>8607+39089</f>
        <v>47696</v>
      </c>
      <c r="V40" s="76"/>
      <c r="X40" s="6">
        <f>11332+44964</f>
        <v>56296</v>
      </c>
    </row>
    <row r="41" spans="1:25" s="6" customFormat="1" x14ac:dyDescent="0.15">
      <c r="A41" s="69" t="s">
        <v>78</v>
      </c>
      <c r="B41" s="28"/>
      <c r="C41" s="28"/>
      <c r="D41" s="28"/>
      <c r="E41" s="28"/>
      <c r="F41" s="26"/>
      <c r="G41" s="27"/>
      <c r="H41" s="27"/>
      <c r="I41" s="27"/>
      <c r="J41" s="26"/>
      <c r="K41" s="28"/>
      <c r="L41" s="28">
        <v>109345</v>
      </c>
      <c r="M41" s="28">
        <v>114326</v>
      </c>
      <c r="N41" s="26">
        <v>120394</v>
      </c>
      <c r="O41" s="28">
        <v>120088</v>
      </c>
      <c r="P41" s="49">
        <v>133509</v>
      </c>
      <c r="Q41" s="6">
        <v>143801</v>
      </c>
      <c r="R41" s="76"/>
      <c r="U41" s="6">
        <v>185429</v>
      </c>
      <c r="V41" s="76"/>
      <c r="X41" s="6">
        <v>250615</v>
      </c>
    </row>
    <row r="42" spans="1:25" s="6" customFormat="1" x14ac:dyDescent="0.15">
      <c r="A42" s="69" t="s">
        <v>79</v>
      </c>
      <c r="B42" s="28"/>
      <c r="C42" s="28"/>
      <c r="D42" s="28"/>
      <c r="E42" s="28"/>
      <c r="F42" s="26"/>
      <c r="G42" s="27"/>
      <c r="H42" s="27"/>
      <c r="I42" s="27"/>
      <c r="J42" s="26"/>
      <c r="K42" s="28"/>
      <c r="L42" s="28">
        <f>43263+458</f>
        <v>43721</v>
      </c>
      <c r="M42" s="28">
        <f>44270+478</f>
        <v>44748</v>
      </c>
      <c r="N42" s="26">
        <f>48497+477</f>
        <v>48974</v>
      </c>
      <c r="O42" s="28">
        <f>47090+874</f>
        <v>47964</v>
      </c>
      <c r="P42" s="49">
        <f>50884+1042</f>
        <v>51926</v>
      </c>
      <c r="Q42" s="6">
        <f>52104+1016</f>
        <v>53120</v>
      </c>
      <c r="R42" s="76"/>
      <c r="U42" s="6">
        <f>61198+1286</f>
        <v>62484</v>
      </c>
      <c r="V42" s="76"/>
      <c r="X42" s="6">
        <f>84737+1294</f>
        <v>86031</v>
      </c>
    </row>
    <row r="43" spans="1:25" s="6" customFormat="1" x14ac:dyDescent="0.15">
      <c r="A43" s="69"/>
      <c r="B43" s="28"/>
      <c r="C43" s="28"/>
      <c r="D43" s="28"/>
      <c r="E43" s="28"/>
      <c r="F43" s="26"/>
      <c r="G43" s="27"/>
      <c r="H43" s="27"/>
      <c r="I43" s="27"/>
      <c r="J43" s="26"/>
      <c r="K43" s="28"/>
      <c r="L43" s="28"/>
      <c r="M43" s="28"/>
      <c r="N43" s="26"/>
      <c r="O43" s="28"/>
      <c r="P43" s="49"/>
      <c r="R43" s="76"/>
      <c r="V43" s="76"/>
    </row>
    <row r="44" spans="1:25" s="6" customFormat="1" x14ac:dyDescent="0.15">
      <c r="A44" s="69" t="s">
        <v>80</v>
      </c>
      <c r="B44" s="28"/>
      <c r="C44" s="28"/>
      <c r="D44" s="28"/>
      <c r="E44" s="28"/>
      <c r="F44" s="26"/>
      <c r="G44" s="27"/>
      <c r="H44" s="27"/>
      <c r="I44" s="27"/>
      <c r="J44" s="26"/>
      <c r="K44" s="28"/>
      <c r="L44" s="34">
        <f t="shared" ref="L44:O44" si="69">L41-L40-L37</f>
        <v>40367</v>
      </c>
      <c r="M44" s="34">
        <f t="shared" si="69"/>
        <v>44496</v>
      </c>
      <c r="N44" s="35">
        <f t="shared" si="69"/>
        <v>35814</v>
      </c>
      <c r="O44" s="34">
        <f t="shared" si="69"/>
        <v>37325</v>
      </c>
      <c r="P44" s="34">
        <f t="shared" ref="P44:Q44" si="70">P41-P40-P37</f>
        <v>38993</v>
      </c>
      <c r="Q44" s="34">
        <f t="shared" si="70"/>
        <v>27887</v>
      </c>
      <c r="R44" s="76"/>
      <c r="U44" s="34">
        <f t="shared" ref="U44" si="71">U41-U40-U37</f>
        <v>37469</v>
      </c>
      <c r="V44" s="76"/>
      <c r="X44" s="34">
        <f t="shared" ref="X44" si="72">X41-X40-X37</f>
        <v>59135</v>
      </c>
    </row>
    <row r="45" spans="1:25" s="6" customFormat="1" x14ac:dyDescent="0.15">
      <c r="A45" s="69" t="s">
        <v>81</v>
      </c>
      <c r="B45" s="28"/>
      <c r="C45" s="28"/>
      <c r="D45" s="28"/>
      <c r="E45" s="28"/>
      <c r="F45" s="26"/>
      <c r="G45" s="27"/>
      <c r="H45" s="27"/>
      <c r="I45" s="27"/>
      <c r="J45" s="26"/>
      <c r="K45" s="28"/>
      <c r="L45" s="34">
        <f t="shared" ref="L45:O45" si="73">L41-L42</f>
        <v>65624</v>
      </c>
      <c r="M45" s="34">
        <f t="shared" si="73"/>
        <v>69578</v>
      </c>
      <c r="N45" s="35">
        <f t="shared" si="73"/>
        <v>71420</v>
      </c>
      <c r="O45" s="34">
        <f t="shared" si="73"/>
        <v>72124</v>
      </c>
      <c r="P45" s="34">
        <f t="shared" ref="P45:Q45" si="74">P41-P42</f>
        <v>81583</v>
      </c>
      <c r="Q45" s="34">
        <f t="shared" si="74"/>
        <v>90681</v>
      </c>
      <c r="R45" s="76"/>
      <c r="U45" s="34">
        <f t="shared" ref="U45" si="75">U41-U42</f>
        <v>122945</v>
      </c>
      <c r="V45" s="76"/>
      <c r="X45" s="34">
        <f t="shared" ref="X45" si="76">X41-X42</f>
        <v>164584</v>
      </c>
    </row>
    <row r="46" spans="1:25" s="6" customFormat="1" x14ac:dyDescent="0.15">
      <c r="A46" s="69"/>
      <c r="B46" s="28"/>
      <c r="C46" s="28"/>
      <c r="D46" s="28"/>
      <c r="E46" s="28"/>
      <c r="F46" s="26"/>
      <c r="G46" s="27"/>
      <c r="H46" s="27"/>
      <c r="I46" s="27"/>
      <c r="J46" s="26"/>
      <c r="K46" s="28"/>
      <c r="L46" s="28"/>
      <c r="M46" s="28"/>
      <c r="N46" s="26"/>
      <c r="O46" s="28"/>
      <c r="P46" s="49"/>
      <c r="R46" s="76"/>
      <c r="V46" s="76"/>
      <c r="X46" s="49"/>
    </row>
    <row r="47" spans="1:25" s="73" customFormat="1" x14ac:dyDescent="0.15">
      <c r="A47" s="74" t="s">
        <v>115</v>
      </c>
      <c r="B47" s="33"/>
      <c r="C47" s="33"/>
      <c r="D47" s="33"/>
      <c r="E47" s="30">
        <f t="shared" ref="E47:P47" si="77">SUM(B22:E22)</f>
        <v>11289</v>
      </c>
      <c r="F47" s="31">
        <f t="shared" si="77"/>
        <v>7394</v>
      </c>
      <c r="G47" s="30">
        <f t="shared" si="77"/>
        <v>4883</v>
      </c>
      <c r="H47" s="30">
        <f t="shared" si="77"/>
        <v>5431.0000000000018</v>
      </c>
      <c r="I47" s="30">
        <f t="shared" si="77"/>
        <v>6038.0000000000009</v>
      </c>
      <c r="J47" s="31">
        <f t="shared" si="77"/>
        <v>7033.0000000000009</v>
      </c>
      <c r="K47" s="30">
        <f t="shared" si="77"/>
        <v>8588</v>
      </c>
      <c r="L47" s="30">
        <f t="shared" si="77"/>
        <v>9703</v>
      </c>
      <c r="M47" s="30">
        <f t="shared" si="77"/>
        <v>9331</v>
      </c>
      <c r="N47" s="31">
        <f t="shared" si="77"/>
        <v>8417</v>
      </c>
      <c r="O47" s="30">
        <f t="shared" si="77"/>
        <v>8457</v>
      </c>
      <c r="P47" s="30">
        <f t="shared" si="77"/>
        <v>9375</v>
      </c>
      <c r="Q47" s="30">
        <f t="shared" ref="Q47:X47" si="78">SUM(N22:Q22)</f>
        <v>11800</v>
      </c>
      <c r="R47" s="31">
        <f t="shared" si="78"/>
        <v>13429</v>
      </c>
      <c r="S47" s="30">
        <f t="shared" si="78"/>
        <v>20671</v>
      </c>
      <c r="T47" s="30">
        <f t="shared" si="78"/>
        <v>23368</v>
      </c>
      <c r="U47" s="30">
        <f t="shared" si="78"/>
        <v>19933</v>
      </c>
      <c r="V47" s="31">
        <f t="shared" si="78"/>
        <v>23721</v>
      </c>
      <c r="W47" s="30">
        <f t="shared" si="78"/>
        <v>17730</v>
      </c>
      <c r="X47" s="30">
        <f t="shared" si="78"/>
        <v>22479</v>
      </c>
    </row>
    <row r="48" spans="1:25" x14ac:dyDescent="0.15">
      <c r="A48" s="62" t="s">
        <v>82</v>
      </c>
      <c r="B48" s="28"/>
      <c r="C48" s="28"/>
      <c r="D48" s="28"/>
      <c r="E48" s="28"/>
      <c r="F48" s="26"/>
      <c r="G48" s="27"/>
      <c r="H48" s="27"/>
      <c r="I48" s="27"/>
      <c r="J48" s="26"/>
      <c r="K48" s="28"/>
      <c r="L48" s="39">
        <f t="shared" ref="L48:N48" si="79">L47/L45</f>
        <v>0.14785749116177008</v>
      </c>
      <c r="M48" s="39">
        <f t="shared" si="79"/>
        <v>0.13410848256632843</v>
      </c>
      <c r="N48" s="40">
        <f t="shared" si="79"/>
        <v>0.11785214225707084</v>
      </c>
      <c r="O48" s="39">
        <f>O47/O45</f>
        <v>0.11725639176972991</v>
      </c>
      <c r="P48" s="53">
        <f>P47/P45</f>
        <v>0.11491364622531655</v>
      </c>
      <c r="Q48" s="53">
        <f>Q47/Q45</f>
        <v>0.13012648735677815</v>
      </c>
      <c r="U48" s="53">
        <f>U47/U45</f>
        <v>0.1621294074586197</v>
      </c>
      <c r="X48" s="53">
        <f>X47/X45</f>
        <v>0.13658071258445537</v>
      </c>
    </row>
    <row r="49" spans="1:25" x14ac:dyDescent="0.15">
      <c r="A49" s="62" t="s">
        <v>83</v>
      </c>
      <c r="B49" s="28"/>
      <c r="C49" s="28"/>
      <c r="D49" s="28"/>
      <c r="E49" s="28"/>
      <c r="F49" s="26"/>
      <c r="G49" s="27"/>
      <c r="H49" s="27"/>
      <c r="I49" s="27"/>
      <c r="J49" s="26"/>
      <c r="K49" s="28"/>
      <c r="L49" s="39">
        <f t="shared" ref="L49:N49" si="80">L47/L41</f>
        <v>8.873748228085418E-2</v>
      </c>
      <c r="M49" s="39">
        <f t="shared" si="80"/>
        <v>8.1617479838356974E-2</v>
      </c>
      <c r="N49" s="40">
        <f t="shared" si="80"/>
        <v>6.9912121866538196E-2</v>
      </c>
      <c r="O49" s="39">
        <f>O47/O41</f>
        <v>7.0423356205449331E-2</v>
      </c>
      <c r="P49" s="53">
        <f>P47/P41</f>
        <v>7.0219985169539131E-2</v>
      </c>
      <c r="Q49" s="53">
        <f>Q47/Q41</f>
        <v>8.2057843825842663E-2</v>
      </c>
      <c r="U49" s="53">
        <f>U47/U41</f>
        <v>0.10749666988443016</v>
      </c>
      <c r="X49" s="53">
        <f>X47/X41</f>
        <v>8.9695349440376673E-2</v>
      </c>
    </row>
    <row r="50" spans="1:25" x14ac:dyDescent="0.15">
      <c r="A50" s="62" t="s">
        <v>84</v>
      </c>
      <c r="B50" s="28"/>
      <c r="C50" s="28"/>
      <c r="D50" s="28"/>
      <c r="E50" s="28"/>
      <c r="F50" s="26"/>
      <c r="G50" s="27"/>
      <c r="H50" s="27"/>
      <c r="I50" s="27"/>
      <c r="J50" s="26"/>
      <c r="K50" s="28"/>
      <c r="L50" s="39">
        <f t="shared" ref="L50:N50" si="81">L47/(L45-L40)</f>
        <v>0.26618566882475586</v>
      </c>
      <c r="M50" s="39">
        <f t="shared" si="81"/>
        <v>0.23712833545108006</v>
      </c>
      <c r="N50" s="40">
        <f t="shared" si="81"/>
        <v>0.26104890984089568</v>
      </c>
      <c r="O50" s="39">
        <f>O47/(O45-O40)</f>
        <v>0.2410775370581528</v>
      </c>
      <c r="P50" s="53">
        <f>P47/(P45-P40)</f>
        <v>0.25920703384207033</v>
      </c>
      <c r="Q50" s="53">
        <f>Q47/(Q45-Q40)</f>
        <v>0.28758743389144792</v>
      </c>
      <c r="U50" s="53">
        <f>U47/(U45-U40)</f>
        <v>0.26489388563303168</v>
      </c>
      <c r="X50" s="53">
        <f>X47/(X45-X40)</f>
        <v>0.20758532801418439</v>
      </c>
    </row>
    <row r="51" spans="1:25" x14ac:dyDescent="0.15">
      <c r="A51" s="62" t="s">
        <v>85</v>
      </c>
      <c r="B51" s="28"/>
      <c r="C51" s="28"/>
      <c r="D51" s="28"/>
      <c r="E51" s="28"/>
      <c r="F51" s="26"/>
      <c r="G51" s="27"/>
      <c r="H51" s="27"/>
      <c r="I51" s="27"/>
      <c r="J51" s="26"/>
      <c r="K51" s="28"/>
      <c r="L51" s="39">
        <f t="shared" ref="L51:N51" si="82">L47/L44</f>
        <v>0.24036960883890307</v>
      </c>
      <c r="M51" s="39">
        <f t="shared" si="82"/>
        <v>0.20970424307802948</v>
      </c>
      <c r="N51" s="40">
        <f t="shared" si="82"/>
        <v>0.23501982464957838</v>
      </c>
      <c r="O51" s="39">
        <f>O47/O44</f>
        <v>0.2265773610180844</v>
      </c>
      <c r="P51" s="53">
        <f>P47/P44</f>
        <v>0.24042776908675917</v>
      </c>
      <c r="Q51" s="53">
        <f>Q47/Q44</f>
        <v>0.42313622835012732</v>
      </c>
      <c r="U51" s="53">
        <f>U47/U44</f>
        <v>0.5319864421254904</v>
      </c>
      <c r="X51" s="53">
        <f>X47/X44</f>
        <v>0.38013021053521601</v>
      </c>
    </row>
    <row r="52" spans="1:25" x14ac:dyDescent="0.15">
      <c r="B52" s="28"/>
      <c r="C52" s="28"/>
      <c r="D52" s="28"/>
      <c r="E52" s="28"/>
      <c r="F52" s="26"/>
      <c r="G52" s="27"/>
      <c r="H52" s="27"/>
      <c r="I52" s="27"/>
      <c r="J52" s="26"/>
      <c r="K52" s="28"/>
      <c r="L52" s="39"/>
      <c r="M52" s="39"/>
      <c r="N52" s="40"/>
      <c r="O52" s="39"/>
      <c r="P52" s="53"/>
      <c r="Q52" s="53"/>
      <c r="U52" s="53"/>
      <c r="X52" s="53"/>
    </row>
    <row r="53" spans="1:25" s="2" customFormat="1" x14ac:dyDescent="0.15">
      <c r="A53" s="68" t="s">
        <v>123</v>
      </c>
      <c r="B53" s="33"/>
      <c r="C53" s="33"/>
      <c r="D53" s="33"/>
      <c r="E53" s="91">
        <f>SUM(B11:E11)</f>
        <v>15837</v>
      </c>
      <c r="F53" s="92">
        <f>SUM(C11:F11)</f>
        <v>17410</v>
      </c>
      <c r="G53" s="91">
        <f>SUM(D11:G11)</f>
        <v>19064</v>
      </c>
      <c r="H53" s="91">
        <f>SUM(E11:H11)</f>
        <v>21400</v>
      </c>
      <c r="I53" s="91">
        <f>SUM(F11:I11)</f>
        <v>23254</v>
      </c>
      <c r="J53" s="92">
        <f>SUM(G11:J11)</f>
        <v>25819</v>
      </c>
      <c r="K53" s="91">
        <f>SUM(H11:K11)</f>
        <v>28962</v>
      </c>
      <c r="L53" s="91">
        <f>SUM(I11:L11)</f>
        <v>34054</v>
      </c>
      <c r="M53" s="91">
        <f>SUM(J11:M11)</f>
        <v>38322</v>
      </c>
      <c r="N53" s="92">
        <f>SUM(K11:N11)</f>
        <v>43148</v>
      </c>
      <c r="O53" s="91">
        <f>SUM(L11:O11)</f>
        <v>47261</v>
      </c>
      <c r="P53" s="91">
        <f>SUM(M11:P11)</f>
        <v>51557</v>
      </c>
      <c r="Q53" s="91">
        <f>SUM(N11:Q11)</f>
        <v>55616</v>
      </c>
      <c r="R53" s="92">
        <f>SUM(O11:R11)</f>
        <v>60128</v>
      </c>
      <c r="S53" s="91">
        <f>SUM(P11:S11)</f>
        <v>64381</v>
      </c>
      <c r="T53" s="91">
        <f>SUM(Q11:T11)</f>
        <v>70516</v>
      </c>
      <c r="U53" s="91">
        <f>SUM(R11:U11)</f>
        <v>72728</v>
      </c>
      <c r="V53" s="92">
        <f>SUM(S11:V11)</f>
        <v>77749</v>
      </c>
      <c r="W53" s="91">
        <f>SUM(T11:W11)</f>
        <v>83936</v>
      </c>
      <c r="X53" s="91">
        <f>SUM(U11:X11)</f>
        <v>94627</v>
      </c>
      <c r="Y53" s="91">
        <f>SUM(V11:Y11)</f>
        <v>101568.92</v>
      </c>
    </row>
    <row r="54" spans="1:25" s="95" customFormat="1" x14ac:dyDescent="0.15">
      <c r="A54" s="93" t="s">
        <v>124</v>
      </c>
      <c r="B54" s="90"/>
      <c r="C54" s="90"/>
      <c r="D54" s="90"/>
      <c r="E54" s="90"/>
      <c r="F54" s="94"/>
      <c r="I54" s="95">
        <f>I53/E53-1</f>
        <v>0.46833364904969366</v>
      </c>
      <c r="J54" s="94">
        <f>J53/F53-1</f>
        <v>0.48299827685238372</v>
      </c>
      <c r="K54" s="95">
        <f>K53/G53-1</f>
        <v>0.51919848929920276</v>
      </c>
      <c r="L54" s="95">
        <f>L53/H53-1</f>
        <v>0.59130841121495337</v>
      </c>
      <c r="M54" s="95">
        <f>M53/I53-1</f>
        <v>0.64797454201427707</v>
      </c>
      <c r="N54" s="94">
        <f>N53/J53-1</f>
        <v>0.67117239242418369</v>
      </c>
      <c r="O54" s="95">
        <f>O53/K53-1</f>
        <v>0.63182791243698633</v>
      </c>
      <c r="P54" s="95">
        <f>P53/L53-1</f>
        <v>0.51397779996476189</v>
      </c>
      <c r="Q54" s="95">
        <f>Q53/M53-1</f>
        <v>0.45128124836908312</v>
      </c>
      <c r="R54" s="94">
        <f>R53/N53-1</f>
        <v>0.3935292481690924</v>
      </c>
      <c r="S54" s="95">
        <f>S53/O53-1</f>
        <v>0.36224371045894088</v>
      </c>
      <c r="T54" s="95">
        <f>T53/P53-1</f>
        <v>0.36772892138797841</v>
      </c>
      <c r="U54" s="95">
        <f>U53/Q53-1</f>
        <v>0.30768124280782505</v>
      </c>
      <c r="V54" s="94">
        <f>V53/R53-1</f>
        <v>0.29305814262905794</v>
      </c>
      <c r="W54" s="95">
        <f>W53/S53-1</f>
        <v>0.30373868066665621</v>
      </c>
      <c r="X54" s="95">
        <f>X53/T53-1</f>
        <v>0.34192240058993706</v>
      </c>
      <c r="Y54" s="95">
        <f>Y53/U53-1</f>
        <v>0.39655868441315589</v>
      </c>
    </row>
    <row r="55" spans="1:25" x14ac:dyDescent="0.15">
      <c r="F55" s="26"/>
      <c r="P55" s="56"/>
      <c r="Q55" s="3"/>
      <c r="X55" s="56"/>
    </row>
    <row r="56" spans="1:25" x14ac:dyDescent="0.15">
      <c r="A56" s="62" t="s">
        <v>75</v>
      </c>
      <c r="B56" s="41"/>
      <c r="C56" s="41"/>
      <c r="D56" s="41"/>
      <c r="E56" s="41"/>
      <c r="F56" s="40">
        <f>F8/B8-1</f>
        <v>0.18256130790190728</v>
      </c>
      <c r="G56" s="41">
        <f>G8/C8-1</f>
        <v>0.13730569948186533</v>
      </c>
      <c r="H56" s="41">
        <f>H8/D8-1</f>
        <v>8.8452088452088518E-2</v>
      </c>
      <c r="I56" s="41">
        <f>I8/E8-1</f>
        <v>7.328605200945626E-2</v>
      </c>
      <c r="J56" s="40">
        <f>J8/F8-1</f>
        <v>7.3732718894009119E-2</v>
      </c>
      <c r="K56" s="41">
        <f>K8/G8-1</f>
        <v>0.11161731207289294</v>
      </c>
      <c r="L56" s="41">
        <f>L8/H8-1</f>
        <v>0.10158013544018063</v>
      </c>
      <c r="M56" s="41">
        <f>M8/I8-1</f>
        <v>0.21585903083700431</v>
      </c>
      <c r="N56" s="40">
        <f>N8/J8-1</f>
        <v>0.23605150214592285</v>
      </c>
      <c r="O56" s="41">
        <f>O8/K8-1</f>
        <v>0.23155737704918034</v>
      </c>
      <c r="P56" s="57">
        <f>P8/L8-1</f>
        <v>0.30327868852459017</v>
      </c>
      <c r="Q56" s="57">
        <f>Q8/M8-1</f>
        <v>0.18478260869565211</v>
      </c>
      <c r="R56" s="77">
        <f>R8/N8-1</f>
        <v>0.17013888888888884</v>
      </c>
      <c r="S56" s="57">
        <f>S8/O8-1</f>
        <v>0.15307820299500841</v>
      </c>
      <c r="T56" s="57">
        <f>T8/P8-1</f>
        <v>0.11792452830188682</v>
      </c>
      <c r="U56" s="57">
        <f>U8/Q8-1</f>
        <v>0.11009174311926606</v>
      </c>
      <c r="V56" s="77">
        <f>V8/R8-1</f>
        <v>0.10089020771513346</v>
      </c>
      <c r="W56" s="57">
        <f>W8/S8-1</f>
        <v>9.2352092352092408E-2</v>
      </c>
      <c r="X56" s="57">
        <f>X8/T8-1</f>
        <v>9.5639943741209654E-2</v>
      </c>
      <c r="Y56" s="57">
        <f>Y8/U8-1</f>
        <v>0.10000000000000009</v>
      </c>
    </row>
    <row r="57" spans="1:25" x14ac:dyDescent="0.15">
      <c r="A57" s="62" t="s">
        <v>87</v>
      </c>
      <c r="F57" s="40">
        <f>F9/B9-1</f>
        <v>0.25302291444661629</v>
      </c>
      <c r="G57" s="39">
        <f>G9/C9-1</f>
        <v>0.2962189922885623</v>
      </c>
      <c r="H57" s="39">
        <f>H9/D9-1</f>
        <v>0.32116736415664815</v>
      </c>
      <c r="I57" s="39">
        <f>I9/E9-1</f>
        <v>0.39223666640437727</v>
      </c>
      <c r="J57" s="40">
        <f>J9/F9-1</f>
        <v>0.42510117506790834</v>
      </c>
      <c r="K57" s="39">
        <f>K9/G9-1</f>
        <v>0.44945634153961911</v>
      </c>
      <c r="L57" s="39">
        <f>L9/H9-1</f>
        <v>0.51053180892201722</v>
      </c>
      <c r="M57" s="39">
        <f>M9/I9-1</f>
        <v>0.44873947950199744</v>
      </c>
      <c r="N57" s="40">
        <f>N9/J9-1</f>
        <v>0.33643127035586184</v>
      </c>
      <c r="O57" s="39">
        <f>O9/K9-1</f>
        <v>0.21507887176572549</v>
      </c>
      <c r="P57" s="39">
        <f>P9/L9-1</f>
        <v>2.5606222575762727E-2</v>
      </c>
      <c r="Q57" s="39">
        <f>Q9/M9-1</f>
        <v>0.19103811061025477</v>
      </c>
      <c r="R57" s="40">
        <f>R9/N9-1</f>
        <v>0.16991157614591779</v>
      </c>
      <c r="S57" s="39">
        <f>S9/O9-1</f>
        <v>0.16474250955618919</v>
      </c>
      <c r="T57" s="39">
        <f>T9/P9-1</f>
        <v>0.21625060080262037</v>
      </c>
      <c r="U57" s="39">
        <f>U9/Q9-1</f>
        <v>4.3851718975045362E-2</v>
      </c>
      <c r="V57" s="40">
        <f>V9/R9-1</f>
        <v>0.18079199653641798</v>
      </c>
      <c r="W57" s="39">
        <f>W9/S9-1</f>
        <v>0.25561097444808167</v>
      </c>
      <c r="X57" s="39">
        <f>X9/T9-1</f>
        <v>0.33344711624255385</v>
      </c>
      <c r="Y57" s="39">
        <f>Y9/U9-1</f>
        <v>0.30000000000000004</v>
      </c>
    </row>
    <row r="58" spans="1:25" x14ac:dyDescent="0.15">
      <c r="F58" s="40"/>
      <c r="G58" s="39"/>
      <c r="H58" s="39"/>
      <c r="I58" s="39"/>
      <c r="J58" s="40"/>
      <c r="K58" s="39"/>
      <c r="L58" s="39"/>
      <c r="M58" s="39"/>
      <c r="N58" s="40"/>
      <c r="O58" s="39"/>
      <c r="P58" s="39"/>
      <c r="Q58" s="39"/>
      <c r="R58" s="40"/>
      <c r="S58" s="39"/>
      <c r="T58" s="39"/>
      <c r="U58" s="39"/>
      <c r="V58" s="40"/>
      <c r="W58" s="39"/>
      <c r="X58" s="39"/>
    </row>
    <row r="59" spans="1:25" x14ac:dyDescent="0.15">
      <c r="A59" s="62" t="s">
        <v>70</v>
      </c>
      <c r="F59" s="40">
        <f>F3/B3-1</f>
        <v>0.37688948605979178</v>
      </c>
      <c r="G59" s="39">
        <f>G3/C3-1</f>
        <v>0.34794952681388014</v>
      </c>
      <c r="H59" s="39">
        <f t="shared" ref="H59:P59" si="83">H3/D3-1</f>
        <v>0.36064908722109523</v>
      </c>
      <c r="I59" s="39">
        <f t="shared" si="83"/>
        <v>0.38162650602409642</v>
      </c>
      <c r="J59" s="40">
        <f t="shared" si="83"/>
        <v>0.54842644547450603</v>
      </c>
      <c r="K59" s="39">
        <f t="shared" si="83"/>
        <v>0.63421483735080741</v>
      </c>
      <c r="L59" s="39">
        <f t="shared" si="83"/>
        <v>0.67814549791293977</v>
      </c>
      <c r="M59" s="39">
        <f t="shared" si="83"/>
        <v>0.78242860257248736</v>
      </c>
      <c r="N59" s="40">
        <f t="shared" si="83"/>
        <v>0.64739246888293689</v>
      </c>
      <c r="O59" s="39">
        <f t="shared" si="83"/>
        <v>0.51124158671058284</v>
      </c>
      <c r="P59" s="39">
        <f t="shared" si="83"/>
        <v>0.32877320778182462</v>
      </c>
      <c r="Q59" s="39">
        <f>Q3/M3-1</f>
        <v>0.43786692759295498</v>
      </c>
      <c r="R59" s="40">
        <f>R3/N3-1</f>
        <v>0.38676358071920425</v>
      </c>
      <c r="S59" s="39">
        <f>S3/O3-1</f>
        <v>0.34189330048327493</v>
      </c>
      <c r="T59" s="39">
        <f>T3/P3-1</f>
        <v>0.35860409145607708</v>
      </c>
      <c r="U59" s="39">
        <f>U3/Q3-1</f>
        <v>0.12759441987070441</v>
      </c>
      <c r="V59" s="40">
        <f>V3/R3-1</f>
        <v>0.30137931034482768</v>
      </c>
      <c r="W59" s="39">
        <f>W3/S3-1</f>
        <v>0.36169762022456031</v>
      </c>
      <c r="X59" s="39">
        <f>X3/T3-1</f>
        <v>0.47465800610176156</v>
      </c>
    </row>
    <row r="60" spans="1:25" x14ac:dyDescent="0.15">
      <c r="A60" s="62" t="s">
        <v>71</v>
      </c>
      <c r="F60" s="40">
        <f>F4/B4-1</f>
        <v>1.3974358974358974</v>
      </c>
      <c r="G60" s="39">
        <f>G4/C4-1</f>
        <v>1.1960784313725492</v>
      </c>
      <c r="H60" s="39">
        <f t="shared" ref="H60:P60" si="84">H4/D4-1</f>
        <v>1.0158730158730158</v>
      </c>
      <c r="I60" s="39">
        <f t="shared" si="84"/>
        <v>0.90303030303030307</v>
      </c>
      <c r="J60" s="40">
        <f t="shared" si="84"/>
        <v>0.91978609625668439</v>
      </c>
      <c r="K60" s="39">
        <f t="shared" si="84"/>
        <v>0.99553571428571419</v>
      </c>
      <c r="L60" s="39">
        <f t="shared" si="84"/>
        <v>1.1771653543307088</v>
      </c>
      <c r="M60" s="39">
        <f t="shared" si="84"/>
        <v>1.2261146496815285</v>
      </c>
      <c r="N60" s="40">
        <f t="shared" si="84"/>
        <v>0.9777158774373258</v>
      </c>
      <c r="O60" s="39">
        <f t="shared" si="84"/>
        <v>0.84563758389261734</v>
      </c>
      <c r="P60" s="39">
        <f t="shared" si="84"/>
        <v>0.73960216998191686</v>
      </c>
      <c r="Q60" s="39">
        <f>Q4/M4-1</f>
        <v>0.64663805436337629</v>
      </c>
      <c r="R60" s="40">
        <f>R4/N4-1</f>
        <v>0.59718309859154939</v>
      </c>
      <c r="S60" s="39">
        <f>S4/O4-1</f>
        <v>0.57575757575757569</v>
      </c>
      <c r="T60" s="39">
        <f>T4/P4-1</f>
        <v>0.60083160083160081</v>
      </c>
      <c r="U60" s="39">
        <f>U4/Q4-1</f>
        <v>0.49869678540399653</v>
      </c>
      <c r="V60" s="40">
        <f>V4/R4-1</f>
        <v>0.54056437389770728</v>
      </c>
      <c r="W60" s="39">
        <f>W4/S4-1</f>
        <v>0.6876923076923076</v>
      </c>
      <c r="X60" s="39">
        <f>X4/T4-1</f>
        <v>0.60389610389610393</v>
      </c>
    </row>
    <row r="61" spans="1:25" x14ac:dyDescent="0.15">
      <c r="A61" s="62" t="s">
        <v>72</v>
      </c>
      <c r="F61" s="40">
        <f>F5/B5-1</f>
        <v>1.2476190476190476</v>
      </c>
      <c r="G61" s="39">
        <f>G5/C5-1</f>
        <v>1.5046296296296298</v>
      </c>
      <c r="H61" s="39">
        <f t="shared" ref="H61:P61" si="85">H5/D5-1</f>
        <v>1.1119133574007218</v>
      </c>
      <c r="I61" s="39">
        <f t="shared" si="85"/>
        <v>1.1466165413533833</v>
      </c>
      <c r="J61" s="40">
        <f t="shared" si="85"/>
        <v>0.27542372881355925</v>
      </c>
      <c r="K61" s="39">
        <f t="shared" si="85"/>
        <v>0.33271719038817005</v>
      </c>
      <c r="L61" s="39">
        <f t="shared" si="85"/>
        <v>0.42222222222222228</v>
      </c>
      <c r="M61" s="39">
        <f t="shared" si="85"/>
        <v>0.47110332749562178</v>
      </c>
      <c r="N61" s="40">
        <f t="shared" si="85"/>
        <v>0.5</v>
      </c>
      <c r="O61" s="39">
        <f t="shared" si="85"/>
        <v>0.19972260748959769</v>
      </c>
      <c r="P61" s="39">
        <f t="shared" si="85"/>
        <v>0.13461538461538458</v>
      </c>
      <c r="Q61" s="39">
        <f>Q5/M5-1</f>
        <v>5.9523809523809312E-3</v>
      </c>
      <c r="R61" s="40">
        <f>R5/N5-1</f>
        <v>1.8826135105204811E-2</v>
      </c>
      <c r="S61" s="39">
        <f>S5/O5-1</f>
        <v>0.18034682080924846</v>
      </c>
      <c r="T61" s="39">
        <f>T5/P5-1</f>
        <v>0.125</v>
      </c>
      <c r="U61" s="39">
        <f>U5/Q5-1</f>
        <v>-5.9171597633136397E-3</v>
      </c>
      <c r="V61" s="40">
        <f>V5/R5-1</f>
        <v>7.6086956521739024E-2</v>
      </c>
      <c r="W61" s="39">
        <f>W5/S5-1</f>
        <v>0.16356513222331048</v>
      </c>
      <c r="X61" s="39">
        <f>X5/T5-1</f>
        <v>0.16572504708097924</v>
      </c>
    </row>
    <row r="62" spans="1:25" x14ac:dyDescent="0.15">
      <c r="A62" s="62" t="s">
        <v>73</v>
      </c>
      <c r="F62" s="40"/>
      <c r="G62" s="39"/>
      <c r="H62" s="39"/>
      <c r="I62" s="39"/>
      <c r="J62" s="40">
        <f t="shared" ref="J62:P62" si="86">J6/F6-1</f>
        <v>0.1875</v>
      </c>
      <c r="K62" s="39">
        <f t="shared" si="86"/>
        <v>0.28846153846153855</v>
      </c>
      <c r="L62" s="39">
        <f t="shared" si="86"/>
        <v>-2.4590163934426257E-2</v>
      </c>
      <c r="M62" s="39">
        <f t="shared" si="86"/>
        <v>0.18796992481203012</v>
      </c>
      <c r="N62" s="40">
        <f t="shared" si="86"/>
        <v>0.68421052631578938</v>
      </c>
      <c r="O62" s="39">
        <f t="shared" si="86"/>
        <v>0.15671641791044766</v>
      </c>
      <c r="P62" s="39">
        <f t="shared" si="86"/>
        <v>0.62184873949579833</v>
      </c>
      <c r="Q62" s="39">
        <f>Q6/M6-1</f>
        <v>0.139240506329114</v>
      </c>
      <c r="R62" s="40">
        <f>R6/N6-1</f>
        <v>0.16874999999999996</v>
      </c>
      <c r="S62" s="39">
        <f>S6/O6-1</f>
        <v>9.0322580645161299E-2</v>
      </c>
      <c r="T62" s="39">
        <f>T6/P6-1</f>
        <v>0.3886010362694301</v>
      </c>
      <c r="U62" s="39">
        <f>U6/Q6-1</f>
        <v>0.79444444444444451</v>
      </c>
      <c r="V62" s="40">
        <f>V6/R6-1</f>
        <v>-0.17112299465240643</v>
      </c>
      <c r="W62" s="39">
        <f>W6/S6-1</f>
        <v>2.3668639053254337E-2</v>
      </c>
      <c r="X62" s="39">
        <f>X6/T6-1</f>
        <v>-0.22761194029850751</v>
      </c>
    </row>
    <row r="63" spans="1:25" x14ac:dyDescent="0.15">
      <c r="B63" s="27"/>
      <c r="C63" s="27"/>
      <c r="P63" s="50"/>
    </row>
    <row r="64" spans="1:25" s="6" customFormat="1" x14ac:dyDescent="0.15">
      <c r="A64" s="69" t="s">
        <v>54</v>
      </c>
      <c r="B64" s="27">
        <v>307</v>
      </c>
      <c r="C64" s="27">
        <v>346</v>
      </c>
      <c r="D64" s="27">
        <v>393</v>
      </c>
      <c r="E64" s="27">
        <v>410</v>
      </c>
      <c r="F64" s="26">
        <v>427</v>
      </c>
      <c r="G64" s="27">
        <v>450</v>
      </c>
      <c r="H64" s="27">
        <v>493</v>
      </c>
      <c r="I64" s="27">
        <v>507</v>
      </c>
      <c r="J64" s="26">
        <v>529</v>
      </c>
      <c r="K64" s="27">
        <v>549</v>
      </c>
      <c r="L64" s="27">
        <v>549</v>
      </c>
      <c r="M64" s="27">
        <v>666</v>
      </c>
      <c r="N64" s="26">
        <v>634</v>
      </c>
      <c r="O64" s="27">
        <v>666</v>
      </c>
      <c r="P64" s="55">
        <v>699</v>
      </c>
      <c r="Q64" s="55">
        <v>721</v>
      </c>
      <c r="R64" s="76">
        <v>755</v>
      </c>
      <c r="S64" s="6">
        <v>785</v>
      </c>
      <c r="T64" s="6">
        <v>824</v>
      </c>
      <c r="U64" s="6">
        <v>846</v>
      </c>
      <c r="V64" s="76">
        <v>874</v>
      </c>
      <c r="W64" s="6">
        <v>881</v>
      </c>
      <c r="X64" s="6">
        <v>902</v>
      </c>
    </row>
    <row r="65" spans="1:24" s="23" customFormat="1" x14ac:dyDescent="0.15">
      <c r="A65" s="75" t="s">
        <v>76</v>
      </c>
      <c r="B65" s="41"/>
      <c r="C65" s="41"/>
      <c r="D65" s="41"/>
      <c r="E65" s="41"/>
      <c r="F65" s="40">
        <f t="shared" ref="F65:P65" si="87">F64/B64-1</f>
        <v>0.39087947882736152</v>
      </c>
      <c r="G65" s="41">
        <f t="shared" si="87"/>
        <v>0.300578034682081</v>
      </c>
      <c r="H65" s="41">
        <f t="shared" si="87"/>
        <v>0.25445292620865145</v>
      </c>
      <c r="I65" s="41">
        <f t="shared" si="87"/>
        <v>0.23658536585365852</v>
      </c>
      <c r="J65" s="40">
        <f t="shared" si="87"/>
        <v>0.23887587822014056</v>
      </c>
      <c r="K65" s="41">
        <f t="shared" si="87"/>
        <v>0.21999999999999997</v>
      </c>
      <c r="L65" s="41">
        <f t="shared" si="87"/>
        <v>0.11359026369168368</v>
      </c>
      <c r="M65" s="41">
        <f t="shared" si="87"/>
        <v>0.31360946745562135</v>
      </c>
      <c r="N65" s="40">
        <f t="shared" si="87"/>
        <v>0.19848771266540632</v>
      </c>
      <c r="O65" s="41">
        <f t="shared" si="87"/>
        <v>0.21311475409836067</v>
      </c>
      <c r="P65" s="57">
        <f t="shared" si="87"/>
        <v>0.27322404371584708</v>
      </c>
      <c r="Q65" s="23">
        <f>Q64/M64-1</f>
        <v>8.2582582582582553E-2</v>
      </c>
      <c r="R65" s="83">
        <f>R64/N64-1</f>
        <v>0.19085173501577279</v>
      </c>
      <c r="S65" s="23">
        <f>S64/O64-1</f>
        <v>0.1786786786786787</v>
      </c>
      <c r="T65" s="23">
        <f>T64/P64-1</f>
        <v>0.1788268955650929</v>
      </c>
      <c r="U65" s="23">
        <f>U64/Q64-1</f>
        <v>0.17337031900138689</v>
      </c>
      <c r="V65" s="83">
        <f>V64/R64-1</f>
        <v>0.15761589403973519</v>
      </c>
      <c r="W65" s="23">
        <f>W64/S64-1</f>
        <v>0.12229299363057322</v>
      </c>
      <c r="X65" s="23">
        <f>X64/T64-1</f>
        <v>9.4660194174757351E-2</v>
      </c>
    </row>
  </sheetData>
  <hyperlinks>
    <hyperlink ref="A1" r:id="rId1" display="https://www.sec.gov/cgi-bin/browse-edgar?action=getcompany&amp;CIK=0001577552&amp;owner=exclude&amp;count=40&amp;hidefilings=0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184C-BE82-BF48-867C-1292FF97B57D}">
  <dimension ref="B4:C24"/>
  <sheetViews>
    <sheetView zoomScale="130" zoomScaleNormal="130" workbookViewId="0">
      <selection activeCell="B13" sqref="B13"/>
    </sheetView>
  </sheetViews>
  <sheetFormatPr baseColWidth="10" defaultRowHeight="13" x14ac:dyDescent="0.15"/>
  <cols>
    <col min="1" max="1" width="10.83203125" style="3"/>
    <col min="2" max="2" width="14" style="3" bestFit="1" customWidth="1"/>
    <col min="3" max="3" width="14.1640625" style="3" bestFit="1" customWidth="1"/>
    <col min="4" max="16384" width="10.83203125" style="3"/>
  </cols>
  <sheetData>
    <row r="4" spans="2:3" x14ac:dyDescent="0.15">
      <c r="B4" s="66" t="s">
        <v>92</v>
      </c>
    </row>
    <row r="6" spans="2:3" x14ac:dyDescent="0.15">
      <c r="B6" s="3" t="s">
        <v>116</v>
      </c>
      <c r="C6" s="3" t="s">
        <v>51</v>
      </c>
    </row>
    <row r="7" spans="2:3" x14ac:dyDescent="0.15">
      <c r="B7" s="3" t="s">
        <v>117</v>
      </c>
      <c r="C7" s="3" t="s">
        <v>101</v>
      </c>
    </row>
    <row r="8" spans="2:3" x14ac:dyDescent="0.15">
      <c r="B8" s="3" t="s">
        <v>118</v>
      </c>
      <c r="C8" s="3" t="s">
        <v>101</v>
      </c>
    </row>
    <row r="9" spans="2:3" x14ac:dyDescent="0.15">
      <c r="B9" s="3" t="s">
        <v>119</v>
      </c>
      <c r="C9" s="3" t="s">
        <v>120</v>
      </c>
    </row>
    <row r="15" spans="2:3" x14ac:dyDescent="0.15">
      <c r="B15" s="2" t="s">
        <v>93</v>
      </c>
    </row>
    <row r="17" spans="2:3" x14ac:dyDescent="0.15">
      <c r="B17" s="3" t="s">
        <v>94</v>
      </c>
      <c r="C17" s="3" t="s">
        <v>101</v>
      </c>
    </row>
    <row r="18" spans="2:3" x14ac:dyDescent="0.15">
      <c r="B18" s="3" t="s">
        <v>95</v>
      </c>
      <c r="C18" s="3" t="s">
        <v>102</v>
      </c>
    </row>
    <row r="19" spans="2:3" x14ac:dyDescent="0.15">
      <c r="B19" s="3" t="s">
        <v>105</v>
      </c>
      <c r="C19" s="3" t="s">
        <v>106</v>
      </c>
    </row>
    <row r="20" spans="2:3" x14ac:dyDescent="0.15">
      <c r="B20" s="3" t="s">
        <v>96</v>
      </c>
      <c r="C20" s="3" t="s">
        <v>101</v>
      </c>
    </row>
    <row r="21" spans="2:3" x14ac:dyDescent="0.15">
      <c r="B21" s="3" t="s">
        <v>97</v>
      </c>
      <c r="C21" s="3" t="s">
        <v>103</v>
      </c>
    </row>
    <row r="22" spans="2:3" x14ac:dyDescent="0.15">
      <c r="B22" s="3" t="s">
        <v>98</v>
      </c>
      <c r="C22" s="3" t="s">
        <v>104</v>
      </c>
    </row>
    <row r="23" spans="2:3" x14ac:dyDescent="0.15">
      <c r="B23" s="3" t="s">
        <v>99</v>
      </c>
      <c r="C23" s="3" t="s">
        <v>104</v>
      </c>
    </row>
    <row r="24" spans="2:3" x14ac:dyDescent="0.15">
      <c r="B24" s="3" t="s">
        <v>100</v>
      </c>
      <c r="C24" s="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2021-02-28T00:32:54Z</dcterms:modified>
</cp:coreProperties>
</file>