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D76F50E1-724A-EA43-AD7D-DC1D3CC147FA}" xr6:coauthVersionLast="46" xr6:coauthVersionMax="46" xr10:uidLastSave="{00000000-0000-0000-0000-000000000000}"/>
  <bookViews>
    <workbookView xWindow="-63740" yWindow="-5940" windowWidth="34960" windowHeight="24020" tabRatio="500" activeTab="1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2" i="1" l="1"/>
  <c r="M52" i="1"/>
  <c r="L52" i="1"/>
  <c r="K52" i="1"/>
  <c r="J52" i="1"/>
  <c r="Q52" i="1"/>
  <c r="P52" i="1"/>
  <c r="O52" i="1"/>
  <c r="N52" i="1"/>
  <c r="U52" i="1"/>
  <c r="T52" i="1"/>
  <c r="S52" i="1"/>
  <c r="R52" i="1"/>
  <c r="V52" i="1"/>
  <c r="W52" i="1"/>
  <c r="X52" i="1"/>
  <c r="Y52" i="1"/>
  <c r="E51" i="1"/>
  <c r="I51" i="1"/>
  <c r="H51" i="1"/>
  <c r="G51" i="1"/>
  <c r="F51" i="1"/>
  <c r="M51" i="1"/>
  <c r="L51" i="1"/>
  <c r="K51" i="1"/>
  <c r="J51" i="1"/>
  <c r="Q51" i="1"/>
  <c r="P51" i="1"/>
  <c r="O51" i="1"/>
  <c r="N51" i="1"/>
  <c r="U51" i="1"/>
  <c r="T51" i="1"/>
  <c r="S51" i="1"/>
  <c r="R51" i="1"/>
  <c r="V51" i="1"/>
  <c r="W51" i="1"/>
  <c r="X51" i="1"/>
  <c r="Y51" i="1"/>
  <c r="H10" i="2"/>
  <c r="C3" i="2"/>
  <c r="G46" i="2"/>
  <c r="G45" i="2"/>
  <c r="G42" i="2"/>
  <c r="G28" i="2"/>
  <c r="G25" i="2"/>
  <c r="G23" i="2"/>
  <c r="G20" i="2"/>
  <c r="H20" i="2" s="1"/>
  <c r="I20" i="2" s="1"/>
  <c r="J20" i="2" s="1"/>
  <c r="K20" i="2" s="1"/>
  <c r="L20" i="2" s="1"/>
  <c r="G19" i="2"/>
  <c r="H19" i="2" s="1"/>
  <c r="I19" i="2" s="1"/>
  <c r="J19" i="2" s="1"/>
  <c r="K19" i="2" s="1"/>
  <c r="L19" i="2" s="1"/>
  <c r="G18" i="2"/>
  <c r="G16" i="2"/>
  <c r="G12" i="2"/>
  <c r="H12" i="2" s="1"/>
  <c r="I12" i="2" s="1"/>
  <c r="J12" i="2" s="1"/>
  <c r="K12" i="2" s="1"/>
  <c r="L12" i="2" s="1"/>
  <c r="G11" i="2"/>
  <c r="H11" i="2" s="1"/>
  <c r="I11" i="2" s="1"/>
  <c r="J11" i="2" s="1"/>
  <c r="K11" i="2" s="1"/>
  <c r="L11" i="2" s="1"/>
  <c r="G10" i="2"/>
  <c r="Y56" i="1"/>
  <c r="Y55" i="1"/>
  <c r="Y54" i="1"/>
  <c r="Y43" i="1"/>
  <c r="Y38" i="1"/>
  <c r="G44" i="2" s="1"/>
  <c r="Y35" i="1"/>
  <c r="G41" i="2" s="1"/>
  <c r="G40" i="2" s="1"/>
  <c r="Y31" i="1"/>
  <c r="Y30" i="1"/>
  <c r="Y29" i="1"/>
  <c r="Y14" i="1"/>
  <c r="Y6" i="1"/>
  <c r="Y8" i="1" s="1"/>
  <c r="F4" i="2"/>
  <c r="X56" i="1"/>
  <c r="X55" i="1"/>
  <c r="X54" i="1"/>
  <c r="X43" i="1"/>
  <c r="X38" i="1"/>
  <c r="X35" i="1"/>
  <c r="X42" i="1" s="1"/>
  <c r="X31" i="1"/>
  <c r="X30" i="1"/>
  <c r="X29" i="1"/>
  <c r="X14" i="1"/>
  <c r="X6" i="1"/>
  <c r="X8" i="1" s="1"/>
  <c r="T6" i="1"/>
  <c r="T8" i="1" s="1"/>
  <c r="W55" i="1"/>
  <c r="W56" i="1"/>
  <c r="W54" i="1"/>
  <c r="W43" i="1"/>
  <c r="W38" i="1"/>
  <c r="W35" i="1"/>
  <c r="W42" i="1" s="1"/>
  <c r="W34" i="1"/>
  <c r="W31" i="1"/>
  <c r="W30" i="1"/>
  <c r="W29" i="1"/>
  <c r="W6" i="1"/>
  <c r="S6" i="1"/>
  <c r="W8" i="1"/>
  <c r="W10" i="1" s="1"/>
  <c r="W24" i="1" s="1"/>
  <c r="W14" i="1"/>
  <c r="I10" i="2" l="1"/>
  <c r="J10" i="2" s="1"/>
  <c r="K10" i="2" s="1"/>
  <c r="L10" i="2" s="1"/>
  <c r="X57" i="1"/>
  <c r="Y34" i="1"/>
  <c r="C5" i="2" s="1"/>
  <c r="X34" i="1"/>
  <c r="W57" i="1"/>
  <c r="X10" i="1"/>
  <c r="X24" i="1" s="1"/>
  <c r="X28" i="1"/>
  <c r="Y42" i="1"/>
  <c r="X15" i="1"/>
  <c r="G21" i="2"/>
  <c r="H18" i="2"/>
  <c r="I18" i="2" s="1"/>
  <c r="J18" i="2" s="1"/>
  <c r="K18" i="2" s="1"/>
  <c r="L18" i="2" s="1"/>
  <c r="G49" i="2"/>
  <c r="L57" i="2"/>
  <c r="L56" i="2"/>
  <c r="L58" i="2"/>
  <c r="G48" i="2"/>
  <c r="W15" i="1"/>
  <c r="V38" i="1"/>
  <c r="V35" i="1"/>
  <c r="V34" i="1" s="1"/>
  <c r="V56" i="1"/>
  <c r="V55" i="1"/>
  <c r="V54" i="1"/>
  <c r="V43" i="1"/>
  <c r="V30" i="1"/>
  <c r="V29" i="1"/>
  <c r="V14" i="1"/>
  <c r="R6" i="1"/>
  <c r="V6" i="1"/>
  <c r="G13" i="2" s="1"/>
  <c r="H13" i="2" s="1"/>
  <c r="I13" i="2" s="1"/>
  <c r="J13" i="2" s="1"/>
  <c r="K13" i="2" s="1"/>
  <c r="L13" i="2" s="1"/>
  <c r="L59" i="2" s="1"/>
  <c r="F46" i="2"/>
  <c r="F45" i="2"/>
  <c r="F42" i="2"/>
  <c r="F28" i="2"/>
  <c r="F12" i="2"/>
  <c r="G58" i="2" s="1"/>
  <c r="F11" i="2"/>
  <c r="G57" i="2" s="1"/>
  <c r="E12" i="2"/>
  <c r="E11" i="2"/>
  <c r="U38" i="1"/>
  <c r="F44" i="2" s="1"/>
  <c r="U35" i="1"/>
  <c r="F41" i="2" s="1"/>
  <c r="U14" i="1"/>
  <c r="Y32" i="1" s="1"/>
  <c r="U56" i="1"/>
  <c r="U55" i="1"/>
  <c r="U54" i="1"/>
  <c r="U6" i="1"/>
  <c r="U8" i="1" s="1"/>
  <c r="U10" i="1" s="1"/>
  <c r="Q6" i="1"/>
  <c r="Q8" i="1" s="1"/>
  <c r="E13" i="2" l="1"/>
  <c r="F13" i="2"/>
  <c r="G59" i="2" s="1"/>
  <c r="V8" i="1"/>
  <c r="V57" i="1"/>
  <c r="W17" i="1"/>
  <c r="W25" i="1"/>
  <c r="Y28" i="1"/>
  <c r="Y10" i="1"/>
  <c r="X25" i="1"/>
  <c r="X17" i="1"/>
  <c r="R8" i="1"/>
  <c r="G15" i="2"/>
  <c r="Y57" i="1"/>
  <c r="L15" i="2"/>
  <c r="G17" i="2"/>
  <c r="G22" i="2" s="1"/>
  <c r="G24" i="2" s="1"/>
  <c r="V42" i="1"/>
  <c r="F57" i="2"/>
  <c r="U57" i="1"/>
  <c r="U15" i="1"/>
  <c r="U17" i="1" s="1"/>
  <c r="U20" i="1" s="1"/>
  <c r="F18" i="2"/>
  <c r="B16" i="2"/>
  <c r="B18" i="2"/>
  <c r="Y24" i="1" l="1"/>
  <c r="Y15" i="1"/>
  <c r="W26" i="1"/>
  <c r="W20" i="1"/>
  <c r="W21" i="1" s="1"/>
  <c r="V28" i="1"/>
  <c r="V10" i="1"/>
  <c r="X26" i="1"/>
  <c r="X20" i="1"/>
  <c r="X21" i="1" s="1"/>
  <c r="U21" i="1"/>
  <c r="L35" i="2"/>
  <c r="M18" i="2"/>
  <c r="N18" i="2" s="1"/>
  <c r="O18" i="2" s="1"/>
  <c r="P18" i="2" s="1"/>
  <c r="Q18" i="2" s="1"/>
  <c r="R18" i="2" s="1"/>
  <c r="S18" i="2" s="1"/>
  <c r="T18" i="2" s="1"/>
  <c r="U18" i="2" s="1"/>
  <c r="V18" i="2" s="1"/>
  <c r="I57" i="2"/>
  <c r="H57" i="2"/>
  <c r="K57" i="2"/>
  <c r="J57" i="2"/>
  <c r="F23" i="2"/>
  <c r="U30" i="1"/>
  <c r="U31" i="1"/>
  <c r="T38" i="1"/>
  <c r="T35" i="1"/>
  <c r="T42" i="1" s="1"/>
  <c r="T57" i="1"/>
  <c r="T56" i="1"/>
  <c r="T54" i="1"/>
  <c r="T43" i="1"/>
  <c r="T31" i="1"/>
  <c r="T30" i="1"/>
  <c r="T29" i="1"/>
  <c r="T14" i="1"/>
  <c r="X32" i="1" s="1"/>
  <c r="S57" i="1"/>
  <c r="S56" i="1"/>
  <c r="S54" i="1"/>
  <c r="S38" i="1"/>
  <c r="S35" i="1"/>
  <c r="S34" i="1" s="1"/>
  <c r="S8" i="1"/>
  <c r="W28" i="1" s="1"/>
  <c r="S43" i="1"/>
  <c r="S30" i="1"/>
  <c r="S29" i="1"/>
  <c r="S14" i="1"/>
  <c r="W32" i="1" s="1"/>
  <c r="V24" i="1" l="1"/>
  <c r="V15" i="1"/>
  <c r="Y25" i="1"/>
  <c r="Y17" i="1"/>
  <c r="V35" i="2"/>
  <c r="F19" i="2"/>
  <c r="T34" i="1"/>
  <c r="U29" i="1"/>
  <c r="F40" i="2"/>
  <c r="F10" i="2"/>
  <c r="H59" i="2"/>
  <c r="F49" i="2"/>
  <c r="U43" i="1"/>
  <c r="T10" i="1"/>
  <c r="S10" i="1"/>
  <c r="S42" i="1"/>
  <c r="V25" i="1" l="1"/>
  <c r="V17" i="1"/>
  <c r="Y26" i="1"/>
  <c r="Y20" i="1"/>
  <c r="Y21" i="1" s="1"/>
  <c r="F15" i="2"/>
  <c r="G56" i="2"/>
  <c r="U34" i="1"/>
  <c r="U42" i="1"/>
  <c r="F48" i="2"/>
  <c r="I59" i="2"/>
  <c r="T24" i="1"/>
  <c r="F16" i="2" s="1"/>
  <c r="T15" i="1"/>
  <c r="S15" i="1"/>
  <c r="S24" i="1"/>
  <c r="R10" i="1"/>
  <c r="R13" i="1"/>
  <c r="R38" i="1"/>
  <c r="R35" i="1"/>
  <c r="R22" i="1"/>
  <c r="C4" i="2" s="1"/>
  <c r="R57" i="1"/>
  <c r="R56" i="1"/>
  <c r="R54" i="1"/>
  <c r="R43" i="1"/>
  <c r="R30" i="1"/>
  <c r="R29" i="1"/>
  <c r="E46" i="2"/>
  <c r="E45" i="2"/>
  <c r="E42" i="2"/>
  <c r="E28" i="2"/>
  <c r="H28" i="2" s="1"/>
  <c r="I28" i="2" s="1"/>
  <c r="J28" i="2" s="1"/>
  <c r="K28" i="2" s="1"/>
  <c r="E25" i="2"/>
  <c r="E23" i="2"/>
  <c r="E19" i="2"/>
  <c r="E18" i="2"/>
  <c r="E16" i="2"/>
  <c r="E10" i="2"/>
  <c r="Q38" i="1"/>
  <c r="E44" i="2" s="1"/>
  <c r="Q35" i="1"/>
  <c r="Q43" i="1"/>
  <c r="Q14" i="1"/>
  <c r="U32" i="1" s="1"/>
  <c r="C10" i="2"/>
  <c r="C12" i="2"/>
  <c r="C13" i="2"/>
  <c r="M8" i="1"/>
  <c r="M10" i="1" s="1"/>
  <c r="M14" i="1"/>
  <c r="I8" i="1"/>
  <c r="I28" i="1" s="1"/>
  <c r="I14" i="1"/>
  <c r="D10" i="2"/>
  <c r="D12" i="2"/>
  <c r="D13" i="2"/>
  <c r="P8" i="1"/>
  <c r="O13" i="1"/>
  <c r="S31" i="1" s="1"/>
  <c r="M35" i="1"/>
  <c r="D41" i="2" s="1"/>
  <c r="D42" i="2"/>
  <c r="P14" i="1"/>
  <c r="T32" i="1" s="1"/>
  <c r="P35" i="1"/>
  <c r="P34" i="1" s="1"/>
  <c r="Q57" i="1"/>
  <c r="P57" i="1"/>
  <c r="O57" i="1"/>
  <c r="N57" i="1"/>
  <c r="M57" i="1"/>
  <c r="L57" i="1"/>
  <c r="K57" i="1"/>
  <c r="J57" i="1"/>
  <c r="I57" i="1"/>
  <c r="H57" i="1"/>
  <c r="G57" i="1"/>
  <c r="Q56" i="1"/>
  <c r="P56" i="1"/>
  <c r="O56" i="1"/>
  <c r="N56" i="1"/>
  <c r="M56" i="1"/>
  <c r="L56" i="1"/>
  <c r="K56" i="1"/>
  <c r="J56" i="1"/>
  <c r="I56" i="1"/>
  <c r="H56" i="1"/>
  <c r="G56" i="1"/>
  <c r="Q54" i="1"/>
  <c r="P54" i="1"/>
  <c r="O54" i="1"/>
  <c r="N54" i="1"/>
  <c r="M54" i="1"/>
  <c r="L54" i="1"/>
  <c r="K54" i="1"/>
  <c r="J54" i="1"/>
  <c r="I54" i="1"/>
  <c r="H54" i="1"/>
  <c r="G54" i="1"/>
  <c r="F57" i="1"/>
  <c r="F56" i="1"/>
  <c r="F54" i="1"/>
  <c r="B13" i="2"/>
  <c r="B12" i="2"/>
  <c r="B10" i="2"/>
  <c r="B19" i="2"/>
  <c r="B20" i="2"/>
  <c r="B23" i="2"/>
  <c r="E8" i="1"/>
  <c r="E10" i="1" s="1"/>
  <c r="E14" i="1"/>
  <c r="E35" i="1"/>
  <c r="E38" i="1"/>
  <c r="B44" i="2" s="1"/>
  <c r="E40" i="1"/>
  <c r="E43" i="1" s="1"/>
  <c r="B25" i="2"/>
  <c r="B45" i="2"/>
  <c r="N8" i="1"/>
  <c r="N10" i="1" s="1"/>
  <c r="N14" i="1"/>
  <c r="O8" i="1"/>
  <c r="P43" i="1"/>
  <c r="C16" i="2"/>
  <c r="C18" i="2"/>
  <c r="C19" i="2"/>
  <c r="C20" i="2"/>
  <c r="C23" i="2"/>
  <c r="C25" i="2"/>
  <c r="C45" i="2"/>
  <c r="C46" i="2"/>
  <c r="D23" i="2"/>
  <c r="I35" i="1"/>
  <c r="C41" i="2" s="1"/>
  <c r="E36" i="1"/>
  <c r="B42" i="2" s="1"/>
  <c r="E22" i="1"/>
  <c r="B28" i="2" s="1"/>
  <c r="I36" i="1"/>
  <c r="C42" i="2" s="1"/>
  <c r="D45" i="2"/>
  <c r="M38" i="1"/>
  <c r="I38" i="1"/>
  <c r="C44" i="2" s="1"/>
  <c r="P38" i="1"/>
  <c r="D16" i="2"/>
  <c r="D18" i="2"/>
  <c r="D19" i="2"/>
  <c r="K13" i="1"/>
  <c r="K14" i="1" s="1"/>
  <c r="D46" i="2"/>
  <c r="J8" i="1"/>
  <c r="J10" i="1"/>
  <c r="J24" i="1" s="1"/>
  <c r="J14" i="1"/>
  <c r="K8" i="1"/>
  <c r="K10" i="1" s="1"/>
  <c r="L8" i="1"/>
  <c r="L14" i="1"/>
  <c r="L43" i="1"/>
  <c r="L38" i="1"/>
  <c r="I43" i="1"/>
  <c r="H43" i="1"/>
  <c r="P22" i="1"/>
  <c r="F8" i="1"/>
  <c r="F10" i="1" s="1"/>
  <c r="F14" i="1"/>
  <c r="G8" i="1"/>
  <c r="G10" i="1" s="1"/>
  <c r="G24" i="1" s="1"/>
  <c r="G14" i="1"/>
  <c r="H8" i="1"/>
  <c r="H10" i="1" s="1"/>
  <c r="H14" i="1"/>
  <c r="M43" i="1"/>
  <c r="B8" i="1"/>
  <c r="B10" i="1" s="1"/>
  <c r="B14" i="1"/>
  <c r="C8" i="1"/>
  <c r="C10" i="1" s="1"/>
  <c r="C14" i="1"/>
  <c r="D8" i="1"/>
  <c r="D10" i="1"/>
  <c r="D24" i="1" s="1"/>
  <c r="D14" i="1"/>
  <c r="O38" i="1"/>
  <c r="O35" i="1"/>
  <c r="O34" i="1" s="1"/>
  <c r="O43" i="1"/>
  <c r="N38" i="1"/>
  <c r="N35" i="1"/>
  <c r="N34" i="1" s="1"/>
  <c r="N43" i="1"/>
  <c r="L35" i="1"/>
  <c r="L34" i="1" s="1"/>
  <c r="K38" i="1"/>
  <c r="K35" i="1"/>
  <c r="K34" i="1" s="1"/>
  <c r="K43" i="1"/>
  <c r="J38" i="1"/>
  <c r="J35" i="1"/>
  <c r="J43" i="1"/>
  <c r="H38" i="1"/>
  <c r="H35" i="1"/>
  <c r="H42" i="1" s="1"/>
  <c r="G43" i="1"/>
  <c r="G35" i="1"/>
  <c r="G38" i="1"/>
  <c r="F35" i="1"/>
  <c r="F38" i="1"/>
  <c r="F43" i="1"/>
  <c r="F22" i="1"/>
  <c r="G22" i="1"/>
  <c r="H22" i="1"/>
  <c r="Q31" i="1"/>
  <c r="Q30" i="1"/>
  <c r="Q29" i="1"/>
  <c r="N22" i="1"/>
  <c r="N31" i="1"/>
  <c r="N30" i="1"/>
  <c r="N29" i="1"/>
  <c r="O30" i="1"/>
  <c r="O29" i="1"/>
  <c r="O22" i="1"/>
  <c r="L22" i="1"/>
  <c r="P31" i="1"/>
  <c r="P30" i="1"/>
  <c r="P29" i="1"/>
  <c r="D28" i="2"/>
  <c r="I22" i="1"/>
  <c r="C28" i="2" s="1"/>
  <c r="F29" i="1"/>
  <c r="I29" i="1"/>
  <c r="M29" i="1"/>
  <c r="K29" i="1"/>
  <c r="J29" i="1"/>
  <c r="H29" i="1"/>
  <c r="L29" i="1"/>
  <c r="H30" i="1"/>
  <c r="I30" i="1"/>
  <c r="J30" i="1"/>
  <c r="K30" i="1"/>
  <c r="L30" i="1"/>
  <c r="M30" i="1"/>
  <c r="H31" i="1"/>
  <c r="I31" i="1"/>
  <c r="J31" i="1"/>
  <c r="L31" i="1"/>
  <c r="M31" i="1"/>
  <c r="G30" i="1"/>
  <c r="G31" i="1"/>
  <c r="G29" i="1"/>
  <c r="F30" i="1"/>
  <c r="F31" i="1"/>
  <c r="K22" i="1"/>
  <c r="J22" i="1"/>
  <c r="H36" i="1"/>
  <c r="F36" i="1"/>
  <c r="G36" i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I10" i="1" l="1"/>
  <c r="I24" i="1" s="1"/>
  <c r="G42" i="1"/>
  <c r="R31" i="1"/>
  <c r="V31" i="1"/>
  <c r="F42" i="1"/>
  <c r="R42" i="1"/>
  <c r="V26" i="1"/>
  <c r="V20" i="1"/>
  <c r="L28" i="2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F17" i="2"/>
  <c r="G34" i="2"/>
  <c r="C49" i="2"/>
  <c r="H32" i="1"/>
  <c r="G34" i="1"/>
  <c r="O42" i="1"/>
  <c r="Q32" i="1"/>
  <c r="P32" i="1"/>
  <c r="F15" i="1"/>
  <c r="F17" i="1" s="1"/>
  <c r="P28" i="1"/>
  <c r="M42" i="1"/>
  <c r="O28" i="1"/>
  <c r="J42" i="1"/>
  <c r="L32" i="1"/>
  <c r="I32" i="1"/>
  <c r="M34" i="1"/>
  <c r="B46" i="2"/>
  <c r="B49" i="2" s="1"/>
  <c r="U24" i="1"/>
  <c r="K42" i="1"/>
  <c r="I34" i="1"/>
  <c r="G28" i="1"/>
  <c r="F32" i="1"/>
  <c r="I15" i="1"/>
  <c r="I17" i="1" s="1"/>
  <c r="I20" i="1" s="1"/>
  <c r="G32" i="1"/>
  <c r="E20" i="2"/>
  <c r="E21" i="2" s="1"/>
  <c r="C37" i="2"/>
  <c r="R14" i="1"/>
  <c r="R32" i="1" s="1"/>
  <c r="F20" i="2"/>
  <c r="F21" i="2" s="1"/>
  <c r="P10" i="1"/>
  <c r="P24" i="1" s="1"/>
  <c r="T28" i="1"/>
  <c r="O14" i="1"/>
  <c r="S32" i="1" s="1"/>
  <c r="D15" i="1"/>
  <c r="D17" i="1" s="1"/>
  <c r="D20" i="1" s="1"/>
  <c r="Q28" i="1"/>
  <c r="U28" i="1"/>
  <c r="H56" i="2"/>
  <c r="O10" i="1"/>
  <c r="O24" i="1" s="1"/>
  <c r="S28" i="1"/>
  <c r="K59" i="2"/>
  <c r="J59" i="2"/>
  <c r="D56" i="2"/>
  <c r="U25" i="1"/>
  <c r="T25" i="1"/>
  <c r="T17" i="1"/>
  <c r="E59" i="2"/>
  <c r="C56" i="2"/>
  <c r="S25" i="1"/>
  <c r="S17" i="1"/>
  <c r="H24" i="1"/>
  <c r="H15" i="1"/>
  <c r="H17" i="1" s="1"/>
  <c r="H26" i="1" s="1"/>
  <c r="Q34" i="1"/>
  <c r="E41" i="2"/>
  <c r="E40" i="2" s="1"/>
  <c r="M32" i="1"/>
  <c r="K28" i="1"/>
  <c r="J34" i="1"/>
  <c r="L42" i="1"/>
  <c r="E42" i="1"/>
  <c r="P42" i="1"/>
  <c r="I42" i="1"/>
  <c r="O31" i="1"/>
  <c r="F34" i="1"/>
  <c r="N42" i="1"/>
  <c r="D44" i="2"/>
  <c r="C35" i="2"/>
  <c r="K31" i="1"/>
  <c r="L28" i="1"/>
  <c r="Q10" i="1"/>
  <c r="Q24" i="1" s="1"/>
  <c r="J32" i="1"/>
  <c r="G15" i="1"/>
  <c r="G25" i="1" s="1"/>
  <c r="J15" i="1"/>
  <c r="J17" i="1" s="1"/>
  <c r="H28" i="1"/>
  <c r="J28" i="1"/>
  <c r="Q42" i="1"/>
  <c r="D20" i="2"/>
  <c r="D37" i="2" s="1"/>
  <c r="D35" i="2"/>
  <c r="B15" i="2"/>
  <c r="B17" i="2" s="1"/>
  <c r="B30" i="2" s="1"/>
  <c r="C58" i="2"/>
  <c r="E56" i="2"/>
  <c r="C48" i="2"/>
  <c r="C15" i="2"/>
  <c r="B21" i="2"/>
  <c r="C17" i="2"/>
  <c r="C36" i="2"/>
  <c r="C40" i="2"/>
  <c r="D36" i="2"/>
  <c r="C59" i="2"/>
  <c r="F56" i="2"/>
  <c r="E15" i="2"/>
  <c r="F36" i="2"/>
  <c r="E35" i="2"/>
  <c r="E36" i="2"/>
  <c r="D59" i="2"/>
  <c r="D40" i="2"/>
  <c r="C21" i="2"/>
  <c r="D58" i="2"/>
  <c r="E49" i="2"/>
  <c r="D49" i="2"/>
  <c r="D15" i="2"/>
  <c r="D17" i="2" s="1"/>
  <c r="N15" i="1"/>
  <c r="N24" i="1"/>
  <c r="B15" i="1"/>
  <c r="B24" i="1"/>
  <c r="F58" i="2"/>
  <c r="K24" i="1"/>
  <c r="K15" i="1"/>
  <c r="K32" i="1"/>
  <c r="F35" i="2"/>
  <c r="M15" i="1"/>
  <c r="M24" i="1"/>
  <c r="C24" i="1"/>
  <c r="C15" i="1"/>
  <c r="E24" i="1"/>
  <c r="E15" i="1"/>
  <c r="R24" i="1"/>
  <c r="N28" i="1"/>
  <c r="N32" i="1"/>
  <c r="R28" i="1"/>
  <c r="M28" i="1"/>
  <c r="L10" i="1"/>
  <c r="F28" i="1"/>
  <c r="E58" i="2"/>
  <c r="R34" i="1"/>
  <c r="E34" i="1"/>
  <c r="H34" i="1"/>
  <c r="F24" i="1"/>
  <c r="B41" i="2"/>
  <c r="V21" i="1" l="1"/>
  <c r="Y45" i="1"/>
  <c r="X45" i="1"/>
  <c r="I26" i="1"/>
  <c r="I25" i="1"/>
  <c r="R15" i="1"/>
  <c r="V32" i="1"/>
  <c r="G17" i="1"/>
  <c r="F25" i="1"/>
  <c r="H20" i="1"/>
  <c r="H21" i="1" s="1"/>
  <c r="C22" i="2"/>
  <c r="C31" i="2" s="1"/>
  <c r="R17" i="1"/>
  <c r="R26" i="1" s="1"/>
  <c r="R25" i="1"/>
  <c r="O15" i="1"/>
  <c r="O25" i="1" s="1"/>
  <c r="F37" i="2"/>
  <c r="D26" i="1"/>
  <c r="O32" i="1"/>
  <c r="F22" i="2"/>
  <c r="F24" i="2" s="1"/>
  <c r="Q15" i="1"/>
  <c r="Q17" i="1" s="1"/>
  <c r="H25" i="1"/>
  <c r="I56" i="2"/>
  <c r="D25" i="1"/>
  <c r="P15" i="1"/>
  <c r="P17" i="1" s="1"/>
  <c r="H58" i="2"/>
  <c r="C34" i="2"/>
  <c r="E37" i="2"/>
  <c r="T26" i="1"/>
  <c r="T20" i="1"/>
  <c r="W45" i="1" s="1"/>
  <c r="S26" i="1"/>
  <c r="S20" i="1"/>
  <c r="V45" i="1" s="1"/>
  <c r="J25" i="1"/>
  <c r="D21" i="2"/>
  <c r="D22" i="2" s="1"/>
  <c r="D48" i="2"/>
  <c r="C6" i="2"/>
  <c r="C7" i="2" s="1"/>
  <c r="C38" i="2"/>
  <c r="F34" i="2"/>
  <c r="C30" i="2"/>
  <c r="F38" i="2"/>
  <c r="B22" i="2"/>
  <c r="B24" i="2" s="1"/>
  <c r="B26" i="2" s="1"/>
  <c r="D34" i="2"/>
  <c r="E48" i="2"/>
  <c r="G36" i="2"/>
  <c r="J20" i="1"/>
  <c r="J26" i="1"/>
  <c r="B40" i="2"/>
  <c r="B48" i="2"/>
  <c r="L15" i="1"/>
  <c r="L24" i="1"/>
  <c r="E25" i="1"/>
  <c r="E17" i="1"/>
  <c r="I21" i="1"/>
  <c r="F59" i="2"/>
  <c r="F26" i="1"/>
  <c r="F20" i="1"/>
  <c r="E34" i="2"/>
  <c r="E17" i="2"/>
  <c r="G26" i="1"/>
  <c r="G20" i="1"/>
  <c r="C25" i="1"/>
  <c r="C17" i="1"/>
  <c r="B17" i="1"/>
  <c r="B25" i="1"/>
  <c r="G37" i="2"/>
  <c r="M25" i="1"/>
  <c r="M17" i="1"/>
  <c r="K25" i="1"/>
  <c r="K17" i="1"/>
  <c r="N17" i="1"/>
  <c r="N25" i="1"/>
  <c r="G35" i="2"/>
  <c r="G38" i="2"/>
  <c r="D30" i="2"/>
  <c r="X47" i="1" l="1"/>
  <c r="X48" i="1"/>
  <c r="X49" i="1"/>
  <c r="X46" i="1"/>
  <c r="Y47" i="1"/>
  <c r="Y46" i="1"/>
  <c r="Y48" i="1"/>
  <c r="Y49" i="1"/>
  <c r="W48" i="1"/>
  <c r="W46" i="1"/>
  <c r="W49" i="1"/>
  <c r="W47" i="1"/>
  <c r="V48" i="1"/>
  <c r="V46" i="1"/>
  <c r="V47" i="1"/>
  <c r="V49" i="1"/>
  <c r="C24" i="2"/>
  <c r="C32" i="2" s="1"/>
  <c r="R20" i="1"/>
  <c r="R21" i="1" s="1"/>
  <c r="Q25" i="1"/>
  <c r="B52" i="2"/>
  <c r="O17" i="1"/>
  <c r="P25" i="1"/>
  <c r="K56" i="2"/>
  <c r="J56" i="2"/>
  <c r="F25" i="2"/>
  <c r="F26" i="2" s="1"/>
  <c r="D38" i="2"/>
  <c r="I58" i="2"/>
  <c r="E38" i="2"/>
  <c r="T45" i="1"/>
  <c r="T21" i="1"/>
  <c r="S21" i="1"/>
  <c r="S45" i="1"/>
  <c r="B31" i="2"/>
  <c r="H36" i="2"/>
  <c r="Q26" i="1"/>
  <c r="Q20" i="1"/>
  <c r="Q21" i="1" s="1"/>
  <c r="M18" i="1"/>
  <c r="B32" i="2"/>
  <c r="O26" i="1"/>
  <c r="O20" i="1"/>
  <c r="D31" i="2"/>
  <c r="D24" i="2"/>
  <c r="H37" i="2"/>
  <c r="K26" i="1"/>
  <c r="K20" i="1"/>
  <c r="I45" i="1"/>
  <c r="F21" i="1"/>
  <c r="P26" i="1"/>
  <c r="P20" i="1"/>
  <c r="P21" i="1" s="1"/>
  <c r="B20" i="1"/>
  <c r="B26" i="1"/>
  <c r="E26" i="1"/>
  <c r="E20" i="1"/>
  <c r="E21" i="1" s="1"/>
  <c r="C20" i="1"/>
  <c r="C26" i="1"/>
  <c r="J45" i="1"/>
  <c r="G21" i="1"/>
  <c r="L25" i="1"/>
  <c r="L17" i="1"/>
  <c r="H35" i="2"/>
  <c r="H21" i="2"/>
  <c r="H38" i="2" s="1"/>
  <c r="E30" i="2"/>
  <c r="E22" i="2"/>
  <c r="N20" i="1"/>
  <c r="N26" i="1"/>
  <c r="J21" i="1"/>
  <c r="C26" i="2" l="1"/>
  <c r="F27" i="2"/>
  <c r="F52" i="2"/>
  <c r="F51" i="2"/>
  <c r="F53" i="2"/>
  <c r="F54" i="2"/>
  <c r="U26" i="1"/>
  <c r="J58" i="2"/>
  <c r="T46" i="1"/>
  <c r="T49" i="1"/>
  <c r="T48" i="1"/>
  <c r="T47" i="1"/>
  <c r="S47" i="1"/>
  <c r="S46" i="1"/>
  <c r="S49" i="1"/>
  <c r="S48" i="1"/>
  <c r="E45" i="1"/>
  <c r="F45" i="1"/>
  <c r="I36" i="2"/>
  <c r="M26" i="1"/>
  <c r="D25" i="2"/>
  <c r="D32" i="2" s="1"/>
  <c r="J48" i="1"/>
  <c r="J49" i="1"/>
  <c r="J46" i="1"/>
  <c r="J47" i="1"/>
  <c r="R45" i="1"/>
  <c r="R46" i="1" s="1"/>
  <c r="O21" i="1"/>
  <c r="B27" i="2"/>
  <c r="B51" i="2"/>
  <c r="B54" i="2"/>
  <c r="B53" i="2"/>
  <c r="M20" i="1"/>
  <c r="Q45" i="1"/>
  <c r="Q46" i="1" s="1"/>
  <c r="N21" i="1"/>
  <c r="I35" i="2"/>
  <c r="I21" i="2"/>
  <c r="I38" i="2" s="1"/>
  <c r="I48" i="1"/>
  <c r="I46" i="1"/>
  <c r="I49" i="1"/>
  <c r="I47" i="1"/>
  <c r="K21" i="1"/>
  <c r="K45" i="1"/>
  <c r="L37" i="2"/>
  <c r="I37" i="2"/>
  <c r="F49" i="1"/>
  <c r="F48" i="1"/>
  <c r="F47" i="1"/>
  <c r="F46" i="1"/>
  <c r="H45" i="1"/>
  <c r="E49" i="1"/>
  <c r="E48" i="1"/>
  <c r="E47" i="1"/>
  <c r="E46" i="1"/>
  <c r="G45" i="1"/>
  <c r="E31" i="2"/>
  <c r="E24" i="2"/>
  <c r="L26" i="1"/>
  <c r="L20" i="1"/>
  <c r="C54" i="2"/>
  <c r="C53" i="2"/>
  <c r="C52" i="2"/>
  <c r="C27" i="2"/>
  <c r="C51" i="2"/>
  <c r="H15" i="2"/>
  <c r="H34" i="2" s="1"/>
  <c r="N45" i="1" l="1"/>
  <c r="N48" i="1" s="1"/>
  <c r="M45" i="1"/>
  <c r="M46" i="1" s="1"/>
  <c r="U45" i="1"/>
  <c r="U48" i="1" s="1"/>
  <c r="L45" i="1"/>
  <c r="K58" i="2"/>
  <c r="K15" i="2"/>
  <c r="D26" i="2"/>
  <c r="J36" i="2"/>
  <c r="L48" i="1"/>
  <c r="L49" i="1"/>
  <c r="L47" i="1"/>
  <c r="L46" i="1"/>
  <c r="K48" i="1"/>
  <c r="K47" i="1"/>
  <c r="K46" i="1"/>
  <c r="K49" i="1"/>
  <c r="N49" i="1"/>
  <c r="H48" i="1"/>
  <c r="H47" i="1"/>
  <c r="H46" i="1"/>
  <c r="H49" i="1"/>
  <c r="G48" i="1"/>
  <c r="G46" i="1"/>
  <c r="G49" i="1"/>
  <c r="G47" i="1"/>
  <c r="M47" i="1"/>
  <c r="M49" i="1"/>
  <c r="M48" i="1"/>
  <c r="J35" i="2"/>
  <c r="J21" i="2"/>
  <c r="J38" i="2" s="1"/>
  <c r="R49" i="1"/>
  <c r="R48" i="1"/>
  <c r="R47" i="1"/>
  <c r="E26" i="2"/>
  <c r="E32" i="2"/>
  <c r="F30" i="2"/>
  <c r="Q47" i="1"/>
  <c r="Q49" i="1"/>
  <c r="Q48" i="1"/>
  <c r="J37" i="2"/>
  <c r="P45" i="1"/>
  <c r="M21" i="1"/>
  <c r="L21" i="1"/>
  <c r="O45" i="1"/>
  <c r="O46" i="1" s="1"/>
  <c r="I15" i="2"/>
  <c r="I34" i="2" s="1"/>
  <c r="L34" i="2" l="1"/>
  <c r="N47" i="1"/>
  <c r="N46" i="1"/>
  <c r="L36" i="2"/>
  <c r="L21" i="2"/>
  <c r="M15" i="2"/>
  <c r="N15" i="2" s="1"/>
  <c r="O15" i="2" s="1"/>
  <c r="P15" i="2" s="1"/>
  <c r="Q15" i="2" s="1"/>
  <c r="R15" i="2" s="1"/>
  <c r="S15" i="2" s="1"/>
  <c r="T15" i="2" s="1"/>
  <c r="U15" i="2" s="1"/>
  <c r="V15" i="2" s="1"/>
  <c r="M19" i="2"/>
  <c r="N19" i="2" s="1"/>
  <c r="O19" i="2" s="1"/>
  <c r="P19" i="2" s="1"/>
  <c r="Q19" i="2" s="1"/>
  <c r="R19" i="2" s="1"/>
  <c r="S19" i="2" s="1"/>
  <c r="T19" i="2" s="1"/>
  <c r="U19" i="2" s="1"/>
  <c r="V19" i="2" s="1"/>
  <c r="D27" i="2"/>
  <c r="U49" i="1"/>
  <c r="U47" i="1"/>
  <c r="U46" i="1"/>
  <c r="E54" i="2"/>
  <c r="E51" i="2"/>
  <c r="D54" i="2"/>
  <c r="D51" i="2"/>
  <c r="D52" i="2"/>
  <c r="D53" i="2"/>
  <c r="K36" i="2"/>
  <c r="F31" i="2"/>
  <c r="O48" i="1"/>
  <c r="O49" i="1"/>
  <c r="O47" i="1"/>
  <c r="G30" i="2"/>
  <c r="H17" i="2" s="1"/>
  <c r="E27" i="2"/>
  <c r="E53" i="2"/>
  <c r="E52" i="2"/>
  <c r="P46" i="1"/>
  <c r="P48" i="1"/>
  <c r="P47" i="1"/>
  <c r="P49" i="1"/>
  <c r="J15" i="2"/>
  <c r="J34" i="2" s="1"/>
  <c r="K37" i="2"/>
  <c r="K35" i="2"/>
  <c r="K21" i="2"/>
  <c r="K34" i="2" l="1"/>
  <c r="V36" i="2"/>
  <c r="V34" i="2"/>
  <c r="L38" i="2"/>
  <c r="K38" i="2"/>
  <c r="G31" i="2"/>
  <c r="M20" i="2"/>
  <c r="H22" i="2"/>
  <c r="H30" i="2"/>
  <c r="I17" i="2" s="1"/>
  <c r="H16" i="2"/>
  <c r="F32" i="2"/>
  <c r="M36" i="2" l="1"/>
  <c r="I22" i="2"/>
  <c r="I30" i="2"/>
  <c r="J17" i="2" s="1"/>
  <c r="I16" i="2"/>
  <c r="H31" i="2"/>
  <c r="M37" i="2"/>
  <c r="N20" i="2"/>
  <c r="M35" i="2"/>
  <c r="M21" i="2"/>
  <c r="M38" i="2" s="1"/>
  <c r="N36" i="2" l="1"/>
  <c r="N37" i="2"/>
  <c r="O20" i="2"/>
  <c r="N35" i="2"/>
  <c r="N21" i="2"/>
  <c r="N38" i="2" s="1"/>
  <c r="J30" i="2"/>
  <c r="K17" i="2" s="1"/>
  <c r="K22" i="2" s="1"/>
  <c r="J22" i="2"/>
  <c r="J16" i="2"/>
  <c r="I31" i="2"/>
  <c r="O36" i="2" l="1"/>
  <c r="G32" i="2"/>
  <c r="J31" i="2"/>
  <c r="K30" i="2"/>
  <c r="L17" i="2" s="1"/>
  <c r="K16" i="2"/>
  <c r="M34" i="2"/>
  <c r="O21" i="2"/>
  <c r="O38" i="2" s="1"/>
  <c r="O35" i="2"/>
  <c r="O37" i="2"/>
  <c r="P20" i="2"/>
  <c r="L16" i="2" l="1"/>
  <c r="L22" i="2"/>
  <c r="L30" i="2"/>
  <c r="M17" i="2" s="1"/>
  <c r="G26" i="2"/>
  <c r="P36" i="2"/>
  <c r="P37" i="2"/>
  <c r="Q20" i="2"/>
  <c r="P21" i="2"/>
  <c r="P38" i="2" s="1"/>
  <c r="P35" i="2"/>
  <c r="N34" i="2"/>
  <c r="K31" i="2"/>
  <c r="G27" i="2" l="1"/>
  <c r="G52" i="2"/>
  <c r="G53" i="2"/>
  <c r="G51" i="2"/>
  <c r="G54" i="2"/>
  <c r="L31" i="2"/>
  <c r="R35" i="2"/>
  <c r="Q37" i="2"/>
  <c r="R20" i="2"/>
  <c r="Q36" i="2"/>
  <c r="H23" i="2"/>
  <c r="H24" i="2" s="1"/>
  <c r="O34" i="2"/>
  <c r="M22" i="2"/>
  <c r="M30" i="2"/>
  <c r="N17" i="2" s="1"/>
  <c r="M16" i="2"/>
  <c r="Q35" i="2"/>
  <c r="Q21" i="2"/>
  <c r="Q38" i="2" s="1"/>
  <c r="R36" i="2" l="1"/>
  <c r="R37" i="2"/>
  <c r="S20" i="2"/>
  <c r="S21" i="2" s="1"/>
  <c r="S35" i="2"/>
  <c r="R21" i="2"/>
  <c r="R38" i="2" s="1"/>
  <c r="N30" i="2"/>
  <c r="O17" i="2" s="1"/>
  <c r="N22" i="2"/>
  <c r="N16" i="2"/>
  <c r="H25" i="2"/>
  <c r="H32" i="2" s="1"/>
  <c r="P34" i="2"/>
  <c r="M31" i="2"/>
  <c r="T35" i="2" l="1"/>
  <c r="S38" i="2"/>
  <c r="S37" i="2"/>
  <c r="T20" i="2"/>
  <c r="S36" i="2"/>
  <c r="R34" i="2"/>
  <c r="H26" i="2"/>
  <c r="N31" i="2"/>
  <c r="Q34" i="2"/>
  <c r="O22" i="2"/>
  <c r="O30" i="2"/>
  <c r="P17" i="2" s="1"/>
  <c r="O16" i="2"/>
  <c r="H40" i="2" l="1"/>
  <c r="U36" i="2"/>
  <c r="T36" i="2"/>
  <c r="U20" i="2"/>
  <c r="T37" i="2"/>
  <c r="U35" i="2"/>
  <c r="T21" i="2"/>
  <c r="T38" i="2" s="1"/>
  <c r="S34" i="2"/>
  <c r="H27" i="2"/>
  <c r="I23" i="2"/>
  <c r="I24" i="2" s="1"/>
  <c r="O31" i="2"/>
  <c r="P30" i="2"/>
  <c r="Q17" i="2" s="1"/>
  <c r="P22" i="2"/>
  <c r="P16" i="2"/>
  <c r="U37" i="2" l="1"/>
  <c r="V20" i="2"/>
  <c r="U21" i="2"/>
  <c r="U38" i="2"/>
  <c r="T34" i="2"/>
  <c r="I25" i="2"/>
  <c r="I32" i="2" s="1"/>
  <c r="P31" i="2"/>
  <c r="Q30" i="2"/>
  <c r="R17" i="2" s="1"/>
  <c r="Q22" i="2"/>
  <c r="Q16" i="2"/>
  <c r="V37" i="2" l="1"/>
  <c r="V21" i="2"/>
  <c r="V38" i="2" s="1"/>
  <c r="R30" i="2"/>
  <c r="S17" i="2" s="1"/>
  <c r="R22" i="2"/>
  <c r="R16" i="2"/>
  <c r="U34" i="2"/>
  <c r="I26" i="2"/>
  <c r="Q31" i="2"/>
  <c r="I40" i="2" l="1"/>
  <c r="J23" i="2" s="1"/>
  <c r="J24" i="2" s="1"/>
  <c r="R31" i="2"/>
  <c r="S22" i="2"/>
  <c r="S30" i="2"/>
  <c r="T17" i="2" s="1"/>
  <c r="S16" i="2"/>
  <c r="I27" i="2"/>
  <c r="T30" i="2" l="1"/>
  <c r="U17" i="2" s="1"/>
  <c r="T22" i="2"/>
  <c r="T16" i="2"/>
  <c r="S31" i="2"/>
  <c r="J25" i="2"/>
  <c r="J32" i="2" s="1"/>
  <c r="T31" i="2" l="1"/>
  <c r="U22" i="2"/>
  <c r="U30" i="2"/>
  <c r="V17" i="2" s="1"/>
  <c r="U16" i="2"/>
  <c r="J26" i="2"/>
  <c r="V30" i="2" l="1"/>
  <c r="V22" i="2"/>
  <c r="V16" i="2"/>
  <c r="J40" i="2"/>
  <c r="K23" i="2" s="1"/>
  <c r="K24" i="2" s="1"/>
  <c r="J27" i="2"/>
  <c r="U31" i="2"/>
  <c r="V31" i="2" l="1"/>
  <c r="K25" i="2"/>
  <c r="K32" i="2" s="1"/>
  <c r="K26" i="2" l="1"/>
  <c r="K40" i="2" s="1"/>
  <c r="L23" i="2" l="1"/>
  <c r="L24" i="2" s="1"/>
  <c r="K27" i="2"/>
  <c r="L25" i="2" l="1"/>
  <c r="L32" i="2" s="1"/>
  <c r="L26" i="2"/>
  <c r="L27" i="2" l="1"/>
  <c r="L40" i="2"/>
  <c r="M23" i="2" s="1"/>
  <c r="M24" i="2" s="1"/>
  <c r="M25" i="2" s="1"/>
  <c r="M32" i="2" s="1"/>
  <c r="M26" i="2" l="1"/>
  <c r="M27" i="2" l="1"/>
  <c r="M40" i="2"/>
  <c r="N23" i="2" l="1"/>
  <c r="N24" i="2" s="1"/>
  <c r="N25" i="2" l="1"/>
  <c r="N32" i="2" s="1"/>
  <c r="N26" i="2" l="1"/>
  <c r="N27" i="2" l="1"/>
  <c r="N40" i="2"/>
  <c r="O23" i="2" l="1"/>
  <c r="O24" i="2" s="1"/>
  <c r="O25" i="2" l="1"/>
  <c r="O32" i="2" s="1"/>
  <c r="O26" i="2" l="1"/>
  <c r="O27" i="2" s="1"/>
  <c r="O40" i="2"/>
  <c r="P23" i="2" l="1"/>
  <c r="P24" i="2" s="1"/>
  <c r="P25" i="2" l="1"/>
  <c r="P32" i="2" s="1"/>
  <c r="P26" i="2" l="1"/>
  <c r="P27" i="2"/>
  <c r="P40" i="2"/>
  <c r="Q23" i="2" l="1"/>
  <c r="Q24" i="2" s="1"/>
  <c r="Q25" i="2" l="1"/>
  <c r="Q32" i="2" s="1"/>
  <c r="Q26" i="2" l="1"/>
  <c r="Q27" i="2" l="1"/>
  <c r="Q40" i="2"/>
  <c r="R23" i="2" l="1"/>
  <c r="R24" i="2" s="1"/>
  <c r="R25" i="2" l="1"/>
  <c r="R32" i="2" s="1"/>
  <c r="R26" i="2"/>
  <c r="R27" i="2" l="1"/>
  <c r="R40" i="2"/>
  <c r="S23" i="2" l="1"/>
  <c r="S24" i="2" s="1"/>
  <c r="S25" i="2" l="1"/>
  <c r="S32" i="2" s="1"/>
  <c r="S26" i="2"/>
  <c r="S27" i="2" l="1"/>
  <c r="S40" i="2"/>
  <c r="T23" i="2" l="1"/>
  <c r="T24" i="2" s="1"/>
  <c r="T25" i="2" l="1"/>
  <c r="T32" i="2" s="1"/>
  <c r="T26" i="2"/>
  <c r="T27" i="2" l="1"/>
  <c r="T40" i="2"/>
  <c r="U23" i="2" l="1"/>
  <c r="U24" i="2" s="1"/>
  <c r="U25" i="2" l="1"/>
  <c r="U32" i="2" s="1"/>
  <c r="U26" i="2"/>
  <c r="U27" i="2" l="1"/>
  <c r="U40" i="2"/>
  <c r="V23" i="2" l="1"/>
  <c r="V24" i="2" s="1"/>
  <c r="V25" i="2" l="1"/>
  <c r="V32" i="2" s="1"/>
  <c r="V26" i="2"/>
  <c r="V27" i="2" l="1"/>
  <c r="V40" i="2"/>
  <c r="W26" i="2"/>
  <c r="X26" i="2" l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GR26" i="2" s="1"/>
  <c r="GS26" i="2" s="1"/>
  <c r="GT26" i="2" s="1"/>
  <c r="GU26" i="2" s="1"/>
  <c r="GV26" i="2" s="1"/>
  <c r="GW26" i="2" s="1"/>
  <c r="GX26" i="2" s="1"/>
  <c r="GY26" i="2" s="1"/>
  <c r="GZ26" i="2" s="1"/>
  <c r="HA26" i="2" s="1"/>
  <c r="HB26" i="2" s="1"/>
  <c r="HC26" i="2" s="1"/>
  <c r="HD26" i="2" s="1"/>
  <c r="HE26" i="2" s="1"/>
  <c r="HF26" i="2" s="1"/>
  <c r="HG26" i="2" s="1"/>
  <c r="HH26" i="2" s="1"/>
  <c r="HI26" i="2" s="1"/>
  <c r="HJ26" i="2" s="1"/>
  <c r="HK26" i="2" s="1"/>
  <c r="HL26" i="2" s="1"/>
  <c r="HM26" i="2" s="1"/>
  <c r="HN26" i="2" s="1"/>
  <c r="HO26" i="2" s="1"/>
  <c r="HP26" i="2" s="1"/>
  <c r="HQ26" i="2" s="1"/>
  <c r="HR26" i="2" s="1"/>
  <c r="HS26" i="2" s="1"/>
  <c r="HT26" i="2" s="1"/>
  <c r="HU26" i="2" s="1"/>
  <c r="HV26" i="2" s="1"/>
  <c r="HW26" i="2" s="1"/>
  <c r="HX26" i="2" s="1"/>
  <c r="HY26" i="2" s="1"/>
  <c r="HZ26" i="2" s="1"/>
  <c r="IA26" i="2" s="1"/>
  <c r="IB26" i="2" s="1"/>
  <c r="IC26" i="2" s="1"/>
  <c r="ID26" i="2" s="1"/>
  <c r="IE26" i="2" s="1"/>
  <c r="IF26" i="2" s="1"/>
  <c r="IG26" i="2" s="1"/>
  <c r="IH26" i="2" s="1"/>
  <c r="II26" i="2" s="1"/>
  <c r="IJ26" i="2" s="1"/>
  <c r="IK26" i="2" s="1"/>
  <c r="IL26" i="2" s="1"/>
  <c r="IM26" i="2" s="1"/>
  <c r="IN26" i="2" s="1"/>
  <c r="IO26" i="2" s="1"/>
  <c r="IP26" i="2" s="1"/>
  <c r="IQ26" i="2" s="1"/>
  <c r="IR26" i="2" s="1"/>
  <c r="IS26" i="2" s="1"/>
  <c r="IT26" i="2" s="1"/>
  <c r="IU26" i="2" s="1"/>
  <c r="IV26" i="2" s="1"/>
  <c r="IW26" i="2" s="1"/>
  <c r="IX26" i="2" s="1"/>
  <c r="IY26" i="2" s="1"/>
  <c r="IZ26" i="2" s="1"/>
  <c r="JA26" i="2" s="1"/>
  <c r="JB26" i="2" s="1"/>
  <c r="JC26" i="2" s="1"/>
  <c r="JD26" i="2" s="1"/>
  <c r="JE26" i="2" s="1"/>
  <c r="JF26" i="2" s="1"/>
  <c r="JG26" i="2" s="1"/>
  <c r="JH26" i="2" s="1"/>
  <c r="JI26" i="2" s="1"/>
  <c r="JJ26" i="2" s="1"/>
  <c r="JK26" i="2" s="1"/>
  <c r="JL26" i="2" s="1"/>
  <c r="JM26" i="2" s="1"/>
  <c r="JN26" i="2" s="1"/>
  <c r="JO26" i="2" s="1"/>
  <c r="JP26" i="2" s="1"/>
  <c r="JQ26" i="2" s="1"/>
  <c r="JR26" i="2" s="1"/>
  <c r="JS26" i="2" s="1"/>
  <c r="JT26" i="2" s="1"/>
  <c r="JU26" i="2" s="1"/>
  <c r="JV26" i="2" s="1"/>
  <c r="JW26" i="2" s="1"/>
  <c r="JX26" i="2" s="1"/>
  <c r="JY26" i="2" s="1"/>
  <c r="JZ26" i="2" s="1"/>
  <c r="KA26" i="2" s="1"/>
  <c r="KB26" i="2" s="1"/>
  <c r="KC26" i="2" s="1"/>
  <c r="KD26" i="2" s="1"/>
  <c r="KE26" i="2" s="1"/>
  <c r="KF26" i="2" s="1"/>
  <c r="KG26" i="2" s="1"/>
  <c r="KH26" i="2" s="1"/>
  <c r="KI26" i="2" s="1"/>
  <c r="KJ26" i="2" s="1"/>
  <c r="KK26" i="2" s="1"/>
  <c r="KL26" i="2" s="1"/>
  <c r="KM26" i="2" s="1"/>
  <c r="KN26" i="2" s="1"/>
  <c r="KO26" i="2" s="1"/>
  <c r="KP26" i="2" s="1"/>
  <c r="KQ26" i="2" s="1"/>
  <c r="KR26" i="2" s="1"/>
  <c r="KS26" i="2" s="1"/>
  <c r="KT26" i="2" s="1"/>
  <c r="KU26" i="2" s="1"/>
  <c r="KV26" i="2" s="1"/>
  <c r="KW26" i="2" s="1"/>
  <c r="KX26" i="2" s="1"/>
  <c r="KY26" i="2" s="1"/>
  <c r="KZ26" i="2" s="1"/>
  <c r="LA26" i="2" s="1"/>
  <c r="LB26" i="2" s="1"/>
  <c r="LC26" i="2" s="1"/>
  <c r="LD26" i="2" s="1"/>
  <c r="LE26" i="2" s="1"/>
  <c r="LF26" i="2" s="1"/>
  <c r="LG26" i="2" s="1"/>
  <c r="LH26" i="2" s="1"/>
  <c r="LI26" i="2" s="1"/>
  <c r="LJ26" i="2" s="1"/>
  <c r="LK26" i="2" s="1"/>
  <c r="LL26" i="2" s="1"/>
  <c r="LM26" i="2" s="1"/>
  <c r="LN26" i="2" s="1"/>
  <c r="LO26" i="2" s="1"/>
  <c r="LP26" i="2" s="1"/>
  <c r="LQ26" i="2" s="1"/>
  <c r="LR26" i="2" s="1"/>
  <c r="LS26" i="2" s="1"/>
  <c r="LT26" i="2" s="1"/>
  <c r="LU26" i="2" s="1"/>
  <c r="LV26" i="2" s="1"/>
  <c r="LW26" i="2" s="1"/>
  <c r="LX26" i="2" s="1"/>
  <c r="LY26" i="2" s="1"/>
  <c r="LZ26" i="2" s="1"/>
  <c r="MA26" i="2" s="1"/>
  <c r="MB26" i="2" s="1"/>
  <c r="MC26" i="2" s="1"/>
  <c r="MD26" i="2" s="1"/>
  <c r="ME26" i="2" s="1"/>
  <c r="MF26" i="2" s="1"/>
  <c r="MG26" i="2" s="1"/>
  <c r="MH26" i="2" s="1"/>
  <c r="F5" i="2" s="1"/>
  <c r="F6" i="2" l="1"/>
  <c r="F7" i="2" s="1"/>
  <c r="G7" i="2" s="1"/>
</calcChain>
</file>

<file path=xl/sharedStrings.xml><?xml version="1.0" encoding="utf-8"?>
<sst xmlns="http://schemas.openxmlformats.org/spreadsheetml/2006/main" count="176" uniqueCount="128">
  <si>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</si>
  <si>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</si>
  <si>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</si>
  <si>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</si>
  <si>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</si>
  <si>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</si>
  <si>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</si>
  <si>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</si>
  <si>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</si>
  <si>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</si>
  <si>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</si>
  <si>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</si>
  <si>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</si>
  <si>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</si>
  <si>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</si>
  <si>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</si>
  <si>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</si>
  <si>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</si>
  <si>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</si>
  <si>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</si>
  <si>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</si>
  <si>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</si>
  <si>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</si>
  <si>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</si>
  <si>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</si>
  <si>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</si>
  <si>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</si>
  <si>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</si>
  <si>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</si>
  <si>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</si>
  <si>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</si>
  <si>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</si>
  <si>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</si>
  <si>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</si>
  <si>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</si>
  <si>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</si>
  <si>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</si>
  <si>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</si>
  <si>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</si>
  <si>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</si>
  <si>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</si>
  <si>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</si>
  <si>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</si>
  <si>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</si>
  <si>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</si>
  <si>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</si>
  <si>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</si>
  <si>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</si>
  <si>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</si>
  <si>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</si>
  <si>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</si>
  <si>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</si>
  <si>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</si>
  <si>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</si>
  <si>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</si>
  <si>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</si>
  <si>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</si>
  <si>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</si>
  <si>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Google other</t>
  </si>
  <si>
    <t>Google advertising</t>
  </si>
  <si>
    <t>Other bets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</si>
  <si>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</si>
  <si>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</si>
  <si>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</si>
  <si>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</si>
  <si>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</si>
  <si>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</si>
  <si>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</si>
  <si>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</si>
  <si>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</si>
  <si>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</si>
  <si>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Larry Page</t>
  </si>
  <si>
    <t>Sergey Brin</t>
  </si>
  <si>
    <t>Q119</t>
  </si>
  <si>
    <t>Q219</t>
  </si>
  <si>
    <t>Q319</t>
  </si>
  <si>
    <t>Q419</t>
  </si>
  <si>
    <t>Other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</si>
  <si>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</si>
  <si>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</si>
  <si>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</si>
  <si>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</si>
  <si>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</si>
  <si>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</si>
  <si>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</si>
  <si>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</si>
  <si>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</si>
  <si>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Investor Relations</t>
  </si>
  <si>
    <t>Alphabet Inc (GOOGL)</t>
  </si>
  <si>
    <t>Google advertising y/y</t>
  </si>
  <si>
    <t>Google other y/y</t>
  </si>
  <si>
    <t>Other bets y/y</t>
  </si>
  <si>
    <t>Google</t>
  </si>
  <si>
    <t>Android</t>
  </si>
  <si>
    <t>Chrome</t>
  </si>
  <si>
    <t>Google Maps</t>
  </si>
  <si>
    <t>Google Play</t>
  </si>
  <si>
    <t>Nest</t>
  </si>
  <si>
    <t>Search</t>
  </si>
  <si>
    <t>YouTube</t>
  </si>
  <si>
    <t>Access</t>
  </si>
  <si>
    <t>Calico</t>
  </si>
  <si>
    <t>CapitalG</t>
  </si>
  <si>
    <t>Chronicle</t>
  </si>
  <si>
    <t>GV</t>
  </si>
  <si>
    <t>Verily</t>
  </si>
  <si>
    <t>Waymo</t>
  </si>
  <si>
    <t>X</t>
  </si>
  <si>
    <t>Tax anomaly &amp; fines</t>
  </si>
  <si>
    <t>31/3/2019</t>
  </si>
  <si>
    <t>31/12/2019</t>
  </si>
  <si>
    <t>OE y/y</t>
  </si>
  <si>
    <t>30/6/2019</t>
  </si>
  <si>
    <t>30/9/2019</t>
  </si>
  <si>
    <t>Advertising</t>
  </si>
  <si>
    <t>Google Cloud</t>
  </si>
  <si>
    <t>Discontinued?</t>
  </si>
  <si>
    <t>PRODUCTS</t>
  </si>
  <si>
    <t>Life science</t>
  </si>
  <si>
    <t>Google cloud</t>
  </si>
  <si>
    <t>Google cloud y/y</t>
  </si>
  <si>
    <t>Q120</t>
  </si>
  <si>
    <t>Q220</t>
  </si>
  <si>
    <t>Q320</t>
  </si>
  <si>
    <t>Q420</t>
  </si>
  <si>
    <t>Net Income TTM</t>
  </si>
  <si>
    <t>Revenue TTM</t>
  </si>
  <si>
    <t>Revenue TTM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</si>
</sst>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9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3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7">
    <xf numFmtId="3" fontId="0" fillId="0" borderId="0" xfId="0"/>
    <xf numFmtId="0" fontId="4" fillId="0" borderId="0" xfId="4" applyFont="1" applyBorder="1"/>
    <xf numFmtId="3" fontId="5" fillId="0" borderId="0" xfId="0" applyFont="1"/>
    <xf numFmtId="3" fontId="6" fillId="0" borderId="0" xfId="0" applyFont="1"/>
    <xf numFmtId="4" fontId="6" fillId="0" borderId="0" xfId="0" applyNumberFormat="1" applyFont="1" applyBorder="1"/>
    <xf numFmtId="3" fontId="7" fillId="0" borderId="0" xfId="0" applyFont="1"/>
    <xf numFmtId="3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3" fontId="5" fillId="0" borderId="0" xfId="0" applyFont="1" applyBorder="1"/>
    <xf numFmtId="164" fontId="5" fillId="2" borderId="0" xfId="0" applyNumberFormat="1" applyFont="1" applyFill="1"/>
    <xf numFmtId="3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2" borderId="0" xfId="0" applyNumberFormat="1" applyFont="1" applyFill="1" applyBorder="1"/>
    <xf numFmtId="3" fontId="6" fillId="0" borderId="0" xfId="0" applyFont="1" applyFill="1" applyBorder="1"/>
    <xf numFmtId="9" fontId="6" fillId="0" borderId="0" xfId="0" applyNumberFormat="1" applyFont="1"/>
    <xf numFmtId="3" fontId="6" fillId="0" borderId="0" xfId="0" applyFont="1" applyBorder="1" applyAlignment="1">
      <alignment horizontal="right"/>
    </xf>
    <xf numFmtId="3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0" borderId="0" xfId="0" applyFont="1" applyFill="1" applyBorder="1"/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6" fillId="0" borderId="0" xfId="0" applyFont="1" applyAlignment="1">
      <alignment horizontal="left"/>
    </xf>
    <xf numFmtId="0" fontId="5" fillId="0" borderId="0" xfId="0" applyNumberFormat="1" applyFont="1" applyAlignment="1">
      <alignment horizontal="left"/>
    </xf>
    <xf numFmtId="3" fontId="0" fillId="0" borderId="0" xfId="0" applyFont="1"/>
    <xf numFmtId="0" fontId="5" fillId="0" borderId="0" xfId="0" applyNumberFormat="1" applyFont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3" fontId="5" fillId="0" borderId="2" xfId="0" applyFont="1" applyBorder="1"/>
    <xf numFmtId="3" fontId="6" fillId="0" borderId="2" xfId="0" applyFont="1" applyBorder="1"/>
    <xf numFmtId="3" fontId="8" fillId="0" borderId="0" xfId="0" applyFont="1"/>
    <xf numFmtId="3" fontId="0" fillId="0" borderId="0" xfId="0" applyFont="1" applyFill="1" applyBorder="1"/>
    <xf numFmtId="14" fontId="6" fillId="0" borderId="0" xfId="0" applyNumberFormat="1" applyFont="1" applyAlignment="1">
      <alignment horizontal="left"/>
    </xf>
    <xf numFmtId="0" fontId="4" fillId="0" borderId="0" xfId="4" applyNumberFormat="1" applyFont="1" applyBorder="1"/>
    <xf numFmtId="0" fontId="6" fillId="0" borderId="0" xfId="0" applyNumberFormat="1" applyFont="1" applyBorder="1" applyAlignment="1">
      <alignment horizontal="right"/>
    </xf>
    <xf numFmtId="0" fontId="6" fillId="0" borderId="1" xfId="0" applyNumberFormat="1" applyFont="1" applyBorder="1" applyAlignment="1">
      <alignment horizontal="right"/>
    </xf>
    <xf numFmtId="0" fontId="6" fillId="0" borderId="0" xfId="0" applyNumberFormat="1" applyFont="1" applyBorder="1"/>
    <xf numFmtId="0" fontId="0" fillId="0" borderId="1" xfId="0" applyNumberFormat="1" applyFont="1" applyFill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/>
    <xf numFmtId="3" fontId="6" fillId="0" borderId="1" xfId="0" applyFont="1" applyBorder="1"/>
    <xf numFmtId="3" fontId="0" fillId="0" borderId="1" xfId="0" applyNumberFormat="1" applyFont="1" applyFill="1" applyBorder="1" applyAlignment="1">
      <alignment horizontal="right"/>
    </xf>
    <xf numFmtId="3" fontId="7" fillId="0" borderId="1" xfId="0" applyFont="1" applyBorder="1"/>
    <xf numFmtId="0" fontId="0" fillId="0" borderId="0" xfId="0" applyNumberFormat="1" applyFont="1" applyFill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9" fontId="7" fillId="0" borderId="0" xfId="0" applyNumberFormat="1" applyFont="1" applyAlignment="1">
      <alignment horizontal="right"/>
    </xf>
    <xf numFmtId="9" fontId="5" fillId="0" borderId="0" xfId="0" applyNumberFormat="1" applyFont="1" applyFill="1" applyBorder="1"/>
    <xf numFmtId="9" fontId="5" fillId="0" borderId="0" xfId="0" applyNumberFormat="1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9" fontId="5" fillId="0" borderId="0" xfId="0" applyNumberFormat="1" applyFont="1" applyBorder="1"/>
    <xf numFmtId="3" fontId="5" fillId="2" borderId="0" xfId="0" applyFont="1" applyFill="1" applyBorder="1" applyAlignment="1">
      <alignment horizontal="right"/>
    </xf>
    <xf numFmtId="3" fontId="5" fillId="2" borderId="1" xfId="0" applyFont="1" applyFill="1" applyBorder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7</xdr:row>
      <xdr:rowOff>152400</xdr:rowOff>
    </xdr:from>
    <xdr:to>
      <xdr:col>7</xdr:col>
      <xdr:colOff>88900</xdr:colOff>
      <xdr:row>60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477977" y="1314938"/>
          <a:ext cx="0" cy="1048922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307731</xdr:colOff>
      <xdr:row>0</xdr:row>
      <xdr:rowOff>139700</xdr:rowOff>
    </xdr:from>
    <xdr:to>
      <xdr:col>25</xdr:col>
      <xdr:colOff>307731</xdr:colOff>
      <xdr:row>58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1643731" y="139700"/>
          <a:ext cx="0" cy="997731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ergey_Brin" TargetMode="External"/><Relationship Id="rId2" Type="http://schemas.openxmlformats.org/officeDocument/2006/relationships/hyperlink" Target="https://en.wikipedia.org/wiki/Larry_Page" TargetMode="External"/><Relationship Id="rId1" Type="http://schemas.openxmlformats.org/officeDocument/2006/relationships/hyperlink" Target="https://en.wikipedia.org/wiki/Larry_Page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abc.xyz/investo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652044&amp;owner=exclude&amp;count=40&amp;hidefilings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H60"/>
  <sheetViews>
    <sheetView zoomScale="130" zoomScaleNormal="130" workbookViewId="0">
      <pane xSplit="1" ySplit="9" topLeftCell="B23" activePane="bottomRight" state="frozen"/>
      <selection pane="topRight" activeCell="B1" sqref="B1"/>
      <selection pane="bottomLeft" activeCell="A11" sqref="A11"/>
      <selection pane="bottomRight" activeCell="H49" sqref="H49"/>
    </sheetView>
  </sheetViews>
  <sheetFormatPr baseColWidth="10" defaultRowHeight="13" x14ac:dyDescent="0.15"/>
  <cols>
    <col min="1" max="1" width="18.5" style="3" bestFit="1" customWidth="1"/>
    <col min="2" max="16384" width="10.83203125" style="3"/>
  </cols>
  <sheetData>
    <row r="1" spans="1:122" x14ac:dyDescent="0.15">
      <c r="A1" s="1" t="s">
        <v>87</v>
      </c>
      <c r="B1" s="2" t="s">
        <v>88</v>
      </c>
    </row>
    <row r="2" spans="1:122" x14ac:dyDescent="0.15">
      <c r="B2" s="3" t="s">
        <v>67</v>
      </c>
      <c r="C2" s="4">
        <v>2113.41</v>
      </c>
      <c r="D2" s="66">
        <v>44243</v>
      </c>
      <c r="E2" s="6" t="s">
        <v>37</v>
      </c>
      <c r="F2" s="7">
        <v>-0.01</v>
      </c>
      <c r="I2" s="16"/>
      <c r="L2" s="2"/>
    </row>
    <row r="3" spans="1:122" x14ac:dyDescent="0.15">
      <c r="A3" s="2" t="s">
        <v>65</v>
      </c>
      <c r="B3" s="3" t="s">
        <v>17</v>
      </c>
      <c r="C3" s="8">
        <f>Reports!Y22</f>
        <v>682.96900000000005</v>
      </c>
      <c r="D3" s="49" t="s">
        <v>124</v>
      </c>
      <c r="E3" s="6" t="s">
        <v>38</v>
      </c>
      <c r="F3" s="7">
        <v>0.05</v>
      </c>
      <c r="G3" s="5"/>
      <c r="I3" s="16"/>
    </row>
    <row r="4" spans="1:122" x14ac:dyDescent="0.15">
      <c r="A4" s="9" t="s">
        <v>71</v>
      </c>
      <c r="B4" s="3" t="s">
        <v>68</v>
      </c>
      <c r="C4" s="10">
        <f>C2*C3</f>
        <v>1443393.5142900001</v>
      </c>
      <c r="D4" s="49"/>
      <c r="E4" s="6" t="s">
        <v>39</v>
      </c>
      <c r="F4" s="7">
        <f>6%</f>
        <v>0.06</v>
      </c>
      <c r="G4" s="5"/>
      <c r="I4" s="19"/>
      <c r="L4" s="9"/>
    </row>
    <row r="5" spans="1:122" x14ac:dyDescent="0.15">
      <c r="B5" s="3" t="s">
        <v>33</v>
      </c>
      <c r="C5" s="8">
        <f>Reports!Y34</f>
        <v>122762</v>
      </c>
      <c r="D5" s="49" t="s">
        <v>124</v>
      </c>
      <c r="E5" s="6" t="s">
        <v>40</v>
      </c>
      <c r="F5" s="11">
        <f>NPV(F4,H26:MH26)</f>
        <v>3090562.0429130816</v>
      </c>
      <c r="G5" s="5"/>
      <c r="I5" s="19"/>
    </row>
    <row r="6" spans="1:122" x14ac:dyDescent="0.15">
      <c r="A6" s="2" t="s">
        <v>66</v>
      </c>
      <c r="B6" s="3" t="s">
        <v>69</v>
      </c>
      <c r="C6" s="10">
        <f>C4-C5</f>
        <v>1320631.5142900001</v>
      </c>
      <c r="D6" s="49"/>
      <c r="E6" s="12" t="s">
        <v>41</v>
      </c>
      <c r="F6" s="13">
        <f>F5+C5</f>
        <v>3213324.0429130816</v>
      </c>
      <c r="I6" s="19"/>
    </row>
    <row r="7" spans="1:122" x14ac:dyDescent="0.15">
      <c r="A7" s="9" t="s">
        <v>71</v>
      </c>
      <c r="B7" s="5" t="s">
        <v>70</v>
      </c>
      <c r="C7" s="46">
        <f>C6/C3</f>
        <v>1933.6624565536649</v>
      </c>
      <c r="D7" s="49"/>
      <c r="E7" s="14" t="s">
        <v>70</v>
      </c>
      <c r="F7" s="45">
        <f>F6/C3</f>
        <v>4704.933961736303</v>
      </c>
      <c r="G7" s="80">
        <f>F7/C2-1</f>
        <v>1.2262286833772449</v>
      </c>
    </row>
    <row r="8" spans="1:122" x14ac:dyDescent="0.15">
      <c r="A8" s="9" t="s">
        <v>72</v>
      </c>
      <c r="E8" s="6"/>
      <c r="F8" s="15"/>
    </row>
    <row r="9" spans="1:122" s="50" customFormat="1" x14ac:dyDescent="0.15">
      <c r="B9" s="52">
        <v>2015</v>
      </c>
      <c r="C9" s="52">
        <v>2016</v>
      </c>
      <c r="D9" s="52">
        <v>2017</v>
      </c>
      <c r="E9" s="52">
        <f>D9+1</f>
        <v>2018</v>
      </c>
      <c r="F9" s="52">
        <f t="shared" ref="F9:V9" si="0">E9+1</f>
        <v>2019</v>
      </c>
      <c r="G9" s="52">
        <f t="shared" si="0"/>
        <v>2020</v>
      </c>
      <c r="H9" s="52">
        <f t="shared" si="0"/>
        <v>2021</v>
      </c>
      <c r="I9" s="52">
        <f t="shared" si="0"/>
        <v>2022</v>
      </c>
      <c r="J9" s="52">
        <f t="shared" si="0"/>
        <v>2023</v>
      </c>
      <c r="K9" s="52">
        <f t="shared" si="0"/>
        <v>2024</v>
      </c>
      <c r="L9" s="52">
        <f t="shared" si="0"/>
        <v>2025</v>
      </c>
      <c r="M9" s="52">
        <f t="shared" si="0"/>
        <v>2026</v>
      </c>
      <c r="N9" s="52">
        <f t="shared" si="0"/>
        <v>2027</v>
      </c>
      <c r="O9" s="52">
        <f t="shared" si="0"/>
        <v>2028</v>
      </c>
      <c r="P9" s="52">
        <f t="shared" si="0"/>
        <v>2029</v>
      </c>
      <c r="Q9" s="52">
        <f t="shared" si="0"/>
        <v>2030</v>
      </c>
      <c r="R9" s="52">
        <f t="shared" si="0"/>
        <v>2031</v>
      </c>
      <c r="S9" s="52">
        <f t="shared" si="0"/>
        <v>2032</v>
      </c>
      <c r="T9" s="52">
        <f t="shared" si="0"/>
        <v>2033</v>
      </c>
      <c r="U9" s="52">
        <f t="shared" si="0"/>
        <v>2034</v>
      </c>
      <c r="V9" s="52">
        <f t="shared" si="0"/>
        <v>2035</v>
      </c>
    </row>
    <row r="10" spans="1:122" x14ac:dyDescent="0.15">
      <c r="A10" s="3" t="s">
        <v>59</v>
      </c>
      <c r="B10" s="23">
        <f>SUM(Reports!B3:E3)</f>
        <v>67390</v>
      </c>
      <c r="C10" s="23">
        <f>SUM(Reports!F3:I3)</f>
        <v>79383</v>
      </c>
      <c r="D10" s="40">
        <f>SUM(Reports!J3:M3)</f>
        <v>95375</v>
      </c>
      <c r="E10" s="40">
        <f>SUM(Reports!N3:Q3)</f>
        <v>116201</v>
      </c>
      <c r="F10" s="40">
        <f>SUM(Reports!R3:U3)</f>
        <v>134811</v>
      </c>
      <c r="G10" s="40">
        <f>SUM(Reports!V3:Y3)</f>
        <v>146924</v>
      </c>
      <c r="H10" s="40">
        <f>G10*1.05</f>
        <v>154270.20000000001</v>
      </c>
      <c r="I10" s="40">
        <f t="shared" ref="I10:L10" si="1">H10*1.05</f>
        <v>161983.71000000002</v>
      </c>
      <c r="J10" s="40">
        <f t="shared" si="1"/>
        <v>170082.89550000004</v>
      </c>
      <c r="K10" s="40">
        <f t="shared" si="1"/>
        <v>178587.04027500006</v>
      </c>
      <c r="L10" s="40">
        <f t="shared" si="1"/>
        <v>187516.39228875007</v>
      </c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</row>
    <row r="11" spans="1:122" x14ac:dyDescent="0.15">
      <c r="A11" s="3" t="s">
        <v>119</v>
      </c>
      <c r="B11" s="23"/>
      <c r="C11" s="23"/>
      <c r="D11" s="40"/>
      <c r="E11" s="40">
        <f>SUM(Reports!N4:Q4)</f>
        <v>1709</v>
      </c>
      <c r="F11" s="40">
        <f>SUM(Reports!R4:U4)</f>
        <v>8918</v>
      </c>
      <c r="G11" s="40">
        <f>SUM(Reports!V4:Y4)</f>
        <v>13059</v>
      </c>
      <c r="H11" s="40">
        <f>G11*1.45</f>
        <v>18935.55</v>
      </c>
      <c r="I11" s="40">
        <f>H11*1.4</f>
        <v>26509.769999999997</v>
      </c>
      <c r="J11" s="40">
        <f>I11*1.35</f>
        <v>35788.1895</v>
      </c>
      <c r="K11" s="40">
        <f>J11*1.3</f>
        <v>46524.646350000003</v>
      </c>
      <c r="L11" s="40">
        <f>K11*1.25</f>
        <v>58155.807937500002</v>
      </c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</row>
    <row r="12" spans="1:122" x14ac:dyDescent="0.15">
      <c r="A12" s="3" t="s">
        <v>58</v>
      </c>
      <c r="B12" s="23">
        <f>SUM(Reports!B5:E5)</f>
        <v>7154</v>
      </c>
      <c r="C12" s="23">
        <f>SUM(Reports!F5:I5)</f>
        <v>10079</v>
      </c>
      <c r="D12" s="40">
        <f>SUM(Reports!J5:M5)</f>
        <v>14277</v>
      </c>
      <c r="E12" s="40">
        <f>SUM(Reports!N5:Q5)</f>
        <v>18190</v>
      </c>
      <c r="F12" s="40">
        <f>SUM(Reports!R5:U5)</f>
        <v>17014</v>
      </c>
      <c r="G12" s="40">
        <f>SUM(Reports!V5:Y5)</f>
        <v>21711</v>
      </c>
      <c r="H12" s="40">
        <f>G12*1.25</f>
        <v>27138.75</v>
      </c>
      <c r="I12" s="40">
        <f t="shared" ref="I12:L12" si="2">H12*1.25</f>
        <v>33923.4375</v>
      </c>
      <c r="J12" s="40">
        <f t="shared" si="2"/>
        <v>42404.296875</v>
      </c>
      <c r="K12" s="40">
        <f t="shared" si="2"/>
        <v>53005.37109375</v>
      </c>
      <c r="L12" s="40">
        <f t="shared" si="2"/>
        <v>66256.7138671875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</row>
    <row r="13" spans="1:122" x14ac:dyDescent="0.15">
      <c r="A13" s="3" t="s">
        <v>60</v>
      </c>
      <c r="B13" s="23">
        <f>SUM(Reports!B6:E6)</f>
        <v>445</v>
      </c>
      <c r="C13" s="23">
        <f>SUM(Reports!F6:I6)</f>
        <v>810</v>
      </c>
      <c r="D13" s="40">
        <f>SUM(Reports!J6:M6)</f>
        <v>1203</v>
      </c>
      <c r="E13" s="40">
        <f>SUM(Reports!N6:Q6)</f>
        <v>719</v>
      </c>
      <c r="F13" s="40">
        <f>SUM(Reports!R6:U6)</f>
        <v>1114</v>
      </c>
      <c r="G13" s="40">
        <f>SUM(Reports!V6:Y6)</f>
        <v>833</v>
      </c>
      <c r="H13" s="40">
        <f>G13*0.95</f>
        <v>791.34999999999991</v>
      </c>
      <c r="I13" s="40">
        <f t="shared" ref="I13:L13" si="3">H13*0.95</f>
        <v>751.78249999999991</v>
      </c>
      <c r="J13" s="40">
        <f t="shared" si="3"/>
        <v>714.19337499999983</v>
      </c>
      <c r="K13" s="40">
        <f t="shared" si="3"/>
        <v>678.48370624999984</v>
      </c>
      <c r="L13" s="40">
        <f t="shared" si="3"/>
        <v>644.55952093749977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</row>
    <row r="14" spans="1:122" x14ac:dyDescent="0.15">
      <c r="B14" s="41"/>
      <c r="C14" s="41"/>
      <c r="D14" s="41"/>
      <c r="E14" s="41"/>
      <c r="F14" s="40"/>
      <c r="G14" s="40"/>
      <c r="H14" s="40"/>
      <c r="I14" s="40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spans="1:122" x14ac:dyDescent="0.15">
      <c r="A15" s="2" t="s">
        <v>4</v>
      </c>
      <c r="B15" s="25">
        <f t="shared" ref="B15:L15" si="4">SUM(B10:B13)</f>
        <v>74989</v>
      </c>
      <c r="C15" s="25">
        <f t="shared" si="4"/>
        <v>90272</v>
      </c>
      <c r="D15" s="25">
        <f t="shared" si="4"/>
        <v>110855</v>
      </c>
      <c r="E15" s="25">
        <f t="shared" si="4"/>
        <v>136819</v>
      </c>
      <c r="F15" s="25">
        <f t="shared" si="4"/>
        <v>161857</v>
      </c>
      <c r="G15" s="25">
        <f t="shared" si="4"/>
        <v>182527</v>
      </c>
      <c r="H15" s="53">
        <f t="shared" si="4"/>
        <v>201135.85</v>
      </c>
      <c r="I15" s="53">
        <f t="shared" si="4"/>
        <v>223168.7</v>
      </c>
      <c r="J15" s="53">
        <f t="shared" si="4"/>
        <v>248989.57525000005</v>
      </c>
      <c r="K15" s="53">
        <f t="shared" si="4"/>
        <v>278795.54142500006</v>
      </c>
      <c r="L15" s="53">
        <f t="shared" si="4"/>
        <v>312573.47361437511</v>
      </c>
      <c r="M15" s="53">
        <f t="shared" ref="M15:V15" si="5">L15*1.1</f>
        <v>343830.82097581262</v>
      </c>
      <c r="N15" s="53">
        <f t="shared" si="5"/>
        <v>378213.90307339391</v>
      </c>
      <c r="O15" s="53">
        <f t="shared" si="5"/>
        <v>416035.29338073335</v>
      </c>
      <c r="P15" s="53">
        <f t="shared" si="5"/>
        <v>457638.82271880674</v>
      </c>
      <c r="Q15" s="53">
        <f t="shared" si="5"/>
        <v>503402.70499068743</v>
      </c>
      <c r="R15" s="53">
        <f t="shared" si="5"/>
        <v>553742.97548975621</v>
      </c>
      <c r="S15" s="53">
        <f t="shared" si="5"/>
        <v>609117.27303873189</v>
      </c>
      <c r="T15" s="53">
        <f t="shared" si="5"/>
        <v>670029.00034260517</v>
      </c>
      <c r="U15" s="53">
        <f t="shared" si="5"/>
        <v>737031.90037686576</v>
      </c>
      <c r="V15" s="53">
        <f t="shared" si="5"/>
        <v>810735.09041455237</v>
      </c>
    </row>
    <row r="16" spans="1:122" x14ac:dyDescent="0.15">
      <c r="A16" s="3" t="s">
        <v>5</v>
      </c>
      <c r="B16" s="23">
        <f>SUM(Reports!B9:E9)</f>
        <v>28164</v>
      </c>
      <c r="C16" s="23">
        <f>SUM(Reports!F9:I9)</f>
        <v>35138</v>
      </c>
      <c r="D16" s="40">
        <f>SUM(Reports!J9:M9)</f>
        <v>45583</v>
      </c>
      <c r="E16" s="23">
        <f>SUM(Reports!N9:Q9)</f>
        <v>59549</v>
      </c>
      <c r="F16" s="40">
        <f>SUM(Reports!R9:U9)</f>
        <v>71896</v>
      </c>
      <c r="G16" s="40">
        <f>SUM(Reports!V9:Y9)</f>
        <v>84732</v>
      </c>
      <c r="H16" s="23">
        <f t="shared" ref="H16" si="6">H15-H17</f>
        <v>93370.530618483826</v>
      </c>
      <c r="I16" s="23">
        <f t="shared" ref="I16:Q16" si="7">I15-I17</f>
        <v>103598.53768702711</v>
      </c>
      <c r="J16" s="23">
        <f t="shared" si="7"/>
        <v>115585.00764315965</v>
      </c>
      <c r="K16" s="23">
        <f t="shared" si="7"/>
        <v>129421.4215761126</v>
      </c>
      <c r="L16" s="23">
        <f t="shared" ref="L16" si="8">L15-L17</f>
        <v>145101.68668905547</v>
      </c>
      <c r="M16" s="23">
        <f t="shared" si="7"/>
        <v>159611.85535796103</v>
      </c>
      <c r="N16" s="23">
        <f t="shared" si="7"/>
        <v>175573.04089375713</v>
      </c>
      <c r="O16" s="23">
        <f t="shared" si="7"/>
        <v>193130.34498313288</v>
      </c>
      <c r="P16" s="23">
        <f t="shared" si="7"/>
        <v>212443.37948144617</v>
      </c>
      <c r="Q16" s="23">
        <f t="shared" si="7"/>
        <v>233687.71742959082</v>
      </c>
      <c r="R16" s="23">
        <f t="shared" ref="R16:U16" si="9">R15-R17</f>
        <v>257056.48917254992</v>
      </c>
      <c r="S16" s="23">
        <f t="shared" si="9"/>
        <v>282762.13808980491</v>
      </c>
      <c r="T16" s="23">
        <f t="shared" si="9"/>
        <v>311038.35189878545</v>
      </c>
      <c r="U16" s="23">
        <f t="shared" si="9"/>
        <v>342142.18708866404</v>
      </c>
      <c r="V16" s="23">
        <f t="shared" ref="V16" si="10">V15-V17</f>
        <v>376356.40579753049</v>
      </c>
    </row>
    <row r="17" spans="1:346" x14ac:dyDescent="0.15">
      <c r="A17" s="3" t="s">
        <v>6</v>
      </c>
      <c r="B17" s="28">
        <f t="shared" ref="B17:G17" si="11">B15-B16</f>
        <v>46825</v>
      </c>
      <c r="C17" s="28">
        <f t="shared" si="11"/>
        <v>55134</v>
      </c>
      <c r="D17" s="28">
        <f t="shared" si="11"/>
        <v>65272</v>
      </c>
      <c r="E17" s="28">
        <f t="shared" si="11"/>
        <v>77270</v>
      </c>
      <c r="F17" s="28">
        <f t="shared" si="11"/>
        <v>89961</v>
      </c>
      <c r="G17" s="28">
        <f t="shared" si="11"/>
        <v>97795</v>
      </c>
      <c r="H17" s="23">
        <f t="shared" ref="H17:V17" si="12">H15*G30</f>
        <v>107765.31938151618</v>
      </c>
      <c r="I17" s="23">
        <f t="shared" si="12"/>
        <v>119570.1623129729</v>
      </c>
      <c r="J17" s="23">
        <f t="shared" si="12"/>
        <v>133404.5676068404</v>
      </c>
      <c r="K17" s="23">
        <f t="shared" si="12"/>
        <v>149374.11984888747</v>
      </c>
      <c r="L17" s="23">
        <f t="shared" si="12"/>
        <v>167471.78692531964</v>
      </c>
      <c r="M17" s="23">
        <f t="shared" si="12"/>
        <v>184218.96561785159</v>
      </c>
      <c r="N17" s="23">
        <f t="shared" si="12"/>
        <v>202640.86217963678</v>
      </c>
      <c r="O17" s="23">
        <f t="shared" si="12"/>
        <v>222904.94839760047</v>
      </c>
      <c r="P17" s="23">
        <f t="shared" si="12"/>
        <v>245195.44323736057</v>
      </c>
      <c r="Q17" s="23">
        <f t="shared" si="12"/>
        <v>269714.98756109661</v>
      </c>
      <c r="R17" s="23">
        <f t="shared" si="12"/>
        <v>296686.48631720629</v>
      </c>
      <c r="S17" s="23">
        <f t="shared" si="12"/>
        <v>326355.13494892698</v>
      </c>
      <c r="T17" s="23">
        <f t="shared" si="12"/>
        <v>358990.64844381972</v>
      </c>
      <c r="U17" s="23">
        <f t="shared" si="12"/>
        <v>394889.71328820172</v>
      </c>
      <c r="V17" s="23">
        <f t="shared" si="12"/>
        <v>434378.68461702188</v>
      </c>
    </row>
    <row r="18" spans="1:346" x14ac:dyDescent="0.15">
      <c r="A18" s="3" t="s">
        <v>7</v>
      </c>
      <c r="B18" s="23">
        <f>SUM(Reports!B11:E11)</f>
        <v>12282</v>
      </c>
      <c r="C18" s="23">
        <f>SUM(Reports!F11:I11)</f>
        <v>13948</v>
      </c>
      <c r="D18" s="40">
        <f>SUM(Reports!J11:M11)</f>
        <v>16625</v>
      </c>
      <c r="E18" s="23">
        <f>SUM(Reports!N11:Q11)</f>
        <v>21419</v>
      </c>
      <c r="F18" s="40">
        <f>SUM(Reports!R11:U11)</f>
        <v>26018</v>
      </c>
      <c r="G18" s="40">
        <f>SUM(Reports!V11:Y11)</f>
        <v>27573</v>
      </c>
      <c r="H18" s="23">
        <f>G18*1.1</f>
        <v>30330.300000000003</v>
      </c>
      <c r="I18" s="23">
        <f t="shared" ref="I18:L18" si="13">H18*1.1</f>
        <v>33363.330000000009</v>
      </c>
      <c r="J18" s="23">
        <f t="shared" si="13"/>
        <v>36699.663000000015</v>
      </c>
      <c r="K18" s="23">
        <f t="shared" si="13"/>
        <v>40369.629300000022</v>
      </c>
      <c r="L18" s="23">
        <f t="shared" si="13"/>
        <v>44406.592230000031</v>
      </c>
      <c r="M18" s="23">
        <f t="shared" ref="M18:V18" si="14">L18*1.05</f>
        <v>46626.921841500036</v>
      </c>
      <c r="N18" s="23">
        <f t="shared" si="14"/>
        <v>48958.267933575036</v>
      </c>
      <c r="O18" s="23">
        <f t="shared" si="14"/>
        <v>51406.181330253792</v>
      </c>
      <c r="P18" s="23">
        <f t="shared" si="14"/>
        <v>53976.490396766487</v>
      </c>
      <c r="Q18" s="23">
        <f t="shared" si="14"/>
        <v>56675.314916604817</v>
      </c>
      <c r="R18" s="23">
        <f t="shared" si="14"/>
        <v>59509.080662435059</v>
      </c>
      <c r="S18" s="23">
        <f t="shared" si="14"/>
        <v>62484.534695556817</v>
      </c>
      <c r="T18" s="23">
        <f t="shared" si="14"/>
        <v>65608.761430334664</v>
      </c>
      <c r="U18" s="23">
        <f t="shared" si="14"/>
        <v>68889.199501851399</v>
      </c>
      <c r="V18" s="23">
        <f t="shared" si="14"/>
        <v>72333.659476943969</v>
      </c>
    </row>
    <row r="19" spans="1:346" x14ac:dyDescent="0.15">
      <c r="A19" s="3" t="s">
        <v>8</v>
      </c>
      <c r="B19" s="23">
        <f>SUM(Reports!B12:E12)</f>
        <v>9047</v>
      </c>
      <c r="C19" s="23">
        <f>SUM(Reports!F12:I12)</f>
        <v>10485</v>
      </c>
      <c r="D19" s="40">
        <f>SUM(Reports!J12:M12)</f>
        <v>12893</v>
      </c>
      <c r="E19" s="23">
        <f>SUM(Reports!N12:Q12)</f>
        <v>16333</v>
      </c>
      <c r="F19" s="40">
        <f>SUM(Reports!R12:U12)</f>
        <v>18464</v>
      </c>
      <c r="G19" s="40">
        <f>SUM(Reports!V12:Y12)</f>
        <v>17946</v>
      </c>
      <c r="H19" s="23">
        <f>G19*1.15</f>
        <v>20637.899999999998</v>
      </c>
      <c r="I19" s="23">
        <f t="shared" ref="I19:L19" si="15">H19*1.15</f>
        <v>23733.584999999995</v>
      </c>
      <c r="J19" s="23">
        <f t="shared" si="15"/>
        <v>27293.622749999991</v>
      </c>
      <c r="K19" s="23">
        <f t="shared" si="15"/>
        <v>31387.666162499987</v>
      </c>
      <c r="L19" s="23">
        <f t="shared" si="15"/>
        <v>36095.816086874984</v>
      </c>
      <c r="M19" s="23">
        <f t="shared" ref="M19:V19" si="16">L19*1.05</f>
        <v>37900.606891218733</v>
      </c>
      <c r="N19" s="23">
        <f t="shared" si="16"/>
        <v>39795.637235779672</v>
      </c>
      <c r="O19" s="23">
        <f t="shared" si="16"/>
        <v>41785.419097568658</v>
      </c>
      <c r="P19" s="23">
        <f t="shared" si="16"/>
        <v>43874.690052447091</v>
      </c>
      <c r="Q19" s="23">
        <f t="shared" si="16"/>
        <v>46068.424555069447</v>
      </c>
      <c r="R19" s="23">
        <f t="shared" si="16"/>
        <v>48371.845782822922</v>
      </c>
      <c r="S19" s="23">
        <f t="shared" si="16"/>
        <v>50790.438071964069</v>
      </c>
      <c r="T19" s="23">
        <f t="shared" si="16"/>
        <v>53329.959975562277</v>
      </c>
      <c r="U19" s="23">
        <f t="shared" si="16"/>
        <v>55996.457974340396</v>
      </c>
      <c r="V19" s="23">
        <f t="shared" si="16"/>
        <v>58796.280873057418</v>
      </c>
    </row>
    <row r="20" spans="1:346" x14ac:dyDescent="0.15">
      <c r="A20" s="3" t="s">
        <v>9</v>
      </c>
      <c r="B20" s="23">
        <f>SUM(Reports!B13:E13)</f>
        <v>6136</v>
      </c>
      <c r="C20" s="23">
        <f>SUM(Reports!F13:I13)</f>
        <v>6985</v>
      </c>
      <c r="D20" s="40">
        <f>SUM(Reports!J13:M13)</f>
        <v>9608</v>
      </c>
      <c r="E20" s="23">
        <f>SUM(Reports!N13:Q13)</f>
        <v>13197</v>
      </c>
      <c r="F20" s="40">
        <f>SUM(Reports!R13:U13)</f>
        <v>9551</v>
      </c>
      <c r="G20" s="40">
        <f>SUM(Reports!V13:Y13)</f>
        <v>11052</v>
      </c>
      <c r="H20" s="23">
        <f>G20*1.15</f>
        <v>12709.8</v>
      </c>
      <c r="I20" s="23">
        <f t="shared" ref="I20:L20" si="17">H20*1.15</f>
        <v>14616.269999999999</v>
      </c>
      <c r="J20" s="23">
        <f t="shared" si="17"/>
        <v>16808.710499999997</v>
      </c>
      <c r="K20" s="23">
        <f t="shared" si="17"/>
        <v>19330.017074999996</v>
      </c>
      <c r="L20" s="23">
        <f t="shared" si="17"/>
        <v>22229.519636249996</v>
      </c>
      <c r="M20" s="23">
        <f t="shared" ref="M20:V20" si="18">L20*0.98</f>
        <v>21784.929243524995</v>
      </c>
      <c r="N20" s="23">
        <f t="shared" si="18"/>
        <v>21349.230658654495</v>
      </c>
      <c r="O20" s="23">
        <f t="shared" si="18"/>
        <v>20922.246045481403</v>
      </c>
      <c r="P20" s="23">
        <f t="shared" si="18"/>
        <v>20503.801124571775</v>
      </c>
      <c r="Q20" s="23">
        <f t="shared" si="18"/>
        <v>20093.725102080338</v>
      </c>
      <c r="R20" s="23">
        <f t="shared" si="18"/>
        <v>19691.850600038731</v>
      </c>
      <c r="S20" s="23">
        <f t="shared" si="18"/>
        <v>19298.013588037957</v>
      </c>
      <c r="T20" s="23">
        <f t="shared" si="18"/>
        <v>18912.053316277197</v>
      </c>
      <c r="U20" s="23">
        <f t="shared" si="18"/>
        <v>18533.812249951654</v>
      </c>
      <c r="V20" s="23">
        <f t="shared" si="18"/>
        <v>18163.136004952619</v>
      </c>
    </row>
    <row r="21" spans="1:346" x14ac:dyDescent="0.15">
      <c r="A21" s="3" t="s">
        <v>10</v>
      </c>
      <c r="B21" s="28">
        <f t="shared" ref="B21:G21" si="19">SUM(B18:B20)</f>
        <v>27465</v>
      </c>
      <c r="C21" s="28">
        <f t="shared" si="19"/>
        <v>31418</v>
      </c>
      <c r="D21" s="28">
        <f t="shared" si="19"/>
        <v>39126</v>
      </c>
      <c r="E21" s="28">
        <f t="shared" si="19"/>
        <v>50949</v>
      </c>
      <c r="F21" s="28">
        <f t="shared" si="19"/>
        <v>54033</v>
      </c>
      <c r="G21" s="28">
        <f t="shared" si="19"/>
        <v>56571</v>
      </c>
      <c r="H21" s="23">
        <f t="shared" ref="H21" si="20">SUM(H18:H20)</f>
        <v>63678</v>
      </c>
      <c r="I21" s="23">
        <f t="shared" ref="I21:Q21" si="21">SUM(I18:I20)</f>
        <v>71713.185000000012</v>
      </c>
      <c r="J21" s="23">
        <f t="shared" si="21"/>
        <v>80801.996250000011</v>
      </c>
      <c r="K21" s="23">
        <f t="shared" si="21"/>
        <v>91087.312537500009</v>
      </c>
      <c r="L21" s="23">
        <f t="shared" ref="L21" si="22">SUM(L18:L20)</f>
        <v>102731.92795312502</v>
      </c>
      <c r="M21" s="23">
        <f t="shared" si="21"/>
        <v>106312.45797624376</v>
      </c>
      <c r="N21" s="23">
        <f t="shared" si="21"/>
        <v>110103.1358280092</v>
      </c>
      <c r="O21" s="23">
        <f t="shared" si="21"/>
        <v>114113.84647330384</v>
      </c>
      <c r="P21" s="23">
        <f t="shared" si="21"/>
        <v>118354.98157378535</v>
      </c>
      <c r="Q21" s="23">
        <f t="shared" si="21"/>
        <v>122837.46457375459</v>
      </c>
      <c r="R21" s="23">
        <f t="shared" ref="R21:U21" si="23">SUM(R18:R20)</f>
        <v>127572.77704529671</v>
      </c>
      <c r="S21" s="23">
        <f t="shared" si="23"/>
        <v>132572.98635555885</v>
      </c>
      <c r="T21" s="23">
        <f t="shared" si="23"/>
        <v>137850.77472217413</v>
      </c>
      <c r="U21" s="23">
        <f t="shared" si="23"/>
        <v>143419.46972614343</v>
      </c>
      <c r="V21" s="23">
        <f t="shared" ref="V21" si="24">SUM(V18:V20)</f>
        <v>149293.07635495401</v>
      </c>
    </row>
    <row r="22" spans="1:346" x14ac:dyDescent="0.15">
      <c r="A22" s="3" t="s">
        <v>11</v>
      </c>
      <c r="B22" s="28">
        <f t="shared" ref="B22:G22" si="25">B17-B21</f>
        <v>19360</v>
      </c>
      <c r="C22" s="28">
        <f t="shared" si="25"/>
        <v>23716</v>
      </c>
      <c r="D22" s="28">
        <f t="shared" si="25"/>
        <v>26146</v>
      </c>
      <c r="E22" s="28">
        <f t="shared" si="25"/>
        <v>26321</v>
      </c>
      <c r="F22" s="28">
        <f t="shared" si="25"/>
        <v>35928</v>
      </c>
      <c r="G22" s="28">
        <f t="shared" si="25"/>
        <v>41224</v>
      </c>
      <c r="H22" s="23">
        <f t="shared" ref="H22" si="26">H17-H21</f>
        <v>44087.319381516179</v>
      </c>
      <c r="I22" s="23">
        <f t="shared" ref="I22:Q22" si="27">I17-I21</f>
        <v>47856.977312972886</v>
      </c>
      <c r="J22" s="23">
        <f t="shared" si="27"/>
        <v>52602.571356840388</v>
      </c>
      <c r="K22" s="23">
        <f>K17-K21</f>
        <v>58286.807311387456</v>
      </c>
      <c r="L22" s="23">
        <f>L17-L21</f>
        <v>64739.858972194619</v>
      </c>
      <c r="M22" s="23">
        <f t="shared" si="27"/>
        <v>77906.507641607823</v>
      </c>
      <c r="N22" s="23">
        <f t="shared" si="27"/>
        <v>92537.726351627585</v>
      </c>
      <c r="O22" s="23">
        <f t="shared" si="27"/>
        <v>108791.10192429663</v>
      </c>
      <c r="P22" s="23">
        <f t="shared" si="27"/>
        <v>126840.46166357522</v>
      </c>
      <c r="Q22" s="23">
        <f t="shared" si="27"/>
        <v>146877.52298734203</v>
      </c>
      <c r="R22" s="23">
        <f t="shared" ref="R22:U22" si="28">R17-R21</f>
        <v>169113.70927190958</v>
      </c>
      <c r="S22" s="23">
        <f t="shared" si="28"/>
        <v>193782.14859336813</v>
      </c>
      <c r="T22" s="23">
        <f t="shared" si="28"/>
        <v>221139.87372164559</v>
      </c>
      <c r="U22" s="23">
        <f t="shared" si="28"/>
        <v>251470.24356205828</v>
      </c>
      <c r="V22" s="23">
        <f t="shared" ref="V22" si="29">V17-V21</f>
        <v>285085.60826206789</v>
      </c>
    </row>
    <row r="23" spans="1:346" x14ac:dyDescent="0.15">
      <c r="A23" s="3" t="s">
        <v>12</v>
      </c>
      <c r="B23" s="23">
        <f>SUM(Reports!B16:E16)</f>
        <v>291</v>
      </c>
      <c r="C23" s="23">
        <f>SUM(Reports!F16:I16)</f>
        <v>434</v>
      </c>
      <c r="D23" s="40">
        <f>SUM(Reports!J16:M16)</f>
        <v>1047</v>
      </c>
      <c r="E23" s="23">
        <f>SUM(Reports!N16:Q16)</f>
        <v>8592</v>
      </c>
      <c r="F23" s="40">
        <f>SUM(Reports!R16:U16)</f>
        <v>5394</v>
      </c>
      <c r="G23" s="40">
        <f>SUM(Reports!V16:Y16)</f>
        <v>6858</v>
      </c>
      <c r="H23" s="23">
        <f t="shared" ref="H23:V23" si="30">G40*$F$3</f>
        <v>6138.1</v>
      </c>
      <c r="I23" s="23">
        <f t="shared" si="30"/>
        <v>8272.6803237144377</v>
      </c>
      <c r="J23" s="23">
        <f t="shared" si="30"/>
        <v>10658.190773273649</v>
      </c>
      <c r="K23" s="23">
        <f t="shared" si="30"/>
        <v>13346.773163803497</v>
      </c>
      <c r="L23" s="23">
        <f t="shared" si="30"/>
        <v>16391.20033399911</v>
      </c>
      <c r="M23" s="23">
        <f t="shared" si="30"/>
        <v>19839.270354512344</v>
      </c>
      <c r="N23" s="23">
        <f t="shared" si="30"/>
        <v>23993.465919347451</v>
      </c>
      <c r="O23" s="23">
        <f t="shared" si="30"/>
        <v>28946.041590863893</v>
      </c>
      <c r="P23" s="23">
        <f t="shared" si="30"/>
        <v>34799.870190258218</v>
      </c>
      <c r="Q23" s="23">
        <f t="shared" si="30"/>
        <v>41669.584294046137</v>
      </c>
      <c r="R23" s="23">
        <f t="shared" si="30"/>
        <v>49682.836353505139</v>
      </c>
      <c r="S23" s="23">
        <f t="shared" si="30"/>
        <v>58981.689542585264</v>
      </c>
      <c r="T23" s="23">
        <f t="shared" si="30"/>
        <v>69724.152663363289</v>
      </c>
      <c r="U23" s="23">
        <f t="shared" si="30"/>
        <v>82085.873784726165</v>
      </c>
      <c r="V23" s="23">
        <f t="shared" si="30"/>
        <v>96262.008771964509</v>
      </c>
    </row>
    <row r="24" spans="1:346" x14ac:dyDescent="0.15">
      <c r="A24" s="3" t="s">
        <v>13</v>
      </c>
      <c r="B24" s="28">
        <f t="shared" ref="B24:G24" si="31">B22+B23</f>
        <v>19651</v>
      </c>
      <c r="C24" s="28">
        <f t="shared" si="31"/>
        <v>24150</v>
      </c>
      <c r="D24" s="28">
        <f t="shared" si="31"/>
        <v>27193</v>
      </c>
      <c r="E24" s="28">
        <f t="shared" si="31"/>
        <v>34913</v>
      </c>
      <c r="F24" s="28">
        <f t="shared" si="31"/>
        <v>41322</v>
      </c>
      <c r="G24" s="28">
        <f t="shared" si="31"/>
        <v>48082</v>
      </c>
      <c r="H24" s="23">
        <f t="shared" ref="H24" si="32">H22+H23</f>
        <v>50225.419381516178</v>
      </c>
      <c r="I24" s="23">
        <f t="shared" ref="I24" si="33">I22+I23</f>
        <v>56129.65763668732</v>
      </c>
      <c r="J24" s="23">
        <f t="shared" ref="J24" si="34">J22+J23</f>
        <v>63260.762130114039</v>
      </c>
      <c r="K24" s="23">
        <f>K22+K23</f>
        <v>71633.580475190945</v>
      </c>
      <c r="L24" s="23">
        <f>L22+L23</f>
        <v>81131.059306193725</v>
      </c>
      <c r="M24" s="23">
        <f t="shared" ref="M24" si="35">M22+M23</f>
        <v>97745.77799612016</v>
      </c>
      <c r="N24" s="23">
        <f t="shared" ref="N24" si="36">N22+N23</f>
        <v>116531.19227097504</v>
      </c>
      <c r="O24" s="23">
        <f t="shared" ref="O24" si="37">O22+O23</f>
        <v>137737.14351516051</v>
      </c>
      <c r="P24" s="23">
        <f t="shared" ref="P24" si="38">P22+P23</f>
        <v>161640.33185383343</v>
      </c>
      <c r="Q24" s="23">
        <f t="shared" ref="Q24:R24" si="39">Q22+Q23</f>
        <v>188547.10728138816</v>
      </c>
      <c r="R24" s="23">
        <f t="shared" si="39"/>
        <v>218796.54562541473</v>
      </c>
      <c r="S24" s="23">
        <f t="shared" ref="S24:U24" si="40">S22+S23</f>
        <v>252763.83813595338</v>
      </c>
      <c r="T24" s="23">
        <f t="shared" si="40"/>
        <v>290864.02638500888</v>
      </c>
      <c r="U24" s="23">
        <f t="shared" si="40"/>
        <v>333556.11734678445</v>
      </c>
      <c r="V24" s="23">
        <f t="shared" ref="V24" si="41">V22+V23</f>
        <v>381347.61703403242</v>
      </c>
    </row>
    <row r="25" spans="1:346" x14ac:dyDescent="0.15">
      <c r="A25" s="3" t="s">
        <v>14</v>
      </c>
      <c r="B25" s="23">
        <f>SUM(Reports!B18:E18)</f>
        <v>3303</v>
      </c>
      <c r="C25" s="23">
        <f>SUM(Reports!F18:I18)</f>
        <v>4672</v>
      </c>
      <c r="D25" s="40">
        <f>SUM(Reports!J18:M18)</f>
        <v>5275.0376257838707</v>
      </c>
      <c r="E25" s="23">
        <f>SUM(Reports!N18:Q18)</f>
        <v>4177</v>
      </c>
      <c r="F25" s="40">
        <f>SUM(Reports!R18:U18)</f>
        <v>5282</v>
      </c>
      <c r="G25" s="40">
        <f>SUM(Reports!V18:Y18)</f>
        <v>7813</v>
      </c>
      <c r="H25" s="23">
        <f t="shared" ref="H25:Q25" si="42">H24*0.15</f>
        <v>7533.812907227426</v>
      </c>
      <c r="I25" s="23">
        <f t="shared" si="42"/>
        <v>8419.4486455030983</v>
      </c>
      <c r="J25" s="23">
        <f t="shared" si="42"/>
        <v>9489.1143195171062</v>
      </c>
      <c r="K25" s="23">
        <f t="shared" si="42"/>
        <v>10745.037071278641</v>
      </c>
      <c r="L25" s="23">
        <f t="shared" ref="L25" si="43">L24*0.15</f>
        <v>12169.658895929058</v>
      </c>
      <c r="M25" s="23">
        <f t="shared" si="42"/>
        <v>14661.866699418024</v>
      </c>
      <c r="N25" s="23">
        <f t="shared" si="42"/>
        <v>17479.678840646255</v>
      </c>
      <c r="O25" s="23">
        <f t="shared" si="42"/>
        <v>20660.571527274074</v>
      </c>
      <c r="P25" s="23">
        <f t="shared" si="42"/>
        <v>24246.049778075012</v>
      </c>
      <c r="Q25" s="23">
        <f t="shared" si="42"/>
        <v>28282.066092208224</v>
      </c>
      <c r="R25" s="23">
        <f t="shared" ref="R25:U25" si="44">R24*0.15</f>
        <v>32819.481843812209</v>
      </c>
      <c r="S25" s="23">
        <f t="shared" si="44"/>
        <v>37914.575720393004</v>
      </c>
      <c r="T25" s="23">
        <f t="shared" si="44"/>
        <v>43629.603957751329</v>
      </c>
      <c r="U25" s="23">
        <f t="shared" si="44"/>
        <v>50033.417602017667</v>
      </c>
      <c r="V25" s="23">
        <f t="shared" ref="V25" si="45">V24*0.15</f>
        <v>57202.14255510486</v>
      </c>
    </row>
    <row r="26" spans="1:346" s="2" customFormat="1" x14ac:dyDescent="0.15">
      <c r="A26" s="2" t="s">
        <v>15</v>
      </c>
      <c r="B26" s="25">
        <f t="shared" ref="B26:G26" si="46">B24-B25</f>
        <v>16348</v>
      </c>
      <c r="C26" s="25">
        <f t="shared" si="46"/>
        <v>19478</v>
      </c>
      <c r="D26" s="25">
        <f t="shared" si="46"/>
        <v>21917.962374216128</v>
      </c>
      <c r="E26" s="25">
        <f t="shared" si="46"/>
        <v>30736</v>
      </c>
      <c r="F26" s="25">
        <f t="shared" si="46"/>
        <v>36040</v>
      </c>
      <c r="G26" s="25">
        <f t="shared" si="46"/>
        <v>40269</v>
      </c>
      <c r="H26" s="25">
        <f t="shared" ref="H26" si="47">H24-H25</f>
        <v>42691.606474288754</v>
      </c>
      <c r="I26" s="25">
        <f t="shared" ref="I26:Q26" si="48">I24-I25</f>
        <v>47710.208991184219</v>
      </c>
      <c r="J26" s="25">
        <f t="shared" si="48"/>
        <v>53771.647810596929</v>
      </c>
      <c r="K26" s="25">
        <f t="shared" si="48"/>
        <v>60888.543403912307</v>
      </c>
      <c r="L26" s="25">
        <f t="shared" ref="L26" si="49">L24-L25</f>
        <v>68961.400410264672</v>
      </c>
      <c r="M26" s="25">
        <f t="shared" si="48"/>
        <v>83083.911296702136</v>
      </c>
      <c r="N26" s="25">
        <f t="shared" si="48"/>
        <v>99051.513430328778</v>
      </c>
      <c r="O26" s="25">
        <f t="shared" si="48"/>
        <v>117076.57198788643</v>
      </c>
      <c r="P26" s="25">
        <f t="shared" si="48"/>
        <v>137394.28207575841</v>
      </c>
      <c r="Q26" s="25">
        <f t="shared" si="48"/>
        <v>160265.04118917993</v>
      </c>
      <c r="R26" s="25">
        <f t="shared" ref="R26:U26" si="50">R24-R25</f>
        <v>185977.06378160251</v>
      </c>
      <c r="S26" s="25">
        <f t="shared" si="50"/>
        <v>214849.26241556037</v>
      </c>
      <c r="T26" s="25">
        <f t="shared" si="50"/>
        <v>247234.42242725755</v>
      </c>
      <c r="U26" s="25">
        <f t="shared" si="50"/>
        <v>283522.69974476681</v>
      </c>
      <c r="V26" s="25">
        <f t="shared" ref="V26" si="51">V24-V25</f>
        <v>324145.47447892756</v>
      </c>
      <c r="W26" s="17">
        <f t="shared" ref="W26:CD26" si="52">V26*($F$2+1)</f>
        <v>320904.01973413827</v>
      </c>
      <c r="X26" s="17">
        <f t="shared" si="52"/>
        <v>317694.97953679686</v>
      </c>
      <c r="Y26" s="17">
        <f t="shared" si="52"/>
        <v>314518.02974142891</v>
      </c>
      <c r="Z26" s="17">
        <f t="shared" si="52"/>
        <v>311372.8494440146</v>
      </c>
      <c r="AA26" s="17">
        <f t="shared" si="52"/>
        <v>308259.12094957446</v>
      </c>
      <c r="AB26" s="17">
        <f t="shared" si="52"/>
        <v>305176.52974007872</v>
      </c>
      <c r="AC26" s="17">
        <f t="shared" si="52"/>
        <v>302124.76444267796</v>
      </c>
      <c r="AD26" s="17">
        <f t="shared" si="52"/>
        <v>299103.51679825119</v>
      </c>
      <c r="AE26" s="17">
        <f t="shared" si="52"/>
        <v>296112.48163026868</v>
      </c>
      <c r="AF26" s="17">
        <f t="shared" si="52"/>
        <v>293151.35681396601</v>
      </c>
      <c r="AG26" s="17">
        <f t="shared" si="52"/>
        <v>290219.84324582637</v>
      </c>
      <c r="AH26" s="17">
        <f t="shared" si="52"/>
        <v>287317.6448133681</v>
      </c>
      <c r="AI26" s="17">
        <f t="shared" si="52"/>
        <v>284444.46836523444</v>
      </c>
      <c r="AJ26" s="17">
        <f t="shared" si="52"/>
        <v>281600.02368158207</v>
      </c>
      <c r="AK26" s="17">
        <f t="shared" si="52"/>
        <v>278784.02344476624</v>
      </c>
      <c r="AL26" s="17">
        <f t="shared" si="52"/>
        <v>275996.18321031856</v>
      </c>
      <c r="AM26" s="17">
        <f t="shared" si="52"/>
        <v>273236.22137821536</v>
      </c>
      <c r="AN26" s="17">
        <f t="shared" si="52"/>
        <v>270503.8591644332</v>
      </c>
      <c r="AO26" s="17">
        <f t="shared" si="52"/>
        <v>267798.82057278889</v>
      </c>
      <c r="AP26" s="17">
        <f t="shared" si="52"/>
        <v>265120.832367061</v>
      </c>
      <c r="AQ26" s="17">
        <f t="shared" si="52"/>
        <v>262469.62404339039</v>
      </c>
      <c r="AR26" s="17">
        <f t="shared" si="52"/>
        <v>259844.92780295649</v>
      </c>
      <c r="AS26" s="17">
        <f t="shared" si="52"/>
        <v>257246.47852492693</v>
      </c>
      <c r="AT26" s="17">
        <f t="shared" si="52"/>
        <v>254674.01373967767</v>
      </c>
      <c r="AU26" s="17">
        <f t="shared" si="52"/>
        <v>252127.27360228088</v>
      </c>
      <c r="AV26" s="17">
        <f t="shared" si="52"/>
        <v>249606.00086625808</v>
      </c>
      <c r="AW26" s="17">
        <f t="shared" si="52"/>
        <v>247109.9408575955</v>
      </c>
      <c r="AX26" s="17">
        <f t="shared" si="52"/>
        <v>244638.84144901956</v>
      </c>
      <c r="AY26" s="17">
        <f t="shared" si="52"/>
        <v>242192.45303452935</v>
      </c>
      <c r="AZ26" s="17">
        <f t="shared" si="52"/>
        <v>239770.52850418404</v>
      </c>
      <c r="BA26" s="17">
        <f t="shared" si="52"/>
        <v>237372.82321914218</v>
      </c>
      <c r="BB26" s="17">
        <f t="shared" si="52"/>
        <v>234999.09498695077</v>
      </c>
      <c r="BC26" s="17">
        <f t="shared" si="52"/>
        <v>232649.10403708127</v>
      </c>
      <c r="BD26" s="17">
        <f t="shared" si="52"/>
        <v>230322.61299671046</v>
      </c>
      <c r="BE26" s="17">
        <f t="shared" si="52"/>
        <v>228019.38686674336</v>
      </c>
      <c r="BF26" s="17">
        <f t="shared" si="52"/>
        <v>225739.19299807592</v>
      </c>
      <c r="BG26" s="17">
        <f t="shared" si="52"/>
        <v>223481.80106809514</v>
      </c>
      <c r="BH26" s="17">
        <f t="shared" si="52"/>
        <v>221246.98305741418</v>
      </c>
      <c r="BI26" s="17">
        <f t="shared" si="52"/>
        <v>219034.51322684003</v>
      </c>
      <c r="BJ26" s="17">
        <f t="shared" si="52"/>
        <v>216844.16809457162</v>
      </c>
      <c r="BK26" s="17">
        <f t="shared" si="52"/>
        <v>214675.7264136259</v>
      </c>
      <c r="BL26" s="17">
        <f t="shared" si="52"/>
        <v>212528.96914948965</v>
      </c>
      <c r="BM26" s="17">
        <f t="shared" si="52"/>
        <v>210403.67945799476</v>
      </c>
      <c r="BN26" s="17">
        <f t="shared" si="52"/>
        <v>208299.64266341482</v>
      </c>
      <c r="BO26" s="17">
        <f t="shared" si="52"/>
        <v>206216.64623678068</v>
      </c>
      <c r="BP26" s="17">
        <f t="shared" si="52"/>
        <v>204154.47977441287</v>
      </c>
      <c r="BQ26" s="17">
        <f t="shared" si="52"/>
        <v>202112.93497666874</v>
      </c>
      <c r="BR26" s="17">
        <f t="shared" si="52"/>
        <v>200091.80562690206</v>
      </c>
      <c r="BS26" s="17">
        <f t="shared" si="52"/>
        <v>198090.88757063303</v>
      </c>
      <c r="BT26" s="17">
        <f t="shared" si="52"/>
        <v>196109.97869492669</v>
      </c>
      <c r="BU26" s="17">
        <f t="shared" si="52"/>
        <v>194148.87890797743</v>
      </c>
      <c r="BV26" s="17">
        <f t="shared" si="52"/>
        <v>192207.39011889766</v>
      </c>
      <c r="BW26" s="17">
        <f t="shared" si="52"/>
        <v>190285.31621770869</v>
      </c>
      <c r="BX26" s="17">
        <f t="shared" si="52"/>
        <v>188382.46305553161</v>
      </c>
      <c r="BY26" s="17">
        <f t="shared" si="52"/>
        <v>186498.63842497629</v>
      </c>
      <c r="BZ26" s="17">
        <f t="shared" si="52"/>
        <v>184633.65204072653</v>
      </c>
      <c r="CA26" s="17">
        <f t="shared" si="52"/>
        <v>182787.31552031927</v>
      </c>
      <c r="CB26" s="17">
        <f t="shared" si="52"/>
        <v>180959.44236511609</v>
      </c>
      <c r="CC26" s="17">
        <f t="shared" si="52"/>
        <v>179149.84794146492</v>
      </c>
      <c r="CD26" s="17">
        <f t="shared" si="52"/>
        <v>177358.34946205028</v>
      </c>
      <c r="CE26" s="17">
        <f t="shared" ref="CE26:DR26" si="53">CD26*($F$2+1)</f>
        <v>175584.76596742976</v>
      </c>
      <c r="CF26" s="17">
        <f t="shared" si="53"/>
        <v>173828.91830775546</v>
      </c>
      <c r="CG26" s="17">
        <f t="shared" si="53"/>
        <v>172090.62912467791</v>
      </c>
      <c r="CH26" s="17">
        <f t="shared" si="53"/>
        <v>170369.72283343112</v>
      </c>
      <c r="CI26" s="17">
        <f t="shared" si="53"/>
        <v>168666.0256050968</v>
      </c>
      <c r="CJ26" s="17">
        <f t="shared" si="53"/>
        <v>166979.36534904584</v>
      </c>
      <c r="CK26" s="17">
        <f t="shared" si="53"/>
        <v>165309.57169555538</v>
      </c>
      <c r="CL26" s="17">
        <f t="shared" si="53"/>
        <v>163656.47597859983</v>
      </c>
      <c r="CM26" s="17">
        <f t="shared" si="53"/>
        <v>162019.91121881382</v>
      </c>
      <c r="CN26" s="17">
        <f t="shared" si="53"/>
        <v>160399.7121066257</v>
      </c>
      <c r="CO26" s="17">
        <f t="shared" si="53"/>
        <v>158795.71498555943</v>
      </c>
      <c r="CP26" s="17">
        <f t="shared" si="53"/>
        <v>157207.75783570384</v>
      </c>
      <c r="CQ26" s="17">
        <f t="shared" si="53"/>
        <v>155635.6802573468</v>
      </c>
      <c r="CR26" s="17">
        <f t="shared" si="53"/>
        <v>154079.32345477334</v>
      </c>
      <c r="CS26" s="17">
        <f t="shared" si="53"/>
        <v>152538.5302202256</v>
      </c>
      <c r="CT26" s="17">
        <f t="shared" si="53"/>
        <v>151013.14491802335</v>
      </c>
      <c r="CU26" s="17">
        <f t="shared" si="53"/>
        <v>149503.0134688431</v>
      </c>
      <c r="CV26" s="17">
        <f t="shared" si="53"/>
        <v>148007.98333415468</v>
      </c>
      <c r="CW26" s="17">
        <f t="shared" si="53"/>
        <v>146527.90350081312</v>
      </c>
      <c r="CX26" s="17">
        <f t="shared" si="53"/>
        <v>145062.62446580498</v>
      </c>
      <c r="CY26" s="17">
        <f t="shared" si="53"/>
        <v>143611.99822114693</v>
      </c>
      <c r="CZ26" s="17">
        <f t="shared" si="53"/>
        <v>142175.87823893546</v>
      </c>
      <c r="DA26" s="17">
        <f t="shared" si="53"/>
        <v>140754.11945654609</v>
      </c>
      <c r="DB26" s="17">
        <f t="shared" si="53"/>
        <v>139346.57826198064</v>
      </c>
      <c r="DC26" s="17">
        <f t="shared" si="53"/>
        <v>137953.11247936083</v>
      </c>
      <c r="DD26" s="17">
        <f t="shared" si="53"/>
        <v>136573.58135456723</v>
      </c>
      <c r="DE26" s="17">
        <f t="shared" si="53"/>
        <v>135207.84554102155</v>
      </c>
      <c r="DF26" s="17">
        <f t="shared" si="53"/>
        <v>133855.76708561133</v>
      </c>
      <c r="DG26" s="17">
        <f t="shared" si="53"/>
        <v>132517.2094147552</v>
      </c>
      <c r="DH26" s="17">
        <f t="shared" si="53"/>
        <v>131192.03732060763</v>
      </c>
      <c r="DI26" s="17">
        <f t="shared" si="53"/>
        <v>129880.11694740156</v>
      </c>
      <c r="DJ26" s="17">
        <f t="shared" si="53"/>
        <v>128581.31577792755</v>
      </c>
      <c r="DK26" s="17">
        <f t="shared" si="53"/>
        <v>127295.50262014827</v>
      </c>
      <c r="DL26" s="17">
        <f t="shared" si="53"/>
        <v>126022.54759394679</v>
      </c>
      <c r="DM26" s="17">
        <f t="shared" si="53"/>
        <v>124762.32211800732</v>
      </c>
      <c r="DN26" s="17">
        <f t="shared" si="53"/>
        <v>123514.69889682725</v>
      </c>
      <c r="DO26" s="17">
        <f t="shared" si="53"/>
        <v>122279.55190785897</v>
      </c>
      <c r="DP26" s="17">
        <f t="shared" si="53"/>
        <v>121056.75638878038</v>
      </c>
      <c r="DQ26" s="17">
        <f t="shared" si="53"/>
        <v>119846.18882489258</v>
      </c>
      <c r="DR26" s="17">
        <f t="shared" si="53"/>
        <v>118647.72693664365</v>
      </c>
      <c r="DS26" s="17">
        <f t="shared" ref="DS26" si="54">DR26*($F$2+1)</f>
        <v>117461.24966727721</v>
      </c>
      <c r="DT26" s="17">
        <f t="shared" ref="DT26" si="55">DS26*($F$2+1)</f>
        <v>116286.63717060443</v>
      </c>
      <c r="DU26" s="17">
        <f t="shared" ref="DU26" si="56">DT26*($F$2+1)</f>
        <v>115123.77079889839</v>
      </c>
      <c r="DV26" s="17">
        <f t="shared" ref="DV26" si="57">DU26*($F$2+1)</f>
        <v>113972.5330909094</v>
      </c>
      <c r="DW26" s="17">
        <f t="shared" ref="DW26" si="58">DV26*($F$2+1)</f>
        <v>112832.80776000032</v>
      </c>
      <c r="DX26" s="17">
        <f t="shared" ref="DX26" si="59">DW26*($F$2+1)</f>
        <v>111704.47968240031</v>
      </c>
      <c r="DY26" s="17">
        <f t="shared" ref="DY26" si="60">DX26*($F$2+1)</f>
        <v>110587.43488557631</v>
      </c>
      <c r="DZ26" s="17">
        <f t="shared" ref="DZ26" si="61">DY26*($F$2+1)</f>
        <v>109481.56053672054</v>
      </c>
      <c r="EA26" s="17">
        <f t="shared" ref="EA26" si="62">DZ26*($F$2+1)</f>
        <v>108386.74493135334</v>
      </c>
      <c r="EB26" s="17">
        <f t="shared" ref="EB26" si="63">EA26*($F$2+1)</f>
        <v>107302.87748203981</v>
      </c>
      <c r="EC26" s="17">
        <f t="shared" ref="EC26" si="64">EB26*($F$2+1)</f>
        <v>106229.84870721941</v>
      </c>
      <c r="ED26" s="17">
        <f t="shared" ref="ED26" si="65">EC26*($F$2+1)</f>
        <v>105167.55022014721</v>
      </c>
      <c r="EE26" s="17">
        <f t="shared" ref="EE26" si="66">ED26*($F$2+1)</f>
        <v>104115.87471794574</v>
      </c>
      <c r="EF26" s="17">
        <f t="shared" ref="EF26" si="67">EE26*($F$2+1)</f>
        <v>103074.71597076628</v>
      </c>
      <c r="EG26" s="17">
        <f t="shared" ref="EG26" si="68">EF26*($F$2+1)</f>
        <v>102043.96881105861</v>
      </c>
      <c r="EH26" s="17">
        <f t="shared" ref="EH26" si="69">EG26*($F$2+1)</f>
        <v>101023.52912294802</v>
      </c>
      <c r="EI26" s="17">
        <f t="shared" ref="EI26" si="70">EH26*($F$2+1)</f>
        <v>100013.29383171853</v>
      </c>
      <c r="EJ26" s="17">
        <f t="shared" ref="EJ26" si="71">EI26*($F$2+1)</f>
        <v>99013.160893401349</v>
      </c>
      <c r="EK26" s="17">
        <f t="shared" ref="EK26" si="72">EJ26*($F$2+1)</f>
        <v>98023.029284467339</v>
      </c>
      <c r="EL26" s="17">
        <f t="shared" ref="EL26" si="73">EK26*($F$2+1)</f>
        <v>97042.798991622665</v>
      </c>
      <c r="EM26" s="17">
        <f t="shared" ref="EM26" si="74">EL26*($F$2+1)</f>
        <v>96072.371001706444</v>
      </c>
      <c r="EN26" s="17">
        <f t="shared" ref="EN26" si="75">EM26*($F$2+1)</f>
        <v>95111.647291689384</v>
      </c>
      <c r="EO26" s="17">
        <f t="shared" ref="EO26" si="76">EN26*($F$2+1)</f>
        <v>94160.530818772488</v>
      </c>
      <c r="EP26" s="17">
        <f t="shared" ref="EP26" si="77">EO26*($F$2+1)</f>
        <v>93218.925510584755</v>
      </c>
      <c r="EQ26" s="17">
        <f t="shared" ref="EQ26" si="78">EP26*($F$2+1)</f>
        <v>92286.7362554789</v>
      </c>
      <c r="ER26" s="17">
        <f t="shared" ref="ER26" si="79">EQ26*($F$2+1)</f>
        <v>91363.868892924103</v>
      </c>
      <c r="ES26" s="17">
        <f t="shared" ref="ES26" si="80">ER26*($F$2+1)</f>
        <v>90450.230203994855</v>
      </c>
      <c r="ET26" s="17">
        <f t="shared" ref="ET26" si="81">ES26*($F$2+1)</f>
        <v>89545.727901954902</v>
      </c>
      <c r="EU26" s="17">
        <f t="shared" ref="EU26" si="82">ET26*($F$2+1)</f>
        <v>88650.27062293535</v>
      </c>
      <c r="EV26" s="17">
        <f t="shared" ref="EV26" si="83">EU26*($F$2+1)</f>
        <v>87763.767916705998</v>
      </c>
      <c r="EW26" s="17">
        <f t="shared" ref="EW26" si="84">EV26*($F$2+1)</f>
        <v>86886.130237538935</v>
      </c>
      <c r="EX26" s="17">
        <f t="shared" ref="EX26" si="85">EW26*($F$2+1)</f>
        <v>86017.268935163549</v>
      </c>
      <c r="EY26" s="17">
        <f t="shared" ref="EY26" si="86">EX26*($F$2+1)</f>
        <v>85157.096245811917</v>
      </c>
      <c r="EZ26" s="17">
        <f t="shared" ref="EZ26" si="87">EY26*($F$2+1)</f>
        <v>84305.525283353796</v>
      </c>
      <c r="FA26" s="17">
        <f t="shared" ref="FA26" si="88">EZ26*($F$2+1)</f>
        <v>83462.470030520257</v>
      </c>
      <c r="FB26" s="17">
        <f t="shared" ref="FB26" si="89">FA26*($F$2+1)</f>
        <v>82627.845330215059</v>
      </c>
      <c r="FC26" s="17">
        <f t="shared" ref="FC26" si="90">FB26*($F$2+1)</f>
        <v>81801.566876912912</v>
      </c>
      <c r="FD26" s="17">
        <f t="shared" ref="FD26" si="91">FC26*($F$2+1)</f>
        <v>80983.551208143777</v>
      </c>
      <c r="FE26" s="17">
        <f t="shared" ref="FE26" si="92">FD26*($F$2+1)</f>
        <v>80173.71569606234</v>
      </c>
      <c r="FF26" s="17">
        <f t="shared" ref="FF26" si="93">FE26*($F$2+1)</f>
        <v>79371.978539101721</v>
      </c>
      <c r="FG26" s="17">
        <f t="shared" ref="FG26" si="94">FF26*($F$2+1)</f>
        <v>78578.258753710703</v>
      </c>
      <c r="FH26" s="17">
        <f t="shared" ref="FH26" si="95">FG26*($F$2+1)</f>
        <v>77792.476166173597</v>
      </c>
      <c r="FI26" s="17">
        <f t="shared" ref="FI26" si="96">FH26*($F$2+1)</f>
        <v>77014.551404511862</v>
      </c>
      <c r="FJ26" s="17">
        <f t="shared" ref="FJ26" si="97">FI26*($F$2+1)</f>
        <v>76244.405890466747</v>
      </c>
      <c r="FK26" s="17">
        <f t="shared" ref="FK26" si="98">FJ26*($F$2+1)</f>
        <v>75481.961831562076</v>
      </c>
      <c r="FL26" s="17">
        <f t="shared" ref="FL26" si="99">FK26*($F$2+1)</f>
        <v>74727.14221324645</v>
      </c>
      <c r="FM26" s="17">
        <f t="shared" ref="FM26" si="100">FL26*($F$2+1)</f>
        <v>73979.870791113979</v>
      </c>
      <c r="FN26" s="17">
        <f t="shared" ref="FN26" si="101">FM26*($F$2+1)</f>
        <v>73240.072083202846</v>
      </c>
      <c r="FO26" s="17">
        <f t="shared" ref="FO26" si="102">FN26*($F$2+1)</f>
        <v>72507.67136237082</v>
      </c>
      <c r="FP26" s="17">
        <f t="shared" ref="FP26" si="103">FO26*($F$2+1)</f>
        <v>71782.594648747108</v>
      </c>
      <c r="FQ26" s="17">
        <f t="shared" ref="FQ26" si="104">FP26*($F$2+1)</f>
        <v>71064.768702259636</v>
      </c>
      <c r="FR26" s="17">
        <f t="shared" ref="FR26" si="105">FQ26*($F$2+1)</f>
        <v>70354.121015237033</v>
      </c>
      <c r="FS26" s="17">
        <f t="shared" ref="FS26" si="106">FR26*($F$2+1)</f>
        <v>69650.579805084664</v>
      </c>
      <c r="FT26" s="17">
        <f t="shared" ref="FT26" si="107">FS26*($F$2+1)</f>
        <v>68954.074007033822</v>
      </c>
      <c r="FU26" s="17">
        <f t="shared" ref="FU26" si="108">FT26*($F$2+1)</f>
        <v>68264.533266963481</v>
      </c>
      <c r="FV26" s="17">
        <f t="shared" ref="FV26" si="109">FU26*($F$2+1)</f>
        <v>67581.887934293845</v>
      </c>
      <c r="FW26" s="17">
        <f t="shared" ref="FW26" si="110">FV26*($F$2+1)</f>
        <v>66906.069054950902</v>
      </c>
      <c r="FX26" s="17">
        <f t="shared" ref="FX26" si="111">FW26*($F$2+1)</f>
        <v>66237.008364401394</v>
      </c>
      <c r="FY26" s="17">
        <f t="shared" ref="FY26" si="112">FX26*($F$2+1)</f>
        <v>65574.638280757383</v>
      </c>
      <c r="FZ26" s="17">
        <f t="shared" ref="FZ26" si="113">FY26*($F$2+1)</f>
        <v>64918.891897949805</v>
      </c>
      <c r="GA26" s="17">
        <f t="shared" ref="GA26" si="114">FZ26*($F$2+1)</f>
        <v>64269.702978970308</v>
      </c>
      <c r="GB26" s="17">
        <f t="shared" ref="GB26" si="115">GA26*($F$2+1)</f>
        <v>63627.005949180602</v>
      </c>
      <c r="GC26" s="17">
        <f t="shared" ref="GC26" si="116">GB26*($F$2+1)</f>
        <v>62990.735889688796</v>
      </c>
      <c r="GD26" s="17">
        <f t="shared" ref="GD26" si="117">GC26*($F$2+1)</f>
        <v>62360.828530791907</v>
      </c>
      <c r="GE26" s="17">
        <f t="shared" ref="GE26" si="118">GD26*($F$2+1)</f>
        <v>61737.220245483986</v>
      </c>
      <c r="GF26" s="17">
        <f t="shared" ref="GF26" si="119">GE26*($F$2+1)</f>
        <v>61119.848043029146</v>
      </c>
      <c r="GG26" s="17">
        <f t="shared" ref="GG26" si="120">GF26*($F$2+1)</f>
        <v>60508.649562598854</v>
      </c>
      <c r="GH26" s="17">
        <f t="shared" ref="GH26" si="121">GG26*($F$2+1)</f>
        <v>59903.563066972863</v>
      </c>
      <c r="GI26" s="17">
        <f t="shared" ref="GI26" si="122">GH26*($F$2+1)</f>
        <v>59304.527436303135</v>
      </c>
      <c r="GJ26" s="17">
        <f t="shared" ref="GJ26" si="123">GI26*($F$2+1)</f>
        <v>58711.482161940105</v>
      </c>
      <c r="GK26" s="17">
        <f t="shared" ref="GK26" si="124">GJ26*($F$2+1)</f>
        <v>58124.367340320699</v>
      </c>
      <c r="GL26" s="17">
        <f t="shared" ref="GL26" si="125">GK26*($F$2+1)</f>
        <v>57543.12366691749</v>
      </c>
      <c r="GM26" s="17">
        <f t="shared" ref="GM26" si="126">GL26*($F$2+1)</f>
        <v>56967.692430248317</v>
      </c>
      <c r="GN26" s="17">
        <f t="shared" ref="GN26" si="127">GM26*($F$2+1)</f>
        <v>56398.015505945834</v>
      </c>
      <c r="GO26" s="17">
        <f t="shared" ref="GO26" si="128">GN26*($F$2+1)</f>
        <v>55834.035350886377</v>
      </c>
      <c r="GP26" s="17">
        <f t="shared" ref="GP26" si="129">GO26*($F$2+1)</f>
        <v>55275.694997377512</v>
      </c>
      <c r="GQ26" s="17">
        <f t="shared" ref="GQ26" si="130">GP26*($F$2+1)</f>
        <v>54722.938047403739</v>
      </c>
      <c r="GR26" s="17">
        <f t="shared" ref="GR26" si="131">GQ26*($F$2+1)</f>
        <v>54175.708666929699</v>
      </c>
      <c r="GS26" s="17">
        <f t="shared" ref="GS26" si="132">GR26*($F$2+1)</f>
        <v>53633.9515802604</v>
      </c>
      <c r="GT26" s="17">
        <f t="shared" ref="GT26" si="133">GS26*($F$2+1)</f>
        <v>53097.612064457797</v>
      </c>
      <c r="GU26" s="17">
        <f t="shared" ref="GU26" si="134">GT26*($F$2+1)</f>
        <v>52566.63594381322</v>
      </c>
      <c r="GV26" s="17">
        <f t="shared" ref="GV26" si="135">GU26*($F$2+1)</f>
        <v>52040.969584375089</v>
      </c>
      <c r="GW26" s="17">
        <f t="shared" ref="GW26" si="136">GV26*($F$2+1)</f>
        <v>51520.559888531337</v>
      </c>
      <c r="GX26" s="17">
        <f t="shared" ref="GX26" si="137">GW26*($F$2+1)</f>
        <v>51005.35428964602</v>
      </c>
      <c r="GY26" s="17">
        <f t="shared" ref="GY26" si="138">GX26*($F$2+1)</f>
        <v>50495.300746749563</v>
      </c>
      <c r="GZ26" s="17">
        <f t="shared" ref="GZ26" si="139">GY26*($F$2+1)</f>
        <v>49990.347739282064</v>
      </c>
      <c r="HA26" s="17">
        <f t="shared" ref="HA26" si="140">GZ26*($F$2+1)</f>
        <v>49490.444261889243</v>
      </c>
      <c r="HB26" s="17">
        <f t="shared" ref="HB26" si="141">HA26*($F$2+1)</f>
        <v>48995.539819270351</v>
      </c>
      <c r="HC26" s="17">
        <f t="shared" ref="HC26" si="142">HB26*($F$2+1)</f>
        <v>48505.584421077649</v>
      </c>
      <c r="HD26" s="17">
        <f t="shared" ref="HD26" si="143">HC26*($F$2+1)</f>
        <v>48020.528576866869</v>
      </c>
      <c r="HE26" s="17">
        <f t="shared" ref="HE26" si="144">HD26*($F$2+1)</f>
        <v>47540.323291098197</v>
      </c>
      <c r="HF26" s="17">
        <f t="shared" ref="HF26" si="145">HE26*($F$2+1)</f>
        <v>47064.920058187214</v>
      </c>
      <c r="HG26" s="17">
        <f t="shared" ref="HG26" si="146">HF26*($F$2+1)</f>
        <v>46594.270857605341</v>
      </c>
      <c r="HH26" s="17">
        <f t="shared" ref="HH26" si="147">HG26*($F$2+1)</f>
        <v>46128.328149029287</v>
      </c>
      <c r="HI26" s="17">
        <f t="shared" ref="HI26" si="148">HH26*($F$2+1)</f>
        <v>45667.044867538993</v>
      </c>
      <c r="HJ26" s="17">
        <f t="shared" ref="HJ26" si="149">HI26*($F$2+1)</f>
        <v>45210.374418863605</v>
      </c>
      <c r="HK26" s="17">
        <f t="shared" ref="HK26" si="150">HJ26*($F$2+1)</f>
        <v>44758.270674674968</v>
      </c>
      <c r="HL26" s="17">
        <f t="shared" ref="HL26" si="151">HK26*($F$2+1)</f>
        <v>44310.687967928221</v>
      </c>
      <c r="HM26" s="17">
        <f t="shared" ref="HM26" si="152">HL26*($F$2+1)</f>
        <v>43867.581088248939</v>
      </c>
      <c r="HN26" s="17">
        <f t="shared" ref="HN26" si="153">HM26*($F$2+1)</f>
        <v>43428.905277366452</v>
      </c>
      <c r="HO26" s="17">
        <f t="shared" ref="HO26" si="154">HN26*($F$2+1)</f>
        <v>42994.616224592784</v>
      </c>
      <c r="HP26" s="17">
        <f t="shared" ref="HP26" si="155">HO26*($F$2+1)</f>
        <v>42564.670062346857</v>
      </c>
      <c r="HQ26" s="17">
        <f t="shared" ref="HQ26" si="156">HP26*($F$2+1)</f>
        <v>42139.02336172339</v>
      </c>
      <c r="HR26" s="17">
        <f t="shared" ref="HR26" si="157">HQ26*($F$2+1)</f>
        <v>41717.633128106158</v>
      </c>
      <c r="HS26" s="17">
        <f t="shared" ref="HS26" si="158">HR26*($F$2+1)</f>
        <v>41300.456796825092</v>
      </c>
      <c r="HT26" s="17">
        <f t="shared" ref="HT26" si="159">HS26*($F$2+1)</f>
        <v>40887.452228856841</v>
      </c>
      <c r="HU26" s="17">
        <f t="shared" ref="HU26" si="160">HT26*($F$2+1)</f>
        <v>40478.577706568271</v>
      </c>
      <c r="HV26" s="17">
        <f t="shared" ref="HV26" si="161">HU26*($F$2+1)</f>
        <v>40073.791929502586</v>
      </c>
      <c r="HW26" s="17">
        <f t="shared" ref="HW26" si="162">HV26*($F$2+1)</f>
        <v>39673.054010207561</v>
      </c>
      <c r="HX26" s="17">
        <f t="shared" ref="HX26" si="163">HW26*($F$2+1)</f>
        <v>39276.323470105483</v>
      </c>
      <c r="HY26" s="17">
        <f t="shared" ref="HY26" si="164">HX26*($F$2+1)</f>
        <v>38883.560235404424</v>
      </c>
      <c r="HZ26" s="17">
        <f t="shared" ref="HZ26" si="165">HY26*($F$2+1)</f>
        <v>38494.724633050377</v>
      </c>
      <c r="IA26" s="17">
        <f t="shared" ref="IA26" si="166">HZ26*($F$2+1)</f>
        <v>38109.77738671987</v>
      </c>
      <c r="IB26" s="17">
        <f t="shared" ref="IB26" si="167">IA26*($F$2+1)</f>
        <v>37728.679612852669</v>
      </c>
      <c r="IC26" s="17">
        <f t="shared" ref="IC26" si="168">IB26*($F$2+1)</f>
        <v>37351.392816724139</v>
      </c>
      <c r="ID26" s="17">
        <f t="shared" ref="ID26" si="169">IC26*($F$2+1)</f>
        <v>36977.878888556901</v>
      </c>
      <c r="IE26" s="17">
        <f t="shared" ref="IE26" si="170">ID26*($F$2+1)</f>
        <v>36608.100099671334</v>
      </c>
      <c r="IF26" s="17">
        <f t="shared" ref="IF26" si="171">IE26*($F$2+1)</f>
        <v>36242.019098674617</v>
      </c>
      <c r="IG26" s="17">
        <f t="shared" ref="IG26" si="172">IF26*($F$2+1)</f>
        <v>35879.598907687869</v>
      </c>
      <c r="IH26" s="17">
        <f t="shared" ref="IH26" si="173">IG26*($F$2+1)</f>
        <v>35520.802918610992</v>
      </c>
      <c r="II26" s="17">
        <f t="shared" ref="II26" si="174">IH26*($F$2+1)</f>
        <v>35165.59488942488</v>
      </c>
      <c r="IJ26" s="17">
        <f t="shared" ref="IJ26" si="175">II26*($F$2+1)</f>
        <v>34813.938940530628</v>
      </c>
      <c r="IK26" s="17">
        <f t="shared" ref="IK26" si="176">IJ26*($F$2+1)</f>
        <v>34465.799551125325</v>
      </c>
      <c r="IL26" s="17">
        <f t="shared" ref="IL26" si="177">IK26*($F$2+1)</f>
        <v>34121.141555614071</v>
      </c>
      <c r="IM26" s="17">
        <f t="shared" ref="IM26" si="178">IL26*($F$2+1)</f>
        <v>33779.930140057928</v>
      </c>
      <c r="IN26" s="17">
        <f t="shared" ref="IN26" si="179">IM26*($F$2+1)</f>
        <v>33442.130838657351</v>
      </c>
      <c r="IO26" s="17">
        <f t="shared" ref="IO26" si="180">IN26*($F$2+1)</f>
        <v>33107.709530270775</v>
      </c>
      <c r="IP26" s="17">
        <f t="shared" ref="IP26" si="181">IO26*($F$2+1)</f>
        <v>32776.632434968065</v>
      </c>
      <c r="IQ26" s="17">
        <f t="shared" ref="IQ26" si="182">IP26*($F$2+1)</f>
        <v>32448.866110618383</v>
      </c>
      <c r="IR26" s="17">
        <f t="shared" ref="IR26" si="183">IQ26*($F$2+1)</f>
        <v>32124.377449512198</v>
      </c>
      <c r="IS26" s="17">
        <f t="shared" ref="IS26" si="184">IR26*($F$2+1)</f>
        <v>31803.133675017074</v>
      </c>
      <c r="IT26" s="17">
        <f t="shared" ref="IT26" si="185">IS26*($F$2+1)</f>
        <v>31485.102338266905</v>
      </c>
      <c r="IU26" s="17">
        <f t="shared" ref="IU26" si="186">IT26*($F$2+1)</f>
        <v>31170.251314884234</v>
      </c>
      <c r="IV26" s="17">
        <f t="shared" ref="IV26" si="187">IU26*($F$2+1)</f>
        <v>30858.548801735393</v>
      </c>
      <c r="IW26" s="17">
        <f t="shared" ref="IW26" si="188">IV26*($F$2+1)</f>
        <v>30549.963313718039</v>
      </c>
      <c r="IX26" s="17">
        <f t="shared" ref="IX26" si="189">IW26*($F$2+1)</f>
        <v>30244.463680580859</v>
      </c>
      <c r="IY26" s="17">
        <f t="shared" ref="IY26" si="190">IX26*($F$2+1)</f>
        <v>29942.01904377505</v>
      </c>
      <c r="IZ26" s="17">
        <f t="shared" ref="IZ26" si="191">IY26*($F$2+1)</f>
        <v>29642.598853337298</v>
      </c>
      <c r="JA26" s="17">
        <f t="shared" ref="JA26" si="192">IZ26*($F$2+1)</f>
        <v>29346.172864803924</v>
      </c>
      <c r="JB26" s="17">
        <f t="shared" ref="JB26" si="193">JA26*($F$2+1)</f>
        <v>29052.711136155885</v>
      </c>
      <c r="JC26" s="17">
        <f t="shared" ref="JC26" si="194">JB26*($F$2+1)</f>
        <v>28762.184024794326</v>
      </c>
      <c r="JD26" s="17">
        <f t="shared" ref="JD26" si="195">JC26*($F$2+1)</f>
        <v>28474.562184546383</v>
      </c>
      <c r="JE26" s="17">
        <f t="shared" ref="JE26" si="196">JD26*($F$2+1)</f>
        <v>28189.816562700918</v>
      </c>
      <c r="JF26" s="17">
        <f t="shared" ref="JF26" si="197">JE26*($F$2+1)</f>
        <v>27907.91839707391</v>
      </c>
      <c r="JG26" s="17">
        <f t="shared" ref="JG26" si="198">JF26*($F$2+1)</f>
        <v>27628.839213103172</v>
      </c>
      <c r="JH26" s="17">
        <f t="shared" ref="JH26" si="199">JG26*($F$2+1)</f>
        <v>27352.550820972141</v>
      </c>
      <c r="JI26" s="17">
        <f t="shared" ref="JI26" si="200">JH26*($F$2+1)</f>
        <v>27079.02531276242</v>
      </c>
      <c r="JJ26" s="17">
        <f t="shared" ref="JJ26" si="201">JI26*($F$2+1)</f>
        <v>26808.235059634797</v>
      </c>
      <c r="JK26" s="17">
        <f t="shared" ref="JK26" si="202">JJ26*($F$2+1)</f>
        <v>26540.152709038448</v>
      </c>
      <c r="JL26" s="17">
        <f t="shared" ref="JL26" si="203">JK26*($F$2+1)</f>
        <v>26274.751181948064</v>
      </c>
      <c r="JM26" s="17">
        <f t="shared" ref="JM26" si="204">JL26*($F$2+1)</f>
        <v>26012.003670128583</v>
      </c>
      <c r="JN26" s="17">
        <f t="shared" ref="JN26" si="205">JM26*($F$2+1)</f>
        <v>25751.883633427296</v>
      </c>
      <c r="JO26" s="17">
        <f t="shared" ref="JO26" si="206">JN26*($F$2+1)</f>
        <v>25494.364797093021</v>
      </c>
      <c r="JP26" s="17">
        <f t="shared" ref="JP26" si="207">JO26*($F$2+1)</f>
        <v>25239.421149122092</v>
      </c>
      <c r="JQ26" s="17">
        <f t="shared" ref="JQ26" si="208">JP26*($F$2+1)</f>
        <v>24987.026937630872</v>
      </c>
      <c r="JR26" s="17">
        <f t="shared" ref="JR26" si="209">JQ26*($F$2+1)</f>
        <v>24737.156668254564</v>
      </c>
      <c r="JS26" s="17">
        <f t="shared" ref="JS26" si="210">JR26*($F$2+1)</f>
        <v>24489.785101572019</v>
      </c>
      <c r="JT26" s="17">
        <f t="shared" ref="JT26" si="211">JS26*($F$2+1)</f>
        <v>24244.887250556298</v>
      </c>
      <c r="JU26" s="17">
        <f t="shared" ref="JU26" si="212">JT26*($F$2+1)</f>
        <v>24002.438378050734</v>
      </c>
      <c r="JV26" s="17">
        <f t="shared" ref="JV26" si="213">JU26*($F$2+1)</f>
        <v>23762.413994270228</v>
      </c>
      <c r="JW26" s="17">
        <f t="shared" ref="JW26" si="214">JV26*($F$2+1)</f>
        <v>23524.789854327526</v>
      </c>
      <c r="JX26" s="17">
        <f t="shared" ref="JX26" si="215">JW26*($F$2+1)</f>
        <v>23289.541955784251</v>
      </c>
      <c r="JY26" s="17">
        <f t="shared" ref="JY26" si="216">JX26*($F$2+1)</f>
        <v>23056.646536226406</v>
      </c>
      <c r="JZ26" s="17">
        <f t="shared" ref="JZ26" si="217">JY26*($F$2+1)</f>
        <v>22826.080070864144</v>
      </c>
      <c r="KA26" s="17">
        <f t="shared" ref="KA26" si="218">JZ26*($F$2+1)</f>
        <v>22597.819270155502</v>
      </c>
      <c r="KB26" s="17">
        <f t="shared" ref="KB26" si="219">KA26*($F$2+1)</f>
        <v>22371.841077453948</v>
      </c>
      <c r="KC26" s="17">
        <f t="shared" ref="KC26" si="220">KB26*($F$2+1)</f>
        <v>22148.12266667941</v>
      </c>
      <c r="KD26" s="17">
        <f t="shared" ref="KD26" si="221">KC26*($F$2+1)</f>
        <v>21926.641440012616</v>
      </c>
      <c r="KE26" s="17">
        <f t="shared" ref="KE26" si="222">KD26*($F$2+1)</f>
        <v>21707.375025612491</v>
      </c>
      <c r="KF26" s="17">
        <f t="shared" ref="KF26" si="223">KE26*($F$2+1)</f>
        <v>21490.301275356367</v>
      </c>
      <c r="KG26" s="17">
        <f t="shared" ref="KG26" si="224">KF26*($F$2+1)</f>
        <v>21275.398262602805</v>
      </c>
      <c r="KH26" s="17">
        <f t="shared" ref="KH26" si="225">KG26*($F$2+1)</f>
        <v>21062.644279976776</v>
      </c>
      <c r="KI26" s="17">
        <f t="shared" ref="KI26" si="226">KH26*($F$2+1)</f>
        <v>20852.017837177009</v>
      </c>
      <c r="KJ26" s="17">
        <f t="shared" ref="KJ26" si="227">KI26*($F$2+1)</f>
        <v>20643.497658805238</v>
      </c>
      <c r="KK26" s="17">
        <f t="shared" ref="KK26" si="228">KJ26*($F$2+1)</f>
        <v>20437.062682217183</v>
      </c>
      <c r="KL26" s="17">
        <f t="shared" ref="KL26" si="229">KK26*($F$2+1)</f>
        <v>20232.692055395011</v>
      </c>
      <c r="KM26" s="17">
        <f t="shared" ref="KM26" si="230">KL26*($F$2+1)</f>
        <v>20030.36513484106</v>
      </c>
      <c r="KN26" s="17">
        <f t="shared" ref="KN26" si="231">KM26*($F$2+1)</f>
        <v>19830.061483492649</v>
      </c>
      <c r="KO26" s="17">
        <f t="shared" ref="KO26" si="232">KN26*($F$2+1)</f>
        <v>19631.760868657722</v>
      </c>
      <c r="KP26" s="17">
        <f t="shared" ref="KP26" si="233">KO26*($F$2+1)</f>
        <v>19435.443259971144</v>
      </c>
      <c r="KQ26" s="17">
        <f t="shared" ref="KQ26" si="234">KP26*($F$2+1)</f>
        <v>19241.088827371434</v>
      </c>
      <c r="KR26" s="17">
        <f t="shared" ref="KR26" si="235">KQ26*($F$2+1)</f>
        <v>19048.677939097721</v>
      </c>
      <c r="KS26" s="17">
        <f t="shared" ref="KS26" si="236">KR26*($F$2+1)</f>
        <v>18858.191159706745</v>
      </c>
      <c r="KT26" s="17">
        <f t="shared" ref="KT26" si="237">KS26*($F$2+1)</f>
        <v>18669.609248109678</v>
      </c>
      <c r="KU26" s="17">
        <f t="shared" ref="KU26" si="238">KT26*($F$2+1)</f>
        <v>18482.913155628583</v>
      </c>
      <c r="KV26" s="17">
        <f t="shared" ref="KV26" si="239">KU26*($F$2+1)</f>
        <v>18298.084024072297</v>
      </c>
      <c r="KW26" s="17">
        <f t="shared" ref="KW26" si="240">KV26*($F$2+1)</f>
        <v>18115.103183831576</v>
      </c>
      <c r="KX26" s="17">
        <f t="shared" ref="KX26" si="241">KW26*($F$2+1)</f>
        <v>17933.95215199326</v>
      </c>
      <c r="KY26" s="17">
        <f t="shared" ref="KY26" si="242">KX26*($F$2+1)</f>
        <v>17754.612630473326</v>
      </c>
      <c r="KZ26" s="17">
        <f t="shared" ref="KZ26" si="243">KY26*($F$2+1)</f>
        <v>17577.066504168593</v>
      </c>
      <c r="LA26" s="17">
        <f t="shared" ref="LA26" si="244">KZ26*($F$2+1)</f>
        <v>17401.295839126906</v>
      </c>
      <c r="LB26" s="17">
        <f t="shared" ref="LB26" si="245">LA26*($F$2+1)</f>
        <v>17227.282880735638</v>
      </c>
      <c r="LC26" s="17">
        <f t="shared" ref="LC26" si="246">LB26*($F$2+1)</f>
        <v>17055.010051928282</v>
      </c>
      <c r="LD26" s="17">
        <f t="shared" ref="LD26" si="247">LC26*($F$2+1)</f>
        <v>16884.459951409</v>
      </c>
      <c r="LE26" s="17">
        <f t="shared" ref="LE26" si="248">LD26*($F$2+1)</f>
        <v>16715.61535189491</v>
      </c>
      <c r="LF26" s="17">
        <f t="shared" ref="LF26" si="249">LE26*($F$2+1)</f>
        <v>16548.45919837596</v>
      </c>
      <c r="LG26" s="17">
        <f t="shared" ref="LG26" si="250">LF26*($F$2+1)</f>
        <v>16382.974606392201</v>
      </c>
      <c r="LH26" s="17">
        <f t="shared" ref="LH26" si="251">LG26*($F$2+1)</f>
        <v>16219.144860328279</v>
      </c>
      <c r="LI26" s="17">
        <f t="shared" ref="LI26" si="252">LH26*($F$2+1)</f>
        <v>16056.953411724995</v>
      </c>
      <c r="LJ26" s="17">
        <f t="shared" ref="LJ26" si="253">LI26*($F$2+1)</f>
        <v>15896.383877607745</v>
      </c>
      <c r="LK26" s="17">
        <f t="shared" ref="LK26" si="254">LJ26*($F$2+1)</f>
        <v>15737.420038831668</v>
      </c>
      <c r="LL26" s="17">
        <f t="shared" ref="LL26" si="255">LK26*($F$2+1)</f>
        <v>15580.045838443351</v>
      </c>
      <c r="LM26" s="17">
        <f t="shared" ref="LM26" si="256">LL26*($F$2+1)</f>
        <v>15424.245380058917</v>
      </c>
      <c r="LN26" s="17">
        <f t="shared" ref="LN26" si="257">LM26*($F$2+1)</f>
        <v>15270.002926258328</v>
      </c>
      <c r="LO26" s="17">
        <f t="shared" ref="LO26" si="258">LN26*($F$2+1)</f>
        <v>15117.302896995745</v>
      </c>
      <c r="LP26" s="17">
        <f t="shared" ref="LP26" si="259">LO26*($F$2+1)</f>
        <v>14966.129868025788</v>
      </c>
      <c r="LQ26" s="17">
        <f t="shared" ref="LQ26" si="260">LP26*($F$2+1)</f>
        <v>14816.46856934553</v>
      </c>
      <c r="LR26" s="17">
        <f t="shared" ref="LR26" si="261">LQ26*($F$2+1)</f>
        <v>14668.303883652075</v>
      </c>
      <c r="LS26" s="17">
        <f t="shared" ref="LS26" si="262">LR26*($F$2+1)</f>
        <v>14521.620844815554</v>
      </c>
      <c r="LT26" s="17">
        <f t="shared" ref="LT26" si="263">LS26*($F$2+1)</f>
        <v>14376.404636367399</v>
      </c>
      <c r="LU26" s="17">
        <f t="shared" ref="LU26" si="264">LT26*($F$2+1)</f>
        <v>14232.640590003724</v>
      </c>
      <c r="LV26" s="17">
        <f t="shared" ref="LV26" si="265">LU26*($F$2+1)</f>
        <v>14090.314184103687</v>
      </c>
      <c r="LW26" s="17">
        <f t="shared" ref="LW26" si="266">LV26*($F$2+1)</f>
        <v>13949.411042262649</v>
      </c>
      <c r="LX26" s="17">
        <f t="shared" ref="LX26" si="267">LW26*($F$2+1)</f>
        <v>13809.916931840022</v>
      </c>
      <c r="LY26" s="17">
        <f t="shared" ref="LY26" si="268">LX26*($F$2+1)</f>
        <v>13671.817762521621</v>
      </c>
      <c r="LZ26" s="17">
        <f t="shared" ref="LZ26" si="269">LY26*($F$2+1)</f>
        <v>13535.099584896405</v>
      </c>
      <c r="MA26" s="17">
        <f t="shared" ref="MA26" si="270">LZ26*($F$2+1)</f>
        <v>13399.74858904744</v>
      </c>
      <c r="MB26" s="17">
        <f t="shared" ref="MB26" si="271">MA26*($F$2+1)</f>
        <v>13265.751103156965</v>
      </c>
      <c r="MC26" s="17">
        <f t="shared" ref="MC26" si="272">MB26*($F$2+1)</f>
        <v>13133.093592125395</v>
      </c>
      <c r="MD26" s="17">
        <f t="shared" ref="MD26" si="273">MC26*($F$2+1)</f>
        <v>13001.762656204141</v>
      </c>
      <c r="ME26" s="17">
        <f t="shared" ref="ME26" si="274">MD26*($F$2+1)</f>
        <v>12871.745029642099</v>
      </c>
      <c r="MF26" s="17">
        <f t="shared" ref="MF26" si="275">ME26*($F$2+1)</f>
        <v>12743.027579345679</v>
      </c>
      <c r="MG26" s="17">
        <f t="shared" ref="MG26" si="276">MF26*($F$2+1)</f>
        <v>12615.597303552222</v>
      </c>
      <c r="MH26" s="17">
        <f t="shared" ref="MH26" si="277">MG26*($F$2+1)</f>
        <v>12489.4413305167</v>
      </c>
    </row>
    <row r="27" spans="1:346" x14ac:dyDescent="0.15">
      <c r="A27" s="3" t="s">
        <v>16</v>
      </c>
      <c r="B27" s="30">
        <f t="shared" ref="B27:G27" si="278">B26/B28</f>
        <v>23.750650135547815</v>
      </c>
      <c r="C27" s="30">
        <f t="shared" si="278"/>
        <v>28.188133140376266</v>
      </c>
      <c r="D27" s="30">
        <f t="shared" si="278"/>
        <v>31.582078349014594</v>
      </c>
      <c r="E27" s="30">
        <f t="shared" si="278"/>
        <v>43.852252607009</v>
      </c>
      <c r="F27" s="30">
        <f t="shared" si="278"/>
        <v>51.841644202913145</v>
      </c>
      <c r="G27" s="30">
        <f t="shared" si="278"/>
        <v>58.96168054479778</v>
      </c>
      <c r="H27" s="54">
        <f t="shared" ref="H27" si="279">H26/H28</f>
        <v>62.508849558748274</v>
      </c>
      <c r="I27" s="54">
        <f t="shared" ref="I27:Q27" si="280">I26/I28</f>
        <v>69.857063777688609</v>
      </c>
      <c r="J27" s="54">
        <f t="shared" si="280"/>
        <v>78.732194009679688</v>
      </c>
      <c r="K27" s="54">
        <f t="shared" si="280"/>
        <v>89.152719089610656</v>
      </c>
      <c r="L27" s="54">
        <f t="shared" ref="L27" si="281">L26/L28</f>
        <v>100.97295837770773</v>
      </c>
      <c r="M27" s="54">
        <f t="shared" si="280"/>
        <v>121.65107244501893</v>
      </c>
      <c r="N27" s="54">
        <f t="shared" si="280"/>
        <v>145.03076044495251</v>
      </c>
      <c r="O27" s="54">
        <f t="shared" si="280"/>
        <v>171.42296647122552</v>
      </c>
      <c r="P27" s="54">
        <f t="shared" si="280"/>
        <v>201.17206209324056</v>
      </c>
      <c r="Q27" s="54">
        <f t="shared" si="280"/>
        <v>234.65932009971158</v>
      </c>
      <c r="R27" s="54">
        <f t="shared" ref="R27:U27" si="282">R26/R28</f>
        <v>272.30674273883955</v>
      </c>
      <c r="S27" s="54">
        <f t="shared" si="282"/>
        <v>314.58128028587004</v>
      </c>
      <c r="T27" s="54">
        <f t="shared" si="282"/>
        <v>361.99947937206161</v>
      </c>
      <c r="U27" s="54">
        <f t="shared" si="282"/>
        <v>415.13260447365371</v>
      </c>
      <c r="V27" s="54">
        <f t="shared" ref="V27" si="283">V26/V28</f>
        <v>474.61228032154833</v>
      </c>
    </row>
    <row r="28" spans="1:346" s="16" customFormat="1" x14ac:dyDescent="0.15">
      <c r="A28" s="16" t="s">
        <v>17</v>
      </c>
      <c r="B28" s="23">
        <f>Reports!E22</f>
        <v>688.31799999999998</v>
      </c>
      <c r="C28" s="23">
        <f>Reports!I22</f>
        <v>691</v>
      </c>
      <c r="D28" s="23">
        <f>Reports!M22</f>
        <v>694</v>
      </c>
      <c r="E28" s="23">
        <f>Reports!Q22</f>
        <v>700.899</v>
      </c>
      <c r="F28" s="23">
        <f>Reports!U22</f>
        <v>695.19399999999996</v>
      </c>
      <c r="G28" s="23">
        <f>Reports!Y22</f>
        <v>682.96900000000005</v>
      </c>
      <c r="H28" s="23">
        <f t="shared" ref="H28" si="284">G28</f>
        <v>682.96900000000005</v>
      </c>
      <c r="I28" s="23">
        <f t="shared" ref="I28" si="285">H28</f>
        <v>682.96900000000005</v>
      </c>
      <c r="J28" s="23">
        <f t="shared" ref="J28" si="286">I28</f>
        <v>682.96900000000005</v>
      </c>
      <c r="K28" s="23">
        <f t="shared" ref="K28:L28" si="287">J28</f>
        <v>682.96900000000005</v>
      </c>
      <c r="L28" s="23">
        <f t="shared" si="287"/>
        <v>682.96900000000005</v>
      </c>
      <c r="M28" s="23">
        <f t="shared" ref="M28" si="288">L28</f>
        <v>682.96900000000005</v>
      </c>
      <c r="N28" s="23">
        <f t="shared" ref="N28" si="289">M28</f>
        <v>682.96900000000005</v>
      </c>
      <c r="O28" s="23">
        <f t="shared" ref="O28" si="290">N28</f>
        <v>682.96900000000005</v>
      </c>
      <c r="P28" s="23">
        <f t="shared" ref="P28" si="291">O28</f>
        <v>682.96900000000005</v>
      </c>
      <c r="Q28" s="23">
        <f t="shared" ref="Q28:V28" si="292">P28</f>
        <v>682.96900000000005</v>
      </c>
      <c r="R28" s="23">
        <f t="shared" si="292"/>
        <v>682.96900000000005</v>
      </c>
      <c r="S28" s="23">
        <f t="shared" si="292"/>
        <v>682.96900000000005</v>
      </c>
      <c r="T28" s="23">
        <f t="shared" si="292"/>
        <v>682.96900000000005</v>
      </c>
      <c r="U28" s="23">
        <f t="shared" si="292"/>
        <v>682.96900000000005</v>
      </c>
      <c r="V28" s="23">
        <f t="shared" si="292"/>
        <v>682.96900000000005</v>
      </c>
    </row>
    <row r="29" spans="1:346" x14ac:dyDescent="0.1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346" x14ac:dyDescent="0.15">
      <c r="A30" s="3" t="s">
        <v>19</v>
      </c>
      <c r="B30" s="36">
        <f t="shared" ref="B30:Q30" si="293">IFERROR(B17/B15,0)</f>
        <v>0.62442491565429592</v>
      </c>
      <c r="C30" s="36">
        <f t="shared" si="293"/>
        <v>0.61075416518964909</v>
      </c>
      <c r="D30" s="36">
        <f t="shared" si="293"/>
        <v>0.58880519597672631</v>
      </c>
      <c r="E30" s="36">
        <f>IFERROR(E17/E15,0)</f>
        <v>0.5647607422945643</v>
      </c>
      <c r="F30" s="36">
        <f t="shared" si="293"/>
        <v>0.5558054331910266</v>
      </c>
      <c r="G30" s="36">
        <f t="shared" si="293"/>
        <v>0.53578374706207854</v>
      </c>
      <c r="H30" s="36">
        <f>IFERROR(H17/H15,0)</f>
        <v>0.53578374706207854</v>
      </c>
      <c r="I30" s="36">
        <f t="shared" si="293"/>
        <v>0.53578374706207854</v>
      </c>
      <c r="J30" s="36">
        <f t="shared" si="293"/>
        <v>0.53578374706207854</v>
      </c>
      <c r="K30" s="36">
        <f t="shared" si="293"/>
        <v>0.53578374706207854</v>
      </c>
      <c r="L30" s="36">
        <f t="shared" ref="L30" si="294">IFERROR(L17/L15,0)</f>
        <v>0.53578374706207854</v>
      </c>
      <c r="M30" s="36">
        <f t="shared" si="293"/>
        <v>0.53578374706207854</v>
      </c>
      <c r="N30" s="36">
        <f t="shared" si="293"/>
        <v>0.53578374706207854</v>
      </c>
      <c r="O30" s="36">
        <f t="shared" si="293"/>
        <v>0.53578374706207854</v>
      </c>
      <c r="P30" s="36">
        <f t="shared" si="293"/>
        <v>0.53578374706207854</v>
      </c>
      <c r="Q30" s="36">
        <f t="shared" si="293"/>
        <v>0.53578374706207854</v>
      </c>
      <c r="R30" s="36">
        <f t="shared" ref="R30:U30" si="295">IFERROR(R17/R15,0)</f>
        <v>0.53578374706207854</v>
      </c>
      <c r="S30" s="36">
        <f t="shared" si="295"/>
        <v>0.53578374706207854</v>
      </c>
      <c r="T30" s="36">
        <f t="shared" si="295"/>
        <v>0.53578374706207854</v>
      </c>
      <c r="U30" s="36">
        <f t="shared" si="295"/>
        <v>0.53578374706207854</v>
      </c>
      <c r="V30" s="36">
        <f t="shared" ref="V30" si="296">IFERROR(V17/V15,0)</f>
        <v>0.53578374706207854</v>
      </c>
    </row>
    <row r="31" spans="1:346" x14ac:dyDescent="0.15">
      <c r="A31" s="3" t="s">
        <v>20</v>
      </c>
      <c r="B31" s="38">
        <f t="shared" ref="B31:Q31" si="297">IFERROR(B22/B15,0)</f>
        <v>0.25817119844243824</v>
      </c>
      <c r="C31" s="38">
        <f t="shared" si="297"/>
        <v>0.26271712158808935</v>
      </c>
      <c r="D31" s="38">
        <f t="shared" si="297"/>
        <v>0.23585765188760091</v>
      </c>
      <c r="E31" s="38">
        <f>IFERROR(E22/E15,0)</f>
        <v>0.19237825155862856</v>
      </c>
      <c r="F31" s="38">
        <f t="shared" si="297"/>
        <v>0.22197371754079218</v>
      </c>
      <c r="G31" s="38">
        <f t="shared" si="297"/>
        <v>0.22585151785763202</v>
      </c>
      <c r="H31" s="38">
        <f t="shared" si="297"/>
        <v>0.21919175214918762</v>
      </c>
      <c r="I31" s="38">
        <f t="shared" si="297"/>
        <v>0.21444305278012948</v>
      </c>
      <c r="J31" s="38">
        <f t="shared" si="297"/>
        <v>0.21126415153736594</v>
      </c>
      <c r="K31" s="38">
        <f t="shared" si="297"/>
        <v>0.20906649731006344</v>
      </c>
      <c r="L31" s="38">
        <f t="shared" ref="L31" si="298">IFERROR(L22/L15,0)</f>
        <v>0.20711885184494191</v>
      </c>
      <c r="M31" s="38">
        <f t="shared" si="297"/>
        <v>0.22658383975149304</v>
      </c>
      <c r="N31" s="38">
        <f t="shared" si="297"/>
        <v>0.24467034553637301</v>
      </c>
      <c r="O31" s="38">
        <f t="shared" si="297"/>
        <v>0.26149488674446858</v>
      </c>
      <c r="P31" s="38">
        <f t="shared" si="297"/>
        <v>0.27716280911226698</v>
      </c>
      <c r="Q31" s="38">
        <f t="shared" si="297"/>
        <v>0.29176943534711269</v>
      </c>
      <c r="R31" s="38">
        <f t="shared" ref="R31:U31" si="299">IFERROR(R22/R15,0)</f>
        <v>0.30540109176524993</v>
      </c>
      <c r="S31" s="38">
        <f t="shared" si="299"/>
        <v>0.31813602596859231</v>
      </c>
      <c r="T31" s="38">
        <f t="shared" si="299"/>
        <v>0.33004522730892305</v>
      </c>
      <c r="U31" s="38">
        <f t="shared" si="299"/>
        <v>0.34119316061282323</v>
      </c>
      <c r="V31" s="38">
        <f t="shared" ref="V31" si="300">IFERROR(V22/V15,0)</f>
        <v>0.35163842250407018</v>
      </c>
    </row>
    <row r="32" spans="1:346" x14ac:dyDescent="0.15">
      <c r="A32" s="3" t="s">
        <v>21</v>
      </c>
      <c r="B32" s="38">
        <f t="shared" ref="B32:Q32" si="301">IFERROR(B25/B24,0)</f>
        <v>0.16808304920869166</v>
      </c>
      <c r="C32" s="38">
        <f t="shared" si="301"/>
        <v>0.19345755693581781</v>
      </c>
      <c r="D32" s="38">
        <f t="shared" si="301"/>
        <v>0.19398512947390398</v>
      </c>
      <c r="E32" s="38">
        <f>IFERROR(E25/E24,0)</f>
        <v>0.1196402486179933</v>
      </c>
      <c r="F32" s="38">
        <f t="shared" si="301"/>
        <v>0.12782537147282319</v>
      </c>
      <c r="G32" s="38">
        <f t="shared" si="301"/>
        <v>0.16249324071378063</v>
      </c>
      <c r="H32" s="38">
        <f t="shared" si="301"/>
        <v>0.15</v>
      </c>
      <c r="I32" s="38">
        <f t="shared" si="301"/>
        <v>0.15</v>
      </c>
      <c r="J32" s="38">
        <f t="shared" si="301"/>
        <v>0.15</v>
      </c>
      <c r="K32" s="38">
        <f t="shared" si="301"/>
        <v>0.15</v>
      </c>
      <c r="L32" s="38">
        <f t="shared" ref="L32" si="302">IFERROR(L25/L24,0)</f>
        <v>0.15</v>
      </c>
      <c r="M32" s="38">
        <f t="shared" si="301"/>
        <v>0.15</v>
      </c>
      <c r="N32" s="38">
        <f t="shared" si="301"/>
        <v>0.15</v>
      </c>
      <c r="O32" s="38">
        <f t="shared" si="301"/>
        <v>0.15</v>
      </c>
      <c r="P32" s="38">
        <f t="shared" si="301"/>
        <v>0.15</v>
      </c>
      <c r="Q32" s="38">
        <f t="shared" si="301"/>
        <v>0.15</v>
      </c>
      <c r="R32" s="38">
        <f t="shared" ref="R32:U32" si="303">IFERROR(R25/R24,0)</f>
        <v>0.15</v>
      </c>
      <c r="S32" s="38">
        <f t="shared" si="303"/>
        <v>0.15</v>
      </c>
      <c r="T32" s="38">
        <f t="shared" si="303"/>
        <v>0.15</v>
      </c>
      <c r="U32" s="38">
        <f t="shared" si="303"/>
        <v>0.15</v>
      </c>
      <c r="V32" s="38">
        <f t="shared" ref="V32" si="304">IFERROR(V25/V24,0)</f>
        <v>0.15</v>
      </c>
    </row>
    <row r="33" spans="1:122" x14ac:dyDescent="0.15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</row>
    <row r="34" spans="1:122" x14ac:dyDescent="0.15">
      <c r="A34" s="2" t="s">
        <v>18</v>
      </c>
      <c r="B34" s="27"/>
      <c r="C34" s="55">
        <f>C15/B15-1</f>
        <v>0.20380322447292265</v>
      </c>
      <c r="D34" s="55">
        <f t="shared" ref="D34:V34" si="305">D15/C15-1</f>
        <v>0.22801090038993266</v>
      </c>
      <c r="E34" s="55">
        <f t="shared" si="305"/>
        <v>0.23421586757475987</v>
      </c>
      <c r="F34" s="55">
        <f t="shared" si="305"/>
        <v>0.18300089899794614</v>
      </c>
      <c r="G34" s="55">
        <f t="shared" ref="G34:L34" si="306">G15/F15-1</f>
        <v>0.12770532012826141</v>
      </c>
      <c r="H34" s="55">
        <f t="shared" si="306"/>
        <v>0.10195121817594122</v>
      </c>
      <c r="I34" s="55">
        <f t="shared" si="306"/>
        <v>0.10954213284205672</v>
      </c>
      <c r="J34" s="55">
        <f t="shared" si="306"/>
        <v>0.11570115007167248</v>
      </c>
      <c r="K34" s="55">
        <f t="shared" si="306"/>
        <v>0.11970768713940361</v>
      </c>
      <c r="L34" s="55">
        <f t="shared" si="306"/>
        <v>0.12115664410100258</v>
      </c>
      <c r="M34" s="55">
        <f t="shared" si="305"/>
        <v>0.10000000000000009</v>
      </c>
      <c r="N34" s="55">
        <f t="shared" si="305"/>
        <v>0.10000000000000009</v>
      </c>
      <c r="O34" s="55">
        <f t="shared" si="305"/>
        <v>0.10000000000000009</v>
      </c>
      <c r="P34" s="55">
        <f t="shared" si="305"/>
        <v>0.10000000000000009</v>
      </c>
      <c r="Q34" s="55">
        <f t="shared" si="305"/>
        <v>0.10000000000000009</v>
      </c>
      <c r="R34" s="55">
        <f t="shared" si="305"/>
        <v>0.10000000000000009</v>
      </c>
      <c r="S34" s="55">
        <f t="shared" si="305"/>
        <v>0.10000000000000009</v>
      </c>
      <c r="T34" s="55">
        <f t="shared" si="305"/>
        <v>0.10000000000000009</v>
      </c>
      <c r="U34" s="55">
        <f t="shared" si="305"/>
        <v>0.10000000000000009</v>
      </c>
      <c r="V34" s="55">
        <f t="shared" si="305"/>
        <v>0.10000000000000009</v>
      </c>
    </row>
    <row r="35" spans="1:122" x14ac:dyDescent="0.15">
      <c r="A35" s="3" t="s">
        <v>61</v>
      </c>
      <c r="B35" s="20"/>
      <c r="C35" s="38">
        <f t="shared" ref="C35:V35" si="307">C18/B18-1</f>
        <v>0.13564566031590952</v>
      </c>
      <c r="D35" s="38">
        <f t="shared" si="307"/>
        <v>0.19192715801548599</v>
      </c>
      <c r="E35" s="38">
        <f t="shared" si="307"/>
        <v>0.28836090225563904</v>
      </c>
      <c r="F35" s="38">
        <f t="shared" si="307"/>
        <v>0.21471590643820915</v>
      </c>
      <c r="G35" s="38">
        <f t="shared" si="307"/>
        <v>5.9766315627642452E-2</v>
      </c>
      <c r="H35" s="38">
        <f t="shared" si="307"/>
        <v>0.10000000000000009</v>
      </c>
      <c r="I35" s="38">
        <f t="shared" si="307"/>
        <v>0.10000000000000009</v>
      </c>
      <c r="J35" s="38">
        <f t="shared" si="307"/>
        <v>0.10000000000000009</v>
      </c>
      <c r="K35" s="38">
        <f t="shared" si="307"/>
        <v>0.10000000000000009</v>
      </c>
      <c r="L35" s="38">
        <f t="shared" si="307"/>
        <v>0.10000000000000009</v>
      </c>
      <c r="M35" s="38">
        <f t="shared" si="307"/>
        <v>5.0000000000000044E-2</v>
      </c>
      <c r="N35" s="38">
        <f t="shared" si="307"/>
        <v>5.0000000000000044E-2</v>
      </c>
      <c r="O35" s="38">
        <f t="shared" si="307"/>
        <v>5.0000000000000044E-2</v>
      </c>
      <c r="P35" s="38">
        <f t="shared" si="307"/>
        <v>5.0000000000000044E-2</v>
      </c>
      <c r="Q35" s="38">
        <f t="shared" si="307"/>
        <v>5.0000000000000044E-2</v>
      </c>
      <c r="R35" s="38">
        <f t="shared" si="307"/>
        <v>5.0000000000000044E-2</v>
      </c>
      <c r="S35" s="38">
        <f t="shared" si="307"/>
        <v>5.0000000000000044E-2</v>
      </c>
      <c r="T35" s="38">
        <f t="shared" si="307"/>
        <v>5.0000000000000044E-2</v>
      </c>
      <c r="U35" s="38">
        <f t="shared" si="307"/>
        <v>5.0000000000000044E-2</v>
      </c>
      <c r="V35" s="38">
        <f t="shared" si="307"/>
        <v>5.0000000000000044E-2</v>
      </c>
    </row>
    <row r="36" spans="1:122" x14ac:dyDescent="0.15">
      <c r="A36" s="3" t="s">
        <v>62</v>
      </c>
      <c r="B36" s="20"/>
      <c r="C36" s="38">
        <f t="shared" ref="C36:V36" si="308">C19/B19-1</f>
        <v>0.15894771747540615</v>
      </c>
      <c r="D36" s="38">
        <f t="shared" si="308"/>
        <v>0.22966142107773013</v>
      </c>
      <c r="E36" s="38">
        <f t="shared" si="308"/>
        <v>0.2668114480725976</v>
      </c>
      <c r="F36" s="38">
        <f t="shared" si="308"/>
        <v>0.1304720504500092</v>
      </c>
      <c r="G36" s="38">
        <f t="shared" si="308"/>
        <v>-2.805459272097055E-2</v>
      </c>
      <c r="H36" s="38">
        <f t="shared" si="308"/>
        <v>0.14999999999999991</v>
      </c>
      <c r="I36" s="38">
        <f t="shared" si="308"/>
        <v>0.14999999999999991</v>
      </c>
      <c r="J36" s="38">
        <f t="shared" si="308"/>
        <v>0.14999999999999991</v>
      </c>
      <c r="K36" s="38">
        <f t="shared" si="308"/>
        <v>0.14999999999999991</v>
      </c>
      <c r="L36" s="38">
        <f t="shared" si="308"/>
        <v>0.14999999999999991</v>
      </c>
      <c r="M36" s="38">
        <f t="shared" si="308"/>
        <v>5.0000000000000044E-2</v>
      </c>
      <c r="N36" s="38">
        <f t="shared" si="308"/>
        <v>5.0000000000000044E-2</v>
      </c>
      <c r="O36" s="38">
        <f t="shared" si="308"/>
        <v>5.0000000000000044E-2</v>
      </c>
      <c r="P36" s="38">
        <f t="shared" si="308"/>
        <v>5.0000000000000044E-2</v>
      </c>
      <c r="Q36" s="38">
        <f t="shared" si="308"/>
        <v>5.0000000000000044E-2</v>
      </c>
      <c r="R36" s="38">
        <f t="shared" si="308"/>
        <v>5.0000000000000044E-2</v>
      </c>
      <c r="S36" s="38">
        <f t="shared" si="308"/>
        <v>5.0000000000000044E-2</v>
      </c>
      <c r="T36" s="38">
        <f t="shared" si="308"/>
        <v>5.0000000000000044E-2</v>
      </c>
      <c r="U36" s="38">
        <f t="shared" si="308"/>
        <v>5.0000000000000044E-2</v>
      </c>
      <c r="V36" s="38">
        <f t="shared" si="308"/>
        <v>5.0000000000000044E-2</v>
      </c>
    </row>
    <row r="37" spans="1:122" x14ac:dyDescent="0.15">
      <c r="A37" s="3" t="s">
        <v>63</v>
      </c>
      <c r="B37" s="20"/>
      <c r="C37" s="38">
        <f t="shared" ref="C37:V37" si="309">C20/B20-1</f>
        <v>0.13836375488917851</v>
      </c>
      <c r="D37" s="38">
        <f>D20/C20-1</f>
        <v>0.37551896921975669</v>
      </c>
      <c r="E37" s="38">
        <f t="shared" si="309"/>
        <v>0.37354288093255628</v>
      </c>
      <c r="F37" s="38">
        <f t="shared" si="309"/>
        <v>-0.27627491096461321</v>
      </c>
      <c r="G37" s="38">
        <f t="shared" si="309"/>
        <v>0.15715631871008262</v>
      </c>
      <c r="H37" s="38">
        <f t="shared" si="309"/>
        <v>0.14999999999999991</v>
      </c>
      <c r="I37" s="38">
        <f t="shared" si="309"/>
        <v>0.14999999999999991</v>
      </c>
      <c r="J37" s="38">
        <f t="shared" si="309"/>
        <v>0.14999999999999991</v>
      </c>
      <c r="K37" s="38">
        <f t="shared" si="309"/>
        <v>0.14999999999999991</v>
      </c>
      <c r="L37" s="38">
        <f t="shared" si="309"/>
        <v>0.14999999999999991</v>
      </c>
      <c r="M37" s="38">
        <f t="shared" si="309"/>
        <v>-2.0000000000000018E-2</v>
      </c>
      <c r="N37" s="38">
        <f t="shared" si="309"/>
        <v>-2.0000000000000018E-2</v>
      </c>
      <c r="O37" s="38">
        <f t="shared" si="309"/>
        <v>-2.0000000000000129E-2</v>
      </c>
      <c r="P37" s="38">
        <f t="shared" si="309"/>
        <v>-2.0000000000000018E-2</v>
      </c>
      <c r="Q37" s="38">
        <f t="shared" si="309"/>
        <v>-2.0000000000000129E-2</v>
      </c>
      <c r="R37" s="38">
        <f t="shared" si="309"/>
        <v>-2.0000000000000018E-2</v>
      </c>
      <c r="S37" s="38">
        <f t="shared" si="309"/>
        <v>-2.0000000000000018E-2</v>
      </c>
      <c r="T37" s="38">
        <f t="shared" si="309"/>
        <v>-2.0000000000000018E-2</v>
      </c>
      <c r="U37" s="38">
        <f t="shared" si="309"/>
        <v>-1.9999999999999907E-2</v>
      </c>
      <c r="V37" s="38">
        <f t="shared" si="309"/>
        <v>-2.0000000000000129E-2</v>
      </c>
    </row>
    <row r="38" spans="1:122" s="5" customFormat="1" x14ac:dyDescent="0.15">
      <c r="A38" s="5" t="s">
        <v>111</v>
      </c>
      <c r="B38" s="44"/>
      <c r="C38" s="47">
        <f>C21/B21-1</f>
        <v>0.14392863644638632</v>
      </c>
      <c r="D38" s="47">
        <f>D21/C21-1</f>
        <v>0.24533706792284682</v>
      </c>
      <c r="E38" s="47">
        <f>E21/D21-1</f>
        <v>0.30217758012574758</v>
      </c>
      <c r="F38" s="47">
        <f t="shared" ref="F38:V38" si="310">F21/E21-1</f>
        <v>6.0531119354648721E-2</v>
      </c>
      <c r="G38" s="47">
        <f t="shared" si="310"/>
        <v>4.6971295319526929E-2</v>
      </c>
      <c r="H38" s="47">
        <f t="shared" si="310"/>
        <v>0.12562973961923962</v>
      </c>
      <c r="I38" s="47">
        <f t="shared" si="310"/>
        <v>0.12618463205502706</v>
      </c>
      <c r="J38" s="47">
        <f t="shared" si="310"/>
        <v>0.12673835710964454</v>
      </c>
      <c r="K38" s="47">
        <f t="shared" si="310"/>
        <v>0.12729037356549222</v>
      </c>
      <c r="L38" s="47">
        <f t="shared" si="310"/>
        <v>0.12784014690115053</v>
      </c>
      <c r="M38" s="47">
        <f t="shared" si="310"/>
        <v>3.4853137621952079E-2</v>
      </c>
      <c r="N38" s="47">
        <f t="shared" si="310"/>
        <v>3.5656007996847316E-2</v>
      </c>
      <c r="O38" s="47">
        <f t="shared" si="310"/>
        <v>3.6426852106735019E-2</v>
      </c>
      <c r="P38" s="47">
        <f t="shared" si="310"/>
        <v>3.7165823706360568E-2</v>
      </c>
      <c r="Q38" s="47">
        <f t="shared" si="310"/>
        <v>3.7873209394019058E-2</v>
      </c>
      <c r="R38" s="47">
        <f t="shared" si="310"/>
        <v>3.8549415587285418E-2</v>
      </c>
      <c r="S38" s="47">
        <f t="shared" si="310"/>
        <v>3.9194955429141087E-2</v>
      </c>
      <c r="T38" s="47">
        <f t="shared" si="310"/>
        <v>3.9810435833890878E-2</v>
      </c>
      <c r="U38" s="47">
        <f t="shared" si="310"/>
        <v>4.0396544852159932E-2</v>
      </c>
      <c r="V38" s="47">
        <f t="shared" si="310"/>
        <v>4.0954039504023543E-2</v>
      </c>
    </row>
    <row r="39" spans="1:122" x14ac:dyDescent="0.15">
      <c r="B39" s="20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</row>
    <row r="40" spans="1:122" x14ac:dyDescent="0.15">
      <c r="A40" s="2" t="s">
        <v>33</v>
      </c>
      <c r="B40" s="25">
        <f t="shared" ref="B40:G40" si="311">B41-B42</f>
        <v>67846</v>
      </c>
      <c r="C40" s="25">
        <f t="shared" si="311"/>
        <v>82398</v>
      </c>
      <c r="D40" s="25">
        <f t="shared" si="311"/>
        <v>97902</v>
      </c>
      <c r="E40" s="25">
        <f t="shared" si="311"/>
        <v>105128</v>
      </c>
      <c r="F40" s="25">
        <f t="shared" si="311"/>
        <v>115121</v>
      </c>
      <c r="G40" s="25">
        <f t="shared" si="311"/>
        <v>122762</v>
      </c>
      <c r="H40" s="56">
        <f>G40+H26</f>
        <v>165453.60647428874</v>
      </c>
      <c r="I40" s="56">
        <f t="shared" ref="I40:V40" si="312">H40+I26</f>
        <v>213163.81546547296</v>
      </c>
      <c r="J40" s="56">
        <f t="shared" si="312"/>
        <v>266935.4632760699</v>
      </c>
      <c r="K40" s="56">
        <f t="shared" si="312"/>
        <v>327824.00667998218</v>
      </c>
      <c r="L40" s="56">
        <f t="shared" si="312"/>
        <v>396785.40709024685</v>
      </c>
      <c r="M40" s="56">
        <f t="shared" si="312"/>
        <v>479869.31838694902</v>
      </c>
      <c r="N40" s="56">
        <f t="shared" si="312"/>
        <v>578920.83181727782</v>
      </c>
      <c r="O40" s="56">
        <f t="shared" si="312"/>
        <v>695997.40380516427</v>
      </c>
      <c r="P40" s="56">
        <f t="shared" si="312"/>
        <v>833391.68588092271</v>
      </c>
      <c r="Q40" s="56">
        <f t="shared" si="312"/>
        <v>993656.7270701027</v>
      </c>
      <c r="R40" s="56">
        <f t="shared" si="312"/>
        <v>1179633.7908517052</v>
      </c>
      <c r="S40" s="56">
        <f t="shared" si="312"/>
        <v>1394483.0532672657</v>
      </c>
      <c r="T40" s="56">
        <f t="shared" si="312"/>
        <v>1641717.4756945232</v>
      </c>
      <c r="U40" s="56">
        <f t="shared" si="312"/>
        <v>1925240.17543929</v>
      </c>
      <c r="V40" s="56">
        <f t="shared" si="312"/>
        <v>2249385.6499182177</v>
      </c>
    </row>
    <row r="41" spans="1:122" x14ac:dyDescent="0.15">
      <c r="A41" s="3" t="s">
        <v>34</v>
      </c>
      <c r="B41" s="57">
        <f>Reports!E35</f>
        <v>73066</v>
      </c>
      <c r="C41" s="57">
        <f>Reports!I35</f>
        <v>86333</v>
      </c>
      <c r="D41" s="57">
        <f>Reports!M35</f>
        <v>101871</v>
      </c>
      <c r="E41" s="57">
        <f>Reports!Q35</f>
        <v>109140</v>
      </c>
      <c r="F41" s="57">
        <f>Reports!U35</f>
        <v>119675</v>
      </c>
      <c r="G41" s="57">
        <f>Reports!Y35</f>
        <v>136694</v>
      </c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</row>
    <row r="42" spans="1:122" x14ac:dyDescent="0.15">
      <c r="A42" s="3" t="s">
        <v>35</v>
      </c>
      <c r="B42" s="57">
        <f>Reports!E36</f>
        <v>5220</v>
      </c>
      <c r="C42" s="57">
        <f>Reports!I36</f>
        <v>3935</v>
      </c>
      <c r="D42" s="57">
        <f>Reports!M36</f>
        <v>3969</v>
      </c>
      <c r="E42" s="57">
        <f>Reports!Q36</f>
        <v>4012</v>
      </c>
      <c r="F42" s="57">
        <f>Reports!U36</f>
        <v>4554</v>
      </c>
      <c r="G42" s="57">
        <f>Reports!Y36</f>
        <v>13932</v>
      </c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</row>
    <row r="43" spans="1:122" x14ac:dyDescent="0.15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</row>
    <row r="44" spans="1:122" x14ac:dyDescent="0.15">
      <c r="A44" s="3" t="s">
        <v>78</v>
      </c>
      <c r="B44" s="59">
        <f>Reports!E38</f>
        <v>19716</v>
      </c>
      <c r="C44" s="59">
        <f>Reports!I38</f>
        <v>19775</v>
      </c>
      <c r="D44" s="59">
        <f>Reports!M38</f>
        <v>19439</v>
      </c>
      <c r="E44" s="57">
        <f>Reports!Q38</f>
        <v>20108</v>
      </c>
      <c r="F44" s="57">
        <f>Reports!U38</f>
        <v>22603</v>
      </c>
      <c r="G44" s="57">
        <f>Reports!Y38</f>
        <v>22620</v>
      </c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</row>
    <row r="45" spans="1:122" x14ac:dyDescent="0.15">
      <c r="A45" s="3" t="s">
        <v>79</v>
      </c>
      <c r="B45" s="59">
        <f>Reports!E39</f>
        <v>147461</v>
      </c>
      <c r="C45" s="59">
        <f>Reports!I39</f>
        <v>167468</v>
      </c>
      <c r="D45" s="59">
        <f>Reports!M39</f>
        <v>197295</v>
      </c>
      <c r="E45" s="57">
        <f>Reports!Q39</f>
        <v>232792</v>
      </c>
      <c r="F45" s="57">
        <f>Reports!U39</f>
        <v>275909</v>
      </c>
      <c r="G45" s="57">
        <f>Reports!Y39</f>
        <v>319616</v>
      </c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</row>
    <row r="46" spans="1:122" x14ac:dyDescent="0.15">
      <c r="A46" s="3" t="s">
        <v>80</v>
      </c>
      <c r="B46" s="59">
        <f>Reports!E40</f>
        <v>27130</v>
      </c>
      <c r="C46" s="59">
        <f>Reports!I40</f>
        <v>28461</v>
      </c>
      <c r="D46" s="59">
        <f>Reports!M40</f>
        <v>44793</v>
      </c>
      <c r="E46" s="57">
        <f>Reports!Q40</f>
        <v>55164</v>
      </c>
      <c r="F46" s="57">
        <f>Reports!U40</f>
        <v>74467</v>
      </c>
      <c r="G46" s="57">
        <f>Reports!Y40</f>
        <v>97072</v>
      </c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</row>
    <row r="47" spans="1:122" x14ac:dyDescent="0.15"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</row>
    <row r="48" spans="1:122" x14ac:dyDescent="0.15">
      <c r="A48" s="3" t="s">
        <v>81</v>
      </c>
      <c r="B48" s="60">
        <f t="shared" ref="B48:G48" si="313">B45-B44-B41</f>
        <v>54679</v>
      </c>
      <c r="C48" s="60">
        <f t="shared" si="313"/>
        <v>61360</v>
      </c>
      <c r="D48" s="60">
        <f t="shared" si="313"/>
        <v>75985</v>
      </c>
      <c r="E48" s="60">
        <f t="shared" si="313"/>
        <v>103544</v>
      </c>
      <c r="F48" s="60">
        <f t="shared" si="313"/>
        <v>133631</v>
      </c>
      <c r="G48" s="60">
        <f t="shared" si="313"/>
        <v>160302</v>
      </c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</row>
    <row r="49" spans="1:122" x14ac:dyDescent="0.15">
      <c r="A49" s="3" t="s">
        <v>82</v>
      </c>
      <c r="B49" s="60">
        <f t="shared" ref="B49:G49" si="314">B45-B46</f>
        <v>120331</v>
      </c>
      <c r="C49" s="60">
        <f t="shared" si="314"/>
        <v>139007</v>
      </c>
      <c r="D49" s="60">
        <f t="shared" si="314"/>
        <v>152502</v>
      </c>
      <c r="E49" s="60">
        <f t="shared" si="314"/>
        <v>177628</v>
      </c>
      <c r="F49" s="60">
        <f t="shared" si="314"/>
        <v>201442</v>
      </c>
      <c r="G49" s="60">
        <f t="shared" si="314"/>
        <v>222544</v>
      </c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</row>
    <row r="50" spans="1:122" x14ac:dyDescent="0.15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</row>
    <row r="51" spans="1:122" x14ac:dyDescent="0.15">
      <c r="A51" s="18" t="s">
        <v>83</v>
      </c>
      <c r="B51" s="61">
        <f t="shared" ref="B51:G51" si="315">B26/B49</f>
        <v>0.13585859005576287</v>
      </c>
      <c r="C51" s="61">
        <f t="shared" si="315"/>
        <v>0.1401224398771285</v>
      </c>
      <c r="D51" s="61">
        <f t="shared" si="315"/>
        <v>0.14372245855278049</v>
      </c>
      <c r="E51" s="61">
        <f t="shared" si="315"/>
        <v>0.17303578264687999</v>
      </c>
      <c r="F51" s="61">
        <f t="shared" si="315"/>
        <v>0.17891005847837094</v>
      </c>
      <c r="G51" s="61">
        <f t="shared" si="315"/>
        <v>0.18094848659141563</v>
      </c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</row>
    <row r="52" spans="1:122" x14ac:dyDescent="0.15">
      <c r="A52" s="18" t="s">
        <v>84</v>
      </c>
      <c r="B52" s="61">
        <f t="shared" ref="B52:G52" si="316">B26/B45</f>
        <v>0.11086321128976476</v>
      </c>
      <c r="C52" s="61">
        <f t="shared" si="316"/>
        <v>0.11630878735041919</v>
      </c>
      <c r="D52" s="61">
        <f t="shared" si="316"/>
        <v>0.11109233571157975</v>
      </c>
      <c r="E52" s="61">
        <f t="shared" si="316"/>
        <v>0.13203202859204782</v>
      </c>
      <c r="F52" s="61">
        <f t="shared" si="316"/>
        <v>0.13062277779992679</v>
      </c>
      <c r="G52" s="61">
        <f t="shared" si="316"/>
        <v>0.12599181517821387</v>
      </c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</row>
    <row r="53" spans="1:122" x14ac:dyDescent="0.15">
      <c r="A53" s="18" t="s">
        <v>85</v>
      </c>
      <c r="B53" s="61">
        <f t="shared" ref="B53:G53" si="317">B26/(B49-B44)</f>
        <v>0.16248074342791829</v>
      </c>
      <c r="C53" s="61">
        <f t="shared" si="317"/>
        <v>0.16336218464841654</v>
      </c>
      <c r="D53" s="61">
        <f t="shared" si="317"/>
        <v>0.16471868494033748</v>
      </c>
      <c r="E53" s="61">
        <f t="shared" si="317"/>
        <v>0.19512442864398172</v>
      </c>
      <c r="F53" s="61">
        <f t="shared" si="317"/>
        <v>0.2015220393761987</v>
      </c>
      <c r="G53" s="61">
        <f t="shared" si="317"/>
        <v>0.20142154018527039</v>
      </c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</row>
    <row r="54" spans="1:122" x14ac:dyDescent="0.15">
      <c r="A54" s="18" t="s">
        <v>86</v>
      </c>
      <c r="B54" s="61">
        <f t="shared" ref="B54:G54" si="318">B26/B48</f>
        <v>0.29898132738345617</v>
      </c>
      <c r="C54" s="61">
        <f t="shared" si="318"/>
        <v>0.3174380704041721</v>
      </c>
      <c r="D54" s="61">
        <f t="shared" si="318"/>
        <v>0.28845117291855138</v>
      </c>
      <c r="E54" s="61">
        <f t="shared" si="318"/>
        <v>0.29683999072857914</v>
      </c>
      <c r="F54" s="61">
        <f t="shared" si="318"/>
        <v>0.26969789943950129</v>
      </c>
      <c r="G54" s="61">
        <f t="shared" si="318"/>
        <v>0.25120709660515778</v>
      </c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</row>
    <row r="55" spans="1:122" x14ac:dyDescent="0.15"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</row>
    <row r="56" spans="1:122" x14ac:dyDescent="0.15">
      <c r="A56" s="3" t="s">
        <v>89</v>
      </c>
      <c r="B56" s="41"/>
      <c r="C56" s="61">
        <f>C10/B10-1</f>
        <v>0.17796408962754118</v>
      </c>
      <c r="D56" s="61">
        <f t="shared" ref="D56:E56" si="319">D10/C10-1</f>
        <v>0.20145371175188642</v>
      </c>
      <c r="E56" s="61">
        <f t="shared" si="319"/>
        <v>0.21835910878112719</v>
      </c>
      <c r="F56" s="61">
        <f t="shared" ref="F56:L56" si="320">F10/E10-1</f>
        <v>0.16015352707808028</v>
      </c>
      <c r="G56" s="61">
        <f t="shared" si="320"/>
        <v>8.9851718331590114E-2</v>
      </c>
      <c r="H56" s="61">
        <f t="shared" si="320"/>
        <v>5.0000000000000044E-2</v>
      </c>
      <c r="I56" s="61">
        <f t="shared" si="320"/>
        <v>5.0000000000000044E-2</v>
      </c>
      <c r="J56" s="61">
        <f t="shared" si="320"/>
        <v>5.0000000000000044E-2</v>
      </c>
      <c r="K56" s="61">
        <f t="shared" si="320"/>
        <v>5.0000000000000044E-2</v>
      </c>
      <c r="L56" s="61">
        <f t="shared" si="320"/>
        <v>5.0000000000000044E-2</v>
      </c>
      <c r="M56" s="41"/>
      <c r="N56" s="41"/>
      <c r="O56" s="41"/>
      <c r="P56" s="41"/>
      <c r="Q56" s="41"/>
      <c r="R56" s="41"/>
      <c r="S56" s="41"/>
      <c r="T56" s="41"/>
      <c r="U56" s="41"/>
      <c r="V56" s="41"/>
    </row>
    <row r="57" spans="1:122" x14ac:dyDescent="0.15">
      <c r="A57" s="51" t="s">
        <v>120</v>
      </c>
      <c r="B57" s="41"/>
      <c r="C57" s="61"/>
      <c r="D57" s="61"/>
      <c r="E57" s="61"/>
      <c r="F57" s="61">
        <f>F11/E11-1</f>
        <v>4.2182562902282035</v>
      </c>
      <c r="G57" s="61">
        <f>G11/F11-1</f>
        <v>0.46434178066831122</v>
      </c>
      <c r="H57" s="61">
        <f t="shared" ref="H57" si="321">H11/G11-1</f>
        <v>0.44999999999999996</v>
      </c>
      <c r="I57" s="61">
        <f t="shared" ref="I57" si="322">I11/H11-1</f>
        <v>0.39999999999999991</v>
      </c>
      <c r="J57" s="61">
        <f t="shared" ref="J57" si="323">J11/I11-1</f>
        <v>0.35000000000000009</v>
      </c>
      <c r="K57" s="61">
        <f t="shared" ref="K57:L57" si="324">K11/J11-1</f>
        <v>0.30000000000000004</v>
      </c>
      <c r="L57" s="61">
        <f t="shared" si="324"/>
        <v>0.25</v>
      </c>
      <c r="M57" s="41"/>
      <c r="N57" s="41"/>
      <c r="O57" s="41"/>
      <c r="P57" s="41"/>
      <c r="Q57" s="41"/>
      <c r="R57" s="41"/>
      <c r="S57" s="41"/>
      <c r="T57" s="41"/>
      <c r="U57" s="41"/>
      <c r="V57" s="41"/>
    </row>
    <row r="58" spans="1:122" x14ac:dyDescent="0.15">
      <c r="A58" s="3" t="s">
        <v>90</v>
      </c>
      <c r="B58" s="41"/>
      <c r="C58" s="61">
        <f t="shared" ref="C58:E58" si="325">C12/B12-1</f>
        <v>0.40886217500698918</v>
      </c>
      <c r="D58" s="61">
        <f t="shared" si="325"/>
        <v>0.41650957436253599</v>
      </c>
      <c r="E58" s="61">
        <f t="shared" si="325"/>
        <v>0.27407718708412121</v>
      </c>
      <c r="F58" s="61">
        <f>F12/E12-1</f>
        <v>-6.4650907091808651E-2</v>
      </c>
      <c r="G58" s="61">
        <f>G12/F12-1</f>
        <v>0.27606676854355228</v>
      </c>
      <c r="H58" s="61">
        <f t="shared" ref="H58:H59" si="326">H12/G12-1</f>
        <v>0.25</v>
      </c>
      <c r="I58" s="61">
        <f t="shared" ref="I58:I59" si="327">I12/H12-1</f>
        <v>0.25</v>
      </c>
      <c r="J58" s="61">
        <f t="shared" ref="J58:J59" si="328">J12/I12-1</f>
        <v>0.25</v>
      </c>
      <c r="K58" s="61">
        <f t="shared" ref="K58:L59" si="329">K12/J12-1</f>
        <v>0.25</v>
      </c>
      <c r="L58" s="61">
        <f t="shared" si="329"/>
        <v>0.25</v>
      </c>
      <c r="M58" s="41"/>
      <c r="N58" s="41"/>
      <c r="O58" s="41"/>
      <c r="P58" s="41"/>
      <c r="Q58" s="41"/>
      <c r="R58" s="41"/>
      <c r="S58" s="41"/>
      <c r="T58" s="41"/>
      <c r="U58" s="41"/>
      <c r="V58" s="41"/>
    </row>
    <row r="59" spans="1:122" x14ac:dyDescent="0.15">
      <c r="A59" s="3" t="s">
        <v>91</v>
      </c>
      <c r="B59" s="41"/>
      <c r="C59" s="61">
        <f t="shared" ref="C59:E59" si="330">C13/B13-1</f>
        <v>0.8202247191011236</v>
      </c>
      <c r="D59" s="61">
        <f t="shared" si="330"/>
        <v>0.48518518518518516</v>
      </c>
      <c r="E59" s="61">
        <f t="shared" si="330"/>
        <v>-0.40232751454696591</v>
      </c>
      <c r="F59" s="61">
        <f t="shared" ref="F59:G59" si="331">F13/E13-1</f>
        <v>0.54937413073713492</v>
      </c>
      <c r="G59" s="61">
        <f t="shared" si="331"/>
        <v>-0.25224416517055659</v>
      </c>
      <c r="H59" s="61">
        <f t="shared" si="326"/>
        <v>-5.0000000000000155E-2</v>
      </c>
      <c r="I59" s="61">
        <f t="shared" si="327"/>
        <v>-5.0000000000000044E-2</v>
      </c>
      <c r="J59" s="61">
        <f t="shared" si="328"/>
        <v>-5.0000000000000155E-2</v>
      </c>
      <c r="K59" s="61">
        <f t="shared" si="329"/>
        <v>-5.0000000000000044E-2</v>
      </c>
      <c r="L59" s="61">
        <f t="shared" si="329"/>
        <v>-5.0000000000000155E-2</v>
      </c>
      <c r="M59" s="41"/>
      <c r="N59" s="41"/>
      <c r="O59" s="41"/>
      <c r="P59" s="41"/>
      <c r="Q59" s="41"/>
      <c r="R59" s="41"/>
      <c r="S59" s="41"/>
      <c r="T59" s="41"/>
      <c r="U59" s="41"/>
      <c r="V59" s="41"/>
    </row>
    <row r="60" spans="1:122" x14ac:dyDescent="0.15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</row>
  </sheetData>
  <hyperlinks>
    <hyperlink ref="A4" r:id="rId1" xr:uid="{00000000-0004-0000-0000-000000000000}"/>
    <hyperlink ref="A7" r:id="rId2" xr:uid="{00000000-0004-0000-0000-000001000000}"/>
    <hyperlink ref="A8" r:id="rId3" xr:uid="{00000000-0004-0000-0000-000002000000}"/>
    <hyperlink ref="A1" r:id="rId4" xr:uid="{00000000-0004-0000-0000-000003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7"/>
  <sheetViews>
    <sheetView tabSelected="1" zoomScale="130" zoomScaleNormal="130" workbookViewId="0">
      <pane xSplit="1" ySplit="2" topLeftCell="J10" activePane="bottomRight" state="frozen"/>
      <selection pane="topRight" activeCell="B1" sqref="B1"/>
      <selection pane="bottomLeft" activeCell="A3" sqref="A3"/>
      <selection pane="bottomRight" activeCell="AA44" sqref="AA44"/>
    </sheetView>
  </sheetViews>
  <sheetFormatPr baseColWidth="10" defaultRowHeight="13" x14ac:dyDescent="0.15"/>
  <cols>
    <col min="1" max="1" width="18.5" style="6" bestFit="1" customWidth="1"/>
    <col min="2" max="5" width="10.83203125" style="20" customWidth="1"/>
    <col min="6" max="6" width="10.83203125" style="21" customWidth="1"/>
    <col min="7" max="8" width="10.83203125" style="20" customWidth="1"/>
    <col min="9" max="9" width="10.83203125" style="20"/>
    <col min="10" max="10" width="10.83203125" style="21"/>
    <col min="11" max="13" width="10.83203125" style="20"/>
    <col min="14" max="14" width="10.83203125" style="21"/>
    <col min="15" max="17" width="10.83203125" style="20"/>
    <col min="18" max="18" width="10.83203125" style="21"/>
    <col min="19" max="21" width="10.83203125" style="20"/>
    <col min="22" max="22" width="10.83203125" style="74"/>
    <col min="23" max="16384" width="10.83203125" style="6"/>
  </cols>
  <sheetData>
    <row r="1" spans="1:25" s="70" customFormat="1" x14ac:dyDescent="0.15">
      <c r="A1" s="67" t="s">
        <v>64</v>
      </c>
      <c r="B1" s="68" t="s">
        <v>50</v>
      </c>
      <c r="C1" s="68" t="s">
        <v>51</v>
      </c>
      <c r="D1" s="68" t="s">
        <v>52</v>
      </c>
      <c r="E1" s="68" t="s">
        <v>53</v>
      </c>
      <c r="F1" s="69" t="s">
        <v>22</v>
      </c>
      <c r="G1" s="68" t="s">
        <v>23</v>
      </c>
      <c r="H1" s="68" t="s">
        <v>24</v>
      </c>
      <c r="I1" s="68" t="s">
        <v>25</v>
      </c>
      <c r="J1" s="69" t="s">
        <v>0</v>
      </c>
      <c r="K1" s="68" t="s">
        <v>1</v>
      </c>
      <c r="L1" s="68" t="s">
        <v>2</v>
      </c>
      <c r="M1" s="68" t="s">
        <v>3</v>
      </c>
      <c r="N1" s="69" t="s">
        <v>42</v>
      </c>
      <c r="O1" s="68" t="s">
        <v>43</v>
      </c>
      <c r="P1" s="68" t="s">
        <v>44</v>
      </c>
      <c r="Q1" s="68" t="s">
        <v>45</v>
      </c>
      <c r="R1" s="69" t="s">
        <v>73</v>
      </c>
      <c r="S1" s="68" t="s">
        <v>74</v>
      </c>
      <c r="T1" s="68" t="s">
        <v>75</v>
      </c>
      <c r="U1" s="68" t="s">
        <v>76</v>
      </c>
      <c r="V1" s="71" t="s">
        <v>121</v>
      </c>
      <c r="W1" s="77" t="s">
        <v>122</v>
      </c>
      <c r="X1" s="77" t="s">
        <v>123</v>
      </c>
      <c r="Y1" s="77" t="s">
        <v>124</v>
      </c>
    </row>
    <row r="2" spans="1:25" s="68" customFormat="1" x14ac:dyDescent="0.15">
      <c r="A2" s="67"/>
      <c r="B2" s="68" t="s">
        <v>54</v>
      </c>
      <c r="C2" s="68" t="s">
        <v>55</v>
      </c>
      <c r="D2" s="68" t="s">
        <v>56</v>
      </c>
      <c r="E2" s="68" t="s">
        <v>57</v>
      </c>
      <c r="F2" s="69" t="s">
        <v>29</v>
      </c>
      <c r="G2" s="68" t="s">
        <v>28</v>
      </c>
      <c r="H2" s="68" t="s">
        <v>27</v>
      </c>
      <c r="I2" s="68" t="s">
        <v>32</v>
      </c>
      <c r="J2" s="69" t="s">
        <v>31</v>
      </c>
      <c r="K2" s="68" t="s">
        <v>30</v>
      </c>
      <c r="L2" s="68" t="s">
        <v>26</v>
      </c>
      <c r="M2" s="68" t="s">
        <v>36</v>
      </c>
      <c r="N2" s="69" t="s">
        <v>46</v>
      </c>
      <c r="O2" s="68" t="s">
        <v>47</v>
      </c>
      <c r="P2" s="68" t="s">
        <v>48</v>
      </c>
      <c r="Q2" s="68" t="s">
        <v>49</v>
      </c>
      <c r="R2" s="69" t="s">
        <v>109</v>
      </c>
      <c r="S2" s="68" t="s">
        <v>112</v>
      </c>
      <c r="T2" s="68" t="s">
        <v>113</v>
      </c>
      <c r="U2" s="68" t="s">
        <v>110</v>
      </c>
      <c r="V2" s="72">
        <v>43921</v>
      </c>
      <c r="W2" s="78">
        <v>44012</v>
      </c>
      <c r="X2" s="78">
        <v>44104</v>
      </c>
      <c r="Y2" s="78">
        <v>44196</v>
      </c>
    </row>
    <row r="3" spans="1:25" s="8" customFormat="1" x14ac:dyDescent="0.15">
      <c r="A3" s="8" t="s">
        <v>59</v>
      </c>
      <c r="B3" s="23">
        <v>15508</v>
      </c>
      <c r="C3" s="23">
        <v>16023</v>
      </c>
      <c r="D3" s="23">
        <v>16781</v>
      </c>
      <c r="E3" s="23">
        <v>19078</v>
      </c>
      <c r="F3" s="22">
        <v>18020</v>
      </c>
      <c r="G3" s="23">
        <v>19143</v>
      </c>
      <c r="H3" s="23">
        <v>19821</v>
      </c>
      <c r="I3" s="23">
        <v>22399</v>
      </c>
      <c r="J3" s="22">
        <v>21411</v>
      </c>
      <c r="K3" s="23">
        <v>22672</v>
      </c>
      <c r="L3" s="23">
        <v>24065</v>
      </c>
      <c r="M3" s="23">
        <v>27227</v>
      </c>
      <c r="N3" s="22">
        <v>26642</v>
      </c>
      <c r="O3" s="23">
        <v>28087</v>
      </c>
      <c r="P3" s="23">
        <v>28954</v>
      </c>
      <c r="Q3" s="23">
        <v>32518</v>
      </c>
      <c r="R3" s="22">
        <v>30587</v>
      </c>
      <c r="S3" s="23">
        <v>32494</v>
      </c>
      <c r="T3" s="23">
        <v>33796</v>
      </c>
      <c r="U3" s="23">
        <v>37934</v>
      </c>
      <c r="V3" s="73">
        <v>33763</v>
      </c>
      <c r="W3" s="8">
        <v>29867</v>
      </c>
      <c r="X3" s="8">
        <v>37095</v>
      </c>
      <c r="Y3" s="8">
        <v>46199</v>
      </c>
    </row>
    <row r="4" spans="1:25" s="8" customFormat="1" x14ac:dyDescent="0.15">
      <c r="A4" s="8" t="s">
        <v>119</v>
      </c>
      <c r="B4" s="23"/>
      <c r="C4" s="23"/>
      <c r="D4" s="23"/>
      <c r="E4" s="23"/>
      <c r="F4" s="22"/>
      <c r="G4" s="23"/>
      <c r="H4" s="23"/>
      <c r="I4" s="23"/>
      <c r="J4" s="22"/>
      <c r="K4" s="23"/>
      <c r="L4" s="23"/>
      <c r="M4" s="23"/>
      <c r="N4" s="22"/>
      <c r="O4" s="23"/>
      <c r="P4" s="23"/>
      <c r="Q4" s="23">
        <v>1709</v>
      </c>
      <c r="R4" s="22">
        <v>1825</v>
      </c>
      <c r="S4" s="23">
        <v>2100</v>
      </c>
      <c r="T4" s="23">
        <v>2379</v>
      </c>
      <c r="U4" s="23">
        <v>2614</v>
      </c>
      <c r="V4" s="73">
        <v>2777</v>
      </c>
      <c r="W4" s="8">
        <v>3007</v>
      </c>
      <c r="X4" s="8">
        <v>3444</v>
      </c>
      <c r="Y4" s="8">
        <v>3831</v>
      </c>
    </row>
    <row r="5" spans="1:25" s="8" customFormat="1" x14ac:dyDescent="0.15">
      <c r="A5" s="8" t="s">
        <v>58</v>
      </c>
      <c r="B5" s="23">
        <v>1670</v>
      </c>
      <c r="C5" s="23">
        <v>1630</v>
      </c>
      <c r="D5" s="23">
        <v>1753</v>
      </c>
      <c r="E5" s="23">
        <v>2101</v>
      </c>
      <c r="F5" s="22">
        <v>2071</v>
      </c>
      <c r="G5" s="23">
        <v>2172</v>
      </c>
      <c r="H5" s="23">
        <v>2433</v>
      </c>
      <c r="I5" s="23">
        <v>3403</v>
      </c>
      <c r="J5" s="22">
        <v>3095</v>
      </c>
      <c r="K5" s="23">
        <v>3090</v>
      </c>
      <c r="L5" s="23">
        <v>3405</v>
      </c>
      <c r="M5" s="23">
        <v>4687</v>
      </c>
      <c r="N5" s="22">
        <v>4354</v>
      </c>
      <c r="O5" s="23">
        <v>4425</v>
      </c>
      <c r="P5" s="23">
        <v>4640</v>
      </c>
      <c r="Q5" s="23">
        <v>4771</v>
      </c>
      <c r="R5" s="22">
        <v>3620</v>
      </c>
      <c r="S5" s="23">
        <v>4080</v>
      </c>
      <c r="T5" s="23">
        <v>4050</v>
      </c>
      <c r="U5" s="23">
        <v>5264</v>
      </c>
      <c r="V5" s="73">
        <v>4435</v>
      </c>
      <c r="W5" s="8">
        <v>5124</v>
      </c>
      <c r="X5" s="8">
        <v>5478</v>
      </c>
      <c r="Y5" s="8">
        <v>6674</v>
      </c>
    </row>
    <row r="6" spans="1:25" s="8" customFormat="1" x14ac:dyDescent="0.15">
      <c r="A6" s="8" t="s">
        <v>77</v>
      </c>
      <c r="B6" s="23">
        <v>80</v>
      </c>
      <c r="C6" s="23">
        <v>74</v>
      </c>
      <c r="D6" s="23">
        <v>141</v>
      </c>
      <c r="E6" s="23">
        <v>150</v>
      </c>
      <c r="F6" s="22">
        <v>166</v>
      </c>
      <c r="G6" s="23">
        <v>185</v>
      </c>
      <c r="H6" s="23">
        <v>197</v>
      </c>
      <c r="I6" s="23">
        <v>262</v>
      </c>
      <c r="J6" s="22">
        <v>244</v>
      </c>
      <c r="K6" s="23">
        <v>248</v>
      </c>
      <c r="L6" s="23">
        <v>302</v>
      </c>
      <c r="M6" s="23">
        <v>409</v>
      </c>
      <c r="N6" s="22">
        <v>150</v>
      </c>
      <c r="O6" s="23">
        <v>145</v>
      </c>
      <c r="P6" s="23">
        <v>146</v>
      </c>
      <c r="Q6" s="23">
        <f>154+124</f>
        <v>278</v>
      </c>
      <c r="R6" s="22">
        <f>170+137</f>
        <v>307</v>
      </c>
      <c r="S6" s="23">
        <f>162+108</f>
        <v>270</v>
      </c>
      <c r="T6" s="23">
        <f>155+119</f>
        <v>274</v>
      </c>
      <c r="U6" s="23">
        <f>172+91</f>
        <v>263</v>
      </c>
      <c r="V6" s="73">
        <f>135+49</f>
        <v>184</v>
      </c>
      <c r="W6" s="8">
        <f>148+151</f>
        <v>299</v>
      </c>
      <c r="X6" s="8">
        <f>178-22</f>
        <v>156</v>
      </c>
      <c r="Y6" s="8">
        <f>196+-2</f>
        <v>194</v>
      </c>
    </row>
    <row r="7" spans="1:25" x14ac:dyDescent="0.15">
      <c r="B7" s="23"/>
      <c r="F7" s="22"/>
      <c r="I7" s="23"/>
    </row>
    <row r="8" spans="1:25" s="12" customFormat="1" x14ac:dyDescent="0.15">
      <c r="A8" s="12" t="s">
        <v>4</v>
      </c>
      <c r="B8" s="25">
        <f t="shared" ref="B8:Y8" si="0">SUM(B3:B6)</f>
        <v>17258</v>
      </c>
      <c r="C8" s="25">
        <f t="shared" si="0"/>
        <v>17727</v>
      </c>
      <c r="D8" s="25">
        <f t="shared" si="0"/>
        <v>18675</v>
      </c>
      <c r="E8" s="25">
        <f t="shared" si="0"/>
        <v>21329</v>
      </c>
      <c r="F8" s="26">
        <f t="shared" si="0"/>
        <v>20257</v>
      </c>
      <c r="G8" s="25">
        <f t="shared" si="0"/>
        <v>21500</v>
      </c>
      <c r="H8" s="25">
        <f t="shared" si="0"/>
        <v>22451</v>
      </c>
      <c r="I8" s="25">
        <f t="shared" si="0"/>
        <v>26064</v>
      </c>
      <c r="J8" s="26">
        <f t="shared" si="0"/>
        <v>24750</v>
      </c>
      <c r="K8" s="25">
        <f t="shared" si="0"/>
        <v>26010</v>
      </c>
      <c r="L8" s="25">
        <f t="shared" si="0"/>
        <v>27772</v>
      </c>
      <c r="M8" s="25">
        <f t="shared" si="0"/>
        <v>32323</v>
      </c>
      <c r="N8" s="26">
        <f t="shared" si="0"/>
        <v>31146</v>
      </c>
      <c r="O8" s="25">
        <f t="shared" si="0"/>
        <v>32657</v>
      </c>
      <c r="P8" s="25">
        <f t="shared" si="0"/>
        <v>33740</v>
      </c>
      <c r="Q8" s="25">
        <f t="shared" si="0"/>
        <v>39276</v>
      </c>
      <c r="R8" s="26">
        <f t="shared" si="0"/>
        <v>36339</v>
      </c>
      <c r="S8" s="25">
        <f t="shared" si="0"/>
        <v>38944</v>
      </c>
      <c r="T8" s="25">
        <f t="shared" si="0"/>
        <v>40499</v>
      </c>
      <c r="U8" s="25">
        <f t="shared" si="0"/>
        <v>46075</v>
      </c>
      <c r="V8" s="26">
        <f t="shared" si="0"/>
        <v>41159</v>
      </c>
      <c r="W8" s="25">
        <f t="shared" si="0"/>
        <v>38297</v>
      </c>
      <c r="X8" s="25">
        <f t="shared" si="0"/>
        <v>46173</v>
      </c>
      <c r="Y8" s="25">
        <f t="shared" si="0"/>
        <v>56898</v>
      </c>
    </row>
    <row r="9" spans="1:25" x14ac:dyDescent="0.15">
      <c r="A9" s="6" t="s">
        <v>5</v>
      </c>
      <c r="B9" s="23">
        <v>6356</v>
      </c>
      <c r="C9" s="23">
        <v>6583</v>
      </c>
      <c r="D9" s="23">
        <v>7037</v>
      </c>
      <c r="E9" s="23">
        <v>8188</v>
      </c>
      <c r="F9" s="22">
        <v>7648</v>
      </c>
      <c r="G9" s="23">
        <v>8130</v>
      </c>
      <c r="H9" s="23">
        <v>8699</v>
      </c>
      <c r="I9" s="23">
        <v>10661</v>
      </c>
      <c r="J9" s="22">
        <v>9795</v>
      </c>
      <c r="K9" s="23">
        <v>10373</v>
      </c>
      <c r="L9" s="23">
        <v>11148</v>
      </c>
      <c r="M9" s="23">
        <v>14267</v>
      </c>
      <c r="N9" s="22">
        <v>13467</v>
      </c>
      <c r="O9" s="23">
        <v>13883</v>
      </c>
      <c r="P9" s="23">
        <v>14281</v>
      </c>
      <c r="Q9" s="23">
        <v>17918</v>
      </c>
      <c r="R9" s="22">
        <v>16012</v>
      </c>
      <c r="S9" s="23">
        <v>17296</v>
      </c>
      <c r="T9" s="23">
        <v>17568</v>
      </c>
      <c r="U9" s="23">
        <v>21020</v>
      </c>
      <c r="V9" s="75">
        <v>18982</v>
      </c>
      <c r="W9" s="79">
        <v>18553</v>
      </c>
      <c r="X9" s="79">
        <v>21117</v>
      </c>
      <c r="Y9" s="79">
        <v>26080</v>
      </c>
    </row>
    <row r="10" spans="1:25" x14ac:dyDescent="0.15">
      <c r="A10" s="6" t="s">
        <v>6</v>
      </c>
      <c r="B10" s="28">
        <f>B8-B9</f>
        <v>10902</v>
      </c>
      <c r="C10" s="28">
        <f>C8-C9</f>
        <v>11144</v>
      </c>
      <c r="D10" s="28">
        <f>D8-D9</f>
        <v>11638</v>
      </c>
      <c r="E10" s="28">
        <f>E8-E9</f>
        <v>13141</v>
      </c>
      <c r="F10" s="29">
        <f>F8-F9</f>
        <v>12609</v>
      </c>
      <c r="G10" s="28">
        <f t="shared" ref="G10:L10" si="1">G8-G9</f>
        <v>13370</v>
      </c>
      <c r="H10" s="28">
        <f t="shared" si="1"/>
        <v>13752</v>
      </c>
      <c r="I10" s="28">
        <f t="shared" si="1"/>
        <v>15403</v>
      </c>
      <c r="J10" s="29">
        <f t="shared" si="1"/>
        <v>14955</v>
      </c>
      <c r="K10" s="28">
        <f t="shared" si="1"/>
        <v>15637</v>
      </c>
      <c r="L10" s="28">
        <f t="shared" si="1"/>
        <v>16624</v>
      </c>
      <c r="M10" s="28">
        <f t="shared" ref="M10" si="2">M8-M9</f>
        <v>18056</v>
      </c>
      <c r="N10" s="29">
        <f>N8-N9</f>
        <v>17679</v>
      </c>
      <c r="O10" s="28">
        <f>O8-O9</f>
        <v>18774</v>
      </c>
      <c r="P10" s="28">
        <f t="shared" ref="P10:Q10" si="3">P8-P9</f>
        <v>19459</v>
      </c>
      <c r="Q10" s="28">
        <f t="shared" si="3"/>
        <v>21358</v>
      </c>
      <c r="R10" s="29">
        <f t="shared" ref="R10" si="4">R8-R9</f>
        <v>20327</v>
      </c>
      <c r="S10" s="28">
        <f t="shared" ref="S10:Y10" si="5">S8-S9</f>
        <v>21648</v>
      </c>
      <c r="T10" s="28">
        <f t="shared" si="5"/>
        <v>22931</v>
      </c>
      <c r="U10" s="28">
        <f t="shared" si="5"/>
        <v>25055</v>
      </c>
      <c r="V10" s="29">
        <f t="shared" si="5"/>
        <v>22177</v>
      </c>
      <c r="W10" s="28">
        <f t="shared" si="5"/>
        <v>19744</v>
      </c>
      <c r="X10" s="28">
        <f t="shared" si="5"/>
        <v>25056</v>
      </c>
      <c r="Y10" s="28">
        <f t="shared" si="5"/>
        <v>30818</v>
      </c>
    </row>
    <row r="11" spans="1:25" x14ac:dyDescent="0.15">
      <c r="A11" s="6" t="s">
        <v>7</v>
      </c>
      <c r="B11" s="23">
        <v>2753</v>
      </c>
      <c r="C11" s="23">
        <v>2789</v>
      </c>
      <c r="D11" s="23">
        <v>3230</v>
      </c>
      <c r="E11" s="23">
        <v>3510</v>
      </c>
      <c r="F11" s="22">
        <v>3367</v>
      </c>
      <c r="G11" s="23">
        <v>3363</v>
      </c>
      <c r="H11" s="23">
        <v>3596</v>
      </c>
      <c r="I11" s="23">
        <v>3622</v>
      </c>
      <c r="J11" s="22">
        <v>3942</v>
      </c>
      <c r="K11" s="23">
        <v>4172</v>
      </c>
      <c r="L11" s="23">
        <v>4205</v>
      </c>
      <c r="M11" s="23">
        <v>4306</v>
      </c>
      <c r="N11" s="22">
        <v>5039</v>
      </c>
      <c r="O11" s="23">
        <v>5114</v>
      </c>
      <c r="P11" s="23">
        <v>5232</v>
      </c>
      <c r="Q11" s="23">
        <v>6034</v>
      </c>
      <c r="R11" s="22">
        <v>6029</v>
      </c>
      <c r="S11" s="23">
        <v>6213</v>
      </c>
      <c r="T11" s="23">
        <v>6554</v>
      </c>
      <c r="U11" s="23">
        <v>7222</v>
      </c>
      <c r="V11" s="75">
        <v>6820</v>
      </c>
      <c r="W11" s="79">
        <v>6875</v>
      </c>
      <c r="X11" s="79">
        <v>6856</v>
      </c>
      <c r="Y11" s="79">
        <v>7022</v>
      </c>
    </row>
    <row r="12" spans="1:25" x14ac:dyDescent="0.15">
      <c r="A12" s="6" t="s">
        <v>8</v>
      </c>
      <c r="B12" s="23">
        <v>2065</v>
      </c>
      <c r="C12" s="23">
        <v>2080</v>
      </c>
      <c r="D12" s="23">
        <v>2223</v>
      </c>
      <c r="E12" s="23">
        <v>2679</v>
      </c>
      <c r="F12" s="22">
        <v>2387</v>
      </c>
      <c r="G12" s="23">
        <v>2415</v>
      </c>
      <c r="H12" s="23">
        <v>2565</v>
      </c>
      <c r="I12" s="23">
        <v>3118</v>
      </c>
      <c r="J12" s="22">
        <v>2644</v>
      </c>
      <c r="K12" s="23">
        <v>2897</v>
      </c>
      <c r="L12" s="23">
        <v>3042</v>
      </c>
      <c r="M12" s="23">
        <v>4310</v>
      </c>
      <c r="N12" s="22">
        <v>3604</v>
      </c>
      <c r="O12" s="23">
        <v>3780</v>
      </c>
      <c r="P12" s="23">
        <v>3849</v>
      </c>
      <c r="Q12" s="23">
        <v>5100</v>
      </c>
      <c r="R12" s="22">
        <v>3905</v>
      </c>
      <c r="S12" s="23">
        <v>4212</v>
      </c>
      <c r="T12" s="23">
        <v>4609</v>
      </c>
      <c r="U12" s="23">
        <v>5738</v>
      </c>
      <c r="V12" s="75">
        <v>4500</v>
      </c>
      <c r="W12" s="79">
        <v>3901</v>
      </c>
      <c r="X12" s="79">
        <v>4231</v>
      </c>
      <c r="Y12" s="79">
        <v>5314</v>
      </c>
    </row>
    <row r="13" spans="1:25" x14ac:dyDescent="0.15">
      <c r="A13" s="6" t="s">
        <v>9</v>
      </c>
      <c r="B13" s="23">
        <v>1637</v>
      </c>
      <c r="C13" s="23">
        <v>1450</v>
      </c>
      <c r="D13" s="23">
        <v>1477</v>
      </c>
      <c r="E13" s="23">
        <v>1572</v>
      </c>
      <c r="F13" s="22">
        <v>1513</v>
      </c>
      <c r="G13" s="23">
        <v>1624</v>
      </c>
      <c r="H13" s="23">
        <v>1824</v>
      </c>
      <c r="I13" s="23">
        <v>2024</v>
      </c>
      <c r="J13" s="22">
        <v>1801</v>
      </c>
      <c r="K13" s="23">
        <f>1700+2736</f>
        <v>4436</v>
      </c>
      <c r="L13" s="23">
        <v>1595</v>
      </c>
      <c r="M13" s="23">
        <v>1776</v>
      </c>
      <c r="N13" s="22">
        <v>2035</v>
      </c>
      <c r="O13" s="23">
        <f>2002+5071</f>
        <v>7073</v>
      </c>
      <c r="P13" s="23">
        <v>2068</v>
      </c>
      <c r="Q13" s="23">
        <v>2021</v>
      </c>
      <c r="R13" s="22">
        <f>2088</f>
        <v>2088</v>
      </c>
      <c r="S13" s="23">
        <v>2043</v>
      </c>
      <c r="T13" s="23">
        <v>2591</v>
      </c>
      <c r="U13" s="23">
        <v>2829</v>
      </c>
      <c r="V13" s="75">
        <v>2880</v>
      </c>
      <c r="W13" s="79">
        <v>2585</v>
      </c>
      <c r="X13" s="79">
        <v>2756</v>
      </c>
      <c r="Y13" s="79">
        <v>2831</v>
      </c>
    </row>
    <row r="14" spans="1:25" x14ac:dyDescent="0.15">
      <c r="A14" s="6" t="s">
        <v>10</v>
      </c>
      <c r="B14" s="28">
        <f>SUM(B11:B13)</f>
        <v>6455</v>
      </c>
      <c r="C14" s="28">
        <f>SUM(C11:C13)</f>
        <v>6319</v>
      </c>
      <c r="D14" s="28">
        <f>SUM(D11:D13)</f>
        <v>6930</v>
      </c>
      <c r="E14" s="28">
        <f>SUM(E11:E13)</f>
        <v>7761</v>
      </c>
      <c r="F14" s="29">
        <f>SUM(F11:F13)</f>
        <v>7267</v>
      </c>
      <c r="G14" s="28">
        <f t="shared" ref="G14:L14" si="6">SUM(G11:G13)</f>
        <v>7402</v>
      </c>
      <c r="H14" s="28">
        <f t="shared" si="6"/>
        <v>7985</v>
      </c>
      <c r="I14" s="28">
        <f t="shared" si="6"/>
        <v>8764</v>
      </c>
      <c r="J14" s="29">
        <f t="shared" si="6"/>
        <v>8387</v>
      </c>
      <c r="K14" s="28">
        <f t="shared" si="6"/>
        <v>11505</v>
      </c>
      <c r="L14" s="28">
        <f t="shared" si="6"/>
        <v>8842</v>
      </c>
      <c r="M14" s="28">
        <f t="shared" ref="M14:N14" si="7">SUM(M11:M13)</f>
        <v>10392</v>
      </c>
      <c r="N14" s="29">
        <f t="shared" si="7"/>
        <v>10678</v>
      </c>
      <c r="O14" s="28">
        <f t="shared" ref="O14:P14" si="8">SUM(O11:O13)</f>
        <v>15967</v>
      </c>
      <c r="P14" s="28">
        <f t="shared" si="8"/>
        <v>11149</v>
      </c>
      <c r="Q14" s="28">
        <f t="shared" ref="Q14:S14" si="9">SUM(Q11:Q13)</f>
        <v>13155</v>
      </c>
      <c r="R14" s="29">
        <f t="shared" si="9"/>
        <v>12022</v>
      </c>
      <c r="S14" s="28">
        <f t="shared" si="9"/>
        <v>12468</v>
      </c>
      <c r="T14" s="28">
        <f t="shared" ref="T14" si="10">SUM(T11:T13)</f>
        <v>13754</v>
      </c>
      <c r="U14" s="28">
        <f t="shared" ref="U14:W14" si="11">SUM(U11:U13)</f>
        <v>15789</v>
      </c>
      <c r="V14" s="29">
        <f t="shared" si="11"/>
        <v>14200</v>
      </c>
      <c r="W14" s="28">
        <f t="shared" si="11"/>
        <v>13361</v>
      </c>
      <c r="X14" s="28">
        <f t="shared" ref="X14:Y14" si="12">SUM(X11:X13)</f>
        <v>13843</v>
      </c>
      <c r="Y14" s="28">
        <f t="shared" si="12"/>
        <v>15167</v>
      </c>
    </row>
    <row r="15" spans="1:25" x14ac:dyDescent="0.15">
      <c r="A15" s="6" t="s">
        <v>11</v>
      </c>
      <c r="B15" s="28">
        <f>B10-B14</f>
        <v>4447</v>
      </c>
      <c r="C15" s="28">
        <f>C10-C14</f>
        <v>4825</v>
      </c>
      <c r="D15" s="28">
        <f>D10-D14</f>
        <v>4708</v>
      </c>
      <c r="E15" s="28">
        <f>E10-E14</f>
        <v>5380</v>
      </c>
      <c r="F15" s="29">
        <f>F10-F14</f>
        <v>5342</v>
      </c>
      <c r="G15" s="28">
        <f t="shared" ref="G15:H15" si="13">G10-G14</f>
        <v>5968</v>
      </c>
      <c r="H15" s="28">
        <f t="shared" si="13"/>
        <v>5767</v>
      </c>
      <c r="I15" s="28">
        <f t="shared" ref="I15:P15" si="14">I10-I14</f>
        <v>6639</v>
      </c>
      <c r="J15" s="29">
        <f t="shared" si="14"/>
        <v>6568</v>
      </c>
      <c r="K15" s="28">
        <f t="shared" si="14"/>
        <v>4132</v>
      </c>
      <c r="L15" s="28">
        <f t="shared" si="14"/>
        <v>7782</v>
      </c>
      <c r="M15" s="28">
        <f t="shared" si="14"/>
        <v>7664</v>
      </c>
      <c r="N15" s="29">
        <f t="shared" si="14"/>
        <v>7001</v>
      </c>
      <c r="O15" s="28">
        <f t="shared" si="14"/>
        <v>2807</v>
      </c>
      <c r="P15" s="28">
        <f t="shared" si="14"/>
        <v>8310</v>
      </c>
      <c r="Q15" s="28">
        <f t="shared" ref="Q15:S15" si="15">Q10-Q14</f>
        <v>8203</v>
      </c>
      <c r="R15" s="29">
        <f t="shared" si="15"/>
        <v>8305</v>
      </c>
      <c r="S15" s="28">
        <f t="shared" si="15"/>
        <v>9180</v>
      </c>
      <c r="T15" s="28">
        <f t="shared" ref="T15" si="16">T10-T14</f>
        <v>9177</v>
      </c>
      <c r="U15" s="28">
        <f t="shared" ref="U15:W15" si="17">U10-U14</f>
        <v>9266</v>
      </c>
      <c r="V15" s="29">
        <f t="shared" si="17"/>
        <v>7977</v>
      </c>
      <c r="W15" s="28">
        <f t="shared" si="17"/>
        <v>6383</v>
      </c>
      <c r="X15" s="28">
        <f t="shared" ref="X15:Y15" si="18">X10-X14</f>
        <v>11213</v>
      </c>
      <c r="Y15" s="28">
        <f t="shared" si="18"/>
        <v>15651</v>
      </c>
    </row>
    <row r="16" spans="1:25" x14ac:dyDescent="0.15">
      <c r="A16" s="6" t="s">
        <v>12</v>
      </c>
      <c r="B16" s="23">
        <v>157</v>
      </c>
      <c r="C16" s="23">
        <v>131</v>
      </c>
      <c r="D16" s="23">
        <v>183</v>
      </c>
      <c r="E16" s="23">
        <v>-180</v>
      </c>
      <c r="F16" s="22">
        <v>-213</v>
      </c>
      <c r="G16" s="23">
        <v>151</v>
      </c>
      <c r="H16" s="23">
        <v>278</v>
      </c>
      <c r="I16" s="23">
        <v>218</v>
      </c>
      <c r="J16" s="22">
        <v>251</v>
      </c>
      <c r="K16" s="23">
        <v>245</v>
      </c>
      <c r="L16" s="23">
        <v>197</v>
      </c>
      <c r="M16" s="23">
        <v>354</v>
      </c>
      <c r="N16" s="22">
        <v>3542</v>
      </c>
      <c r="O16" s="23">
        <v>1408</v>
      </c>
      <c r="P16" s="23">
        <v>1773</v>
      </c>
      <c r="Q16" s="23">
        <v>1869</v>
      </c>
      <c r="R16" s="22">
        <v>1538</v>
      </c>
      <c r="S16" s="23">
        <v>2967</v>
      </c>
      <c r="T16" s="23">
        <v>-549</v>
      </c>
      <c r="U16" s="23">
        <v>1438</v>
      </c>
      <c r="V16" s="75">
        <v>-220</v>
      </c>
      <c r="W16" s="79">
        <v>1894</v>
      </c>
      <c r="X16" s="79">
        <v>2146</v>
      </c>
      <c r="Y16" s="79">
        <v>3038</v>
      </c>
    </row>
    <row r="17" spans="1:25" x14ac:dyDescent="0.15">
      <c r="A17" s="6" t="s">
        <v>13</v>
      </c>
      <c r="B17" s="28">
        <f>B15+B16</f>
        <v>4604</v>
      </c>
      <c r="C17" s="28">
        <f>C15+C16</f>
        <v>4956</v>
      </c>
      <c r="D17" s="28">
        <f>D15+D16</f>
        <v>4891</v>
      </c>
      <c r="E17" s="28">
        <f>E15+E16</f>
        <v>5200</v>
      </c>
      <c r="F17" s="29">
        <f>F15+F16</f>
        <v>5129</v>
      </c>
      <c r="G17" s="28">
        <f t="shared" ref="G17:I17" si="19">G15+G16</f>
        <v>6119</v>
      </c>
      <c r="H17" s="28">
        <f t="shared" si="19"/>
        <v>6045</v>
      </c>
      <c r="I17" s="28">
        <f t="shared" si="19"/>
        <v>6857</v>
      </c>
      <c r="J17" s="29">
        <f t="shared" ref="J17:K17" si="20">J15+J16</f>
        <v>6819</v>
      </c>
      <c r="K17" s="28">
        <f t="shared" si="20"/>
        <v>4377</v>
      </c>
      <c r="L17" s="28">
        <f t="shared" ref="L17:N17" si="21">L15+L16</f>
        <v>7979</v>
      </c>
      <c r="M17" s="28">
        <f>M15+M16</f>
        <v>8018</v>
      </c>
      <c r="N17" s="29">
        <f t="shared" si="21"/>
        <v>10543</v>
      </c>
      <c r="O17" s="28">
        <f t="shared" ref="O17" si="22">O15+O16</f>
        <v>4215</v>
      </c>
      <c r="P17" s="28">
        <f>P15+P16</f>
        <v>10083</v>
      </c>
      <c r="Q17" s="28">
        <f>Q15+Q16</f>
        <v>10072</v>
      </c>
      <c r="R17" s="29">
        <f>R15+R16</f>
        <v>9843</v>
      </c>
      <c r="S17" s="28">
        <f t="shared" ref="S17:V17" si="23">S15+S16</f>
        <v>12147</v>
      </c>
      <c r="T17" s="28">
        <f t="shared" si="23"/>
        <v>8628</v>
      </c>
      <c r="U17" s="28">
        <f t="shared" si="23"/>
        <v>10704</v>
      </c>
      <c r="V17" s="29">
        <f t="shared" si="23"/>
        <v>7757</v>
      </c>
      <c r="W17" s="28">
        <f t="shared" ref="W17:Y17" si="24">W15+W16</f>
        <v>8277</v>
      </c>
      <c r="X17" s="28">
        <f t="shared" si="24"/>
        <v>13359</v>
      </c>
      <c r="Y17" s="28">
        <f t="shared" si="24"/>
        <v>18689</v>
      </c>
    </row>
    <row r="18" spans="1:25" x14ac:dyDescent="0.15">
      <c r="A18" s="6" t="s">
        <v>14</v>
      </c>
      <c r="B18" s="23">
        <v>1089</v>
      </c>
      <c r="C18" s="23">
        <v>1025</v>
      </c>
      <c r="D18" s="23">
        <v>912</v>
      </c>
      <c r="E18" s="23">
        <v>277</v>
      </c>
      <c r="F18" s="22">
        <v>922</v>
      </c>
      <c r="G18" s="23">
        <v>1242</v>
      </c>
      <c r="H18" s="23">
        <v>984</v>
      </c>
      <c r="I18" s="23">
        <v>1524</v>
      </c>
      <c r="J18" s="22">
        <v>1393</v>
      </c>
      <c r="K18" s="23">
        <v>853</v>
      </c>
      <c r="L18" s="23">
        <v>1247</v>
      </c>
      <c r="M18" s="23">
        <f>M17*I26</f>
        <v>1782.0376257838707</v>
      </c>
      <c r="N18" s="22">
        <v>1142</v>
      </c>
      <c r="O18" s="23">
        <v>1020</v>
      </c>
      <c r="P18" s="23">
        <v>891</v>
      </c>
      <c r="Q18" s="23">
        <v>1124</v>
      </c>
      <c r="R18" s="22">
        <v>1489</v>
      </c>
      <c r="S18" s="23">
        <v>2200</v>
      </c>
      <c r="T18" s="23">
        <v>1560</v>
      </c>
      <c r="U18" s="23">
        <v>33</v>
      </c>
      <c r="V18" s="75">
        <v>921</v>
      </c>
      <c r="W18" s="23">
        <v>1318</v>
      </c>
      <c r="X18" s="79">
        <v>2112</v>
      </c>
      <c r="Y18" s="79">
        <v>3462</v>
      </c>
    </row>
    <row r="19" spans="1:25" s="14" customFormat="1" x14ac:dyDescent="0.15">
      <c r="A19" s="14" t="s">
        <v>108</v>
      </c>
      <c r="B19" s="42"/>
      <c r="C19" s="42"/>
      <c r="D19" s="42"/>
      <c r="E19" s="42"/>
      <c r="F19" s="43"/>
      <c r="G19" s="42"/>
      <c r="H19" s="42"/>
      <c r="I19" s="42"/>
      <c r="J19" s="43"/>
      <c r="K19" s="42"/>
      <c r="L19" s="42"/>
      <c r="M19" s="42">
        <v>11038</v>
      </c>
      <c r="N19" s="43"/>
      <c r="O19" s="42"/>
      <c r="P19" s="42"/>
      <c r="Q19" s="42"/>
      <c r="R19" s="43">
        <v>1696</v>
      </c>
      <c r="S19" s="42"/>
      <c r="T19" s="42"/>
      <c r="U19" s="42"/>
      <c r="V19" s="76"/>
    </row>
    <row r="20" spans="1:25" s="12" customFormat="1" x14ac:dyDescent="0.15">
      <c r="A20" s="12" t="s">
        <v>15</v>
      </c>
      <c r="B20" s="25">
        <f>B17-B18</f>
        <v>3515</v>
      </c>
      <c r="C20" s="25">
        <f>C17-C18</f>
        <v>3931</v>
      </c>
      <c r="D20" s="25">
        <f>D17-D18</f>
        <v>3979</v>
      </c>
      <c r="E20" s="25">
        <f>E17-E18</f>
        <v>4923</v>
      </c>
      <c r="F20" s="26">
        <f>F17-F18</f>
        <v>4207</v>
      </c>
      <c r="G20" s="25">
        <f t="shared" ref="G20:H20" si="25">G17-G18</f>
        <v>4877</v>
      </c>
      <c r="H20" s="25">
        <f t="shared" si="25"/>
        <v>5061</v>
      </c>
      <c r="I20" s="25">
        <f t="shared" ref="I20:O20" si="26">I17-I18</f>
        <v>5333</v>
      </c>
      <c r="J20" s="26">
        <f t="shared" si="26"/>
        <v>5426</v>
      </c>
      <c r="K20" s="25">
        <f t="shared" si="26"/>
        <v>3524</v>
      </c>
      <c r="L20" s="25">
        <f t="shared" si="26"/>
        <v>6732</v>
      </c>
      <c r="M20" s="25">
        <f t="shared" si="26"/>
        <v>6235.9623742161293</v>
      </c>
      <c r="N20" s="26">
        <f t="shared" si="26"/>
        <v>9401</v>
      </c>
      <c r="O20" s="25">
        <f t="shared" si="26"/>
        <v>3195</v>
      </c>
      <c r="P20" s="25">
        <f>P17-P18</f>
        <v>9192</v>
      </c>
      <c r="Q20" s="25">
        <f>Q17-Q18</f>
        <v>8948</v>
      </c>
      <c r="R20" s="26">
        <f>R17-R18</f>
        <v>8354</v>
      </c>
      <c r="S20" s="25">
        <f t="shared" ref="S20:T20" si="27">S17-S18</f>
        <v>9947</v>
      </c>
      <c r="T20" s="25">
        <f t="shared" si="27"/>
        <v>7068</v>
      </c>
      <c r="U20" s="25">
        <f t="shared" ref="U20:W20" si="28">U17-U18</f>
        <v>10671</v>
      </c>
      <c r="V20" s="26">
        <f t="shared" si="28"/>
        <v>6836</v>
      </c>
      <c r="W20" s="25">
        <f t="shared" si="28"/>
        <v>6959</v>
      </c>
      <c r="X20" s="25">
        <f t="shared" ref="X20:Y20" si="29">X17-X18</f>
        <v>11247</v>
      </c>
      <c r="Y20" s="25">
        <f t="shared" si="29"/>
        <v>15227</v>
      </c>
    </row>
    <row r="21" spans="1:25" x14ac:dyDescent="0.15">
      <c r="A21" s="6" t="s">
        <v>16</v>
      </c>
      <c r="B21" s="23"/>
      <c r="C21" s="23"/>
      <c r="D21" s="23"/>
      <c r="E21" s="30">
        <f>IFERROR(E20/E22,0)</f>
        <v>7.1522174343835268</v>
      </c>
      <c r="F21" s="31">
        <f t="shared" ref="F21:H21" si="30">IFERROR(F20/F22,0)</f>
        <v>6.1326530612244898</v>
      </c>
      <c r="G21" s="30">
        <f t="shared" si="30"/>
        <v>7.0886627906976747</v>
      </c>
      <c r="H21" s="30">
        <f t="shared" si="30"/>
        <v>7.3454281567489117</v>
      </c>
      <c r="I21" s="30">
        <f t="shared" ref="I21:L21" si="31">IFERROR(I20/I22,0)</f>
        <v>7.7178002894356004</v>
      </c>
      <c r="J21" s="31">
        <f t="shared" si="31"/>
        <v>7.8410404624277454</v>
      </c>
      <c r="K21" s="30">
        <f t="shared" si="31"/>
        <v>5.0851370851370854</v>
      </c>
      <c r="L21" s="30">
        <f t="shared" si="31"/>
        <v>9.6863309352517994</v>
      </c>
      <c r="M21" s="30">
        <f t="shared" ref="M21" si="32">IFERROR(M20/M22,0)</f>
        <v>8.9855365622710792</v>
      </c>
      <c r="N21" s="31">
        <f t="shared" ref="N21:T21" si="33">IFERROR(N20/N22,0)</f>
        <v>13.526618705035972</v>
      </c>
      <c r="O21" s="30">
        <f t="shared" si="33"/>
        <v>4.5905172413793105</v>
      </c>
      <c r="P21" s="30">
        <f t="shared" si="33"/>
        <v>13.206896551724139</v>
      </c>
      <c r="Q21" s="30">
        <f t="shared" si="33"/>
        <v>12.766461358911911</v>
      </c>
      <c r="R21" s="31">
        <f t="shared" si="33"/>
        <v>12.033236479031505</v>
      </c>
      <c r="S21" s="30">
        <f t="shared" si="33"/>
        <v>14.149359886201992</v>
      </c>
      <c r="T21" s="30">
        <f t="shared" si="33"/>
        <v>10.126074498567336</v>
      </c>
      <c r="U21" s="30">
        <f t="shared" ref="U21:W21" si="34">IFERROR(U20/U22,0)</f>
        <v>15.34967217783813</v>
      </c>
      <c r="V21" s="31">
        <f t="shared" si="34"/>
        <v>9.8748026411774639</v>
      </c>
      <c r="W21" s="30">
        <f t="shared" si="34"/>
        <v>10.129194904399265</v>
      </c>
      <c r="X21" s="30">
        <f t="shared" ref="X21:Y21" si="35">IFERROR(X20/X22,0)</f>
        <v>16.398605528022852</v>
      </c>
      <c r="Y21" s="30">
        <f t="shared" si="35"/>
        <v>22.295301836540162</v>
      </c>
    </row>
    <row r="22" spans="1:25" s="8" customFormat="1" x14ac:dyDescent="0.15">
      <c r="A22" s="8" t="s">
        <v>17</v>
      </c>
      <c r="B22" s="23"/>
      <c r="C22" s="23"/>
      <c r="D22" s="23"/>
      <c r="E22" s="23">
        <f>292.58+50.199+345.539</f>
        <v>688.31799999999998</v>
      </c>
      <c r="F22" s="22">
        <f>294+49+343</f>
        <v>686</v>
      </c>
      <c r="G22" s="23">
        <f>295+49+344</f>
        <v>688</v>
      </c>
      <c r="H22" s="23">
        <f>296+48+345</f>
        <v>689</v>
      </c>
      <c r="I22" s="23">
        <f>297+47+347</f>
        <v>691</v>
      </c>
      <c r="J22" s="22">
        <f>298+47+347</f>
        <v>692</v>
      </c>
      <c r="K22" s="23">
        <f>298+47+348</f>
        <v>693</v>
      </c>
      <c r="L22" s="23">
        <f>299+47+349</f>
        <v>695</v>
      </c>
      <c r="M22" s="23">
        <v>694</v>
      </c>
      <c r="N22" s="22">
        <f>299+47+349</f>
        <v>695</v>
      </c>
      <c r="O22" s="23">
        <f>299+47+350</f>
        <v>696</v>
      </c>
      <c r="P22" s="23">
        <f>299+47+350</f>
        <v>696</v>
      </c>
      <c r="Q22" s="23">
        <v>700.899</v>
      </c>
      <c r="R22" s="22">
        <f>299.436023+46.544284+348.263508</f>
        <v>694.24381500000004</v>
      </c>
      <c r="S22" s="23">
        <v>703</v>
      </c>
      <c r="T22" s="23">
        <v>698</v>
      </c>
      <c r="U22" s="23">
        <v>695.19399999999996</v>
      </c>
      <c r="V22" s="73">
        <v>692.26700000000005</v>
      </c>
      <c r="W22" s="23">
        <v>687.024</v>
      </c>
      <c r="X22" s="8">
        <v>685.851</v>
      </c>
      <c r="Y22" s="8">
        <v>682.96900000000005</v>
      </c>
    </row>
    <row r="23" spans="1:25" x14ac:dyDescent="0.15">
      <c r="B23" s="23"/>
      <c r="C23" s="23"/>
      <c r="D23" s="23"/>
      <c r="E23" s="23"/>
      <c r="F23" s="22"/>
      <c r="G23" s="23"/>
      <c r="H23" s="23"/>
      <c r="I23" s="23"/>
      <c r="J23" s="22"/>
      <c r="K23" s="23"/>
      <c r="L23" s="23"/>
      <c r="M23" s="23"/>
      <c r="Q23" s="23"/>
    </row>
    <row r="24" spans="1:25" x14ac:dyDescent="0.15">
      <c r="A24" s="6" t="s">
        <v>19</v>
      </c>
      <c r="B24" s="36">
        <f t="shared" ref="B24:Q24" si="36">IFERROR(B10/B8,0)</f>
        <v>0.63170703441882026</v>
      </c>
      <c r="C24" s="36">
        <f t="shared" si="36"/>
        <v>0.62864556890618828</v>
      </c>
      <c r="D24" s="36">
        <f t="shared" si="36"/>
        <v>0.62318607764390899</v>
      </c>
      <c r="E24" s="36">
        <f t="shared" si="36"/>
        <v>0.61610952224670634</v>
      </c>
      <c r="F24" s="37">
        <f t="shared" si="36"/>
        <v>0.62245149824751933</v>
      </c>
      <c r="G24" s="36">
        <f t="shared" si="36"/>
        <v>0.62186046511627902</v>
      </c>
      <c r="H24" s="36">
        <f t="shared" si="36"/>
        <v>0.61253396285243422</v>
      </c>
      <c r="I24" s="36">
        <f t="shared" si="36"/>
        <v>0.59096838551258446</v>
      </c>
      <c r="J24" s="37">
        <f t="shared" si="36"/>
        <v>0.60424242424242425</v>
      </c>
      <c r="K24" s="36">
        <f t="shared" si="36"/>
        <v>0.60119184928873515</v>
      </c>
      <c r="L24" s="36">
        <f t="shared" si="36"/>
        <v>0.59858850640933314</v>
      </c>
      <c r="M24" s="36">
        <f t="shared" si="36"/>
        <v>0.55861151502026418</v>
      </c>
      <c r="N24" s="37">
        <f t="shared" si="36"/>
        <v>0.56761702947408976</v>
      </c>
      <c r="O24" s="36">
        <f t="shared" si="36"/>
        <v>0.57488440456869894</v>
      </c>
      <c r="P24" s="36">
        <f t="shared" si="36"/>
        <v>0.57673384706579722</v>
      </c>
      <c r="Q24" s="36">
        <f t="shared" si="36"/>
        <v>0.54379264690905382</v>
      </c>
      <c r="R24" s="37">
        <f t="shared" ref="R24:S24" si="37">IFERROR(R10/R8,0)</f>
        <v>0.55937147417375277</v>
      </c>
      <c r="S24" s="36">
        <f t="shared" si="37"/>
        <v>0.55587510271158591</v>
      </c>
      <c r="T24" s="36">
        <f t="shared" ref="T24:U24" si="38">IFERROR(T10/T8,0)</f>
        <v>0.56621151139534309</v>
      </c>
      <c r="U24" s="36">
        <f t="shared" si="38"/>
        <v>0.54378730330982095</v>
      </c>
      <c r="V24" s="37">
        <f t="shared" ref="V24:W24" si="39">IFERROR(V10/V8,0)</f>
        <v>0.53881289632887097</v>
      </c>
      <c r="W24" s="36">
        <f t="shared" si="39"/>
        <v>0.51554952085019712</v>
      </c>
      <c r="X24" s="36">
        <f t="shared" ref="X24:Y24" si="40">IFERROR(X10/X8,0)</f>
        <v>0.54265479825872265</v>
      </c>
      <c r="Y24" s="36">
        <f t="shared" si="40"/>
        <v>0.54163590987380927</v>
      </c>
    </row>
    <row r="25" spans="1:25" x14ac:dyDescent="0.15">
      <c r="A25" s="6" t="s">
        <v>20</v>
      </c>
      <c r="B25" s="38">
        <f t="shared" ref="B25:Q25" si="41">IFERROR(B15/B8,0)</f>
        <v>0.25767759879476188</v>
      </c>
      <c r="C25" s="38">
        <f t="shared" si="41"/>
        <v>0.2721836746206352</v>
      </c>
      <c r="D25" s="38">
        <f t="shared" si="41"/>
        <v>0.25210174029451138</v>
      </c>
      <c r="E25" s="38">
        <f t="shared" si="41"/>
        <v>0.25223873599324864</v>
      </c>
      <c r="F25" s="39">
        <f t="shared" si="41"/>
        <v>0.26371130967073109</v>
      </c>
      <c r="G25" s="38">
        <f t="shared" si="41"/>
        <v>0.27758139534883719</v>
      </c>
      <c r="H25" s="38">
        <f t="shared" si="41"/>
        <v>0.25687051801701483</v>
      </c>
      <c r="I25" s="38">
        <f t="shared" si="41"/>
        <v>0.25471915285451197</v>
      </c>
      <c r="J25" s="39">
        <f t="shared" si="41"/>
        <v>0.26537373737373737</v>
      </c>
      <c r="K25" s="38">
        <f t="shared" si="41"/>
        <v>0.15886197616301423</v>
      </c>
      <c r="L25" s="38">
        <f t="shared" si="41"/>
        <v>0.28021028373901774</v>
      </c>
      <c r="M25" s="38">
        <f t="shared" si="41"/>
        <v>0.23710670420443647</v>
      </c>
      <c r="N25" s="39">
        <f t="shared" si="41"/>
        <v>0.2247800680665254</v>
      </c>
      <c r="O25" s="38">
        <f t="shared" si="41"/>
        <v>8.5954006797929999E-2</v>
      </c>
      <c r="P25" s="38">
        <f t="shared" si="41"/>
        <v>0.24629519857735627</v>
      </c>
      <c r="Q25" s="38">
        <f t="shared" si="41"/>
        <v>0.2088552805784703</v>
      </c>
      <c r="R25" s="39">
        <f t="shared" ref="R25:S25" si="42">IFERROR(R15/R8,0)</f>
        <v>0.22854233743361127</v>
      </c>
      <c r="S25" s="38">
        <f t="shared" si="42"/>
        <v>0.23572308956450289</v>
      </c>
      <c r="T25" s="38">
        <f t="shared" ref="T25:U25" si="43">IFERROR(T15/T8,0)</f>
        <v>0.22659818760957059</v>
      </c>
      <c r="U25" s="38">
        <f t="shared" si="43"/>
        <v>0.20110689093868692</v>
      </c>
      <c r="V25" s="39">
        <f t="shared" ref="V25:W25" si="44">IFERROR(V15/V8,0)</f>
        <v>0.1938093734055735</v>
      </c>
      <c r="W25" s="38">
        <f t="shared" si="44"/>
        <v>0.1666710186176463</v>
      </c>
      <c r="X25" s="38">
        <f t="shared" ref="X25:Y25" si="45">IFERROR(X15/X8,0)</f>
        <v>0.24284755159941956</v>
      </c>
      <c r="Y25" s="38">
        <f t="shared" si="45"/>
        <v>0.27507118000632713</v>
      </c>
    </row>
    <row r="26" spans="1:25" x14ac:dyDescent="0.15">
      <c r="A26" s="6" t="s">
        <v>21</v>
      </c>
      <c r="B26" s="38">
        <f t="shared" ref="B26:Q26" si="46">IFERROR(B18/B17,0)</f>
        <v>0.23653344917463076</v>
      </c>
      <c r="C26" s="38">
        <f t="shared" si="46"/>
        <v>0.20682001614205003</v>
      </c>
      <c r="D26" s="38">
        <f t="shared" si="46"/>
        <v>0.18646493559599264</v>
      </c>
      <c r="E26" s="38">
        <f t="shared" si="46"/>
        <v>5.326923076923077E-2</v>
      </c>
      <c r="F26" s="39">
        <f t="shared" si="46"/>
        <v>0.17976213686878534</v>
      </c>
      <c r="G26" s="38">
        <f t="shared" si="46"/>
        <v>0.20297434221277988</v>
      </c>
      <c r="H26" s="38">
        <f t="shared" si="46"/>
        <v>0.16277915632754342</v>
      </c>
      <c r="I26" s="38">
        <f t="shared" si="46"/>
        <v>0.22225463030479803</v>
      </c>
      <c r="J26" s="39">
        <f t="shared" si="46"/>
        <v>0.20428215280832968</v>
      </c>
      <c r="K26" s="38">
        <f t="shared" si="46"/>
        <v>0.19488233950194198</v>
      </c>
      <c r="L26" s="38">
        <f t="shared" si="46"/>
        <v>0.15628524877804237</v>
      </c>
      <c r="M26" s="38">
        <f t="shared" si="46"/>
        <v>0.22225463030479803</v>
      </c>
      <c r="N26" s="39">
        <f t="shared" si="46"/>
        <v>0.10831831546998008</v>
      </c>
      <c r="O26" s="38">
        <f t="shared" si="46"/>
        <v>0.24199288256227758</v>
      </c>
      <c r="P26" s="38">
        <f t="shared" si="46"/>
        <v>8.8366557572151144E-2</v>
      </c>
      <c r="Q26" s="38">
        <f t="shared" si="46"/>
        <v>0.11159650516282764</v>
      </c>
      <c r="R26" s="39">
        <f t="shared" ref="R26:S26" si="47">IFERROR(R18/R17,0)</f>
        <v>0.15127501777913238</v>
      </c>
      <c r="S26" s="38">
        <f t="shared" si="47"/>
        <v>0.18111467852144564</v>
      </c>
      <c r="T26" s="38">
        <f t="shared" ref="T26:U26" si="48">IFERROR(T18/T17,0)</f>
        <v>0.1808066759388039</v>
      </c>
      <c r="U26" s="38">
        <f t="shared" si="48"/>
        <v>3.0829596412556052E-3</v>
      </c>
      <c r="V26" s="39">
        <f t="shared" ref="V26:W26" si="49">IFERROR(V18/V17,0)</f>
        <v>0.11873146835116669</v>
      </c>
      <c r="W26" s="38">
        <f t="shared" si="49"/>
        <v>0.15923643832306392</v>
      </c>
      <c r="X26" s="38">
        <f t="shared" ref="X26:Y26" si="50">IFERROR(X18/X17,0)</f>
        <v>0.15809566584325174</v>
      </c>
      <c r="Y26" s="38">
        <f t="shared" si="50"/>
        <v>0.18524265610787094</v>
      </c>
    </row>
    <row r="27" spans="1:25" x14ac:dyDescent="0.15">
      <c r="B27" s="23"/>
      <c r="C27" s="23"/>
      <c r="D27" s="23"/>
      <c r="E27" s="23"/>
      <c r="F27" s="22"/>
      <c r="G27" s="23"/>
      <c r="H27" s="23"/>
      <c r="I27" s="23"/>
      <c r="J27" s="22"/>
      <c r="K27" s="23"/>
      <c r="L27" s="23"/>
      <c r="M27" s="23"/>
      <c r="Q27" s="23"/>
      <c r="V27" s="21"/>
      <c r="W27" s="20"/>
      <c r="X27" s="20"/>
    </row>
    <row r="28" spans="1:25" s="12" customFormat="1" x14ac:dyDescent="0.15">
      <c r="A28" s="12" t="s">
        <v>18</v>
      </c>
      <c r="B28" s="32"/>
      <c r="C28" s="32"/>
      <c r="D28" s="32"/>
      <c r="E28" s="32"/>
      <c r="F28" s="33">
        <f t="shared" ref="F28:Y28" si="51">IFERROR((F8/B8)-1,0)</f>
        <v>0.17377448139993046</v>
      </c>
      <c r="G28" s="32">
        <f t="shared" si="51"/>
        <v>0.21283917188469559</v>
      </c>
      <c r="H28" s="32">
        <f t="shared" si="51"/>
        <v>0.20219544846050863</v>
      </c>
      <c r="I28" s="32">
        <f t="shared" si="51"/>
        <v>0.22199821838811018</v>
      </c>
      <c r="J28" s="33">
        <f t="shared" si="51"/>
        <v>0.22179987164930637</v>
      </c>
      <c r="K28" s="32">
        <f t="shared" si="51"/>
        <v>0.20976744186046514</v>
      </c>
      <c r="L28" s="32">
        <f t="shared" si="51"/>
        <v>0.23700503318337707</v>
      </c>
      <c r="M28" s="32">
        <f t="shared" si="51"/>
        <v>0.24013965623081646</v>
      </c>
      <c r="N28" s="33">
        <f t="shared" si="51"/>
        <v>0.25842424242424245</v>
      </c>
      <c r="O28" s="32">
        <f t="shared" si="51"/>
        <v>0.25555555555555554</v>
      </c>
      <c r="P28" s="32">
        <f t="shared" si="51"/>
        <v>0.21489269768111763</v>
      </c>
      <c r="Q28" s="32">
        <f t="shared" si="51"/>
        <v>0.21510998360300704</v>
      </c>
      <c r="R28" s="33">
        <f t="shared" si="51"/>
        <v>0.16673088036987083</v>
      </c>
      <c r="S28" s="32">
        <f t="shared" si="51"/>
        <v>0.19251615273907574</v>
      </c>
      <c r="T28" s="32">
        <f t="shared" si="51"/>
        <v>0.2003260225251926</v>
      </c>
      <c r="U28" s="32">
        <f t="shared" si="51"/>
        <v>0.17310825949689379</v>
      </c>
      <c r="V28" s="33">
        <f t="shared" si="51"/>
        <v>0.13263986350752632</v>
      </c>
      <c r="W28" s="32">
        <f t="shared" si="51"/>
        <v>-1.6613599013968749E-2</v>
      </c>
      <c r="X28" s="32">
        <f t="shared" si="51"/>
        <v>0.14010222474628997</v>
      </c>
      <c r="Y28" s="32">
        <f t="shared" si="51"/>
        <v>0.23489962018448174</v>
      </c>
    </row>
    <row r="29" spans="1:25" s="12" customFormat="1" x14ac:dyDescent="0.15">
      <c r="A29" s="6" t="s">
        <v>61</v>
      </c>
      <c r="B29" s="34"/>
      <c r="C29" s="34"/>
      <c r="D29" s="34"/>
      <c r="E29" s="34"/>
      <c r="F29" s="35">
        <f t="shared" ref="F29:Y32" si="52">F11/B11-1</f>
        <v>0.22302942244823831</v>
      </c>
      <c r="G29" s="34">
        <f t="shared" si="52"/>
        <v>0.20580853352456074</v>
      </c>
      <c r="H29" s="34">
        <f t="shared" si="52"/>
        <v>0.11331269349845208</v>
      </c>
      <c r="I29" s="34">
        <f t="shared" si="52"/>
        <v>3.1908831908831869E-2</v>
      </c>
      <c r="J29" s="35">
        <f t="shared" si="52"/>
        <v>0.17077517077517079</v>
      </c>
      <c r="K29" s="34">
        <f t="shared" si="52"/>
        <v>0.24055902468034485</v>
      </c>
      <c r="L29" s="34">
        <f t="shared" si="52"/>
        <v>0.16935483870967749</v>
      </c>
      <c r="M29" s="34">
        <f t="shared" si="52"/>
        <v>0.18884594146880174</v>
      </c>
      <c r="N29" s="35">
        <f t="shared" si="52"/>
        <v>0.27828513444951808</v>
      </c>
      <c r="O29" s="34">
        <f t="shared" si="52"/>
        <v>0.22579098753595406</v>
      </c>
      <c r="P29" s="34">
        <f t="shared" si="52"/>
        <v>0.24423305588585009</v>
      </c>
      <c r="Q29" s="34">
        <f t="shared" si="52"/>
        <v>0.4013005109150023</v>
      </c>
      <c r="R29" s="35">
        <f t="shared" si="52"/>
        <v>0.19646755308592967</v>
      </c>
      <c r="S29" s="34">
        <f t="shared" si="52"/>
        <v>0.21490027375831056</v>
      </c>
      <c r="T29" s="34">
        <f t="shared" si="52"/>
        <v>0.25267584097859319</v>
      </c>
      <c r="U29" s="34">
        <f t="shared" si="52"/>
        <v>0.19688432217434548</v>
      </c>
      <c r="V29" s="35">
        <f t="shared" si="52"/>
        <v>0.1311992038480676</v>
      </c>
      <c r="W29" s="34">
        <f t="shared" si="52"/>
        <v>0.10655078062127799</v>
      </c>
      <c r="X29" s="34">
        <f t="shared" si="52"/>
        <v>4.607873054623135E-2</v>
      </c>
      <c r="Y29" s="34">
        <f t="shared" si="52"/>
        <v>-2.7693159789532018E-2</v>
      </c>
    </row>
    <row r="30" spans="1:25" s="12" customFormat="1" x14ac:dyDescent="0.15">
      <c r="A30" s="6" t="s">
        <v>62</v>
      </c>
      <c r="B30" s="34"/>
      <c r="C30" s="34"/>
      <c r="D30" s="34"/>
      <c r="E30" s="34"/>
      <c r="F30" s="35">
        <f t="shared" si="52"/>
        <v>0.15593220338983049</v>
      </c>
      <c r="G30" s="34">
        <f t="shared" si="52"/>
        <v>0.16105769230769229</v>
      </c>
      <c r="H30" s="34">
        <f t="shared" si="52"/>
        <v>0.15384615384615374</v>
      </c>
      <c r="I30" s="34">
        <f t="shared" si="52"/>
        <v>0.16386711459499814</v>
      </c>
      <c r="J30" s="35">
        <f t="shared" si="52"/>
        <v>0.1076665270213657</v>
      </c>
      <c r="K30" s="34">
        <f t="shared" si="52"/>
        <v>0.19958592132505171</v>
      </c>
      <c r="L30" s="34">
        <f t="shared" si="52"/>
        <v>0.18596491228070167</v>
      </c>
      <c r="M30" s="34">
        <f t="shared" si="52"/>
        <v>0.38229634381013478</v>
      </c>
      <c r="N30" s="35">
        <f t="shared" si="52"/>
        <v>0.36308623298033282</v>
      </c>
      <c r="O30" s="34">
        <f t="shared" si="52"/>
        <v>0.30479806696582679</v>
      </c>
      <c r="P30" s="34">
        <f t="shared" si="52"/>
        <v>0.26528599605522674</v>
      </c>
      <c r="Q30" s="34">
        <f t="shared" si="52"/>
        <v>0.18329466357308588</v>
      </c>
      <c r="R30" s="35">
        <f t="shared" si="52"/>
        <v>8.3518312985571663E-2</v>
      </c>
      <c r="S30" s="34">
        <f t="shared" si="52"/>
        <v>0.11428571428571432</v>
      </c>
      <c r="T30" s="34">
        <f t="shared" si="52"/>
        <v>0.19745388412574694</v>
      </c>
      <c r="U30" s="34">
        <f t="shared" si="52"/>
        <v>0.12509803921568619</v>
      </c>
      <c r="V30" s="35">
        <f t="shared" si="52"/>
        <v>0.15236875800256078</v>
      </c>
      <c r="W30" s="34">
        <f t="shared" si="52"/>
        <v>-7.3836657169990549E-2</v>
      </c>
      <c r="X30" s="34">
        <f t="shared" si="52"/>
        <v>-8.2013451941852944E-2</v>
      </c>
      <c r="Y30" s="34">
        <f t="shared" si="52"/>
        <v>-7.3893342628093439E-2</v>
      </c>
    </row>
    <row r="31" spans="1:25" s="12" customFormat="1" x14ac:dyDescent="0.15">
      <c r="A31" s="6" t="s">
        <v>63</v>
      </c>
      <c r="B31" s="34"/>
      <c r="C31" s="34"/>
      <c r="D31" s="34"/>
      <c r="E31" s="34"/>
      <c r="F31" s="35">
        <f t="shared" si="52"/>
        <v>-7.5748320097739796E-2</v>
      </c>
      <c r="G31" s="34">
        <f t="shared" si="52"/>
        <v>0.12000000000000011</v>
      </c>
      <c r="H31" s="34">
        <f t="shared" si="52"/>
        <v>0.2349356804333107</v>
      </c>
      <c r="I31" s="34">
        <f t="shared" si="52"/>
        <v>0.28753180661577615</v>
      </c>
      <c r="J31" s="35">
        <f t="shared" si="52"/>
        <v>0.19035029742233966</v>
      </c>
      <c r="K31" s="34">
        <f t="shared" si="52"/>
        <v>1.7315270935960592</v>
      </c>
      <c r="L31" s="34">
        <f t="shared" si="52"/>
        <v>-0.1255482456140351</v>
      </c>
      <c r="M31" s="34">
        <f t="shared" si="52"/>
        <v>-0.12252964426877466</v>
      </c>
      <c r="N31" s="35">
        <f t="shared" si="52"/>
        <v>0.12992781787895624</v>
      </c>
      <c r="O31" s="34">
        <f t="shared" si="52"/>
        <v>0.59445446348061326</v>
      </c>
      <c r="P31" s="34">
        <f t="shared" si="52"/>
        <v>0.29655172413793096</v>
      </c>
      <c r="Q31" s="34">
        <f t="shared" si="52"/>
        <v>0.13795045045045051</v>
      </c>
      <c r="R31" s="35">
        <f t="shared" si="52"/>
        <v>2.604422604422596E-2</v>
      </c>
      <c r="S31" s="34">
        <f t="shared" si="52"/>
        <v>-0.71115509684716527</v>
      </c>
      <c r="T31" s="34">
        <f t="shared" si="52"/>
        <v>0.25290135396518365</v>
      </c>
      <c r="U31" s="34">
        <f t="shared" si="52"/>
        <v>0.39980207817911917</v>
      </c>
      <c r="V31" s="35">
        <f t="shared" si="52"/>
        <v>0.3793103448275863</v>
      </c>
      <c r="W31" s="34">
        <f t="shared" si="52"/>
        <v>0.26529613313754274</v>
      </c>
      <c r="X31" s="34">
        <f t="shared" si="52"/>
        <v>6.3681976071015001E-2</v>
      </c>
      <c r="Y31" s="34">
        <f t="shared" si="52"/>
        <v>7.0696359137500941E-4</v>
      </c>
    </row>
    <row r="32" spans="1:25" x14ac:dyDescent="0.15">
      <c r="F32" s="48">
        <f t="shared" si="52"/>
        <v>0.12579395817195982</v>
      </c>
      <c r="G32" s="47">
        <f t="shared" si="52"/>
        <v>0.1713878778287703</v>
      </c>
      <c r="H32" s="47">
        <f t="shared" si="52"/>
        <v>0.15223665223665228</v>
      </c>
      <c r="I32" s="47">
        <f t="shared" si="52"/>
        <v>0.12923592320577248</v>
      </c>
      <c r="J32" s="48">
        <f t="shared" ref="J32:Y32" si="53">J14/F14-1</f>
        <v>0.15412137057933117</v>
      </c>
      <c r="K32" s="47">
        <f t="shared" si="53"/>
        <v>0.55430964604161037</v>
      </c>
      <c r="L32" s="47">
        <f t="shared" si="53"/>
        <v>0.10732623669380081</v>
      </c>
      <c r="M32" s="47">
        <f t="shared" si="53"/>
        <v>0.18575992697398447</v>
      </c>
      <c r="N32" s="48">
        <f t="shared" si="53"/>
        <v>0.27316084416358644</v>
      </c>
      <c r="O32" s="47">
        <f t="shared" si="53"/>
        <v>0.38783137766188625</v>
      </c>
      <c r="P32" s="47">
        <f t="shared" si="53"/>
        <v>0.26091382040262379</v>
      </c>
      <c r="Q32" s="47">
        <f t="shared" si="53"/>
        <v>0.26587759815242484</v>
      </c>
      <c r="R32" s="48">
        <f t="shared" si="53"/>
        <v>0.12586626709121562</v>
      </c>
      <c r="S32" s="47">
        <f t="shared" si="53"/>
        <v>-0.21913947516753307</v>
      </c>
      <c r="T32" s="47">
        <f t="shared" si="53"/>
        <v>0.23365324244326846</v>
      </c>
      <c r="U32" s="47">
        <f t="shared" si="53"/>
        <v>0.20022805017103762</v>
      </c>
      <c r="V32" s="48">
        <f t="shared" si="53"/>
        <v>0.18116785892530363</v>
      </c>
      <c r="W32" s="47">
        <f t="shared" si="53"/>
        <v>7.1623355790824572E-2</v>
      </c>
      <c r="X32" s="47">
        <f t="shared" si="53"/>
        <v>6.4708448451360479E-3</v>
      </c>
      <c r="Y32" s="47">
        <f t="shared" si="53"/>
        <v>-3.9394515168788447E-2</v>
      </c>
    </row>
    <row r="33" spans="1:25" x14ac:dyDescent="0.15">
      <c r="J33" s="48"/>
      <c r="K33" s="47"/>
      <c r="L33" s="47"/>
      <c r="M33" s="47"/>
      <c r="N33" s="48"/>
      <c r="O33" s="47"/>
      <c r="P33" s="47"/>
      <c r="Q33" s="47"/>
      <c r="R33" s="48"/>
      <c r="S33" s="47"/>
      <c r="T33" s="47"/>
      <c r="U33" s="47"/>
    </row>
    <row r="34" spans="1:25" s="12" customFormat="1" x14ac:dyDescent="0.15">
      <c r="A34" s="12" t="s">
        <v>33</v>
      </c>
      <c r="B34" s="23"/>
      <c r="C34" s="23"/>
      <c r="D34" s="23"/>
      <c r="E34" s="25">
        <f>E35-E36</f>
        <v>67846</v>
      </c>
      <c r="F34" s="26">
        <f>F35-F36</f>
        <v>70056</v>
      </c>
      <c r="G34" s="25">
        <f t="shared" ref="G34:K34" si="54">G35-G36</f>
        <v>74257</v>
      </c>
      <c r="H34" s="25">
        <f t="shared" si="54"/>
        <v>79118</v>
      </c>
      <c r="I34" s="25">
        <f t="shared" si="54"/>
        <v>82398</v>
      </c>
      <c r="J34" s="26">
        <f t="shared" si="54"/>
        <v>88502</v>
      </c>
      <c r="K34" s="25">
        <f t="shared" si="54"/>
        <v>90758</v>
      </c>
      <c r="L34" s="25">
        <f t="shared" ref="L34:P34" si="55">L35-L36</f>
        <v>96179</v>
      </c>
      <c r="M34" s="25">
        <f t="shared" si="55"/>
        <v>97902</v>
      </c>
      <c r="N34" s="26">
        <f t="shared" si="55"/>
        <v>98912</v>
      </c>
      <c r="O34" s="25">
        <f t="shared" si="55"/>
        <v>98273</v>
      </c>
      <c r="P34" s="25">
        <f t="shared" si="55"/>
        <v>102430</v>
      </c>
      <c r="Q34" s="25">
        <f t="shared" ref="Q34:R34" si="56">Q35-Q36</f>
        <v>105128</v>
      </c>
      <c r="R34" s="26">
        <f t="shared" si="56"/>
        <v>109422</v>
      </c>
      <c r="S34" s="25">
        <f t="shared" ref="S34:Y34" si="57">S35-S36</f>
        <v>116982</v>
      </c>
      <c r="T34" s="25">
        <f t="shared" si="57"/>
        <v>117095</v>
      </c>
      <c r="U34" s="25">
        <f t="shared" si="57"/>
        <v>115121</v>
      </c>
      <c r="V34" s="26">
        <f t="shared" si="57"/>
        <v>112213</v>
      </c>
      <c r="W34" s="25">
        <f t="shared" si="57"/>
        <v>117062</v>
      </c>
      <c r="X34" s="25">
        <f t="shared" si="57"/>
        <v>118704</v>
      </c>
      <c r="Y34" s="25">
        <f t="shared" si="57"/>
        <v>122762</v>
      </c>
    </row>
    <row r="35" spans="1:25" x14ac:dyDescent="0.15">
      <c r="A35" s="6" t="s">
        <v>34</v>
      </c>
      <c r="B35" s="23"/>
      <c r="C35" s="23"/>
      <c r="D35" s="23"/>
      <c r="E35" s="23">
        <f>16549+56517</f>
        <v>73066</v>
      </c>
      <c r="F35" s="22">
        <f>15111+60153</f>
        <v>75264</v>
      </c>
      <c r="G35" s="23">
        <f>13627+64833</f>
        <v>78460</v>
      </c>
      <c r="H35" s="23">
        <f>9406+73650</f>
        <v>83056</v>
      </c>
      <c r="I35" s="23">
        <f>12918+73415</f>
        <v>86333</v>
      </c>
      <c r="J35" s="22">
        <f>18132+74307</f>
        <v>92439</v>
      </c>
      <c r="K35" s="23">
        <f>15711+79002</f>
        <v>94713</v>
      </c>
      <c r="L35" s="23">
        <f>10581+89562</f>
        <v>100143</v>
      </c>
      <c r="M35" s="23">
        <f>10715+91156</f>
        <v>101871</v>
      </c>
      <c r="N35" s="22">
        <f>12658+90227</f>
        <v>102885</v>
      </c>
      <c r="O35" s="23">
        <f>14148+88106</f>
        <v>102254</v>
      </c>
      <c r="P35" s="23">
        <f>13443+92973</f>
        <v>106416</v>
      </c>
      <c r="Q35" s="23">
        <f>16701+92439</f>
        <v>109140</v>
      </c>
      <c r="R35" s="22">
        <f>19148+94340</f>
        <v>113488</v>
      </c>
      <c r="S35" s="23">
        <f>16587+104469</f>
        <v>121056</v>
      </c>
      <c r="T35" s="23">
        <f>16032+105145</f>
        <v>121177</v>
      </c>
      <c r="U35" s="23">
        <f>18498+101177</f>
        <v>119675</v>
      </c>
      <c r="V35" s="22">
        <f>19644+97585</f>
        <v>117229</v>
      </c>
      <c r="W35" s="23">
        <f>17742+103338</f>
        <v>121080</v>
      </c>
      <c r="X35" s="6">
        <f>112467+20139</f>
        <v>132606</v>
      </c>
      <c r="Y35" s="6">
        <f>26465+110229</f>
        <v>136694</v>
      </c>
    </row>
    <row r="36" spans="1:25" x14ac:dyDescent="0.15">
      <c r="A36" s="6" t="s">
        <v>35</v>
      </c>
      <c r="B36" s="23"/>
      <c r="C36" s="23"/>
      <c r="D36" s="23"/>
      <c r="E36" s="23">
        <f>3225+1995</f>
        <v>5220</v>
      </c>
      <c r="F36" s="22">
        <f>3221+1987</f>
        <v>5208</v>
      </c>
      <c r="G36" s="23">
        <f>2219+1984</f>
        <v>4203</v>
      </c>
      <c r="H36" s="23">
        <f>0+3938</f>
        <v>3938</v>
      </c>
      <c r="I36" s="23">
        <f>0+3935</f>
        <v>3935</v>
      </c>
      <c r="J36" s="22">
        <v>3937</v>
      </c>
      <c r="K36" s="23">
        <v>3955</v>
      </c>
      <c r="L36" s="23">
        <v>3964</v>
      </c>
      <c r="M36" s="23">
        <v>3969</v>
      </c>
      <c r="N36" s="22">
        <v>3973</v>
      </c>
      <c r="O36" s="23">
        <v>3981</v>
      </c>
      <c r="P36" s="23">
        <v>3986</v>
      </c>
      <c r="Q36" s="23">
        <v>4012</v>
      </c>
      <c r="R36" s="22">
        <v>4066</v>
      </c>
      <c r="S36" s="23">
        <v>4074</v>
      </c>
      <c r="T36" s="23">
        <v>4082</v>
      </c>
      <c r="U36" s="23">
        <v>4554</v>
      </c>
      <c r="V36" s="22">
        <v>5016</v>
      </c>
      <c r="W36" s="23">
        <v>4018</v>
      </c>
      <c r="X36" s="79">
        <v>13902</v>
      </c>
      <c r="Y36" s="79">
        <v>13932</v>
      </c>
    </row>
    <row r="37" spans="1:25" x14ac:dyDescent="0.15">
      <c r="V37" s="21"/>
    </row>
    <row r="38" spans="1:25" x14ac:dyDescent="0.15">
      <c r="A38" s="18" t="s">
        <v>78</v>
      </c>
      <c r="B38" s="23"/>
      <c r="C38" s="23"/>
      <c r="D38" s="23"/>
      <c r="E38" s="40">
        <f>3847+15869</f>
        <v>19716</v>
      </c>
      <c r="F38" s="22">
        <f>3657+15866</f>
        <v>19523</v>
      </c>
      <c r="G38" s="23">
        <f>3452+15841</f>
        <v>19293</v>
      </c>
      <c r="H38" s="23">
        <f>3367+16028</f>
        <v>19395</v>
      </c>
      <c r="I38" s="40">
        <f>3307+16468</f>
        <v>19775</v>
      </c>
      <c r="J38" s="22">
        <f>3137+16547</f>
        <v>19684</v>
      </c>
      <c r="K38" s="23">
        <f>2933+16604</f>
        <v>19537</v>
      </c>
      <c r="L38" s="23">
        <f>2883+16731</f>
        <v>19614</v>
      </c>
      <c r="M38" s="40">
        <f>2692+16747</f>
        <v>19439</v>
      </c>
      <c r="N38" s="22">
        <f>2809+17862</f>
        <v>20671</v>
      </c>
      <c r="O38" s="23">
        <f>2662+17895</f>
        <v>20557</v>
      </c>
      <c r="P38" s="23">
        <f>2448+17895</f>
        <v>20343</v>
      </c>
      <c r="Q38" s="23">
        <f>2220+17888</f>
        <v>20108</v>
      </c>
      <c r="R38" s="22">
        <f>2063+17943</f>
        <v>20006</v>
      </c>
      <c r="S38" s="23">
        <f>1902+18000</f>
        <v>19902</v>
      </c>
      <c r="T38" s="23">
        <f>1747+18069</f>
        <v>19816</v>
      </c>
      <c r="U38" s="23">
        <f>1979+20624</f>
        <v>22603</v>
      </c>
      <c r="V38" s="22">
        <f>1840+20734</f>
        <v>22574</v>
      </c>
      <c r="W38" s="23">
        <f>1697+20824</f>
        <v>22521</v>
      </c>
      <c r="X38" s="6">
        <f>1520+20870</f>
        <v>22390</v>
      </c>
      <c r="Y38" s="6">
        <f>1445+21175</f>
        <v>22620</v>
      </c>
    </row>
    <row r="39" spans="1:25" x14ac:dyDescent="0.15">
      <c r="A39" s="18" t="s">
        <v>79</v>
      </c>
      <c r="B39" s="23"/>
      <c r="C39" s="23"/>
      <c r="D39" s="23"/>
      <c r="E39" s="40">
        <v>147461</v>
      </c>
      <c r="F39" s="22">
        <v>149747</v>
      </c>
      <c r="G39" s="23">
        <v>154292</v>
      </c>
      <c r="H39" s="23">
        <v>159948</v>
      </c>
      <c r="I39" s="40">
        <v>167468</v>
      </c>
      <c r="J39" s="22">
        <v>172756</v>
      </c>
      <c r="K39" s="23">
        <v>178621</v>
      </c>
      <c r="L39" s="23">
        <v>189536</v>
      </c>
      <c r="M39" s="40">
        <v>197295</v>
      </c>
      <c r="N39" s="22">
        <v>206935</v>
      </c>
      <c r="O39" s="23">
        <v>211610</v>
      </c>
      <c r="P39" s="23">
        <v>221538</v>
      </c>
      <c r="Q39" s="23">
        <v>232792</v>
      </c>
      <c r="R39" s="22">
        <v>245349</v>
      </c>
      <c r="S39" s="23">
        <v>257101</v>
      </c>
      <c r="T39" s="23">
        <v>263044</v>
      </c>
      <c r="U39" s="23">
        <v>275909</v>
      </c>
      <c r="V39" s="22">
        <v>273403</v>
      </c>
      <c r="W39" s="23">
        <v>278492</v>
      </c>
      <c r="X39" s="79">
        <v>299243</v>
      </c>
      <c r="Y39" s="79">
        <v>319616</v>
      </c>
    </row>
    <row r="40" spans="1:25" x14ac:dyDescent="0.15">
      <c r="A40" s="18" t="s">
        <v>80</v>
      </c>
      <c r="B40" s="23"/>
      <c r="C40" s="23"/>
      <c r="D40" s="23"/>
      <c r="E40" s="40">
        <f>19310+1995+151+3663+189+1822</f>
        <v>27130</v>
      </c>
      <c r="F40" s="22">
        <v>26178</v>
      </c>
      <c r="G40" s="23">
        <v>26413</v>
      </c>
      <c r="H40" s="23">
        <v>25845</v>
      </c>
      <c r="I40" s="40">
        <v>28461</v>
      </c>
      <c r="J40" s="22">
        <v>27807</v>
      </c>
      <c r="K40" s="23">
        <v>30335</v>
      </c>
      <c r="L40" s="23">
        <v>32436</v>
      </c>
      <c r="M40" s="40">
        <v>44793</v>
      </c>
      <c r="N40" s="22">
        <v>46110</v>
      </c>
      <c r="O40" s="23">
        <v>49610</v>
      </c>
      <c r="P40" s="23">
        <v>51698</v>
      </c>
      <c r="Q40" s="23">
        <v>55164</v>
      </c>
      <c r="R40" s="22">
        <v>61877</v>
      </c>
      <c r="S40" s="23">
        <v>64909</v>
      </c>
      <c r="T40" s="23">
        <v>68075</v>
      </c>
      <c r="U40" s="23">
        <v>74467</v>
      </c>
      <c r="V40" s="22">
        <v>69744</v>
      </c>
      <c r="W40" s="23">
        <v>71170</v>
      </c>
      <c r="X40" s="79">
        <v>86323</v>
      </c>
      <c r="Y40" s="79">
        <v>97072</v>
      </c>
    </row>
    <row r="41" spans="1:25" x14ac:dyDescent="0.15">
      <c r="E41" s="41"/>
      <c r="I41" s="41"/>
      <c r="M41" s="41"/>
      <c r="V41" s="21"/>
    </row>
    <row r="42" spans="1:25" x14ac:dyDescent="0.15">
      <c r="A42" s="18" t="s">
        <v>81</v>
      </c>
      <c r="E42" s="28">
        <f>E39-E35-E38</f>
        <v>54679</v>
      </c>
      <c r="F42" s="29">
        <f t="shared" ref="F42:O42" si="58">F39-F35-F38</f>
        <v>54960</v>
      </c>
      <c r="G42" s="28">
        <f t="shared" si="58"/>
        <v>56539</v>
      </c>
      <c r="H42" s="28">
        <f>H39-H35-H38</f>
        <v>57497</v>
      </c>
      <c r="I42" s="28">
        <f t="shared" si="58"/>
        <v>61360</v>
      </c>
      <c r="J42" s="29">
        <f t="shared" si="58"/>
        <v>60633</v>
      </c>
      <c r="K42" s="28">
        <f t="shared" si="58"/>
        <v>64371</v>
      </c>
      <c r="L42" s="28">
        <f t="shared" si="58"/>
        <v>69779</v>
      </c>
      <c r="M42" s="28">
        <f t="shared" si="58"/>
        <v>75985</v>
      </c>
      <c r="N42" s="29">
        <f t="shared" si="58"/>
        <v>83379</v>
      </c>
      <c r="O42" s="28">
        <f t="shared" si="58"/>
        <v>88799</v>
      </c>
      <c r="P42" s="28">
        <f>P39-P35-P38</f>
        <v>94779</v>
      </c>
      <c r="Q42" s="28">
        <f>Q39-Q35-Q38</f>
        <v>103544</v>
      </c>
      <c r="R42" s="29">
        <f>R39-R35-R38</f>
        <v>111855</v>
      </c>
      <c r="S42" s="28">
        <f t="shared" ref="S42:T42" si="59">S39-S35-S38</f>
        <v>116143</v>
      </c>
      <c r="T42" s="28">
        <f t="shared" si="59"/>
        <v>122051</v>
      </c>
      <c r="U42" s="28">
        <f t="shared" ref="U42:W42" si="60">U39-U35-U38</f>
        <v>133631</v>
      </c>
      <c r="V42" s="29">
        <f t="shared" si="60"/>
        <v>133600</v>
      </c>
      <c r="W42" s="28">
        <f t="shared" si="60"/>
        <v>134891</v>
      </c>
      <c r="X42" s="28">
        <f t="shared" ref="X42:Y42" si="61">X39-X35-X38</f>
        <v>144247</v>
      </c>
      <c r="Y42" s="28">
        <f t="shared" si="61"/>
        <v>160302</v>
      </c>
    </row>
    <row r="43" spans="1:25" x14ac:dyDescent="0.15">
      <c r="A43" s="18" t="s">
        <v>82</v>
      </c>
      <c r="E43" s="28">
        <f>E39-E40</f>
        <v>120331</v>
      </c>
      <c r="F43" s="29">
        <f t="shared" ref="F43:P43" si="62">F39-F40</f>
        <v>123569</v>
      </c>
      <c r="G43" s="28">
        <f t="shared" si="62"/>
        <v>127879</v>
      </c>
      <c r="H43" s="28">
        <f>H39-H40</f>
        <v>134103</v>
      </c>
      <c r="I43" s="28">
        <f>I39-I40</f>
        <v>139007</v>
      </c>
      <c r="J43" s="29">
        <f t="shared" si="62"/>
        <v>144949</v>
      </c>
      <c r="K43" s="28">
        <f t="shared" si="62"/>
        <v>148286</v>
      </c>
      <c r="L43" s="28">
        <f t="shared" si="62"/>
        <v>157100</v>
      </c>
      <c r="M43" s="28">
        <f t="shared" si="62"/>
        <v>152502</v>
      </c>
      <c r="N43" s="29">
        <f t="shared" si="62"/>
        <v>160825</v>
      </c>
      <c r="O43" s="28">
        <f t="shared" si="62"/>
        <v>162000</v>
      </c>
      <c r="P43" s="28">
        <f t="shared" si="62"/>
        <v>169840</v>
      </c>
      <c r="Q43" s="28">
        <f t="shared" ref="Q43:S43" si="63">Q39-Q40</f>
        <v>177628</v>
      </c>
      <c r="R43" s="29">
        <f t="shared" si="63"/>
        <v>183472</v>
      </c>
      <c r="S43" s="28">
        <f t="shared" si="63"/>
        <v>192192</v>
      </c>
      <c r="T43" s="28">
        <f t="shared" ref="T43:U43" si="64">T39-T40</f>
        <v>194969</v>
      </c>
      <c r="U43" s="28">
        <f t="shared" si="64"/>
        <v>201442</v>
      </c>
      <c r="V43" s="29">
        <f t="shared" ref="V43:W43" si="65">V39-V40</f>
        <v>203659</v>
      </c>
      <c r="W43" s="28">
        <f t="shared" si="65"/>
        <v>207322</v>
      </c>
      <c r="X43" s="28">
        <f t="shared" ref="X43:Y43" si="66">X39-X40</f>
        <v>212920</v>
      </c>
      <c r="Y43" s="28">
        <f t="shared" si="66"/>
        <v>222544</v>
      </c>
    </row>
    <row r="44" spans="1:25" x14ac:dyDescent="0.15">
      <c r="E44" s="41"/>
      <c r="I44" s="41"/>
      <c r="M44" s="41"/>
      <c r="V44" s="21"/>
      <c r="W44" s="20"/>
    </row>
    <row r="45" spans="1:25" s="12" customFormat="1" x14ac:dyDescent="0.15">
      <c r="A45" s="24" t="s">
        <v>125</v>
      </c>
      <c r="B45" s="27"/>
      <c r="C45" s="27"/>
      <c r="D45" s="27"/>
      <c r="E45" s="25">
        <f t="shared" ref="E45:T45" si="67">SUM(B20:E20)</f>
        <v>16348</v>
      </c>
      <c r="F45" s="26">
        <f t="shared" si="67"/>
        <v>17040</v>
      </c>
      <c r="G45" s="25">
        <f t="shared" si="67"/>
        <v>17986</v>
      </c>
      <c r="H45" s="25">
        <f t="shared" si="67"/>
        <v>19068</v>
      </c>
      <c r="I45" s="25">
        <f t="shared" si="67"/>
        <v>19478</v>
      </c>
      <c r="J45" s="26">
        <f t="shared" si="67"/>
        <v>20697</v>
      </c>
      <c r="K45" s="25">
        <f t="shared" si="67"/>
        <v>19344</v>
      </c>
      <c r="L45" s="25">
        <f t="shared" si="67"/>
        <v>21015</v>
      </c>
      <c r="M45" s="25">
        <f t="shared" si="67"/>
        <v>21917.962374216128</v>
      </c>
      <c r="N45" s="26">
        <f t="shared" si="67"/>
        <v>25892.962374216128</v>
      </c>
      <c r="O45" s="25">
        <f t="shared" si="67"/>
        <v>25563.962374216128</v>
      </c>
      <c r="P45" s="25">
        <f t="shared" si="67"/>
        <v>28023.962374216128</v>
      </c>
      <c r="Q45" s="25">
        <f t="shared" si="67"/>
        <v>30736</v>
      </c>
      <c r="R45" s="26">
        <f>SUM(O20:R20)</f>
        <v>29689</v>
      </c>
      <c r="S45" s="25">
        <f t="shared" si="67"/>
        <v>36441</v>
      </c>
      <c r="T45" s="25">
        <f t="shared" si="67"/>
        <v>34317</v>
      </c>
      <c r="U45" s="25">
        <f>SUM(R20:U20)</f>
        <v>36040</v>
      </c>
      <c r="V45" s="26">
        <f>SUM(S20:V20)</f>
        <v>34522</v>
      </c>
      <c r="W45" s="25">
        <f t="shared" ref="W45:Y45" si="68">SUM(T20:W20)</f>
        <v>31534</v>
      </c>
      <c r="X45" s="25">
        <f t="shared" si="68"/>
        <v>35713</v>
      </c>
      <c r="Y45" s="25">
        <f t="shared" si="68"/>
        <v>40269</v>
      </c>
    </row>
    <row r="46" spans="1:25" x14ac:dyDescent="0.15">
      <c r="A46" s="18" t="s">
        <v>83</v>
      </c>
      <c r="E46" s="36">
        <f>E20/E43</f>
        <v>4.0912150651120659E-2</v>
      </c>
      <c r="F46" s="37">
        <f t="shared" ref="F46:N46" si="69">F45/F43</f>
        <v>0.1378986639043773</v>
      </c>
      <c r="G46" s="36">
        <f t="shared" si="69"/>
        <v>0.14064858186254192</v>
      </c>
      <c r="H46" s="36">
        <f t="shared" si="69"/>
        <v>0.14218921276928928</v>
      </c>
      <c r="I46" s="36">
        <f t="shared" si="69"/>
        <v>0.1401224398771285</v>
      </c>
      <c r="J46" s="37">
        <f t="shared" si="69"/>
        <v>0.14278815307452966</v>
      </c>
      <c r="K46" s="36">
        <f t="shared" si="69"/>
        <v>0.13045061570208921</v>
      </c>
      <c r="L46" s="36">
        <f t="shared" si="69"/>
        <v>0.13376830044557605</v>
      </c>
      <c r="M46" s="36">
        <f t="shared" si="69"/>
        <v>0.14372245855278049</v>
      </c>
      <c r="N46" s="37">
        <f t="shared" si="69"/>
        <v>0.16100085418446217</v>
      </c>
      <c r="O46" s="36">
        <f>O45/O43</f>
        <v>0.15780223687787734</v>
      </c>
      <c r="P46" s="36">
        <f>P45/P43</f>
        <v>0.16500213362115007</v>
      </c>
      <c r="Q46" s="36">
        <f>Q45/Q43</f>
        <v>0.17303578264687999</v>
      </c>
      <c r="R46" s="37">
        <f>R45/R43</f>
        <v>0.16181760704630679</v>
      </c>
      <c r="S46" s="36">
        <f t="shared" ref="S46:T46" si="70">S45/S43</f>
        <v>0.18960726773226774</v>
      </c>
      <c r="T46" s="36">
        <f t="shared" si="70"/>
        <v>0.1760125968743749</v>
      </c>
      <c r="U46" s="36">
        <f t="shared" ref="U46:W46" si="71">U45/U43</f>
        <v>0.17891005847837094</v>
      </c>
      <c r="V46" s="37">
        <f t="shared" si="71"/>
        <v>0.16950883584815796</v>
      </c>
      <c r="W46" s="36">
        <f t="shared" si="71"/>
        <v>0.15210156182170731</v>
      </c>
      <c r="X46" s="36">
        <f t="shared" ref="X46:Y46" si="72">X45/X43</f>
        <v>0.16772966372346421</v>
      </c>
      <c r="Y46" s="36">
        <f t="shared" si="72"/>
        <v>0.18094848659141563</v>
      </c>
    </row>
    <row r="47" spans="1:25" x14ac:dyDescent="0.15">
      <c r="A47" s="18" t="s">
        <v>84</v>
      </c>
      <c r="E47" s="36">
        <f>E20/E39</f>
        <v>3.338509843280596E-2</v>
      </c>
      <c r="F47" s="37">
        <f t="shared" ref="F47:O47" si="73">F45/F39</f>
        <v>0.11379192905367053</v>
      </c>
      <c r="G47" s="36">
        <f t="shared" si="73"/>
        <v>0.11657117672983694</v>
      </c>
      <c r="H47" s="36">
        <f t="shared" si="73"/>
        <v>0.11921374446695177</v>
      </c>
      <c r="I47" s="36">
        <f t="shared" si="73"/>
        <v>0.11630878735041919</v>
      </c>
      <c r="J47" s="37">
        <f t="shared" si="73"/>
        <v>0.11980481141031281</v>
      </c>
      <c r="K47" s="36">
        <f t="shared" si="73"/>
        <v>0.10829633693686633</v>
      </c>
      <c r="L47" s="36">
        <f t="shared" si="73"/>
        <v>0.11087603410433902</v>
      </c>
      <c r="M47" s="36">
        <f t="shared" si="73"/>
        <v>0.11109233571157975</v>
      </c>
      <c r="N47" s="37">
        <f t="shared" si="73"/>
        <v>0.12512606554819691</v>
      </c>
      <c r="O47" s="36">
        <f t="shared" si="73"/>
        <v>0.12080696741276938</v>
      </c>
      <c r="P47" s="36">
        <f>P45/P39</f>
        <v>0.1264973159196893</v>
      </c>
      <c r="Q47" s="36">
        <f>Q45/Q39</f>
        <v>0.13203202859204782</v>
      </c>
      <c r="R47" s="37">
        <f>R45/R39</f>
        <v>0.12100721828904948</v>
      </c>
      <c r="S47" s="36">
        <f t="shared" ref="S47:T47" si="74">S45/S39</f>
        <v>0.14173807180835546</v>
      </c>
      <c r="T47" s="36">
        <f t="shared" si="74"/>
        <v>0.1304610635483037</v>
      </c>
      <c r="U47" s="36">
        <f t="shared" ref="U47:W47" si="75">U45/U39</f>
        <v>0.13062277779992679</v>
      </c>
      <c r="V47" s="37">
        <f t="shared" si="75"/>
        <v>0.12626781710515247</v>
      </c>
      <c r="W47" s="36">
        <f t="shared" si="75"/>
        <v>0.11323125978484122</v>
      </c>
      <c r="X47" s="36">
        <f t="shared" ref="X47:Y47" si="76">X45/X39</f>
        <v>0.11934447923593869</v>
      </c>
      <c r="Y47" s="36">
        <f t="shared" si="76"/>
        <v>0.12599181517821387</v>
      </c>
    </row>
    <row r="48" spans="1:25" x14ac:dyDescent="0.15">
      <c r="A48" s="18" t="s">
        <v>85</v>
      </c>
      <c r="E48" s="36">
        <f>E20/(E43-E38)</f>
        <v>4.8929086120359788E-2</v>
      </c>
      <c r="F48" s="37">
        <f t="shared" ref="F48:O48" si="77">F45/(F43-F38)</f>
        <v>0.16377371547200276</v>
      </c>
      <c r="G48" s="36">
        <f t="shared" si="77"/>
        <v>0.16563829591291696</v>
      </c>
      <c r="H48" s="36">
        <f t="shared" si="77"/>
        <v>0.16623077727795796</v>
      </c>
      <c r="I48" s="36">
        <f t="shared" si="77"/>
        <v>0.16336218464841654</v>
      </c>
      <c r="J48" s="37">
        <f t="shared" si="77"/>
        <v>0.16522572147048259</v>
      </c>
      <c r="K48" s="36">
        <f t="shared" si="77"/>
        <v>0.15024582715205556</v>
      </c>
      <c r="L48" s="36">
        <f>L45/(L43-L38)</f>
        <v>0.15285192674163187</v>
      </c>
      <c r="M48" s="36">
        <f t="shared" si="77"/>
        <v>0.16471868494033748</v>
      </c>
      <c r="N48" s="37">
        <f t="shared" si="77"/>
        <v>0.18474651008330928</v>
      </c>
      <c r="O48" s="36">
        <f t="shared" si="77"/>
        <v>0.1807368507046381</v>
      </c>
      <c r="P48" s="36">
        <f>P45/(P43-P38)</f>
        <v>0.18745501497833486</v>
      </c>
      <c r="Q48" s="36">
        <f>Q45/(Q43-Q38)</f>
        <v>0.19512442864398172</v>
      </c>
      <c r="R48" s="37">
        <f>R45/(R43-R38)</f>
        <v>0.18162186632082514</v>
      </c>
      <c r="S48" s="36">
        <f t="shared" ref="S48:T48" si="78">S45/(S43-S38)</f>
        <v>0.21150966393870799</v>
      </c>
      <c r="T48" s="36">
        <f t="shared" si="78"/>
        <v>0.19592584768745039</v>
      </c>
      <c r="U48" s="36">
        <f t="shared" ref="U48:W48" si="79">U45/(U43-U38)</f>
        <v>0.2015220393761987</v>
      </c>
      <c r="V48" s="37">
        <f t="shared" si="79"/>
        <v>0.19063975481127649</v>
      </c>
      <c r="W48" s="36">
        <f t="shared" si="79"/>
        <v>0.17063760477486595</v>
      </c>
      <c r="X48" s="36">
        <f t="shared" ref="X48:Y48" si="80">X45/(X43-X38)</f>
        <v>0.18744029811578228</v>
      </c>
      <c r="Y48" s="36">
        <f t="shared" si="80"/>
        <v>0.20142154018527039</v>
      </c>
    </row>
    <row r="49" spans="1:25" x14ac:dyDescent="0.15">
      <c r="A49" s="18" t="s">
        <v>86</v>
      </c>
      <c r="E49" s="36">
        <f>E20/E42</f>
        <v>9.003456537244646E-2</v>
      </c>
      <c r="F49" s="37">
        <f t="shared" ref="F49:O49" si="81">F45/F42</f>
        <v>0.31004366812227074</v>
      </c>
      <c r="G49" s="36">
        <f t="shared" si="81"/>
        <v>0.3181166982083164</v>
      </c>
      <c r="H49" s="36">
        <f t="shared" si="81"/>
        <v>0.33163469398403395</v>
      </c>
      <c r="I49" s="36">
        <f t="shared" si="81"/>
        <v>0.3174380704041721</v>
      </c>
      <c r="J49" s="37">
        <f t="shared" si="81"/>
        <v>0.3413487704715254</v>
      </c>
      <c r="K49" s="36">
        <f t="shared" si="81"/>
        <v>0.30050799272964535</v>
      </c>
      <c r="L49" s="36">
        <f t="shared" si="81"/>
        <v>0.30116510698061022</v>
      </c>
      <c r="M49" s="36">
        <f t="shared" si="81"/>
        <v>0.28845117291855138</v>
      </c>
      <c r="N49" s="37">
        <f t="shared" si="81"/>
        <v>0.31054536962803736</v>
      </c>
      <c r="O49" s="36">
        <f t="shared" si="81"/>
        <v>0.28788570112519429</v>
      </c>
      <c r="P49" s="36">
        <f>P45/P42</f>
        <v>0.29567691550043923</v>
      </c>
      <c r="Q49" s="36">
        <f>Q45/Q42</f>
        <v>0.29683999072857914</v>
      </c>
      <c r="R49" s="37">
        <f>R45/R42</f>
        <v>0.26542398641097847</v>
      </c>
      <c r="S49" s="36">
        <f t="shared" ref="S49:T49" si="82">S45/S42</f>
        <v>0.31375976167310987</v>
      </c>
      <c r="T49" s="36">
        <f t="shared" si="82"/>
        <v>0.28116934724008819</v>
      </c>
      <c r="U49" s="36">
        <f t="shared" ref="U49:W49" si="83">U45/U42</f>
        <v>0.26969789943950129</v>
      </c>
      <c r="V49" s="37">
        <f t="shared" si="83"/>
        <v>0.25839820359281435</v>
      </c>
      <c r="W49" s="36">
        <f t="shared" si="83"/>
        <v>0.23377393599276453</v>
      </c>
      <c r="X49" s="36">
        <f t="shared" ref="X49:Y49" si="84">X45/X42</f>
        <v>0.24758227207498248</v>
      </c>
      <c r="Y49" s="36">
        <f t="shared" si="84"/>
        <v>0.25120709660515778</v>
      </c>
    </row>
    <row r="50" spans="1:25" x14ac:dyDescent="0.15">
      <c r="V50" s="21"/>
      <c r="W50" s="20"/>
      <c r="X50" s="20"/>
      <c r="Y50" s="20"/>
    </row>
    <row r="51" spans="1:25" s="12" customFormat="1" x14ac:dyDescent="0.15">
      <c r="A51" s="24" t="s">
        <v>126</v>
      </c>
      <c r="B51" s="27"/>
      <c r="C51" s="27"/>
      <c r="D51" s="27"/>
      <c r="E51" s="85">
        <f>SUM(B8:E8)</f>
        <v>74989</v>
      </c>
      <c r="F51" s="86">
        <f>SUM(C8:F8)</f>
        <v>77988</v>
      </c>
      <c r="G51" s="85">
        <f>SUM(D8:G8)</f>
        <v>81761</v>
      </c>
      <c r="H51" s="85">
        <f>SUM(E8:H8)</f>
        <v>85537</v>
      </c>
      <c r="I51" s="85">
        <f>SUM(F8:I8)</f>
        <v>90272</v>
      </c>
      <c r="J51" s="86">
        <f>SUM(G8:J8)</f>
        <v>94765</v>
      </c>
      <c r="K51" s="85">
        <f>SUM(H8:K8)</f>
        <v>99275</v>
      </c>
      <c r="L51" s="85">
        <f>SUM(I8:L8)</f>
        <v>104596</v>
      </c>
      <c r="M51" s="85">
        <f>SUM(J8:M8)</f>
        <v>110855</v>
      </c>
      <c r="N51" s="86">
        <f>SUM(K8:N8)</f>
        <v>117251</v>
      </c>
      <c r="O51" s="85">
        <f>SUM(L8:O8)</f>
        <v>123898</v>
      </c>
      <c r="P51" s="85">
        <f>SUM(M8:P8)</f>
        <v>129866</v>
      </c>
      <c r="Q51" s="85">
        <f>SUM(N8:Q8)</f>
        <v>136819</v>
      </c>
      <c r="R51" s="86">
        <f>SUM(O8:R8)</f>
        <v>142012</v>
      </c>
      <c r="S51" s="85">
        <f>SUM(P8:S8)</f>
        <v>148299</v>
      </c>
      <c r="T51" s="85">
        <f>SUM(Q8:T8)</f>
        <v>155058</v>
      </c>
      <c r="U51" s="85">
        <f>SUM(R8:U8)</f>
        <v>161857</v>
      </c>
      <c r="V51" s="86">
        <f>SUM(S8:V8)</f>
        <v>166677</v>
      </c>
      <c r="W51" s="85">
        <f>SUM(T8:W8)</f>
        <v>166030</v>
      </c>
      <c r="X51" s="85">
        <f>SUM(U8:X8)</f>
        <v>171704</v>
      </c>
      <c r="Y51" s="85">
        <f>SUM(V8:Y8)</f>
        <v>182527</v>
      </c>
    </row>
    <row r="52" spans="1:25" s="84" customFormat="1" x14ac:dyDescent="0.15">
      <c r="A52" s="81" t="s">
        <v>127</v>
      </c>
      <c r="B52" s="82"/>
      <c r="C52" s="82"/>
      <c r="D52" s="82"/>
      <c r="E52" s="82"/>
      <c r="F52" s="83"/>
      <c r="G52" s="82"/>
      <c r="H52" s="82"/>
      <c r="I52" s="82">
        <f>I51/E51-1</f>
        <v>0.20380322447292265</v>
      </c>
      <c r="J52" s="83">
        <f>J51/F51-1</f>
        <v>0.21512283941119148</v>
      </c>
      <c r="K52" s="82">
        <f>K51/G51-1</f>
        <v>0.21420970878536227</v>
      </c>
      <c r="L52" s="82">
        <f>L51/H51-1</f>
        <v>0.22281585746519039</v>
      </c>
      <c r="M52" s="82">
        <f>M51/I51-1</f>
        <v>0.22801090038993266</v>
      </c>
      <c r="N52" s="83">
        <f>N51/J51-1</f>
        <v>0.23728169682899813</v>
      </c>
      <c r="O52" s="82">
        <f>O51/K51-1</f>
        <v>0.24802820448249818</v>
      </c>
      <c r="P52" s="82">
        <f>P51/L51-1</f>
        <v>0.24159623694978771</v>
      </c>
      <c r="Q52" s="82">
        <f>Q51/M51-1</f>
        <v>0.23421586757475987</v>
      </c>
      <c r="R52" s="83">
        <f>R51/N51-1</f>
        <v>0.21117943556984597</v>
      </c>
      <c r="S52" s="82">
        <f>S51/O51-1</f>
        <v>0.19694426060146242</v>
      </c>
      <c r="T52" s="82">
        <f>T51/P51-1</f>
        <v>0.19398456870928493</v>
      </c>
      <c r="U52" s="82">
        <f>U51/Q51-1</f>
        <v>0.18300089899794614</v>
      </c>
      <c r="V52" s="83">
        <f>V51/R51-1</f>
        <v>0.17368250570374344</v>
      </c>
      <c r="W52" s="82">
        <f>W51/S51-1</f>
        <v>0.11956250547879632</v>
      </c>
      <c r="X52" s="82">
        <f>X51/T51-1</f>
        <v>0.10735337744585904</v>
      </c>
      <c r="Y52" s="82">
        <f>Y51/U51-1</f>
        <v>0.12770532012826141</v>
      </c>
    </row>
    <row r="53" spans="1:25" x14ac:dyDescent="0.15">
      <c r="V53" s="21"/>
      <c r="W53" s="20"/>
      <c r="X53" s="20"/>
      <c r="Y53" s="20"/>
    </row>
    <row r="54" spans="1:25" x14ac:dyDescent="0.15">
      <c r="A54" s="6" t="s">
        <v>89</v>
      </c>
      <c r="F54" s="37">
        <f t="shared" ref="F54:Y55" si="85">F3/B3-1</f>
        <v>0.16198091307712148</v>
      </c>
      <c r="G54" s="36">
        <f t="shared" si="85"/>
        <v>0.1947200898708108</v>
      </c>
      <c r="H54" s="36">
        <f t="shared" si="85"/>
        <v>0.1811572611882486</v>
      </c>
      <c r="I54" s="36">
        <f t="shared" si="85"/>
        <v>0.17407485061327188</v>
      </c>
      <c r="J54" s="37">
        <f t="shared" si="85"/>
        <v>0.18817980022197567</v>
      </c>
      <c r="K54" s="36">
        <f t="shared" si="85"/>
        <v>0.18434937052708555</v>
      </c>
      <c r="L54" s="36">
        <f t="shared" si="85"/>
        <v>0.2141163412542253</v>
      </c>
      <c r="M54" s="36">
        <f t="shared" si="85"/>
        <v>0.21554533684539479</v>
      </c>
      <c r="N54" s="37">
        <f t="shared" si="85"/>
        <v>0.24431367054317876</v>
      </c>
      <c r="O54" s="36">
        <f t="shared" si="85"/>
        <v>0.23884086097388857</v>
      </c>
      <c r="P54" s="36">
        <f t="shared" si="85"/>
        <v>0.20315811344275914</v>
      </c>
      <c r="Q54" s="36">
        <f t="shared" si="85"/>
        <v>0.19432915855584532</v>
      </c>
      <c r="R54" s="37">
        <f t="shared" si="85"/>
        <v>0.14807446888371745</v>
      </c>
      <c r="S54" s="36">
        <f t="shared" si="85"/>
        <v>0.15690532986791039</v>
      </c>
      <c r="T54" s="36">
        <f t="shared" si="85"/>
        <v>0.16723077985770529</v>
      </c>
      <c r="U54" s="36">
        <f t="shared" si="85"/>
        <v>0.16655390860446517</v>
      </c>
      <c r="V54" s="37">
        <f t="shared" si="85"/>
        <v>0.10383496256579594</v>
      </c>
      <c r="W54" s="36">
        <f t="shared" si="85"/>
        <v>-8.0845694589770423E-2</v>
      </c>
      <c r="X54" s="36">
        <f t="shared" si="85"/>
        <v>9.7615102378979746E-2</v>
      </c>
      <c r="Y54" s="36">
        <f t="shared" si="85"/>
        <v>0.21787842041440397</v>
      </c>
    </row>
    <row r="55" spans="1:25" x14ac:dyDescent="0.15">
      <c r="A55" s="65" t="s">
        <v>120</v>
      </c>
      <c r="F55" s="37"/>
      <c r="G55" s="36"/>
      <c r="H55" s="36"/>
      <c r="I55" s="36"/>
      <c r="J55" s="37"/>
      <c r="K55" s="36"/>
      <c r="L55" s="36"/>
      <c r="M55" s="36"/>
      <c r="N55" s="37"/>
      <c r="O55" s="36"/>
      <c r="P55" s="36"/>
      <c r="Q55" s="36"/>
      <c r="R55" s="37"/>
      <c r="S55" s="36"/>
      <c r="T55" s="36"/>
      <c r="U55" s="36">
        <f t="shared" ref="U55:Y57" si="86">U4/Q4-1</f>
        <v>0.529549444119368</v>
      </c>
      <c r="V55" s="37">
        <f t="shared" si="86"/>
        <v>0.52164383561643834</v>
      </c>
      <c r="W55" s="36">
        <f t="shared" si="85"/>
        <v>0.43190476190476201</v>
      </c>
      <c r="X55" s="36">
        <f t="shared" si="85"/>
        <v>0.44766708701134927</v>
      </c>
      <c r="Y55" s="36">
        <f t="shared" si="85"/>
        <v>0.46557000765110934</v>
      </c>
    </row>
    <row r="56" spans="1:25" x14ac:dyDescent="0.15">
      <c r="A56" s="6" t="s">
        <v>90</v>
      </c>
      <c r="F56" s="37">
        <f t="shared" ref="F56:T57" si="87">F5/B5-1</f>
        <v>0.24011976047904193</v>
      </c>
      <c r="G56" s="36">
        <f t="shared" si="87"/>
        <v>0.33251533742331296</v>
      </c>
      <c r="H56" s="36">
        <f t="shared" si="87"/>
        <v>0.38790644609241309</v>
      </c>
      <c r="I56" s="36">
        <f t="shared" si="87"/>
        <v>0.61970490242741549</v>
      </c>
      <c r="J56" s="37">
        <f t="shared" si="87"/>
        <v>0.49444712699179139</v>
      </c>
      <c r="K56" s="36">
        <f t="shared" si="87"/>
        <v>0.42265193370165743</v>
      </c>
      <c r="L56" s="36">
        <f t="shared" si="87"/>
        <v>0.3995067817509248</v>
      </c>
      <c r="M56" s="36">
        <f t="shared" si="87"/>
        <v>0.37731413458712892</v>
      </c>
      <c r="N56" s="37">
        <f t="shared" si="87"/>
        <v>0.40678513731825516</v>
      </c>
      <c r="O56" s="36">
        <f t="shared" si="87"/>
        <v>0.43203883495145634</v>
      </c>
      <c r="P56" s="36">
        <f t="shared" si="87"/>
        <v>0.3627019089574155</v>
      </c>
      <c r="Q56" s="36">
        <f t="shared" si="87"/>
        <v>1.7921911670578217E-2</v>
      </c>
      <c r="R56" s="37">
        <f t="shared" si="87"/>
        <v>-0.16858061552595316</v>
      </c>
      <c r="S56" s="36">
        <f t="shared" si="87"/>
        <v>-7.7966101694915246E-2</v>
      </c>
      <c r="T56" s="36">
        <f t="shared" si="87"/>
        <v>-0.12715517241379315</v>
      </c>
      <c r="U56" s="36">
        <f t="shared" si="86"/>
        <v>0.10333263466778453</v>
      </c>
      <c r="V56" s="37">
        <f t="shared" si="86"/>
        <v>0.22513812154696122</v>
      </c>
      <c r="W56" s="36">
        <f t="shared" si="86"/>
        <v>0.25588235294117645</v>
      </c>
      <c r="X56" s="36">
        <f t="shared" si="86"/>
        <v>0.35259259259259257</v>
      </c>
      <c r="Y56" s="36">
        <f t="shared" si="86"/>
        <v>0.26785714285714279</v>
      </c>
    </row>
    <row r="57" spans="1:25" x14ac:dyDescent="0.15">
      <c r="A57" s="6" t="s">
        <v>91</v>
      </c>
      <c r="F57" s="37">
        <f t="shared" si="87"/>
        <v>1.0750000000000002</v>
      </c>
      <c r="G57" s="36">
        <f t="shared" si="87"/>
        <v>1.5</v>
      </c>
      <c r="H57" s="36">
        <f t="shared" si="87"/>
        <v>0.39716312056737579</v>
      </c>
      <c r="I57" s="36">
        <f t="shared" si="87"/>
        <v>0.74666666666666659</v>
      </c>
      <c r="J57" s="37">
        <f t="shared" si="87"/>
        <v>0.46987951807228923</v>
      </c>
      <c r="K57" s="36">
        <f t="shared" si="87"/>
        <v>0.34054054054054061</v>
      </c>
      <c r="L57" s="36">
        <f t="shared" si="87"/>
        <v>0.53299492385786795</v>
      </c>
      <c r="M57" s="36">
        <f t="shared" si="87"/>
        <v>0.56106870229007644</v>
      </c>
      <c r="N57" s="37">
        <f t="shared" si="87"/>
        <v>-0.38524590163934425</v>
      </c>
      <c r="O57" s="36">
        <f t="shared" si="87"/>
        <v>-0.41532258064516125</v>
      </c>
      <c r="P57" s="36">
        <f t="shared" si="87"/>
        <v>-0.51655629139072845</v>
      </c>
      <c r="Q57" s="36">
        <f t="shared" si="87"/>
        <v>-0.32029339853300731</v>
      </c>
      <c r="R57" s="37">
        <f t="shared" si="87"/>
        <v>1.0466666666666669</v>
      </c>
      <c r="S57" s="36">
        <f t="shared" si="87"/>
        <v>0.86206896551724133</v>
      </c>
      <c r="T57" s="36">
        <f t="shared" si="87"/>
        <v>0.87671232876712324</v>
      </c>
      <c r="U57" s="36">
        <f t="shared" si="86"/>
        <v>-5.3956834532374098E-2</v>
      </c>
      <c r="V57" s="37">
        <f t="shared" si="86"/>
        <v>-0.40065146579804556</v>
      </c>
      <c r="W57" s="36">
        <f t="shared" si="86"/>
        <v>0.1074074074074074</v>
      </c>
      <c r="X57" s="36">
        <f t="shared" si="86"/>
        <v>-0.43065693430656937</v>
      </c>
      <c r="Y57" s="36">
        <f t="shared" si="86"/>
        <v>-0.26235741444866922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25"/>
  <sheetViews>
    <sheetView workbookViewId="0">
      <selection activeCell="C28" sqref="C28"/>
    </sheetView>
  </sheetViews>
  <sheetFormatPr baseColWidth="10" defaultRowHeight="13" x14ac:dyDescent="0.15"/>
  <cols>
    <col min="1" max="1" width="10.83203125" style="3"/>
    <col min="2" max="2" width="16.6640625" style="3" customWidth="1"/>
    <col min="3" max="3" width="12.1640625" style="3" bestFit="1" customWidth="1"/>
    <col min="4" max="16384" width="10.83203125" style="3"/>
  </cols>
  <sheetData>
    <row r="2" spans="2:2" x14ac:dyDescent="0.15">
      <c r="B2" s="64" t="s">
        <v>117</v>
      </c>
    </row>
    <row r="4" spans="2:2" s="63" customFormat="1" x14ac:dyDescent="0.15">
      <c r="B4" s="62" t="s">
        <v>92</v>
      </c>
    </row>
    <row r="5" spans="2:2" s="6" customFormat="1" x14ac:dyDescent="0.15">
      <c r="B5" s="12"/>
    </row>
    <row r="6" spans="2:2" x14ac:dyDescent="0.15">
      <c r="B6" s="3" t="s">
        <v>114</v>
      </c>
    </row>
    <row r="7" spans="2:2" x14ac:dyDescent="0.15">
      <c r="B7" s="3" t="s">
        <v>93</v>
      </c>
    </row>
    <row r="8" spans="2:2" x14ac:dyDescent="0.15">
      <c r="B8" s="3" t="s">
        <v>94</v>
      </c>
    </row>
    <row r="9" spans="2:2" x14ac:dyDescent="0.15">
      <c r="B9" s="51" t="s">
        <v>115</v>
      </c>
    </row>
    <row r="10" spans="2:2" x14ac:dyDescent="0.15">
      <c r="B10" s="3" t="s">
        <v>95</v>
      </c>
    </row>
    <row r="11" spans="2:2" x14ac:dyDescent="0.15">
      <c r="B11" s="3" t="s">
        <v>96</v>
      </c>
    </row>
    <row r="12" spans="2:2" x14ac:dyDescent="0.15">
      <c r="B12" s="3" t="s">
        <v>97</v>
      </c>
    </row>
    <row r="13" spans="2:2" x14ac:dyDescent="0.15">
      <c r="B13" s="3" t="s">
        <v>98</v>
      </c>
    </row>
    <row r="14" spans="2:2" x14ac:dyDescent="0.15">
      <c r="B14" s="3" t="s">
        <v>99</v>
      </c>
    </row>
    <row r="16" spans="2:2" s="63" customFormat="1" x14ac:dyDescent="0.15">
      <c r="B16" s="62" t="s">
        <v>77</v>
      </c>
    </row>
    <row r="17" spans="2:3" s="6" customFormat="1" x14ac:dyDescent="0.15">
      <c r="B17" s="12"/>
    </row>
    <row r="18" spans="2:3" x14ac:dyDescent="0.15">
      <c r="B18" s="3" t="s">
        <v>100</v>
      </c>
    </row>
    <row r="19" spans="2:3" x14ac:dyDescent="0.15">
      <c r="B19" s="3" t="s">
        <v>101</v>
      </c>
      <c r="C19" s="3" t="s">
        <v>118</v>
      </c>
    </row>
    <row r="20" spans="2:3" x14ac:dyDescent="0.15">
      <c r="B20" s="3" t="s">
        <v>102</v>
      </c>
    </row>
    <row r="21" spans="2:3" x14ac:dyDescent="0.15">
      <c r="B21" s="3" t="s">
        <v>103</v>
      </c>
      <c r="C21" s="3" t="s">
        <v>116</v>
      </c>
    </row>
    <row r="22" spans="2:3" x14ac:dyDescent="0.15">
      <c r="B22" s="3" t="s">
        <v>104</v>
      </c>
    </row>
    <row r="23" spans="2:3" x14ac:dyDescent="0.15">
      <c r="B23" s="3" t="s">
        <v>105</v>
      </c>
      <c r="C23" s="3" t="s">
        <v>118</v>
      </c>
    </row>
    <row r="24" spans="2:3" x14ac:dyDescent="0.15">
      <c r="B24" s="3" t="s">
        <v>106</v>
      </c>
    </row>
    <row r="25" spans="2:3" x14ac:dyDescent="0.15">
      <c r="B25" s="3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2021-02-27T23:12:23Z</dcterms:modified>
</cp:coreProperties>
</file>