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8E0FC09-260B-0C45-A03E-B59327049EB0}" xr6:coauthVersionLast="46" xr6:coauthVersionMax="46" xr10:uidLastSave="{00000000-0000-0000-0000-000000000000}"/>
  <bookViews>
    <workbookView xWindow="0" yWindow="460" windowWidth="257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2" l="1"/>
  <c r="M21" i="2"/>
  <c r="N21" i="2" s="1"/>
  <c r="O21" i="2" s="1"/>
  <c r="P21" i="2" s="1"/>
  <c r="Q21" i="2" s="1"/>
  <c r="R21" i="2" s="1"/>
  <c r="S21" i="2" s="1"/>
  <c r="T21" i="2" s="1"/>
  <c r="U21" i="2" s="1"/>
  <c r="V21" i="2" s="1"/>
  <c r="L21" i="2"/>
  <c r="R33" i="2"/>
  <c r="R32" i="2"/>
  <c r="R29" i="2"/>
  <c r="S29" i="2" s="1"/>
  <c r="T29" i="2" s="1"/>
  <c r="U29" i="2" s="1"/>
  <c r="V29" i="2" s="1"/>
  <c r="R20" i="2"/>
  <c r="S20" i="2" s="1"/>
  <c r="R19" i="2"/>
  <c r="S19" i="2" s="1"/>
  <c r="R18" i="2"/>
  <c r="R16" i="2"/>
  <c r="S16" i="2" s="1"/>
  <c r="R9" i="2"/>
  <c r="S9" i="2" s="1"/>
  <c r="T9" i="2" s="1"/>
  <c r="U9" i="2" s="1"/>
  <c r="V9" i="2" s="1"/>
  <c r="M16" i="2"/>
  <c r="N16" i="2" s="1"/>
  <c r="O16" i="2" s="1"/>
  <c r="P16" i="2" s="1"/>
  <c r="Q16" i="2" s="1"/>
  <c r="L16" i="2"/>
  <c r="I21" i="2"/>
  <c r="J21" i="2" s="1"/>
  <c r="K21" i="2" s="1"/>
  <c r="H21" i="2"/>
  <c r="G21" i="2"/>
  <c r="F35" i="2"/>
  <c r="E35" i="2"/>
  <c r="D35" i="2"/>
  <c r="C35" i="2"/>
  <c r="C5" i="2"/>
  <c r="C3" i="2"/>
  <c r="T19" i="2" l="1"/>
  <c r="S32" i="2"/>
  <c r="S31" i="2"/>
  <c r="T16" i="2"/>
  <c r="T20" i="2"/>
  <c r="S33" i="2"/>
  <c r="R37" i="2"/>
  <c r="S18" i="2" s="1"/>
  <c r="R17" i="2"/>
  <c r="R31" i="2"/>
  <c r="F4" i="2"/>
  <c r="F47" i="2"/>
  <c r="F46" i="2"/>
  <c r="F50" i="2" s="1"/>
  <c r="F45" i="2"/>
  <c r="F43" i="2"/>
  <c r="F42" i="2"/>
  <c r="F41" i="2" s="1"/>
  <c r="M47" i="1"/>
  <c r="M45" i="1"/>
  <c r="E47" i="2"/>
  <c r="E46" i="2"/>
  <c r="E50" i="2" s="1"/>
  <c r="E45" i="2"/>
  <c r="E43" i="2"/>
  <c r="E42" i="2"/>
  <c r="E41" i="2" s="1"/>
  <c r="D41" i="2"/>
  <c r="C41" i="2"/>
  <c r="B41" i="2"/>
  <c r="D50" i="2"/>
  <c r="M41" i="1"/>
  <c r="D47" i="2"/>
  <c r="D46" i="2"/>
  <c r="D49" i="2" s="1"/>
  <c r="D45" i="2"/>
  <c r="D43" i="2"/>
  <c r="D42" i="2"/>
  <c r="C43" i="2"/>
  <c r="C42" i="2"/>
  <c r="B43" i="2"/>
  <c r="B42" i="2"/>
  <c r="F29" i="2"/>
  <c r="F26" i="2"/>
  <c r="F24" i="2"/>
  <c r="F21" i="2"/>
  <c r="F20" i="2"/>
  <c r="F19" i="2"/>
  <c r="F17" i="2"/>
  <c r="F13" i="2"/>
  <c r="G13" i="2" s="1"/>
  <c r="H13" i="2" s="1"/>
  <c r="I13" i="2" s="1"/>
  <c r="J13" i="2" s="1"/>
  <c r="K13" i="2" s="1"/>
  <c r="F11" i="2"/>
  <c r="F10" i="2"/>
  <c r="R51" i="1"/>
  <c r="R50" i="1"/>
  <c r="R44" i="1"/>
  <c r="R48" i="1" s="1"/>
  <c r="R42" i="1"/>
  <c r="R41" i="1"/>
  <c r="R37" i="1"/>
  <c r="R34" i="1"/>
  <c r="R33" i="1" s="1"/>
  <c r="S51" i="1"/>
  <c r="S50" i="1"/>
  <c r="S47" i="1"/>
  <c r="S44" i="1"/>
  <c r="S48" i="1" s="1"/>
  <c r="S42" i="1"/>
  <c r="S41" i="1"/>
  <c r="S37" i="1"/>
  <c r="S34" i="1"/>
  <c r="S33" i="1" s="1"/>
  <c r="S7" i="1"/>
  <c r="T44" i="1"/>
  <c r="T48" i="1" s="1"/>
  <c r="T42" i="1"/>
  <c r="T41" i="1"/>
  <c r="T37" i="1"/>
  <c r="T34" i="1"/>
  <c r="T33" i="1" s="1"/>
  <c r="U31" i="1"/>
  <c r="U30" i="1"/>
  <c r="U29" i="1"/>
  <c r="U27" i="1"/>
  <c r="U26" i="1"/>
  <c r="U25" i="1"/>
  <c r="U24" i="1"/>
  <c r="U21" i="1"/>
  <c r="U20" i="1"/>
  <c r="U18" i="1"/>
  <c r="U15" i="1"/>
  <c r="U16" i="1" s="1"/>
  <c r="U11" i="1"/>
  <c r="U7" i="1"/>
  <c r="U51" i="1" s="1"/>
  <c r="U9" i="1"/>
  <c r="V51" i="1"/>
  <c r="V50" i="1"/>
  <c r="V44" i="1"/>
  <c r="V45" i="1" s="1"/>
  <c r="V42" i="1"/>
  <c r="V41" i="1"/>
  <c r="V37" i="1"/>
  <c r="V34" i="1"/>
  <c r="V33" i="1" s="1"/>
  <c r="V31" i="1"/>
  <c r="V30" i="1"/>
  <c r="V29" i="1"/>
  <c r="V27" i="1"/>
  <c r="V26" i="1"/>
  <c r="V25" i="1"/>
  <c r="V24" i="1"/>
  <c r="V20" i="1"/>
  <c r="V21" i="1" s="1"/>
  <c r="V18" i="1"/>
  <c r="V15" i="1"/>
  <c r="V16" i="1" s="1"/>
  <c r="V11" i="1"/>
  <c r="V9" i="1"/>
  <c r="R31" i="1"/>
  <c r="R30" i="1"/>
  <c r="R29" i="1"/>
  <c r="R27" i="1"/>
  <c r="R26" i="1"/>
  <c r="R25" i="1"/>
  <c r="R24" i="1"/>
  <c r="R21" i="1"/>
  <c r="R20" i="1"/>
  <c r="R18" i="1"/>
  <c r="R16" i="1"/>
  <c r="R15" i="1"/>
  <c r="R11" i="1"/>
  <c r="V7" i="1"/>
  <c r="W51" i="1"/>
  <c r="W50" i="1"/>
  <c r="W44" i="1"/>
  <c r="W48" i="1" s="1"/>
  <c r="W42" i="1"/>
  <c r="W41" i="1"/>
  <c r="W37" i="1"/>
  <c r="W34" i="1"/>
  <c r="W33" i="1" s="1"/>
  <c r="W31" i="1"/>
  <c r="W30" i="1"/>
  <c r="W29" i="1"/>
  <c r="W27" i="1"/>
  <c r="W26" i="1"/>
  <c r="W25" i="1"/>
  <c r="W24" i="1"/>
  <c r="W20" i="1"/>
  <c r="W21" i="1" s="1"/>
  <c r="W18" i="1"/>
  <c r="W15" i="1"/>
  <c r="W16" i="1" s="1"/>
  <c r="W11" i="1"/>
  <c r="S31" i="1"/>
  <c r="S30" i="1"/>
  <c r="S29" i="1"/>
  <c r="S27" i="1"/>
  <c r="S26" i="1"/>
  <c r="S25" i="1"/>
  <c r="S24" i="1"/>
  <c r="S20" i="1"/>
  <c r="S21" i="1" s="1"/>
  <c r="S18" i="1"/>
  <c r="S15" i="1"/>
  <c r="S16" i="1" s="1"/>
  <c r="S11" i="1"/>
  <c r="S9" i="1"/>
  <c r="W9" i="1"/>
  <c r="W7" i="1"/>
  <c r="U50" i="1"/>
  <c r="U44" i="1"/>
  <c r="U48" i="1" s="1"/>
  <c r="U42" i="1"/>
  <c r="U41" i="1"/>
  <c r="U37" i="1"/>
  <c r="U34" i="1"/>
  <c r="U33" i="1"/>
  <c r="X50" i="1"/>
  <c r="X44" i="1"/>
  <c r="X48" i="1" s="1"/>
  <c r="X42" i="1"/>
  <c r="X41" i="1"/>
  <c r="X37" i="1"/>
  <c r="X34" i="1"/>
  <c r="X33" i="1" s="1"/>
  <c r="X31" i="1"/>
  <c r="X30" i="1"/>
  <c r="X29" i="1"/>
  <c r="X27" i="1"/>
  <c r="X26" i="1"/>
  <c r="X25" i="1"/>
  <c r="X24" i="1"/>
  <c r="X20" i="1"/>
  <c r="X21" i="1" s="1"/>
  <c r="X18" i="1"/>
  <c r="X15" i="1"/>
  <c r="X16" i="1" s="1"/>
  <c r="X11" i="1"/>
  <c r="T50" i="1"/>
  <c r="T31" i="1"/>
  <c r="T30" i="1"/>
  <c r="T29" i="1"/>
  <c r="T27" i="1"/>
  <c r="T26" i="1"/>
  <c r="T25" i="1"/>
  <c r="T24" i="1"/>
  <c r="T21" i="1"/>
  <c r="T20" i="1"/>
  <c r="T18" i="1"/>
  <c r="T15" i="1"/>
  <c r="T16" i="1" s="1"/>
  <c r="T11" i="1"/>
  <c r="T9" i="1"/>
  <c r="T7" i="1"/>
  <c r="T51" i="1" s="1"/>
  <c r="X9" i="1"/>
  <c r="X7" i="1"/>
  <c r="R9" i="1"/>
  <c r="R7" i="1"/>
  <c r="C4" i="2"/>
  <c r="E29" i="2"/>
  <c r="E26" i="2"/>
  <c r="E24" i="2"/>
  <c r="E21" i="2"/>
  <c r="E20" i="2"/>
  <c r="E19" i="2"/>
  <c r="E17" i="2"/>
  <c r="E11" i="2"/>
  <c r="E10" i="2"/>
  <c r="E16" i="2" s="1"/>
  <c r="E18" i="2" s="1"/>
  <c r="Q42" i="1"/>
  <c r="Q37" i="1"/>
  <c r="Q34" i="1"/>
  <c r="Q33" i="1" s="1"/>
  <c r="Q27" i="1"/>
  <c r="Q26" i="1"/>
  <c r="Q25" i="1"/>
  <c r="Q15" i="1"/>
  <c r="Q9" i="1"/>
  <c r="Q11" i="1" s="1"/>
  <c r="Q29" i="1" s="1"/>
  <c r="Q7" i="1"/>
  <c r="P7" i="1"/>
  <c r="O7" i="1"/>
  <c r="N7" i="1"/>
  <c r="M37" i="1"/>
  <c r="N37" i="1"/>
  <c r="N41" i="1" s="1"/>
  <c r="N42" i="1"/>
  <c r="O37" i="1"/>
  <c r="O42" i="1"/>
  <c r="M42" i="1"/>
  <c r="P42" i="1"/>
  <c r="P37" i="1"/>
  <c r="E13" i="2"/>
  <c r="M9" i="1"/>
  <c r="M11" i="1" s="1"/>
  <c r="M15" i="1"/>
  <c r="N9" i="1"/>
  <c r="N11" i="1"/>
  <c r="N15" i="1"/>
  <c r="N16" i="1"/>
  <c r="N30" i="1" s="1"/>
  <c r="O9" i="1"/>
  <c r="O24" i="1" s="1"/>
  <c r="O11" i="1"/>
  <c r="O15" i="1"/>
  <c r="P9" i="1"/>
  <c r="P11" i="1" s="1"/>
  <c r="P15" i="1"/>
  <c r="B9" i="1"/>
  <c r="B11" i="1"/>
  <c r="B29" i="1" s="1"/>
  <c r="B15" i="1"/>
  <c r="B16" i="1"/>
  <c r="B30" i="1" s="1"/>
  <c r="B18" i="1"/>
  <c r="B31" i="1" s="1"/>
  <c r="B20" i="1"/>
  <c r="C9" i="1"/>
  <c r="C7" i="1" s="1"/>
  <c r="C11" i="1"/>
  <c r="C15" i="1"/>
  <c r="D9" i="1"/>
  <c r="D7" i="1" s="1"/>
  <c r="D11" i="1"/>
  <c r="D29" i="1" s="1"/>
  <c r="D15" i="1"/>
  <c r="D16" i="1"/>
  <c r="D18" i="1" s="1"/>
  <c r="E9" i="1"/>
  <c r="E11" i="1"/>
  <c r="E16" i="1" s="1"/>
  <c r="E18" i="1" s="1"/>
  <c r="E15" i="1"/>
  <c r="L9" i="1"/>
  <c r="L11" i="1" s="1"/>
  <c r="L15" i="1"/>
  <c r="K9" i="1"/>
  <c r="K11" i="1" s="1"/>
  <c r="K15" i="1"/>
  <c r="J9" i="1"/>
  <c r="J11" i="1" s="1"/>
  <c r="J15" i="1"/>
  <c r="I9" i="1"/>
  <c r="I24" i="1" s="1"/>
  <c r="I11" i="1"/>
  <c r="I15" i="1"/>
  <c r="I16" i="1" s="1"/>
  <c r="H9" i="1"/>
  <c r="L24" i="1" s="1"/>
  <c r="H11" i="1"/>
  <c r="H29" i="1" s="1"/>
  <c r="H15" i="1"/>
  <c r="H16" i="1"/>
  <c r="H18" i="1" s="1"/>
  <c r="G9" i="1"/>
  <c r="G11" i="1" s="1"/>
  <c r="G15" i="1"/>
  <c r="F9" i="1"/>
  <c r="F24" i="1" s="1"/>
  <c r="F11" i="1"/>
  <c r="F29" i="1" s="1"/>
  <c r="F15" i="1"/>
  <c r="F16" i="1"/>
  <c r="F30" i="1" s="1"/>
  <c r="F18" i="1"/>
  <c r="F31" i="1" s="1"/>
  <c r="F20" i="1"/>
  <c r="P34" i="1"/>
  <c r="P33" i="1"/>
  <c r="B7" i="1"/>
  <c r="D17" i="2"/>
  <c r="D10" i="2"/>
  <c r="D11" i="2"/>
  <c r="D16" i="2" s="1"/>
  <c r="D19" i="2"/>
  <c r="D20" i="2"/>
  <c r="D21" i="2"/>
  <c r="D24" i="2"/>
  <c r="D26" i="2"/>
  <c r="C10" i="2"/>
  <c r="C16" i="2" s="1"/>
  <c r="C18" i="2" s="1"/>
  <c r="C37" i="2" s="1"/>
  <c r="C11" i="2"/>
  <c r="C17" i="2"/>
  <c r="C19" i="2"/>
  <c r="C20" i="2"/>
  <c r="C21" i="2"/>
  <c r="C24" i="2"/>
  <c r="C26" i="2"/>
  <c r="M22" i="1"/>
  <c r="D29" i="2" s="1"/>
  <c r="D34" i="1"/>
  <c r="D33" i="1"/>
  <c r="M34" i="1"/>
  <c r="M33" i="1" s="1"/>
  <c r="I34" i="1"/>
  <c r="I33" i="1" s="1"/>
  <c r="E34" i="1"/>
  <c r="E33" i="1" s="1"/>
  <c r="B10" i="2"/>
  <c r="B11" i="2"/>
  <c r="B16" i="2" s="1"/>
  <c r="B13" i="2"/>
  <c r="F7" i="1"/>
  <c r="D13" i="2"/>
  <c r="M7" i="1"/>
  <c r="Q50" i="1"/>
  <c r="P27" i="1"/>
  <c r="O27" i="1"/>
  <c r="N27" i="1"/>
  <c r="M27" i="1"/>
  <c r="L27" i="1"/>
  <c r="K27" i="1"/>
  <c r="J27" i="1"/>
  <c r="I27" i="1"/>
  <c r="P26" i="1"/>
  <c r="O26" i="1"/>
  <c r="N26" i="1"/>
  <c r="M26" i="1"/>
  <c r="L26" i="1"/>
  <c r="K26" i="1"/>
  <c r="J26" i="1"/>
  <c r="I26" i="1"/>
  <c r="P25" i="1"/>
  <c r="O25" i="1"/>
  <c r="N25" i="1"/>
  <c r="M25" i="1"/>
  <c r="L25" i="1"/>
  <c r="K25" i="1"/>
  <c r="J25" i="1"/>
  <c r="I25" i="1"/>
  <c r="H27" i="1"/>
  <c r="G27" i="1"/>
  <c r="H26" i="1"/>
  <c r="G26" i="1"/>
  <c r="H25" i="1"/>
  <c r="G25" i="1"/>
  <c r="F27" i="1"/>
  <c r="F26" i="1"/>
  <c r="F25" i="1"/>
  <c r="C13" i="2"/>
  <c r="B24" i="2"/>
  <c r="B26" i="2"/>
  <c r="B17" i="2"/>
  <c r="B19" i="2"/>
  <c r="B20" i="2"/>
  <c r="B21" i="2"/>
  <c r="B22" i="2"/>
  <c r="O50" i="1"/>
  <c r="P50" i="1"/>
  <c r="F50" i="1"/>
  <c r="L7" i="1"/>
  <c r="P51" i="1" s="1"/>
  <c r="K7" i="1"/>
  <c r="O51" i="1" s="1"/>
  <c r="I7" i="1"/>
  <c r="M51" i="1"/>
  <c r="H7" i="1"/>
  <c r="E7" i="1"/>
  <c r="I51" i="1"/>
  <c r="C29" i="2"/>
  <c r="B29" i="2"/>
  <c r="O34" i="1"/>
  <c r="N34" i="1"/>
  <c r="N33" i="1" s="1"/>
  <c r="N50" i="1"/>
  <c r="N29" i="1"/>
  <c r="I50" i="1"/>
  <c r="H50" i="1"/>
  <c r="G50" i="1"/>
  <c r="J50" i="1"/>
  <c r="K50" i="1"/>
  <c r="L50" i="1"/>
  <c r="M50" i="1"/>
  <c r="L34" i="1"/>
  <c r="K34" i="1"/>
  <c r="K33" i="1" s="1"/>
  <c r="J34" i="1"/>
  <c r="J33" i="1" s="1"/>
  <c r="H34" i="1"/>
  <c r="H33" i="1" s="1"/>
  <c r="G34" i="1"/>
  <c r="G33" i="1" s="1"/>
  <c r="F34" i="1"/>
  <c r="F33" i="1" s="1"/>
  <c r="C34" i="1"/>
  <c r="B34" i="1"/>
  <c r="B33" i="1"/>
  <c r="C33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3" i="1"/>
  <c r="I29" i="1"/>
  <c r="Q51" i="1"/>
  <c r="S37" i="2" l="1"/>
  <c r="S17" i="2"/>
  <c r="U20" i="2"/>
  <c r="T33" i="2"/>
  <c r="T32" i="2"/>
  <c r="U19" i="2"/>
  <c r="U16" i="2"/>
  <c r="T31" i="2"/>
  <c r="T18" i="2"/>
  <c r="T17" i="2" s="1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E49" i="2"/>
  <c r="F49" i="2"/>
  <c r="C32" i="2"/>
  <c r="C33" i="2"/>
  <c r="F22" i="2"/>
  <c r="E34" i="2"/>
  <c r="F16" i="2"/>
  <c r="F18" i="2" s="1"/>
  <c r="D33" i="2"/>
  <c r="F23" i="2"/>
  <c r="F25" i="2" s="1"/>
  <c r="R45" i="1"/>
  <c r="R46" i="1"/>
  <c r="R47" i="1"/>
  <c r="S45" i="1"/>
  <c r="S46" i="1"/>
  <c r="T45" i="1"/>
  <c r="T46" i="1"/>
  <c r="T47" i="1"/>
  <c r="X51" i="1"/>
  <c r="V47" i="1"/>
  <c r="V48" i="1"/>
  <c r="V46" i="1"/>
  <c r="W45" i="1"/>
  <c r="W46" i="1"/>
  <c r="W47" i="1"/>
  <c r="U47" i="1"/>
  <c r="U45" i="1"/>
  <c r="U46" i="1"/>
  <c r="X45" i="1"/>
  <c r="X46" i="1"/>
  <c r="X47" i="1"/>
  <c r="H51" i="1"/>
  <c r="D57" i="2"/>
  <c r="C16" i="1"/>
  <c r="O16" i="1"/>
  <c r="Q41" i="1"/>
  <c r="D34" i="2"/>
  <c r="E29" i="1"/>
  <c r="E33" i="2"/>
  <c r="O29" i="1"/>
  <c r="C57" i="2"/>
  <c r="H24" i="1"/>
  <c r="Q16" i="1"/>
  <c r="Q18" i="1" s="1"/>
  <c r="Q24" i="1"/>
  <c r="G7" i="1"/>
  <c r="G51" i="1" s="1"/>
  <c r="D22" i="2"/>
  <c r="F51" i="1"/>
  <c r="G24" i="1"/>
  <c r="M24" i="1"/>
  <c r="O41" i="1"/>
  <c r="C22" i="2"/>
  <c r="C23" i="2" s="1"/>
  <c r="D30" i="1"/>
  <c r="C29" i="1"/>
  <c r="P24" i="1"/>
  <c r="P41" i="1"/>
  <c r="K24" i="1"/>
  <c r="C34" i="2"/>
  <c r="C6" i="2"/>
  <c r="C7" i="2" s="1"/>
  <c r="D31" i="2"/>
  <c r="E31" i="2"/>
  <c r="D18" i="2"/>
  <c r="D14" i="2"/>
  <c r="D31" i="1"/>
  <c r="D20" i="1"/>
  <c r="I30" i="1"/>
  <c r="I18" i="1"/>
  <c r="F57" i="2"/>
  <c r="K29" i="1"/>
  <c r="K16" i="1"/>
  <c r="E37" i="2"/>
  <c r="G29" i="1"/>
  <c r="G16" i="1"/>
  <c r="B18" i="2"/>
  <c r="B14" i="2"/>
  <c r="M29" i="1"/>
  <c r="M16" i="1"/>
  <c r="C31" i="2"/>
  <c r="L29" i="1"/>
  <c r="L16" i="1"/>
  <c r="P16" i="1"/>
  <c r="P29" i="1"/>
  <c r="H20" i="1"/>
  <c r="H31" i="1"/>
  <c r="O18" i="1"/>
  <c r="O30" i="1"/>
  <c r="F32" i="2"/>
  <c r="G19" i="2"/>
  <c r="H19" i="2" s="1"/>
  <c r="I19" i="2" s="1"/>
  <c r="J19" i="2" s="1"/>
  <c r="K19" i="2" s="1"/>
  <c r="C18" i="1"/>
  <c r="C30" i="1"/>
  <c r="F34" i="2"/>
  <c r="J16" i="1"/>
  <c r="J29" i="1"/>
  <c r="E20" i="1"/>
  <c r="E31" i="1"/>
  <c r="D32" i="2"/>
  <c r="O33" i="1"/>
  <c r="N18" i="1"/>
  <c r="K51" i="1"/>
  <c r="E30" i="1"/>
  <c r="E14" i="2"/>
  <c r="J24" i="1"/>
  <c r="N24" i="1"/>
  <c r="L51" i="1"/>
  <c r="C14" i="2"/>
  <c r="E22" i="2"/>
  <c r="E23" i="2" s="1"/>
  <c r="E57" i="2"/>
  <c r="H30" i="1"/>
  <c r="J7" i="1"/>
  <c r="B21" i="1"/>
  <c r="E32" i="2"/>
  <c r="F21" i="1"/>
  <c r="U31" i="2" l="1"/>
  <c r="V16" i="2"/>
  <c r="V20" i="2"/>
  <c r="V33" i="2" s="1"/>
  <c r="U33" i="2"/>
  <c r="T37" i="2"/>
  <c r="U18" i="2" s="1"/>
  <c r="V19" i="2"/>
  <c r="U32" i="2"/>
  <c r="C58" i="2"/>
  <c r="Q30" i="1"/>
  <c r="E25" i="2"/>
  <c r="E38" i="2"/>
  <c r="G57" i="2"/>
  <c r="M30" i="1"/>
  <c r="M18" i="1"/>
  <c r="I31" i="1"/>
  <c r="I20" i="1"/>
  <c r="C31" i="1"/>
  <c r="C20" i="1"/>
  <c r="G22" i="2"/>
  <c r="G35" i="2" s="1"/>
  <c r="G32" i="2"/>
  <c r="J18" i="1"/>
  <c r="J30" i="1"/>
  <c r="Q31" i="1"/>
  <c r="Q20" i="1"/>
  <c r="Q21" i="1" s="1"/>
  <c r="C38" i="2"/>
  <c r="C25" i="2"/>
  <c r="G20" i="2"/>
  <c r="H20" i="2" s="1"/>
  <c r="I20" i="2" s="1"/>
  <c r="J20" i="2" s="1"/>
  <c r="K20" i="2" s="1"/>
  <c r="F33" i="2"/>
  <c r="D58" i="2"/>
  <c r="D23" i="2"/>
  <c r="D37" i="2"/>
  <c r="G34" i="2"/>
  <c r="E58" i="2"/>
  <c r="B37" i="2"/>
  <c r="B23" i="2"/>
  <c r="D21" i="1"/>
  <c r="O20" i="1"/>
  <c r="O21" i="1" s="1"/>
  <c r="O31" i="1"/>
  <c r="G30" i="1"/>
  <c r="G18" i="1"/>
  <c r="N20" i="1"/>
  <c r="N31" i="1"/>
  <c r="H21" i="1"/>
  <c r="N51" i="1"/>
  <c r="J51" i="1"/>
  <c r="P18" i="1"/>
  <c r="P30" i="1"/>
  <c r="K18" i="1"/>
  <c r="K30" i="1"/>
  <c r="E21" i="1"/>
  <c r="L30" i="1"/>
  <c r="L18" i="1"/>
  <c r="U37" i="2" l="1"/>
  <c r="U17" i="2"/>
  <c r="V31" i="2"/>
  <c r="V18" i="2"/>
  <c r="V17" i="2" s="1"/>
  <c r="V32" i="2"/>
  <c r="F44" i="1"/>
  <c r="C21" i="1"/>
  <c r="E44" i="1"/>
  <c r="I21" i="1"/>
  <c r="D25" i="2"/>
  <c r="D38" i="2"/>
  <c r="M31" i="1"/>
  <c r="M20" i="1"/>
  <c r="P31" i="1"/>
  <c r="P20" i="1"/>
  <c r="P21" i="1" s="1"/>
  <c r="H22" i="2"/>
  <c r="H35" i="2" s="1"/>
  <c r="H32" i="2"/>
  <c r="N21" i="1"/>
  <c r="L31" i="1"/>
  <c r="L20" i="1"/>
  <c r="G31" i="1"/>
  <c r="G20" i="1"/>
  <c r="G33" i="2"/>
  <c r="C27" i="2"/>
  <c r="C28" i="2" s="1"/>
  <c r="C39" i="2"/>
  <c r="H34" i="2"/>
  <c r="H57" i="2"/>
  <c r="B25" i="2"/>
  <c r="B38" i="2"/>
  <c r="J20" i="1"/>
  <c r="J31" i="1"/>
  <c r="K31" i="1"/>
  <c r="K20" i="1"/>
  <c r="E39" i="2"/>
  <c r="E27" i="2"/>
  <c r="V37" i="2" l="1"/>
  <c r="E52" i="2"/>
  <c r="E55" i="2"/>
  <c r="E54" i="2"/>
  <c r="E53" i="2"/>
  <c r="I32" i="2"/>
  <c r="I57" i="2"/>
  <c r="I34" i="2"/>
  <c r="E28" i="2"/>
  <c r="I22" i="2"/>
  <c r="I35" i="2" s="1"/>
  <c r="H33" i="2"/>
  <c r="M21" i="1"/>
  <c r="P44" i="1"/>
  <c r="G21" i="1"/>
  <c r="J44" i="1"/>
  <c r="I44" i="1"/>
  <c r="G44" i="1"/>
  <c r="H44" i="1"/>
  <c r="N44" i="1"/>
  <c r="K21" i="1"/>
  <c r="D27" i="2"/>
  <c r="D39" i="2"/>
  <c r="L21" i="1"/>
  <c r="O44" i="1"/>
  <c r="L44" i="1"/>
  <c r="M44" i="1"/>
  <c r="J21" i="1"/>
  <c r="K44" i="1"/>
  <c r="Q44" i="1"/>
  <c r="B39" i="2"/>
  <c r="B27" i="2"/>
  <c r="B28" i="2" s="1"/>
  <c r="D28" i="2" l="1"/>
  <c r="D53" i="2"/>
  <c r="D52" i="2"/>
  <c r="D55" i="2"/>
  <c r="D54" i="2"/>
  <c r="J57" i="2"/>
  <c r="K57" i="2"/>
  <c r="N48" i="1"/>
  <c r="N47" i="1"/>
  <c r="N46" i="1"/>
  <c r="N45" i="1"/>
  <c r="J34" i="2"/>
  <c r="P48" i="1"/>
  <c r="P47" i="1"/>
  <c r="P46" i="1"/>
  <c r="P45" i="1"/>
  <c r="J32" i="2"/>
  <c r="O48" i="1"/>
  <c r="O45" i="1"/>
  <c r="O47" i="1"/>
  <c r="O46" i="1"/>
  <c r="Q47" i="1"/>
  <c r="Q46" i="1"/>
  <c r="Q48" i="1"/>
  <c r="Q45" i="1"/>
  <c r="M46" i="1"/>
  <c r="M48" i="1"/>
  <c r="I33" i="2"/>
  <c r="K34" i="2" l="1"/>
  <c r="J33" i="2"/>
  <c r="K32" i="2"/>
  <c r="L19" i="2"/>
  <c r="J22" i="2"/>
  <c r="J35" i="2" s="1"/>
  <c r="L32" i="2" l="1"/>
  <c r="M19" i="2"/>
  <c r="L20" i="2"/>
  <c r="K33" i="2"/>
  <c r="K22" i="2"/>
  <c r="K35" i="2" s="1"/>
  <c r="L34" i="2"/>
  <c r="M34" i="2" l="1"/>
  <c r="N19" i="2"/>
  <c r="M32" i="2"/>
  <c r="M20" i="2"/>
  <c r="L33" i="2"/>
  <c r="L22" i="2"/>
  <c r="L35" i="2" s="1"/>
  <c r="N20" i="2" l="1"/>
  <c r="N22" i="2" s="1"/>
  <c r="M33" i="2"/>
  <c r="N32" i="2"/>
  <c r="O19" i="2"/>
  <c r="M22" i="2"/>
  <c r="M35" i="2" s="1"/>
  <c r="N34" i="2"/>
  <c r="N35" i="2" l="1"/>
  <c r="O34" i="2"/>
  <c r="O32" i="2"/>
  <c r="P19" i="2"/>
  <c r="O20" i="2"/>
  <c r="O22" i="2" s="1"/>
  <c r="O35" i="2" s="1"/>
  <c r="N33" i="2"/>
  <c r="P32" i="2" l="1"/>
  <c r="Q19" i="2"/>
  <c r="O33" i="2"/>
  <c r="P20" i="2"/>
  <c r="P34" i="2"/>
  <c r="Q34" i="2" l="1"/>
  <c r="P33" i="2"/>
  <c r="Q20" i="2"/>
  <c r="Q33" i="2" s="1"/>
  <c r="Q32" i="2"/>
  <c r="P22" i="2"/>
  <c r="P35" i="2" s="1"/>
  <c r="R22" i="2" l="1"/>
  <c r="R34" i="2"/>
  <c r="Q22" i="2"/>
  <c r="Q35" i="2" s="1"/>
  <c r="R35" i="2" l="1"/>
  <c r="R23" i="2"/>
  <c r="S22" i="2"/>
  <c r="S34" i="2"/>
  <c r="T34" i="2" l="1"/>
  <c r="T22" i="2"/>
  <c r="S23" i="2"/>
  <c r="S35" i="2"/>
  <c r="R38" i="2"/>
  <c r="T35" i="2" l="1"/>
  <c r="T23" i="2"/>
  <c r="U22" i="2"/>
  <c r="U34" i="2"/>
  <c r="S38" i="2"/>
  <c r="T38" i="2" l="1"/>
  <c r="U35" i="2"/>
  <c r="U23" i="2"/>
  <c r="V34" i="2"/>
  <c r="V22" i="2"/>
  <c r="V35" i="2" l="1"/>
  <c r="V23" i="2"/>
  <c r="V38" i="2" s="1"/>
  <c r="U38" i="2"/>
  <c r="F37" i="2" l="1"/>
  <c r="F14" i="2"/>
  <c r="G14" i="2" s="1"/>
  <c r="H14" i="2" s="1"/>
  <c r="I14" i="2" s="1"/>
  <c r="J14" i="2" s="1"/>
  <c r="K14" i="2" s="1"/>
  <c r="K16" i="2" s="1"/>
  <c r="F31" i="2"/>
  <c r="F38" i="2" l="1"/>
  <c r="G16" i="2"/>
  <c r="G58" i="2"/>
  <c r="F39" i="2"/>
  <c r="F58" i="2"/>
  <c r="F27" i="2" l="1"/>
  <c r="G31" i="2"/>
  <c r="G18" i="2"/>
  <c r="H58" i="2"/>
  <c r="H16" i="2"/>
  <c r="F28" i="2" l="1"/>
  <c r="F53" i="2"/>
  <c r="F54" i="2"/>
  <c r="F52" i="2"/>
  <c r="F55" i="2"/>
  <c r="I16" i="2"/>
  <c r="I58" i="2"/>
  <c r="H31" i="2"/>
  <c r="G37" i="2"/>
  <c r="H18" i="2" s="1"/>
  <c r="G23" i="2"/>
  <c r="G24" i="2"/>
  <c r="G17" i="2"/>
  <c r="J16" i="2" l="1"/>
  <c r="K58" i="2"/>
  <c r="J58" i="2"/>
  <c r="H37" i="2"/>
  <c r="H23" i="2"/>
  <c r="H17" i="2"/>
  <c r="G25" i="2"/>
  <c r="G38" i="2"/>
  <c r="J31" i="2"/>
  <c r="I18" i="2"/>
  <c r="I31" i="2"/>
  <c r="I37" i="2" l="1"/>
  <c r="J18" i="2" s="1"/>
  <c r="I23" i="2"/>
  <c r="I17" i="2"/>
  <c r="K31" i="2"/>
  <c r="G26" i="2"/>
  <c r="G39" i="2" s="1"/>
  <c r="H38" i="2"/>
  <c r="G27" i="2" l="1"/>
  <c r="G28" i="2"/>
  <c r="L31" i="2"/>
  <c r="I38" i="2"/>
  <c r="J23" i="2"/>
  <c r="J37" i="2"/>
  <c r="K18" i="2" s="1"/>
  <c r="J17" i="2"/>
  <c r="K37" i="2" l="1"/>
  <c r="L18" i="2" s="1"/>
  <c r="K23" i="2"/>
  <c r="K17" i="2"/>
  <c r="H24" i="2"/>
  <c r="J38" i="2"/>
  <c r="M31" i="2"/>
  <c r="N31" i="2" l="1"/>
  <c r="H25" i="2"/>
  <c r="K38" i="2"/>
  <c r="L23" i="2"/>
  <c r="L37" i="2"/>
  <c r="M18" i="2" s="1"/>
  <c r="L17" i="2"/>
  <c r="M37" i="2" l="1"/>
  <c r="N18" i="2" s="1"/>
  <c r="M23" i="2"/>
  <c r="M17" i="2"/>
  <c r="L38" i="2"/>
  <c r="H26" i="2"/>
  <c r="H39" i="2" s="1"/>
  <c r="O31" i="2"/>
  <c r="P31" i="2" l="1"/>
  <c r="H27" i="2"/>
  <c r="M38" i="2"/>
  <c r="N37" i="2"/>
  <c r="O18" i="2" s="1"/>
  <c r="N23" i="2"/>
  <c r="N17" i="2"/>
  <c r="N38" i="2" l="1"/>
  <c r="H28" i="2"/>
  <c r="H41" i="2"/>
  <c r="O23" i="2"/>
  <c r="O37" i="2"/>
  <c r="P18" i="2" s="1"/>
  <c r="O17" i="2"/>
  <c r="Q31" i="2"/>
  <c r="I24" i="2" l="1"/>
  <c r="P37" i="2"/>
  <c r="Q18" i="2" s="1"/>
  <c r="P23" i="2"/>
  <c r="P17" i="2"/>
  <c r="O38" i="2"/>
  <c r="Q23" i="2" l="1"/>
  <c r="Q37" i="2"/>
  <c r="Q17" i="2"/>
  <c r="P38" i="2"/>
  <c r="I25" i="2"/>
  <c r="I26" i="2" l="1"/>
  <c r="I39" i="2" s="1"/>
  <c r="Q38" i="2"/>
  <c r="I27" i="2" l="1"/>
  <c r="I28" i="2" l="1"/>
  <c r="I41" i="2"/>
  <c r="J24" i="2" l="1"/>
  <c r="J25" i="2" l="1"/>
  <c r="J26" i="2" l="1"/>
  <c r="J39" i="2" s="1"/>
  <c r="J27" i="2" l="1"/>
  <c r="J28" i="2" l="1"/>
  <c r="J41" i="2"/>
  <c r="K24" i="2" l="1"/>
  <c r="K25" i="2" l="1"/>
  <c r="K26" i="2" l="1"/>
  <c r="K39" i="2" s="1"/>
  <c r="K27" i="2" l="1"/>
  <c r="K28" i="2" l="1"/>
  <c r="K41" i="2"/>
  <c r="L24" i="2" l="1"/>
  <c r="L25" i="2" l="1"/>
  <c r="L26" i="2" l="1"/>
  <c r="L39" i="2" s="1"/>
  <c r="L27" i="2" l="1"/>
  <c r="L28" i="2" l="1"/>
  <c r="L41" i="2"/>
  <c r="M24" i="2" l="1"/>
  <c r="M25" i="2" l="1"/>
  <c r="M26" i="2" l="1"/>
  <c r="M39" i="2" s="1"/>
  <c r="M27" i="2" l="1"/>
  <c r="M28" i="2" l="1"/>
  <c r="M41" i="2"/>
  <c r="N24" i="2" l="1"/>
  <c r="N25" i="2" l="1"/>
  <c r="N26" i="2" l="1"/>
  <c r="N39" i="2" s="1"/>
  <c r="N27" i="2" l="1"/>
  <c r="N28" i="2" l="1"/>
  <c r="N41" i="2"/>
  <c r="O24" i="2" l="1"/>
  <c r="O25" i="2" l="1"/>
  <c r="O26" i="2" l="1"/>
  <c r="O39" i="2" s="1"/>
  <c r="O27" i="2"/>
  <c r="O28" i="2" l="1"/>
  <c r="O41" i="2"/>
  <c r="P24" i="2" l="1"/>
  <c r="P25" i="2" l="1"/>
  <c r="P26" i="2" l="1"/>
  <c r="P39" i="2" s="1"/>
  <c r="P27" i="2" l="1"/>
  <c r="P28" i="2" l="1"/>
  <c r="P41" i="2"/>
  <c r="Q24" i="2" l="1"/>
  <c r="Q25" i="2" l="1"/>
  <c r="Q26" i="2" l="1"/>
  <c r="Q39" i="2" s="1"/>
  <c r="Q27" i="2"/>
  <c r="Q28" i="2" l="1"/>
  <c r="Q41" i="2"/>
  <c r="R24" i="2" l="1"/>
  <c r="R25" i="2" l="1"/>
  <c r="R26" i="2" l="1"/>
  <c r="R39" i="2" s="1"/>
  <c r="R27" i="2"/>
  <c r="R28" i="2" l="1"/>
  <c r="R41" i="2"/>
  <c r="S24" i="2" l="1"/>
  <c r="S25" i="2" l="1"/>
  <c r="S26" i="2" l="1"/>
  <c r="S39" i="2" s="1"/>
  <c r="S27" i="2"/>
  <c r="S28" i="2" l="1"/>
  <c r="S41" i="2"/>
  <c r="T24" i="2" l="1"/>
  <c r="T25" i="2" l="1"/>
  <c r="T26" i="2" l="1"/>
  <c r="T39" i="2" s="1"/>
  <c r="T27" i="2"/>
  <c r="T28" i="2" l="1"/>
  <c r="T41" i="2"/>
  <c r="U24" i="2" l="1"/>
  <c r="U25" i="2" l="1"/>
  <c r="U26" i="2" l="1"/>
  <c r="U39" i="2" s="1"/>
  <c r="U27" i="2" l="1"/>
  <c r="U28" i="2" l="1"/>
  <c r="U41" i="2"/>
  <c r="V24" i="2" l="1"/>
  <c r="V25" i="2" s="1"/>
  <c r="V26" i="2" l="1"/>
  <c r="V39" i="2" s="1"/>
  <c r="V27" i="2"/>
  <c r="V28" i="2" l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F5" i="2" s="1"/>
  <c r="F6" i="2" s="1"/>
  <c r="F7" i="2" s="1"/>
  <c r="G7" i="2" s="1"/>
  <c r="V41" i="2"/>
</calcChain>
</file>

<file path=xl/sharedStrings.xml><?xml version="1.0" encoding="utf-8"?>
<sst xmlns="http://schemas.openxmlformats.org/spreadsheetml/2006/main" count="150" uniqueCount="105">
  <si>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</si>
  <si>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</si>
  <si>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</si>
  <si>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</si>
  <si>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</si>
  <si>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</si>
  <si>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</si>
  <si>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</si>
  <si>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</si>
  <si>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</si>
  <si>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</si>
  <si>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</si>
  <si>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</si>
  <si>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</si>
  <si>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</si>
  <si>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</si>
  <si>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</si>
  <si>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</si>
  <si>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</si>
  <si>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</si>
  <si>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</si>
  <si>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</si>
  <si>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</si>
  <si>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</si>
  <si>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</si>
  <si>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</si>
  <si>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</si>
  <si>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</si>
  <si>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</si>
  <si>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</si>
  <si>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</si>
  <si>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</si>
  <si>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</si>
  <si>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</si>
  <si>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</si>
  <si>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</si>
  <si>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</si>
  <si>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</si>
  <si>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</si>
  <si>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</si>
  <si>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</si>
  <si>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</si>
  <si>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</si>
  <si>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</si>
  <si>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</si>
  <si>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</si>
  <si>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</si>
  <si>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</si>
  <si>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</si>
  <si>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</si>
  <si>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</si>
  <si>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</si>
  <si>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</si>
  <si>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</si>
  <si>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</si>
  <si>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</si>
  <si>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</si>
  <si>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</si>
  <si>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Advertising</t>
  </si>
  <si>
    <t>DAU</t>
  </si>
  <si>
    <t>EDGAR</t>
  </si>
  <si>
    <t>CEO</t>
  </si>
  <si>
    <t>Founder</t>
  </si>
  <si>
    <t>Mark Zuckerberg</t>
  </si>
  <si>
    <t>Dustin Moskovitz</t>
  </si>
  <si>
    <t>Price</t>
  </si>
  <si>
    <t>Market Cap</t>
  </si>
  <si>
    <t>EV</t>
  </si>
  <si>
    <t>per share</t>
  </si>
  <si>
    <t>R&amp;D y/y</t>
  </si>
  <si>
    <t>S&amp;M y/y</t>
  </si>
  <si>
    <t>G&amp;A y/y</t>
  </si>
  <si>
    <t>Other</t>
  </si>
  <si>
    <t>DAU y/y</t>
  </si>
  <si>
    <t>ARPU</t>
  </si>
  <si>
    <t>ARPU y/y</t>
  </si>
  <si>
    <t>Investor Relations</t>
  </si>
  <si>
    <t>Facebook Inc (FB)</t>
  </si>
  <si>
    <t>NI 12M</t>
  </si>
  <si>
    <t>ROE</t>
  </si>
  <si>
    <t>ROA</t>
  </si>
  <si>
    <t>ROTB</t>
  </si>
  <si>
    <t>ROTWC</t>
  </si>
  <si>
    <t>Intangibles</t>
  </si>
  <si>
    <t>Total assets</t>
  </si>
  <si>
    <t>Total liabilities</t>
  </si>
  <si>
    <t>TWC</t>
  </si>
  <si>
    <t>Equity</t>
  </si>
  <si>
    <t>PRODUCTS</t>
  </si>
  <si>
    <t>Facebook</t>
  </si>
  <si>
    <t>Instagram</t>
  </si>
  <si>
    <t>WhatsApp</t>
  </si>
  <si>
    <t>Oculus</t>
  </si>
  <si>
    <t>Q119</t>
  </si>
  <si>
    <t>Q219</t>
  </si>
  <si>
    <t>Q319</t>
  </si>
  <si>
    <t>Q419</t>
  </si>
  <si>
    <t>Q120</t>
  </si>
  <si>
    <t>Q220</t>
  </si>
  <si>
    <t>Q320</t>
  </si>
  <si>
    <t>Q420</t>
  </si>
  <si>
    <t>Net present value on future net income (terminal value)</t>
  </si>
  <si>
    <t>Risk-free rate + market premium (opportunity cost)</t>
  </si>
  <si>
    <t>Expected return on invested capital (innovation grade)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</si>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</sst>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_ ;[Red]\-#,##0.0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2">
    <xf numFmtId="0" fontId="0" fillId="0" borderId="0" xfId="0"/>
    <xf numFmtId="0" fontId="4" fillId="0" borderId="0" xfId="4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5" fillId="0" borderId="0" xfId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5" fillId="0" borderId="0" xfId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/>
    <xf numFmtId="10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0" fontId="7" fillId="0" borderId="0" xfId="0" applyFont="1"/>
    <xf numFmtId="3" fontId="5" fillId="2" borderId="0" xfId="0" applyNumberFormat="1" applyFont="1" applyFill="1"/>
    <xf numFmtId="164" fontId="5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5" fillId="2" borderId="0" xfId="0" applyNumberFormat="1" applyFont="1" applyFill="1"/>
    <xf numFmtId="0" fontId="7" fillId="0" borderId="0" xfId="0" applyFont="1" applyFill="1" applyBorder="1"/>
    <xf numFmtId="166" fontId="5" fillId="2" borderId="0" xfId="0" applyNumberFormat="1" applyFont="1" applyFill="1"/>
    <xf numFmtId="9" fontId="5" fillId="0" borderId="0" xfId="0" applyNumberFormat="1" applyFont="1"/>
    <xf numFmtId="3" fontId="5" fillId="0" borderId="0" xfId="0" applyNumberFormat="1" applyFont="1" applyBorder="1"/>
    <xf numFmtId="2" fontId="5" fillId="2" borderId="0" xfId="0" applyNumberFormat="1" applyFont="1" applyFill="1"/>
    <xf numFmtId="2" fontId="5" fillId="0" borderId="0" xfId="0" applyNumberFormat="1" applyFont="1" applyFill="1"/>
    <xf numFmtId="3" fontId="6" fillId="2" borderId="0" xfId="0" applyNumberFormat="1" applyFont="1" applyFill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3" fontId="5" fillId="0" borderId="0" xfId="0" applyNumberFormat="1" applyFont="1" applyFill="1" applyBorder="1"/>
    <xf numFmtId="2" fontId="5" fillId="2" borderId="0" xfId="0" applyNumberFormat="1" applyFont="1" applyFill="1" applyBorder="1"/>
    <xf numFmtId="2" fontId="5" fillId="0" borderId="0" xfId="0" applyNumberFormat="1" applyFont="1" applyFill="1" applyBorder="1"/>
    <xf numFmtId="0" fontId="6" fillId="0" borderId="0" xfId="0" applyFont="1" applyFill="1" applyBorder="1"/>
    <xf numFmtId="9" fontId="6" fillId="0" borderId="0" xfId="1" applyFont="1" applyFill="1" applyBorder="1"/>
    <xf numFmtId="9" fontId="6" fillId="0" borderId="0" xfId="1" applyFont="1" applyFill="1" applyBorder="1" applyAlignment="1">
      <alignment horizontal="right"/>
    </xf>
    <xf numFmtId="0" fontId="5" fillId="0" borderId="0" xfId="0" applyFont="1" applyFill="1" applyBorder="1"/>
    <xf numFmtId="9" fontId="5" fillId="0" borderId="0" xfId="1" applyFont="1" applyFill="1" applyBorder="1"/>
    <xf numFmtId="9" fontId="5" fillId="0" borderId="0" xfId="0" applyNumberFormat="1" applyFont="1" applyFill="1" applyBorder="1"/>
    <xf numFmtId="3" fontId="6" fillId="0" borderId="0" xfId="0" applyNumberFormat="1" applyFont="1" applyFill="1" applyBorder="1"/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Fill="1"/>
    <xf numFmtId="0" fontId="8" fillId="0" borderId="0" xfId="0" applyFont="1"/>
    <xf numFmtId="0" fontId="4" fillId="0" borderId="0" xfId="4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Border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3" fontId="5" fillId="0" borderId="0" xfId="0" applyNumberFormat="1" applyFont="1" applyFill="1"/>
    <xf numFmtId="14" fontId="5" fillId="0" borderId="0" xfId="0" applyNumberFormat="1" applyFont="1" applyAlignment="1">
      <alignment horizontal="left"/>
    </xf>
    <xf numFmtId="9" fontId="7" fillId="0" borderId="0" xfId="1" applyFont="1" applyFill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8</xdr:row>
      <xdr:rowOff>25400</xdr:rowOff>
    </xdr:from>
    <xdr:to>
      <xdr:col>6</xdr:col>
      <xdr:colOff>234950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74783" y="1380067"/>
          <a:ext cx="0" cy="70993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k_Zuckerberg" TargetMode="External"/><Relationship Id="rId2" Type="http://schemas.openxmlformats.org/officeDocument/2006/relationships/hyperlink" Target="https://en.wikipedia.org/wiki/Mark_Zuckerberg" TargetMode="External"/><Relationship Id="rId1" Type="http://schemas.openxmlformats.org/officeDocument/2006/relationships/hyperlink" Target="https://investor.fb.com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ustin_Moskovit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ompany=facebook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8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G16" sqref="G16"/>
    </sheetView>
  </sheetViews>
  <sheetFormatPr baseColWidth="10" defaultRowHeight="13" x14ac:dyDescent="0.15"/>
  <cols>
    <col min="1" max="1" width="17.1640625" style="7" bestFit="1" customWidth="1"/>
    <col min="2" max="2" width="11.1640625" style="7" bestFit="1" customWidth="1"/>
    <col min="3" max="3" width="10.83203125" style="7"/>
    <col min="4" max="4" width="10.83203125" style="2"/>
    <col min="5" max="16384" width="10.83203125" style="7"/>
  </cols>
  <sheetData>
    <row r="1" spans="1:22" x14ac:dyDescent="0.15">
      <c r="A1" s="1" t="s">
        <v>76</v>
      </c>
      <c r="B1" s="15" t="s">
        <v>77</v>
      </c>
      <c r="K1" s="15"/>
    </row>
    <row r="2" spans="1:22" x14ac:dyDescent="0.15">
      <c r="B2" s="7" t="s">
        <v>65</v>
      </c>
      <c r="C2" s="7">
        <v>268.98</v>
      </c>
      <c r="D2" s="90">
        <v>44200</v>
      </c>
      <c r="E2" s="37" t="s">
        <v>37</v>
      </c>
      <c r="F2" s="38">
        <v>-0.01</v>
      </c>
      <c r="I2" s="40"/>
      <c r="L2" s="39"/>
    </row>
    <row r="3" spans="1:22" x14ac:dyDescent="0.15">
      <c r="A3" s="15" t="s">
        <v>61</v>
      </c>
      <c r="B3" s="7" t="s">
        <v>17</v>
      </c>
      <c r="C3" s="40">
        <f>Reports!X22</f>
        <v>2891</v>
      </c>
      <c r="D3" s="36" t="s">
        <v>99</v>
      </c>
      <c r="E3" s="37" t="s">
        <v>38</v>
      </c>
      <c r="F3" s="38">
        <v>0.01</v>
      </c>
      <c r="G3" s="41" t="s">
        <v>103</v>
      </c>
      <c r="I3" s="40"/>
      <c r="L3" s="39"/>
    </row>
    <row r="4" spans="1:22" x14ac:dyDescent="0.15">
      <c r="A4" s="1" t="s">
        <v>63</v>
      </c>
      <c r="B4" s="7" t="s">
        <v>66</v>
      </c>
      <c r="C4" s="42">
        <f>C3*C2</f>
        <v>777621.18</v>
      </c>
      <c r="D4" s="36"/>
      <c r="E4" s="37" t="s">
        <v>39</v>
      </c>
      <c r="F4" s="38">
        <f>7%</f>
        <v>7.0000000000000007E-2</v>
      </c>
      <c r="G4" s="41" t="s">
        <v>102</v>
      </c>
      <c r="I4" s="49"/>
    </row>
    <row r="5" spans="1:22" x14ac:dyDescent="0.15">
      <c r="B5" s="7" t="s">
        <v>33</v>
      </c>
      <c r="C5" s="40">
        <f>Reports!X33</f>
        <v>55620</v>
      </c>
      <c r="D5" s="36" t="s">
        <v>99</v>
      </c>
      <c r="E5" s="37" t="s">
        <v>40</v>
      </c>
      <c r="F5" s="43">
        <f>NPV(F4,G27:DR27)</f>
        <v>1286053.2455488422</v>
      </c>
      <c r="G5" s="41" t="s">
        <v>101</v>
      </c>
      <c r="I5" s="49"/>
    </row>
    <row r="6" spans="1:22" x14ac:dyDescent="0.15">
      <c r="A6" s="15" t="s">
        <v>62</v>
      </c>
      <c r="B6" s="7" t="s">
        <v>67</v>
      </c>
      <c r="C6" s="42">
        <f>C4-C5</f>
        <v>722001.18</v>
      </c>
      <c r="E6" s="44" t="s">
        <v>41</v>
      </c>
      <c r="F6" s="45">
        <f>F5+C5</f>
        <v>1341673.2455488422</v>
      </c>
      <c r="I6" s="49"/>
    </row>
    <row r="7" spans="1:22" x14ac:dyDescent="0.15">
      <c r="A7" s="1" t="s">
        <v>63</v>
      </c>
      <c r="B7" s="41" t="s">
        <v>68</v>
      </c>
      <c r="C7" s="46">
        <f>C6/C3</f>
        <v>249.74098235904532</v>
      </c>
      <c r="E7" s="47" t="s">
        <v>68</v>
      </c>
      <c r="F7" s="48">
        <f>F6/C3</f>
        <v>464.08621430260888</v>
      </c>
      <c r="G7" s="49">
        <f>F7/C2-1</f>
        <v>0.72535584170796663</v>
      </c>
    </row>
    <row r="8" spans="1:22" x14ac:dyDescent="0.15">
      <c r="A8" s="1" t="s">
        <v>64</v>
      </c>
    </row>
    <row r="9" spans="1:22" x14ac:dyDescent="0.15">
      <c r="B9" s="7">
        <v>2015</v>
      </c>
      <c r="C9" s="7">
        <v>2016</v>
      </c>
      <c r="D9" s="2">
        <v>2017</v>
      </c>
      <c r="E9" s="7">
        <f>D9+1</f>
        <v>2018</v>
      </c>
      <c r="F9" s="7">
        <f t="shared" ref="F9:Q9" si="0">E9+1</f>
        <v>2019</v>
      </c>
      <c r="G9" s="7">
        <f t="shared" si="0"/>
        <v>2020</v>
      </c>
      <c r="H9" s="7">
        <f t="shared" si="0"/>
        <v>2021</v>
      </c>
      <c r="I9" s="7">
        <f t="shared" si="0"/>
        <v>2022</v>
      </c>
      <c r="J9" s="7">
        <f t="shared" si="0"/>
        <v>2023</v>
      </c>
      <c r="K9" s="7">
        <f t="shared" si="0"/>
        <v>2024</v>
      </c>
      <c r="L9" s="7">
        <f t="shared" si="0"/>
        <v>2025</v>
      </c>
      <c r="M9" s="7">
        <f t="shared" si="0"/>
        <v>2026</v>
      </c>
      <c r="N9" s="7">
        <f t="shared" si="0"/>
        <v>2027</v>
      </c>
      <c r="O9" s="7">
        <f t="shared" si="0"/>
        <v>2028</v>
      </c>
      <c r="P9" s="7">
        <f t="shared" si="0"/>
        <v>2029</v>
      </c>
      <c r="Q9" s="7">
        <f t="shared" si="0"/>
        <v>2030</v>
      </c>
      <c r="R9" s="7">
        <f t="shared" ref="R9" si="1">Q9+1</f>
        <v>2031</v>
      </c>
      <c r="S9" s="7">
        <f t="shared" ref="S9" si="2">R9+1</f>
        <v>2032</v>
      </c>
      <c r="T9" s="7">
        <f t="shared" ref="T9" si="3">S9+1</f>
        <v>2033</v>
      </c>
      <c r="U9" s="7">
        <f t="shared" ref="U9" si="4">T9+1</f>
        <v>2034</v>
      </c>
      <c r="V9" s="7">
        <f t="shared" ref="V9" si="5">U9+1</f>
        <v>2035</v>
      </c>
    </row>
    <row r="10" spans="1:22" x14ac:dyDescent="0.15">
      <c r="A10" s="7" t="s">
        <v>58</v>
      </c>
      <c r="B10" s="50">
        <f>SUM(Reports!B3:E3)</f>
        <v>17080</v>
      </c>
      <c r="C10" s="50">
        <f>SUM(Reports!F3:I3)</f>
        <v>26885</v>
      </c>
      <c r="D10" s="5">
        <f>SUM(Reports!J3:M3)</f>
        <v>39942</v>
      </c>
      <c r="E10" s="40">
        <f>SUM(Reports!N3:Q3)</f>
        <v>55012</v>
      </c>
      <c r="F10" s="40">
        <f>SUM(Reports!R3:U3)</f>
        <v>69655</v>
      </c>
      <c r="G10" s="40"/>
      <c r="H10" s="40"/>
      <c r="I10" s="40"/>
    </row>
    <row r="11" spans="1:22" x14ac:dyDescent="0.15">
      <c r="A11" s="7" t="s">
        <v>72</v>
      </c>
      <c r="B11" s="50">
        <f>SUM(Reports!B4:E4)</f>
        <v>847</v>
      </c>
      <c r="C11" s="50">
        <f>SUM(Reports!F4:I4)</f>
        <v>753</v>
      </c>
      <c r="D11" s="5">
        <f>SUM(Reports!J4:M4)</f>
        <v>711</v>
      </c>
      <c r="E11" s="40">
        <f>SUM(Reports!N4:Q4)</f>
        <v>826</v>
      </c>
      <c r="F11" s="40">
        <f>SUM(Reports!R4:U4)</f>
        <v>1042</v>
      </c>
      <c r="G11" s="40"/>
      <c r="H11" s="40"/>
      <c r="I11" s="40"/>
    </row>
    <row r="13" spans="1:22" x14ac:dyDescent="0.15">
      <c r="A13" s="7" t="s">
        <v>59</v>
      </c>
      <c r="B13" s="40">
        <f>Reports!E6</f>
        <v>1040</v>
      </c>
      <c r="C13" s="40">
        <f>Reports!I6</f>
        <v>1230</v>
      </c>
      <c r="D13" s="5">
        <f>Reports!M6</f>
        <v>1400</v>
      </c>
      <c r="E13" s="40">
        <f>Reports!Q6</f>
        <v>1520</v>
      </c>
      <c r="F13" s="40">
        <f>Reports!U6</f>
        <v>1660</v>
      </c>
      <c r="G13" s="40">
        <f>F13*1.05</f>
        <v>1743</v>
      </c>
      <c r="H13" s="40">
        <f t="shared" ref="H13:K13" si="6">G13*1.05</f>
        <v>1830.15</v>
      </c>
      <c r="I13" s="40">
        <f t="shared" si="6"/>
        <v>1921.6575000000003</v>
      </c>
      <c r="J13" s="40">
        <f t="shared" si="6"/>
        <v>2017.7403750000003</v>
      </c>
      <c r="K13" s="40">
        <f t="shared" si="6"/>
        <v>2118.6273937500005</v>
      </c>
    </row>
    <row r="14" spans="1:22" x14ac:dyDescent="0.15">
      <c r="A14" s="7" t="s">
        <v>74</v>
      </c>
      <c r="B14" s="51">
        <f>B16/B13</f>
        <v>17.237500000000001</v>
      </c>
      <c r="C14" s="51">
        <f>C16/C13</f>
        <v>22.469918699186991</v>
      </c>
      <c r="D14" s="11">
        <f>D16/D13</f>
        <v>29.037857142857142</v>
      </c>
      <c r="E14" s="11">
        <f>E16/E13</f>
        <v>36.735526315789471</v>
      </c>
      <c r="F14" s="11">
        <f>F16/F13</f>
        <v>42.588554216867472</v>
      </c>
      <c r="G14" s="52">
        <f>F14*1.15</f>
        <v>48.976837349397591</v>
      </c>
      <c r="H14" s="52">
        <f t="shared" ref="H14:K14" si="7">G14*1.15</f>
        <v>56.323362951807226</v>
      </c>
      <c r="I14" s="52">
        <f t="shared" si="7"/>
        <v>64.771867394578308</v>
      </c>
      <c r="J14" s="52">
        <f t="shared" si="7"/>
        <v>74.487647503765047</v>
      </c>
      <c r="K14" s="52">
        <f t="shared" si="7"/>
        <v>85.6607946293298</v>
      </c>
    </row>
    <row r="16" spans="1:22" x14ac:dyDescent="0.15">
      <c r="A16" s="15" t="s">
        <v>4</v>
      </c>
      <c r="B16" s="53">
        <f>SUM(B10:B11)</f>
        <v>17927</v>
      </c>
      <c r="C16" s="53">
        <f>SUM(C10:C11)</f>
        <v>27638</v>
      </c>
      <c r="D16" s="16">
        <f>SUM(D10:D11)</f>
        <v>40653</v>
      </c>
      <c r="E16" s="16">
        <f>SUM(E10:E11)</f>
        <v>55838</v>
      </c>
      <c r="F16" s="16">
        <f>SUM(F10:F11)</f>
        <v>70697</v>
      </c>
      <c r="G16" s="54">
        <f t="shared" ref="G16:K16" si="8">G13*G14</f>
        <v>85366.627500000002</v>
      </c>
      <c r="H16" s="54">
        <f t="shared" si="8"/>
        <v>103080.20270625</v>
      </c>
      <c r="I16" s="54">
        <f t="shared" si="8"/>
        <v>124469.34476779688</v>
      </c>
      <c r="J16" s="54">
        <f t="shared" si="8"/>
        <v>150296.73380711471</v>
      </c>
      <c r="K16" s="54">
        <f t="shared" si="8"/>
        <v>181483.30607209104</v>
      </c>
      <c r="L16" s="54">
        <f>K16*1.1</f>
        <v>199631.63667930017</v>
      </c>
      <c r="M16" s="54">
        <f t="shared" ref="M16:Q16" si="9">L16*1.1</f>
        <v>219594.80034723019</v>
      </c>
      <c r="N16" s="54">
        <f t="shared" si="9"/>
        <v>241554.28038195323</v>
      </c>
      <c r="O16" s="54">
        <f t="shared" si="9"/>
        <v>265709.70842014858</v>
      </c>
      <c r="P16" s="54">
        <f t="shared" si="9"/>
        <v>292280.67926216347</v>
      </c>
      <c r="Q16" s="54">
        <f t="shared" si="9"/>
        <v>321508.74718837981</v>
      </c>
      <c r="R16" s="54">
        <f t="shared" ref="R16:V16" si="10">Q16*1.1</f>
        <v>353659.62190721784</v>
      </c>
      <c r="S16" s="54">
        <f t="shared" si="10"/>
        <v>389025.58409793966</v>
      </c>
      <c r="T16" s="54">
        <f t="shared" si="10"/>
        <v>427928.14250773366</v>
      </c>
      <c r="U16" s="54">
        <f t="shared" si="10"/>
        <v>470720.95675850706</v>
      </c>
      <c r="V16" s="54">
        <f t="shared" si="10"/>
        <v>517793.05243435781</v>
      </c>
    </row>
    <row r="17" spans="1:122" x14ac:dyDescent="0.15">
      <c r="A17" s="7" t="s">
        <v>5</v>
      </c>
      <c r="B17" s="50">
        <f>SUM(Reports!B10:E10)</f>
        <v>2866</v>
      </c>
      <c r="C17" s="50">
        <f>SUM(Reports!F10:I10)</f>
        <v>3788</v>
      </c>
      <c r="D17" s="8">
        <f>SUM(Reports!J10:M10)</f>
        <v>5455</v>
      </c>
      <c r="E17" s="40">
        <f>SUM(Reports!N10:Q10)</f>
        <v>9355</v>
      </c>
      <c r="F17" s="40">
        <f>SUM(Reports!R10:U10)</f>
        <v>12770</v>
      </c>
      <c r="G17" s="50">
        <f t="shared" ref="G17" si="11">G16-G18</f>
        <v>15419.774999999994</v>
      </c>
      <c r="H17" s="50">
        <f t="shared" ref="H17:Q17" si="12">H16-H18</f>
        <v>18619.37831249999</v>
      </c>
      <c r="I17" s="50">
        <f t="shared" si="12"/>
        <v>22482.899312343739</v>
      </c>
      <c r="J17" s="50">
        <f t="shared" si="12"/>
        <v>27148.100919655059</v>
      </c>
      <c r="K17" s="50">
        <f t="shared" si="12"/>
        <v>32781.331860483479</v>
      </c>
      <c r="L17" s="50">
        <f t="shared" si="12"/>
        <v>36059.465046531841</v>
      </c>
      <c r="M17" s="50">
        <f t="shared" si="12"/>
        <v>39665.41155118501</v>
      </c>
      <c r="N17" s="50">
        <f t="shared" si="12"/>
        <v>43631.952706303535</v>
      </c>
      <c r="O17" s="50">
        <f t="shared" si="12"/>
        <v>47995.147976933891</v>
      </c>
      <c r="P17" s="50">
        <f t="shared" si="12"/>
        <v>52794.662774627272</v>
      </c>
      <c r="Q17" s="50">
        <f t="shared" si="12"/>
        <v>58074.129052089993</v>
      </c>
      <c r="R17" s="50">
        <f t="shared" ref="R17:V17" si="13">R16-R18</f>
        <v>63881.541957298992</v>
      </c>
      <c r="S17" s="50">
        <f t="shared" si="13"/>
        <v>70269.696153028926</v>
      </c>
      <c r="T17" s="50">
        <f t="shared" si="13"/>
        <v>77296.66576833179</v>
      </c>
      <c r="U17" s="50">
        <f t="shared" si="13"/>
        <v>85026.332345164963</v>
      </c>
      <c r="V17" s="50">
        <f t="shared" si="13"/>
        <v>93528.965579681448</v>
      </c>
    </row>
    <row r="18" spans="1:122" x14ac:dyDescent="0.15">
      <c r="A18" s="7" t="s">
        <v>6</v>
      </c>
      <c r="B18" s="55">
        <f>B16-B17</f>
        <v>15061</v>
      </c>
      <c r="C18" s="55">
        <f>C16-C17</f>
        <v>23850</v>
      </c>
      <c r="D18" s="19">
        <f>D16-D17</f>
        <v>35198</v>
      </c>
      <c r="E18" s="19">
        <f>E16-E17</f>
        <v>46483</v>
      </c>
      <c r="F18" s="19">
        <f>F16-F17</f>
        <v>57927</v>
      </c>
      <c r="G18" s="50">
        <f t="shared" ref="G18" si="14">G16*F37</f>
        <v>69946.852500000008</v>
      </c>
      <c r="H18" s="50">
        <f t="shared" ref="H18" si="15">H16*G37</f>
        <v>84460.824393750008</v>
      </c>
      <c r="I18" s="50">
        <f t="shared" ref="I18" si="16">I16*H37</f>
        <v>101986.44545545314</v>
      </c>
      <c r="J18" s="50">
        <f t="shared" ref="J18" si="17">J16*I37</f>
        <v>123148.63288745965</v>
      </c>
      <c r="K18" s="50">
        <f t="shared" ref="K18" si="18">K16*J37</f>
        <v>148701.97421160756</v>
      </c>
      <c r="L18" s="50">
        <f t="shared" ref="L18" si="19">L16*K37</f>
        <v>163572.17163276832</v>
      </c>
      <c r="M18" s="50">
        <f t="shared" ref="M18" si="20">M16*L37</f>
        <v>179929.38879604518</v>
      </c>
      <c r="N18" s="50">
        <f t="shared" ref="N18" si="21">N16*M37</f>
        <v>197922.32767564969</v>
      </c>
      <c r="O18" s="50">
        <f t="shared" ref="O18" si="22">O16*N37</f>
        <v>217714.56044321469</v>
      </c>
      <c r="P18" s="50">
        <f t="shared" ref="P18" si="23">P16*O37</f>
        <v>239486.0164875362</v>
      </c>
      <c r="Q18" s="50">
        <f t="shared" ref="Q18" si="24">Q16*P37</f>
        <v>263434.61813628982</v>
      </c>
      <c r="R18" s="50">
        <f t="shared" ref="R18" si="25">R16*Q37</f>
        <v>289778.07994991884</v>
      </c>
      <c r="S18" s="50">
        <f t="shared" ref="S18" si="26">S16*R37</f>
        <v>318755.88794491073</v>
      </c>
      <c r="T18" s="50">
        <f t="shared" ref="T18" si="27">T16*S37</f>
        <v>350631.47673940187</v>
      </c>
      <c r="U18" s="50">
        <f t="shared" ref="U18" si="28">U16*T37</f>
        <v>385694.6244133421</v>
      </c>
      <c r="V18" s="50">
        <f t="shared" ref="V18" si="29">V16*U37</f>
        <v>424264.08685467637</v>
      </c>
    </row>
    <row r="19" spans="1:122" x14ac:dyDescent="0.15">
      <c r="A19" s="7" t="s">
        <v>7</v>
      </c>
      <c r="B19" s="50">
        <f>SUM(Reports!B12:E12)</f>
        <v>4817</v>
      </c>
      <c r="C19" s="50">
        <f>SUM(Reports!F12:I12)</f>
        <v>5908</v>
      </c>
      <c r="D19" s="8">
        <f>SUM(Reports!J12:M12)</f>
        <v>7754</v>
      </c>
      <c r="E19" s="40">
        <f>SUM(Reports!N12:Q12)</f>
        <v>10273</v>
      </c>
      <c r="F19" s="40">
        <f>SUM(Reports!R12:U12)</f>
        <v>13600</v>
      </c>
      <c r="G19" s="50">
        <f t="shared" ref="G19" si="30">F19*1.3</f>
        <v>17680</v>
      </c>
      <c r="H19" s="50">
        <f t="shared" ref="H19" si="31">G19*1.3</f>
        <v>22984</v>
      </c>
      <c r="I19" s="50">
        <f t="shared" ref="I19" si="32">H19*1.3</f>
        <v>29879.200000000001</v>
      </c>
      <c r="J19" s="50">
        <f t="shared" ref="J19" si="33">I19*1.3</f>
        <v>38842.959999999999</v>
      </c>
      <c r="K19" s="50">
        <f t="shared" ref="K19" si="34">J19*1.3</f>
        <v>50495.847999999998</v>
      </c>
      <c r="L19" s="50">
        <f t="shared" ref="L19:Q19" si="35">K19*1.1</f>
        <v>55545.432800000002</v>
      </c>
      <c r="M19" s="50">
        <f t="shared" si="35"/>
        <v>61099.976080000008</v>
      </c>
      <c r="N19" s="50">
        <f t="shared" si="35"/>
        <v>67209.973688000013</v>
      </c>
      <c r="O19" s="50">
        <f t="shared" si="35"/>
        <v>73930.971056800016</v>
      </c>
      <c r="P19" s="50">
        <f t="shared" si="35"/>
        <v>81324.06816248002</v>
      </c>
      <c r="Q19" s="50">
        <f t="shared" si="35"/>
        <v>89456.474978728031</v>
      </c>
      <c r="R19" s="50">
        <f t="shared" ref="R19:R20" si="36">Q19*1.1</f>
        <v>98402.122476600838</v>
      </c>
      <c r="S19" s="50">
        <f t="shared" ref="S19:S20" si="37">R19*1.1</f>
        <v>108242.33472426093</v>
      </c>
      <c r="T19" s="50">
        <f t="shared" ref="T19:T20" si="38">S19*1.1</f>
        <v>119066.56819668703</v>
      </c>
      <c r="U19" s="50">
        <f t="shared" ref="U19:U20" si="39">T19*1.1</f>
        <v>130973.22501635575</v>
      </c>
      <c r="V19" s="50">
        <f t="shared" ref="V19:V20" si="40">U19*1.1</f>
        <v>144070.54751799133</v>
      </c>
    </row>
    <row r="20" spans="1:122" x14ac:dyDescent="0.15">
      <c r="A20" s="7" t="s">
        <v>8</v>
      </c>
      <c r="B20" s="50">
        <f>SUM(Reports!B13:E13)</f>
        <v>2724</v>
      </c>
      <c r="C20" s="50">
        <f>SUM(Reports!F13:I13)</f>
        <v>3768</v>
      </c>
      <c r="D20" s="8">
        <f>SUM(Reports!J13:M13)</f>
        <v>4725</v>
      </c>
      <c r="E20" s="40">
        <f>SUM(Reports!N13:Q13)</f>
        <v>7845</v>
      </c>
      <c r="F20" s="40">
        <f>SUM(Reports!R13:U13)</f>
        <v>9876</v>
      </c>
      <c r="G20" s="50">
        <f t="shared" ref="G20" si="41">F20*1.25</f>
        <v>12345</v>
      </c>
      <c r="H20" s="50">
        <f t="shared" ref="H20" si="42">G20*1.25</f>
        <v>15431.25</v>
      </c>
      <c r="I20" s="50">
        <f t="shared" ref="I20" si="43">H20*1.25</f>
        <v>19289.0625</v>
      </c>
      <c r="J20" s="50">
        <f t="shared" ref="J20" si="44">I20*1.25</f>
        <v>24111.328125</v>
      </c>
      <c r="K20" s="50">
        <f t="shared" ref="K20" si="45">J20*1.25</f>
        <v>30139.16015625</v>
      </c>
      <c r="L20" s="50">
        <f t="shared" ref="L20:Q20" si="46">K20*1.1</f>
        <v>33153.076171875</v>
      </c>
      <c r="M20" s="50">
        <f t="shared" si="46"/>
        <v>36468.3837890625</v>
      </c>
      <c r="N20" s="50">
        <f t="shared" si="46"/>
        <v>40115.22216796875</v>
      </c>
      <c r="O20" s="50">
        <f t="shared" si="46"/>
        <v>44126.744384765625</v>
      </c>
      <c r="P20" s="50">
        <f t="shared" si="46"/>
        <v>48539.418823242195</v>
      </c>
      <c r="Q20" s="50">
        <f t="shared" si="46"/>
        <v>53393.360705566418</v>
      </c>
      <c r="R20" s="50">
        <f t="shared" si="36"/>
        <v>58732.696776123063</v>
      </c>
      <c r="S20" s="50">
        <f t="shared" si="37"/>
        <v>64605.966453735375</v>
      </c>
      <c r="T20" s="50">
        <f t="shared" si="38"/>
        <v>71066.563099108913</v>
      </c>
      <c r="U20" s="50">
        <f t="shared" si="39"/>
        <v>78173.219409019817</v>
      </c>
      <c r="V20" s="50">
        <f t="shared" si="40"/>
        <v>85990.541349921812</v>
      </c>
    </row>
    <row r="21" spans="1:122" x14ac:dyDescent="0.15">
      <c r="A21" s="7" t="s">
        <v>9</v>
      </c>
      <c r="B21" s="50">
        <f>SUM(Reports!B14:E14)</f>
        <v>1295</v>
      </c>
      <c r="C21" s="50">
        <f>SUM(Reports!F14:I14)</f>
        <v>1731</v>
      </c>
      <c r="D21" s="8">
        <f>SUM(Reports!J14:M14)</f>
        <v>2517</v>
      </c>
      <c r="E21" s="40">
        <f>SUM(Reports!N14:Q14)</f>
        <v>3452</v>
      </c>
      <c r="F21" s="40">
        <f>SUM(Reports!R14:U14)</f>
        <v>10465</v>
      </c>
      <c r="G21" s="50">
        <f>E21*1.3</f>
        <v>4487.6000000000004</v>
      </c>
      <c r="H21" s="50">
        <f>G21*1.3</f>
        <v>5833.880000000001</v>
      </c>
      <c r="I21" s="50">
        <f t="shared" ref="I21:K21" si="47">H21*1.3</f>
        <v>7584.0440000000017</v>
      </c>
      <c r="J21" s="50">
        <f t="shared" si="47"/>
        <v>9859.2572000000018</v>
      </c>
      <c r="K21" s="50">
        <f t="shared" si="47"/>
        <v>12817.034360000003</v>
      </c>
      <c r="L21" s="50">
        <f>K21*0.98</f>
        <v>12560.693672800004</v>
      </c>
      <c r="M21" s="50">
        <f t="shared" ref="M21:V21" si="48">L21*0.98</f>
        <v>12309.479799344004</v>
      </c>
      <c r="N21" s="50">
        <f t="shared" si="48"/>
        <v>12063.290203357124</v>
      </c>
      <c r="O21" s="50">
        <f t="shared" si="48"/>
        <v>11822.024399289981</v>
      </c>
      <c r="P21" s="50">
        <f t="shared" si="48"/>
        <v>11585.583911304182</v>
      </c>
      <c r="Q21" s="50">
        <f t="shared" si="48"/>
        <v>11353.872233078098</v>
      </c>
      <c r="R21" s="50">
        <f t="shared" si="48"/>
        <v>11126.794788416537</v>
      </c>
      <c r="S21" s="50">
        <f t="shared" si="48"/>
        <v>10904.258892648206</v>
      </c>
      <c r="T21" s="50">
        <f t="shared" si="48"/>
        <v>10686.173714795241</v>
      </c>
      <c r="U21" s="50">
        <f t="shared" si="48"/>
        <v>10472.450240499336</v>
      </c>
      <c r="V21" s="50">
        <f t="shared" si="48"/>
        <v>10263.001235689349</v>
      </c>
    </row>
    <row r="22" spans="1:122" x14ac:dyDescent="0.15">
      <c r="A22" s="7" t="s">
        <v>10</v>
      </c>
      <c r="B22" s="55">
        <f>SUM(B19:B21)</f>
        <v>8836</v>
      </c>
      <c r="C22" s="55">
        <f>SUM(C19:C21)</f>
        <v>11407</v>
      </c>
      <c r="D22" s="19">
        <f>SUM(D19:D21)</f>
        <v>14996</v>
      </c>
      <c r="E22" s="19">
        <f>SUM(E19:E21)</f>
        <v>21570</v>
      </c>
      <c r="F22" s="19">
        <f>SUM(F19:F21)</f>
        <v>33941</v>
      </c>
      <c r="G22" s="56">
        <f t="shared" ref="G22" si="49">SUM(G19:G21)</f>
        <v>34512.6</v>
      </c>
      <c r="H22" s="56">
        <f t="shared" ref="H22:Q22" si="50">SUM(H19:H21)</f>
        <v>44249.130000000005</v>
      </c>
      <c r="I22" s="56">
        <f t="shared" si="50"/>
        <v>56752.306499999999</v>
      </c>
      <c r="J22" s="56">
        <f t="shared" si="50"/>
        <v>72813.545324999999</v>
      </c>
      <c r="K22" s="56">
        <f t="shared" si="50"/>
        <v>93452.042516250003</v>
      </c>
      <c r="L22" s="56">
        <f t="shared" si="50"/>
        <v>101259.20264467501</v>
      </c>
      <c r="M22" s="56">
        <f t="shared" si="50"/>
        <v>109877.83966840651</v>
      </c>
      <c r="N22" s="56">
        <f t="shared" si="50"/>
        <v>119388.48605932589</v>
      </c>
      <c r="O22" s="56">
        <f t="shared" si="50"/>
        <v>129879.73984085562</v>
      </c>
      <c r="P22" s="56">
        <f t="shared" si="50"/>
        <v>141449.07089702639</v>
      </c>
      <c r="Q22" s="56">
        <f t="shared" si="50"/>
        <v>154203.70791737255</v>
      </c>
      <c r="R22" s="56">
        <f t="shared" ref="R22:V22" si="51">SUM(R19:R21)</f>
        <v>168261.61404114042</v>
      </c>
      <c r="S22" s="56">
        <f t="shared" si="51"/>
        <v>183752.56007064451</v>
      </c>
      <c r="T22" s="56">
        <f t="shared" si="51"/>
        <v>200819.3050105912</v>
      </c>
      <c r="U22" s="56">
        <f t="shared" si="51"/>
        <v>219618.89466587489</v>
      </c>
      <c r="V22" s="56">
        <f t="shared" si="51"/>
        <v>240324.0901036025</v>
      </c>
    </row>
    <row r="23" spans="1:122" x14ac:dyDescent="0.15">
      <c r="A23" s="7" t="s">
        <v>11</v>
      </c>
      <c r="B23" s="55">
        <f>B18-B22</f>
        <v>6225</v>
      </c>
      <c r="C23" s="55">
        <f>C18-C22</f>
        <v>12443</v>
      </c>
      <c r="D23" s="19">
        <f>D18-D22</f>
        <v>20202</v>
      </c>
      <c r="E23" s="19">
        <f>E18-E22</f>
        <v>24913</v>
      </c>
      <c r="F23" s="19">
        <f>F18-F22</f>
        <v>23986</v>
      </c>
      <c r="G23" s="56">
        <f t="shared" ref="G23" si="52">G18-G22</f>
        <v>35434.25250000001</v>
      </c>
      <c r="H23" s="56">
        <f t="shared" ref="H23:Q23" si="53">H18-H22</f>
        <v>40211.694393750004</v>
      </c>
      <c r="I23" s="56">
        <f t="shared" si="53"/>
        <v>45234.138955453142</v>
      </c>
      <c r="J23" s="56">
        <f t="shared" si="53"/>
        <v>50335.087562459652</v>
      </c>
      <c r="K23" s="56">
        <f t="shared" si="53"/>
        <v>55249.931695357562</v>
      </c>
      <c r="L23" s="56">
        <f t="shared" si="53"/>
        <v>62312.968988093315</v>
      </c>
      <c r="M23" s="56">
        <f t="shared" si="53"/>
        <v>70051.549127638675</v>
      </c>
      <c r="N23" s="56">
        <f t="shared" si="53"/>
        <v>78533.8416163238</v>
      </c>
      <c r="O23" s="56">
        <f t="shared" si="53"/>
        <v>87834.820602359076</v>
      </c>
      <c r="P23" s="56">
        <f t="shared" si="53"/>
        <v>98036.9455905098</v>
      </c>
      <c r="Q23" s="56">
        <f t="shared" si="53"/>
        <v>109230.91021891727</v>
      </c>
      <c r="R23" s="56">
        <f t="shared" ref="R23:V23" si="54">R18-R22</f>
        <v>121516.46590877842</v>
      </c>
      <c r="S23" s="56">
        <f t="shared" si="54"/>
        <v>135003.32787426622</v>
      </c>
      <c r="T23" s="56">
        <f t="shared" si="54"/>
        <v>149812.17172881067</v>
      </c>
      <c r="U23" s="56">
        <f t="shared" si="54"/>
        <v>166075.72974746721</v>
      </c>
      <c r="V23" s="56">
        <f t="shared" si="54"/>
        <v>183939.99675107386</v>
      </c>
    </row>
    <row r="24" spans="1:122" x14ac:dyDescent="0.15">
      <c r="A24" s="7" t="s">
        <v>12</v>
      </c>
      <c r="B24" s="50">
        <f>SUM(Reports!B17:E17)</f>
        <v>-31</v>
      </c>
      <c r="C24" s="50">
        <f>SUM(Reports!F17:I17)</f>
        <v>90</v>
      </c>
      <c r="D24" s="8">
        <f>SUM(Reports!J17:M17)</f>
        <v>392</v>
      </c>
      <c r="E24" s="40">
        <f>SUM(Reports!N17:Q17)</f>
        <v>448</v>
      </c>
      <c r="F24" s="40">
        <f>SUM(Reports!R17:U17)</f>
        <v>826</v>
      </c>
      <c r="G24" s="56">
        <f t="shared" ref="G24:Q24" si="55">F41*$F$3</f>
        <v>548.55000000000007</v>
      </c>
      <c r="H24" s="56">
        <f t="shared" si="55"/>
        <v>836.41242000000011</v>
      </c>
      <c r="I24" s="56">
        <f t="shared" si="55"/>
        <v>1164.7972745100001</v>
      </c>
      <c r="J24" s="56">
        <f t="shared" si="55"/>
        <v>1535.9887643497054</v>
      </c>
      <c r="K24" s="56">
        <f t="shared" si="55"/>
        <v>1950.9573749641802</v>
      </c>
      <c r="L24" s="56">
        <f t="shared" si="55"/>
        <v>2408.564487526754</v>
      </c>
      <c r="M24" s="56">
        <f t="shared" si="55"/>
        <v>2926.3367553317144</v>
      </c>
      <c r="N24" s="56">
        <f t="shared" si="55"/>
        <v>3510.1598423954774</v>
      </c>
      <c r="O24" s="56">
        <f t="shared" si="55"/>
        <v>4166.511854065232</v>
      </c>
      <c r="P24" s="56">
        <f t="shared" si="55"/>
        <v>4902.5225137166262</v>
      </c>
      <c r="Q24" s="56">
        <f t="shared" si="55"/>
        <v>5726.0382585504376</v>
      </c>
      <c r="R24" s="56">
        <f t="shared" ref="R24" si="56">Q41*$F$3</f>
        <v>6645.693846370179</v>
      </c>
      <c r="S24" s="56">
        <f t="shared" ref="S24" si="57">R41*$F$3</f>
        <v>7670.9911244113673</v>
      </c>
      <c r="T24" s="56">
        <f t="shared" ref="T24" si="58">S41*$F$3</f>
        <v>8812.3856764007887</v>
      </c>
      <c r="U24" s="56">
        <f t="shared" ref="U24" si="59">T41*$F$3</f>
        <v>10081.382135642481</v>
      </c>
      <c r="V24" s="56">
        <f t="shared" ref="V24" si="60">U41*$F$3</f>
        <v>11490.639030707358</v>
      </c>
    </row>
    <row r="25" spans="1:122" x14ac:dyDescent="0.15">
      <c r="A25" s="7" t="s">
        <v>13</v>
      </c>
      <c r="B25" s="55">
        <f>B23+B24</f>
        <v>6194</v>
      </c>
      <c r="C25" s="55">
        <f>C23+C24</f>
        <v>12533</v>
      </c>
      <c r="D25" s="19">
        <f>D23+D24</f>
        <v>20594</v>
      </c>
      <c r="E25" s="19">
        <f>E23+E24</f>
        <v>25361</v>
      </c>
      <c r="F25" s="19">
        <f>F23+F24</f>
        <v>24812</v>
      </c>
      <c r="G25" s="56">
        <f t="shared" ref="G25" si="61">G23+G24</f>
        <v>35982.802500000013</v>
      </c>
      <c r="H25" s="56">
        <f t="shared" ref="H25:P25" si="62">H23+H24</f>
        <v>41048.106813750004</v>
      </c>
      <c r="I25" s="56">
        <f t="shared" si="62"/>
        <v>46398.936229963139</v>
      </c>
      <c r="J25" s="56">
        <f t="shared" si="62"/>
        <v>51871.076326809358</v>
      </c>
      <c r="K25" s="56">
        <f t="shared" si="62"/>
        <v>57200.88907032174</v>
      </c>
      <c r="L25" s="56">
        <f t="shared" si="62"/>
        <v>64721.533475620068</v>
      </c>
      <c r="M25" s="56">
        <f t="shared" si="62"/>
        <v>72977.885882970382</v>
      </c>
      <c r="N25" s="56">
        <f t="shared" si="62"/>
        <v>82044.001458719271</v>
      </c>
      <c r="O25" s="56">
        <f t="shared" si="62"/>
        <v>92001.332456424308</v>
      </c>
      <c r="P25" s="56">
        <f t="shared" si="62"/>
        <v>102939.46810422643</v>
      </c>
      <c r="Q25" s="56">
        <f>Q23+Q24</f>
        <v>114956.94847746771</v>
      </c>
      <c r="R25" s="56">
        <f t="shared" ref="R25:V25" si="63">R23+R24</f>
        <v>128162.1597551486</v>
      </c>
      <c r="S25" s="56">
        <f t="shared" si="63"/>
        <v>142674.3189986776</v>
      </c>
      <c r="T25" s="56">
        <f t="shared" si="63"/>
        <v>158624.55740521147</v>
      </c>
      <c r="U25" s="56">
        <f t="shared" si="63"/>
        <v>176157.1118831097</v>
      </c>
      <c r="V25" s="56">
        <f>V23+V24</f>
        <v>195430.63578178122</v>
      </c>
    </row>
    <row r="26" spans="1:122" x14ac:dyDescent="0.15">
      <c r="A26" s="7" t="s">
        <v>14</v>
      </c>
      <c r="B26" s="50">
        <f>SUM(Reports!B19:E19)</f>
        <v>2505</v>
      </c>
      <c r="C26" s="50">
        <f>SUM(Reports!F19:I19)</f>
        <v>3021</v>
      </c>
      <c r="D26" s="8">
        <f>SUM(Reports!J19:M19)</f>
        <v>4661</v>
      </c>
      <c r="E26" s="40">
        <f>SUM(Reports!N19:Q19)</f>
        <v>3248</v>
      </c>
      <c r="F26" s="40">
        <f>SUM(Reports!R19:U19)</f>
        <v>6327</v>
      </c>
      <c r="G26" s="56">
        <f t="shared" ref="G26:Q26" si="64">G25*0.2</f>
        <v>7196.5605000000032</v>
      </c>
      <c r="H26" s="56">
        <f t="shared" si="64"/>
        <v>8209.6213627500019</v>
      </c>
      <c r="I26" s="56">
        <f t="shared" si="64"/>
        <v>9279.7872459926275</v>
      </c>
      <c r="J26" s="56">
        <f t="shared" si="64"/>
        <v>10374.215265361872</v>
      </c>
      <c r="K26" s="56">
        <f t="shared" si="64"/>
        <v>11440.177814064349</v>
      </c>
      <c r="L26" s="56">
        <f t="shared" si="64"/>
        <v>12944.306695124014</v>
      </c>
      <c r="M26" s="56">
        <f t="shared" si="64"/>
        <v>14595.577176594077</v>
      </c>
      <c r="N26" s="56">
        <f t="shared" si="64"/>
        <v>16408.800291743853</v>
      </c>
      <c r="O26" s="56">
        <f t="shared" si="64"/>
        <v>18400.266491284863</v>
      </c>
      <c r="P26" s="56">
        <f t="shared" si="64"/>
        <v>20587.893620845287</v>
      </c>
      <c r="Q26" s="56">
        <f t="shared" si="64"/>
        <v>22991.389695493544</v>
      </c>
      <c r="R26" s="56">
        <f t="shared" ref="R26:V26" si="65">R25*0.2</f>
        <v>25632.431951029721</v>
      </c>
      <c r="S26" s="56">
        <f t="shared" si="65"/>
        <v>28534.863799735522</v>
      </c>
      <c r="T26" s="56">
        <f t="shared" si="65"/>
        <v>31724.911481042294</v>
      </c>
      <c r="U26" s="56">
        <f t="shared" si="65"/>
        <v>35231.422376621944</v>
      </c>
      <c r="V26" s="56">
        <f t="shared" si="65"/>
        <v>39086.127156356248</v>
      </c>
    </row>
    <row r="27" spans="1:122" s="15" customFormat="1" x14ac:dyDescent="0.15">
      <c r="A27" s="15" t="s">
        <v>15</v>
      </c>
      <c r="B27" s="53">
        <f>B25-B26</f>
        <v>3689</v>
      </c>
      <c r="C27" s="53">
        <f>C25-C26</f>
        <v>9512</v>
      </c>
      <c r="D27" s="16">
        <f>D25-D26</f>
        <v>15933</v>
      </c>
      <c r="E27" s="53">
        <f>E25-E26</f>
        <v>22113</v>
      </c>
      <c r="F27" s="53">
        <f>F25-F26</f>
        <v>18485</v>
      </c>
      <c r="G27" s="53">
        <f>G25-G26</f>
        <v>28786.242000000009</v>
      </c>
      <c r="H27" s="53">
        <f t="shared" ref="H27:P27" si="66">H25-H26</f>
        <v>32838.485451</v>
      </c>
      <c r="I27" s="53">
        <f t="shared" si="66"/>
        <v>37119.14898397051</v>
      </c>
      <c r="J27" s="53">
        <f t="shared" si="66"/>
        <v>41496.861061447489</v>
      </c>
      <c r="K27" s="53">
        <f t="shared" si="66"/>
        <v>45760.711256257389</v>
      </c>
      <c r="L27" s="53">
        <f t="shared" si="66"/>
        <v>51777.226780496057</v>
      </c>
      <c r="M27" s="53">
        <f t="shared" si="66"/>
        <v>58382.308706376309</v>
      </c>
      <c r="N27" s="53">
        <f t="shared" si="66"/>
        <v>65635.201166975414</v>
      </c>
      <c r="O27" s="53">
        <f t="shared" si="66"/>
        <v>73601.065965139453</v>
      </c>
      <c r="P27" s="53">
        <f t="shared" si="66"/>
        <v>82351.574483381148</v>
      </c>
      <c r="Q27" s="53">
        <f>Q25-Q26</f>
        <v>91965.558781974163</v>
      </c>
      <c r="R27" s="53">
        <f t="shared" ref="R27:V27" si="67">R25-R26</f>
        <v>102529.72780411888</v>
      </c>
      <c r="S27" s="53">
        <f t="shared" si="67"/>
        <v>114139.45519894207</v>
      </c>
      <c r="T27" s="53">
        <f t="shared" si="67"/>
        <v>126899.64592416918</v>
      </c>
      <c r="U27" s="53">
        <f t="shared" si="67"/>
        <v>140925.68950648775</v>
      </c>
      <c r="V27" s="53">
        <f>V25-V26</f>
        <v>156344.50862542499</v>
      </c>
      <c r="W27" s="53">
        <f t="shared" ref="S27:CD27" si="68">V27*($F$2+1)</f>
        <v>154781.06353917075</v>
      </c>
      <c r="X27" s="53">
        <f t="shared" si="68"/>
        <v>153233.25290377904</v>
      </c>
      <c r="Y27" s="53">
        <f t="shared" si="68"/>
        <v>151700.92037474125</v>
      </c>
      <c r="Z27" s="53">
        <f t="shared" si="68"/>
        <v>150183.91117099384</v>
      </c>
      <c r="AA27" s="53">
        <f t="shared" si="68"/>
        <v>148682.07205928391</v>
      </c>
      <c r="AB27" s="53">
        <f t="shared" si="68"/>
        <v>147195.25133869107</v>
      </c>
      <c r="AC27" s="53">
        <f t="shared" si="68"/>
        <v>145723.29882530417</v>
      </c>
      <c r="AD27" s="53">
        <f t="shared" si="68"/>
        <v>144266.06583705114</v>
      </c>
      <c r="AE27" s="53">
        <f t="shared" si="68"/>
        <v>142823.40517868064</v>
      </c>
      <c r="AF27" s="53">
        <f t="shared" si="68"/>
        <v>141395.17112689384</v>
      </c>
      <c r="AG27" s="53">
        <f t="shared" si="68"/>
        <v>139981.21941562489</v>
      </c>
      <c r="AH27" s="53">
        <f t="shared" si="68"/>
        <v>138581.40722146863</v>
      </c>
      <c r="AI27" s="53">
        <f t="shared" si="68"/>
        <v>137195.59314925395</v>
      </c>
      <c r="AJ27" s="53">
        <f t="shared" si="68"/>
        <v>135823.63721776142</v>
      </c>
      <c r="AK27" s="53">
        <f t="shared" si="68"/>
        <v>134465.40084558382</v>
      </c>
      <c r="AL27" s="53">
        <f t="shared" si="68"/>
        <v>133120.74683712798</v>
      </c>
      <c r="AM27" s="53">
        <f t="shared" si="68"/>
        <v>131789.5393687567</v>
      </c>
      <c r="AN27" s="53">
        <f t="shared" si="68"/>
        <v>130471.64397506914</v>
      </c>
      <c r="AO27" s="53">
        <f t="shared" si="68"/>
        <v>129166.92753531845</v>
      </c>
      <c r="AP27" s="53">
        <f t="shared" si="68"/>
        <v>127875.25825996527</v>
      </c>
      <c r="AQ27" s="53">
        <f t="shared" si="68"/>
        <v>126596.50567736561</v>
      </c>
      <c r="AR27" s="53">
        <f t="shared" si="68"/>
        <v>125330.54062059196</v>
      </c>
      <c r="AS27" s="53">
        <f t="shared" si="68"/>
        <v>124077.23521438603</v>
      </c>
      <c r="AT27" s="53">
        <f t="shared" si="68"/>
        <v>122836.46286224217</v>
      </c>
      <c r="AU27" s="53">
        <f t="shared" si="68"/>
        <v>121608.09823361975</v>
      </c>
      <c r="AV27" s="53">
        <f t="shared" si="68"/>
        <v>120392.01725128356</v>
      </c>
      <c r="AW27" s="53">
        <f t="shared" si="68"/>
        <v>119188.09707877072</v>
      </c>
      <c r="AX27" s="53">
        <f t="shared" si="68"/>
        <v>117996.21610798301</v>
      </c>
      <c r="AY27" s="53">
        <f t="shared" si="68"/>
        <v>116816.25394690318</v>
      </c>
      <c r="AZ27" s="53">
        <f t="shared" si="68"/>
        <v>115648.09140743414</v>
      </c>
      <c r="BA27" s="53">
        <f t="shared" si="68"/>
        <v>114491.6104933598</v>
      </c>
      <c r="BB27" s="53">
        <f t="shared" si="68"/>
        <v>113346.6943884262</v>
      </c>
      <c r="BC27" s="53">
        <f t="shared" si="68"/>
        <v>112213.22744454193</v>
      </c>
      <c r="BD27" s="53">
        <f t="shared" si="68"/>
        <v>111091.09517009651</v>
      </c>
      <c r="BE27" s="53">
        <f t="shared" si="68"/>
        <v>109980.18421839555</v>
      </c>
      <c r="BF27" s="53">
        <f t="shared" si="68"/>
        <v>108880.38237621159</v>
      </c>
      <c r="BG27" s="53">
        <f t="shared" si="68"/>
        <v>107791.57855244947</v>
      </c>
      <c r="BH27" s="53">
        <f t="shared" si="68"/>
        <v>106713.66276692497</v>
      </c>
      <c r="BI27" s="53">
        <f t="shared" si="68"/>
        <v>105646.52613925571</v>
      </c>
      <c r="BJ27" s="53">
        <f t="shared" si="68"/>
        <v>104590.06087786316</v>
      </c>
      <c r="BK27" s="53">
        <f t="shared" si="68"/>
        <v>103544.16026908453</v>
      </c>
      <c r="BL27" s="53">
        <f t="shared" si="68"/>
        <v>102508.71866639369</v>
      </c>
      <c r="BM27" s="53">
        <f t="shared" si="68"/>
        <v>101483.63147972975</v>
      </c>
      <c r="BN27" s="53">
        <f t="shared" si="68"/>
        <v>100468.79516493245</v>
      </c>
      <c r="BO27" s="53">
        <f t="shared" si="68"/>
        <v>99464.107213283132</v>
      </c>
      <c r="BP27" s="53">
        <f t="shared" si="68"/>
        <v>98469.466141150304</v>
      </c>
      <c r="BQ27" s="53">
        <f t="shared" si="68"/>
        <v>97484.771479738803</v>
      </c>
      <c r="BR27" s="53">
        <f t="shared" si="68"/>
        <v>96509.923764941414</v>
      </c>
      <c r="BS27" s="53">
        <f t="shared" si="68"/>
        <v>95544.824527292003</v>
      </c>
      <c r="BT27" s="53">
        <f t="shared" si="68"/>
        <v>94589.376282019075</v>
      </c>
      <c r="BU27" s="53">
        <f t="shared" si="68"/>
        <v>93643.482519198878</v>
      </c>
      <c r="BV27" s="53">
        <f t="shared" si="68"/>
        <v>92707.047694006891</v>
      </c>
      <c r="BW27" s="53">
        <f t="shared" si="68"/>
        <v>91779.977217066815</v>
      </c>
      <c r="BX27" s="53">
        <f t="shared" si="68"/>
        <v>90862.177444896151</v>
      </c>
      <c r="BY27" s="53">
        <f t="shared" si="68"/>
        <v>89953.555670447182</v>
      </c>
      <c r="BZ27" s="53">
        <f t="shared" si="68"/>
        <v>89054.020113742707</v>
      </c>
      <c r="CA27" s="53">
        <f t="shared" si="68"/>
        <v>88163.479912605282</v>
      </c>
      <c r="CB27" s="53">
        <f t="shared" si="68"/>
        <v>87281.845113479227</v>
      </c>
      <c r="CC27" s="53">
        <f t="shared" si="68"/>
        <v>86409.026662344433</v>
      </c>
      <c r="CD27" s="53">
        <f t="shared" si="68"/>
        <v>85544.936395720986</v>
      </c>
      <c r="CE27" s="53">
        <f t="shared" ref="CE27:DR27" si="69">CD27*($F$2+1)</f>
        <v>84689.487031763769</v>
      </c>
      <c r="CF27" s="53">
        <f t="shared" si="69"/>
        <v>83842.592161446126</v>
      </c>
      <c r="CG27" s="53">
        <f t="shared" si="69"/>
        <v>83004.166239831669</v>
      </c>
      <c r="CH27" s="53">
        <f t="shared" si="69"/>
        <v>82174.124577433351</v>
      </c>
      <c r="CI27" s="53">
        <f t="shared" si="69"/>
        <v>81352.383331659017</v>
      </c>
      <c r="CJ27" s="53">
        <f t="shared" si="69"/>
        <v>80538.859498342426</v>
      </c>
      <c r="CK27" s="53">
        <f t="shared" si="69"/>
        <v>79733.470903359004</v>
      </c>
      <c r="CL27" s="53">
        <f t="shared" si="69"/>
        <v>78936.136194325416</v>
      </c>
      <c r="CM27" s="53">
        <f t="shared" si="69"/>
        <v>78146.774832382158</v>
      </c>
      <c r="CN27" s="53">
        <f t="shared" si="69"/>
        <v>77365.307084058339</v>
      </c>
      <c r="CO27" s="53">
        <f t="shared" si="69"/>
        <v>76591.654013217762</v>
      </c>
      <c r="CP27" s="53">
        <f t="shared" si="69"/>
        <v>75825.737473085581</v>
      </c>
      <c r="CQ27" s="53">
        <f t="shared" si="69"/>
        <v>75067.480098354717</v>
      </c>
      <c r="CR27" s="53">
        <f t="shared" si="69"/>
        <v>74316.805297371175</v>
      </c>
      <c r="CS27" s="53">
        <f t="shared" si="69"/>
        <v>73573.637244397469</v>
      </c>
      <c r="CT27" s="53">
        <f t="shared" si="69"/>
        <v>72837.90087195349</v>
      </c>
      <c r="CU27" s="53">
        <f t="shared" si="69"/>
        <v>72109.521863233953</v>
      </c>
      <c r="CV27" s="53">
        <f t="shared" si="69"/>
        <v>71388.426644601612</v>
      </c>
      <c r="CW27" s="53">
        <f t="shared" si="69"/>
        <v>70674.542378155602</v>
      </c>
      <c r="CX27" s="53">
        <f t="shared" si="69"/>
        <v>69967.796954374047</v>
      </c>
      <c r="CY27" s="53">
        <f t="shared" si="69"/>
        <v>69268.118984830304</v>
      </c>
      <c r="CZ27" s="53">
        <f t="shared" si="69"/>
        <v>68575.437794982005</v>
      </c>
      <c r="DA27" s="53">
        <f t="shared" si="69"/>
        <v>67889.683417032182</v>
      </c>
      <c r="DB27" s="53">
        <f t="shared" si="69"/>
        <v>67210.786582861852</v>
      </c>
      <c r="DC27" s="53">
        <f t="shared" si="69"/>
        <v>66538.678717033239</v>
      </c>
      <c r="DD27" s="53">
        <f t="shared" si="69"/>
        <v>65873.291929862913</v>
      </c>
      <c r="DE27" s="53">
        <f t="shared" si="69"/>
        <v>65214.559010564284</v>
      </c>
      <c r="DF27" s="53">
        <f t="shared" si="69"/>
        <v>64562.413420458637</v>
      </c>
      <c r="DG27" s="53">
        <f t="shared" si="69"/>
        <v>63916.789286254047</v>
      </c>
      <c r="DH27" s="53">
        <f t="shared" si="69"/>
        <v>63277.621393391506</v>
      </c>
      <c r="DI27" s="53">
        <f t="shared" si="69"/>
        <v>62644.845179457589</v>
      </c>
      <c r="DJ27" s="53">
        <f t="shared" si="69"/>
        <v>62018.396727663014</v>
      </c>
      <c r="DK27" s="53">
        <f t="shared" si="69"/>
        <v>61398.212760386385</v>
      </c>
      <c r="DL27" s="53">
        <f t="shared" si="69"/>
        <v>60784.230632782521</v>
      </c>
      <c r="DM27" s="53">
        <f t="shared" si="69"/>
        <v>60176.388326454697</v>
      </c>
      <c r="DN27" s="53">
        <f t="shared" si="69"/>
        <v>59574.62444319015</v>
      </c>
      <c r="DO27" s="53">
        <f t="shared" si="69"/>
        <v>58978.878198758248</v>
      </c>
      <c r="DP27" s="53">
        <f t="shared" si="69"/>
        <v>58389.089416770665</v>
      </c>
      <c r="DQ27" s="53">
        <f t="shared" si="69"/>
        <v>57805.198522602957</v>
      </c>
      <c r="DR27" s="53">
        <f t="shared" si="69"/>
        <v>57227.146537376924</v>
      </c>
    </row>
    <row r="28" spans="1:122" x14ac:dyDescent="0.15">
      <c r="A28" s="7" t="s">
        <v>16</v>
      </c>
      <c r="B28" s="57">
        <f>B27/B29</f>
        <v>1.2817929117442668</v>
      </c>
      <c r="C28" s="57">
        <f>C27/C29</f>
        <v>3.2375765827093259</v>
      </c>
      <c r="D28" s="22">
        <f>D27/D29</f>
        <v>5.4846815834767639</v>
      </c>
      <c r="E28" s="22">
        <f>E27/E29</f>
        <v>7.6621621621621623</v>
      </c>
      <c r="F28" s="22">
        <f>F27/F29</f>
        <v>6.4385231626610935</v>
      </c>
      <c r="G28" s="58">
        <f t="shared" ref="G28" si="70">G27/G29</f>
        <v>10.026555903866251</v>
      </c>
      <c r="H28" s="58">
        <f>H27/H29</f>
        <v>11.437995629049112</v>
      </c>
      <c r="I28" s="58">
        <f t="shared" ref="I28:Q28" si="71">I27/I29</f>
        <v>12.928996511309826</v>
      </c>
      <c r="J28" s="58">
        <f t="shared" si="71"/>
        <v>14.45380043937565</v>
      </c>
      <c r="K28" s="58">
        <f t="shared" si="71"/>
        <v>15.938945056167674</v>
      </c>
      <c r="L28" s="58">
        <f t="shared" si="71"/>
        <v>18.034561748692461</v>
      </c>
      <c r="M28" s="58">
        <f t="shared" si="71"/>
        <v>20.335182412530934</v>
      </c>
      <c r="N28" s="58">
        <f t="shared" si="71"/>
        <v>22.861442412739606</v>
      </c>
      <c r="O28" s="58">
        <f t="shared" si="71"/>
        <v>25.636038302033946</v>
      </c>
      <c r="P28" s="58">
        <f t="shared" si="71"/>
        <v>28.683933989335127</v>
      </c>
      <c r="Q28" s="58">
        <f t="shared" si="71"/>
        <v>32.032587524198597</v>
      </c>
      <c r="R28" s="58">
        <f t="shared" ref="R28:V28" si="72">R27/R29</f>
        <v>35.712200558731759</v>
      </c>
      <c r="S28" s="58">
        <f t="shared" si="72"/>
        <v>39.755992754769096</v>
      </c>
      <c r="T28" s="58">
        <f t="shared" si="72"/>
        <v>44.200503630849589</v>
      </c>
      <c r="U28" s="58">
        <f t="shared" si="72"/>
        <v>49.085924592994687</v>
      </c>
      <c r="V28" s="58">
        <f t="shared" si="72"/>
        <v>54.456464167685475</v>
      </c>
    </row>
    <row r="29" spans="1:122" x14ac:dyDescent="0.15">
      <c r="A29" s="7" t="s">
        <v>17</v>
      </c>
      <c r="B29" s="50">
        <f>Reports!E22</f>
        <v>2878</v>
      </c>
      <c r="C29" s="50">
        <f>Reports!I22</f>
        <v>2938</v>
      </c>
      <c r="D29" s="8">
        <f>Reports!M22</f>
        <v>2905</v>
      </c>
      <c r="E29" s="50">
        <f>Reports!Q22</f>
        <v>2886</v>
      </c>
      <c r="F29" s="50">
        <f>Reports!U22</f>
        <v>2871</v>
      </c>
      <c r="G29" s="50">
        <f t="shared" ref="G29" si="73">F29</f>
        <v>2871</v>
      </c>
      <c r="H29" s="50">
        <f t="shared" ref="H29" si="74">G29</f>
        <v>2871</v>
      </c>
      <c r="I29" s="50">
        <f t="shared" ref="I29" si="75">H29</f>
        <v>2871</v>
      </c>
      <c r="J29" s="50">
        <f t="shared" ref="J29" si="76">I29</f>
        <v>2871</v>
      </c>
      <c r="K29" s="50">
        <f t="shared" ref="K29" si="77">J29</f>
        <v>2871</v>
      </c>
      <c r="L29" s="50">
        <f t="shared" ref="L29" si="78">K29</f>
        <v>2871</v>
      </c>
      <c r="M29" s="50">
        <f t="shared" ref="M29" si="79">L29</f>
        <v>2871</v>
      </c>
      <c r="N29" s="50">
        <f t="shared" ref="N29" si="80">M29</f>
        <v>2871</v>
      </c>
      <c r="O29" s="50">
        <f t="shared" ref="O29" si="81">N29</f>
        <v>2871</v>
      </c>
      <c r="P29" s="50">
        <f t="shared" ref="P29" si="82">O29</f>
        <v>2871</v>
      </c>
      <c r="Q29" s="50">
        <f t="shared" ref="Q29" si="83">P29</f>
        <v>2871</v>
      </c>
      <c r="R29" s="50">
        <f t="shared" ref="R29" si="84">Q29</f>
        <v>2871</v>
      </c>
      <c r="S29" s="50">
        <f t="shared" ref="S29" si="85">R29</f>
        <v>2871</v>
      </c>
      <c r="T29" s="50">
        <f t="shared" ref="T29" si="86">S29</f>
        <v>2871</v>
      </c>
      <c r="U29" s="50">
        <f t="shared" ref="U29" si="87">T29</f>
        <v>2871</v>
      </c>
      <c r="V29" s="50">
        <f t="shared" ref="V29" si="88">U29</f>
        <v>2871</v>
      </c>
    </row>
    <row r="30" spans="1:122" x14ac:dyDescent="0.15">
      <c r="B30" s="37"/>
      <c r="C30" s="37"/>
      <c r="D30" s="13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</row>
    <row r="31" spans="1:122" x14ac:dyDescent="0.15">
      <c r="A31" s="15" t="s">
        <v>18</v>
      </c>
      <c r="B31" s="59"/>
      <c r="C31" s="60">
        <f>C16/B16-1</f>
        <v>0.54169688179840469</v>
      </c>
      <c r="D31" s="61">
        <f>D16/C16-1</f>
        <v>0.47090961719371882</v>
      </c>
      <c r="E31" s="60">
        <f>E16/D16-1</f>
        <v>0.37352716896661997</v>
      </c>
      <c r="F31" s="60">
        <f>F16/E16-1</f>
        <v>0.26610910132884413</v>
      </c>
      <c r="G31" s="60">
        <f t="shared" ref="G31:Q31" si="89">G16/F16-1</f>
        <v>0.20750000000000002</v>
      </c>
      <c r="H31" s="60">
        <f t="shared" si="89"/>
        <v>0.20750000000000002</v>
      </c>
      <c r="I31" s="60">
        <f t="shared" si="89"/>
        <v>0.20750000000000002</v>
      </c>
      <c r="J31" s="60">
        <f t="shared" si="89"/>
        <v>0.2074999999999998</v>
      </c>
      <c r="K31" s="60">
        <f t="shared" si="89"/>
        <v>0.20750000000000024</v>
      </c>
      <c r="L31" s="60">
        <f t="shared" si="89"/>
        <v>0.10000000000000009</v>
      </c>
      <c r="M31" s="60">
        <f t="shared" si="89"/>
        <v>0.10000000000000009</v>
      </c>
      <c r="N31" s="60">
        <f t="shared" si="89"/>
        <v>0.10000000000000009</v>
      </c>
      <c r="O31" s="60">
        <f t="shared" si="89"/>
        <v>0.10000000000000009</v>
      </c>
      <c r="P31" s="60">
        <f t="shared" si="89"/>
        <v>0.10000000000000009</v>
      </c>
      <c r="Q31" s="60">
        <f t="shared" si="89"/>
        <v>0.10000000000000009</v>
      </c>
      <c r="R31" s="60">
        <f t="shared" ref="R31" si="90">R16/Q16-1</f>
        <v>0.10000000000000009</v>
      </c>
      <c r="S31" s="60">
        <f t="shared" ref="S31" si="91">S16/R16-1</f>
        <v>0.10000000000000009</v>
      </c>
      <c r="T31" s="60">
        <f t="shared" ref="T31" si="92">T16/S16-1</f>
        <v>0.10000000000000009</v>
      </c>
      <c r="U31" s="60">
        <f t="shared" ref="U31" si="93">U16/T16-1</f>
        <v>0.10000000000000009</v>
      </c>
      <c r="V31" s="60">
        <f t="shared" ref="V31" si="94">V16/U16-1</f>
        <v>0.10000000000000009</v>
      </c>
    </row>
    <row r="32" spans="1:122" x14ac:dyDescent="0.15">
      <c r="A32" s="7" t="s">
        <v>69</v>
      </c>
      <c r="B32" s="62"/>
      <c r="C32" s="63">
        <f>C19/B19-1</f>
        <v>0.22648951629644998</v>
      </c>
      <c r="D32" s="33">
        <f t="shared" ref="D32:Q32" si="95">D19/C19-1</f>
        <v>0.3124576844955993</v>
      </c>
      <c r="E32" s="63">
        <f t="shared" si="95"/>
        <v>0.3248645860201187</v>
      </c>
      <c r="F32" s="63">
        <f t="shared" si="95"/>
        <v>0.32385865861968277</v>
      </c>
      <c r="G32" s="63">
        <f t="shared" si="95"/>
        <v>0.30000000000000004</v>
      </c>
      <c r="H32" s="63">
        <f t="shared" si="95"/>
        <v>0.30000000000000004</v>
      </c>
      <c r="I32" s="63">
        <f t="shared" si="95"/>
        <v>0.30000000000000004</v>
      </c>
      <c r="J32" s="63">
        <f t="shared" si="95"/>
        <v>0.30000000000000004</v>
      </c>
      <c r="K32" s="63">
        <f t="shared" si="95"/>
        <v>0.30000000000000004</v>
      </c>
      <c r="L32" s="63">
        <f t="shared" si="95"/>
        <v>0.10000000000000009</v>
      </c>
      <c r="M32" s="63">
        <f t="shared" si="95"/>
        <v>0.10000000000000009</v>
      </c>
      <c r="N32" s="63">
        <f t="shared" si="95"/>
        <v>0.10000000000000009</v>
      </c>
      <c r="O32" s="63">
        <f t="shared" si="95"/>
        <v>0.10000000000000009</v>
      </c>
      <c r="P32" s="63">
        <f t="shared" si="95"/>
        <v>0.10000000000000009</v>
      </c>
      <c r="Q32" s="63">
        <f t="shared" si="95"/>
        <v>0.10000000000000009</v>
      </c>
      <c r="R32" s="63">
        <f t="shared" ref="R32:R34" si="96">R19/Q19-1</f>
        <v>0.10000000000000009</v>
      </c>
      <c r="S32" s="63">
        <f t="shared" ref="S32:S34" si="97">S19/R19-1</f>
        <v>0.10000000000000009</v>
      </c>
      <c r="T32" s="63">
        <f t="shared" ref="T32:T34" si="98">T19/S19-1</f>
        <v>0.10000000000000009</v>
      </c>
      <c r="U32" s="63">
        <f t="shared" ref="U32:U34" si="99">U19/T19-1</f>
        <v>0.10000000000000009</v>
      </c>
      <c r="V32" s="63">
        <f t="shared" ref="V32:V34" si="100">V19/U19-1</f>
        <v>0.10000000000000009</v>
      </c>
    </row>
    <row r="33" spans="1:22" x14ac:dyDescent="0.15">
      <c r="A33" s="7" t="s">
        <v>70</v>
      </c>
      <c r="B33" s="62"/>
      <c r="C33" s="63">
        <f>C20/B20-1</f>
        <v>0.38325991189427322</v>
      </c>
      <c r="D33" s="33">
        <f t="shared" ref="D33:Q33" si="101">D20/C20-1</f>
        <v>0.25398089171974525</v>
      </c>
      <c r="E33" s="63">
        <f t="shared" si="101"/>
        <v>0.66031746031746041</v>
      </c>
      <c r="F33" s="63">
        <f t="shared" si="101"/>
        <v>0.25889101338432119</v>
      </c>
      <c r="G33" s="63">
        <f t="shared" si="101"/>
        <v>0.25</v>
      </c>
      <c r="H33" s="63">
        <f t="shared" si="101"/>
        <v>0.25</v>
      </c>
      <c r="I33" s="63">
        <f t="shared" si="101"/>
        <v>0.25</v>
      </c>
      <c r="J33" s="63">
        <f t="shared" si="101"/>
        <v>0.25</v>
      </c>
      <c r="K33" s="63">
        <f t="shared" si="101"/>
        <v>0.25</v>
      </c>
      <c r="L33" s="63">
        <f t="shared" si="101"/>
        <v>0.10000000000000009</v>
      </c>
      <c r="M33" s="63">
        <f t="shared" si="101"/>
        <v>0.10000000000000009</v>
      </c>
      <c r="N33" s="63">
        <f t="shared" si="101"/>
        <v>0.10000000000000009</v>
      </c>
      <c r="O33" s="63">
        <f t="shared" si="101"/>
        <v>0.10000000000000009</v>
      </c>
      <c r="P33" s="63">
        <f t="shared" si="101"/>
        <v>0.10000000000000009</v>
      </c>
      <c r="Q33" s="63">
        <f t="shared" si="101"/>
        <v>0.10000000000000009</v>
      </c>
      <c r="R33" s="63">
        <f t="shared" si="96"/>
        <v>0.10000000000000009</v>
      </c>
      <c r="S33" s="63">
        <f t="shared" si="97"/>
        <v>0.10000000000000009</v>
      </c>
      <c r="T33" s="63">
        <f t="shared" si="98"/>
        <v>0.10000000000000009</v>
      </c>
      <c r="U33" s="63">
        <f t="shared" si="99"/>
        <v>0.10000000000000009</v>
      </c>
      <c r="V33" s="63">
        <f t="shared" si="100"/>
        <v>0.10000000000000009</v>
      </c>
    </row>
    <row r="34" spans="1:22" x14ac:dyDescent="0.15">
      <c r="A34" s="7" t="s">
        <v>71</v>
      </c>
      <c r="B34" s="62"/>
      <c r="C34" s="63">
        <f>C21/B21-1</f>
        <v>0.33667953667953676</v>
      </c>
      <c r="D34" s="33">
        <f t="shared" ref="D34:Q34" si="102">D21/C21-1</f>
        <v>0.45407279029462733</v>
      </c>
      <c r="E34" s="63">
        <f t="shared" si="102"/>
        <v>0.37147397695669437</v>
      </c>
      <c r="F34" s="63">
        <f t="shared" si="102"/>
        <v>2.0315758980301273</v>
      </c>
      <c r="G34" s="63">
        <f t="shared" si="102"/>
        <v>-0.57118012422360243</v>
      </c>
      <c r="H34" s="63">
        <f t="shared" si="102"/>
        <v>0.30000000000000004</v>
      </c>
      <c r="I34" s="63">
        <f t="shared" si="102"/>
        <v>0.30000000000000004</v>
      </c>
      <c r="J34" s="63">
        <f t="shared" si="102"/>
        <v>0.30000000000000004</v>
      </c>
      <c r="K34" s="63">
        <f t="shared" si="102"/>
        <v>0.30000000000000004</v>
      </c>
      <c r="L34" s="63">
        <f t="shared" si="102"/>
        <v>-2.0000000000000018E-2</v>
      </c>
      <c r="M34" s="63">
        <f t="shared" si="102"/>
        <v>-1.9999999999999907E-2</v>
      </c>
      <c r="N34" s="63">
        <f t="shared" si="102"/>
        <v>-2.0000000000000018E-2</v>
      </c>
      <c r="O34" s="63">
        <f t="shared" si="102"/>
        <v>-2.0000000000000018E-2</v>
      </c>
      <c r="P34" s="63">
        <f t="shared" si="102"/>
        <v>-2.0000000000000018E-2</v>
      </c>
      <c r="Q34" s="63">
        <f t="shared" si="102"/>
        <v>-2.0000000000000018E-2</v>
      </c>
      <c r="R34" s="63">
        <f t="shared" si="96"/>
        <v>-1.9999999999999907E-2</v>
      </c>
      <c r="S34" s="63">
        <f t="shared" si="97"/>
        <v>-2.0000000000000018E-2</v>
      </c>
      <c r="T34" s="63">
        <f t="shared" si="98"/>
        <v>-2.0000000000000129E-2</v>
      </c>
      <c r="U34" s="63">
        <f t="shared" si="99"/>
        <v>-2.0000000000000018E-2</v>
      </c>
      <c r="V34" s="63">
        <f t="shared" si="100"/>
        <v>-2.0000000000000018E-2</v>
      </c>
    </row>
    <row r="35" spans="1:22" s="41" customFormat="1" x14ac:dyDescent="0.15">
      <c r="A35" s="41" t="s">
        <v>104</v>
      </c>
      <c r="B35" s="47"/>
      <c r="C35" s="91">
        <f>C22/B22-1</f>
        <v>0.29096876414667272</v>
      </c>
      <c r="D35" s="91">
        <f>D22/C22-1</f>
        <v>0.31463136670465497</v>
      </c>
      <c r="E35" s="91">
        <f>E22/D22-1</f>
        <v>0.43838356895172037</v>
      </c>
      <c r="F35" s="91">
        <f>F22/E22-1</f>
        <v>0.5735280482151135</v>
      </c>
      <c r="G35" s="91">
        <f>G22/F22-1</f>
        <v>1.6840988774638355E-2</v>
      </c>
      <c r="H35" s="91">
        <f>H22/G22-1</f>
        <v>0.28211522748213724</v>
      </c>
      <c r="I35" s="91">
        <f t="shared" ref="I35:Q35" si="103">I22/H22-1</f>
        <v>0.28256321649713767</v>
      </c>
      <c r="J35" s="91">
        <f t="shared" si="103"/>
        <v>0.28300592197076613</v>
      </c>
      <c r="K35" s="91">
        <f t="shared" si="103"/>
        <v>0.283443102504225</v>
      </c>
      <c r="L35" s="91">
        <f t="shared" si="103"/>
        <v>8.3541888633064998E-2</v>
      </c>
      <c r="M35" s="91">
        <f t="shared" si="103"/>
        <v>8.5114604881640687E-2</v>
      </c>
      <c r="N35" s="91">
        <f t="shared" si="103"/>
        <v>8.655654697636006E-2</v>
      </c>
      <c r="O35" s="91">
        <f t="shared" si="103"/>
        <v>8.7874921006339424E-2</v>
      </c>
      <c r="P35" s="91">
        <f t="shared" si="103"/>
        <v>8.9077257702755874E-2</v>
      </c>
      <c r="Q35" s="91">
        <f t="shared" si="103"/>
        <v>9.0171232228392739E-2</v>
      </c>
      <c r="R35" s="91">
        <f t="shared" ref="R35:V35" si="104">R22/Q22-1</f>
        <v>9.1164514223617488E-2</v>
      </c>
      <c r="S35" s="91">
        <f t="shared" si="104"/>
        <v>9.2064646578966736E-2</v>
      </c>
      <c r="T35" s="91">
        <f t="shared" si="104"/>
        <v>9.2878950548418437E-2</v>
      </c>
      <c r="U35" s="91">
        <f t="shared" si="104"/>
        <v>9.3614454318981855E-2</v>
      </c>
      <c r="V35" s="91">
        <f t="shared" si="104"/>
        <v>9.4277841937180362E-2</v>
      </c>
    </row>
    <row r="36" spans="1:22" x14ac:dyDescent="0.15">
      <c r="B36" s="62"/>
      <c r="C36" s="62"/>
      <c r="D36" s="14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</row>
    <row r="37" spans="1:22" x14ac:dyDescent="0.15">
      <c r="A37" s="7" t="s">
        <v>19</v>
      </c>
      <c r="B37" s="64">
        <f>IFERROR(B18/B16,0)</f>
        <v>0.84012941373347461</v>
      </c>
      <c r="C37" s="64">
        <f>IFERROR(C18/C16,0)</f>
        <v>0.86294232578334173</v>
      </c>
      <c r="D37" s="30">
        <f>IFERROR(D18/D16,0)</f>
        <v>0.86581556096721024</v>
      </c>
      <c r="E37" s="64">
        <f>IFERROR(E18/E16,0)</f>
        <v>0.8324617643898421</v>
      </c>
      <c r="F37" s="64">
        <f>IFERROR(F18/F16,0)</f>
        <v>0.81936998741106415</v>
      </c>
      <c r="G37" s="64">
        <f t="shared" ref="G37:Q37" si="105">IFERROR(G18/G16,0)</f>
        <v>0.81936998741106415</v>
      </c>
      <c r="H37" s="64">
        <f t="shared" si="105"/>
        <v>0.81936998741106426</v>
      </c>
      <c r="I37" s="64">
        <f t="shared" si="105"/>
        <v>0.81936998741106426</v>
      </c>
      <c r="J37" s="64">
        <f t="shared" si="105"/>
        <v>0.81936998741106426</v>
      </c>
      <c r="K37" s="64">
        <f t="shared" si="105"/>
        <v>0.81936998741106426</v>
      </c>
      <c r="L37" s="64">
        <f t="shared" si="105"/>
        <v>0.81936998741106426</v>
      </c>
      <c r="M37" s="64">
        <f t="shared" si="105"/>
        <v>0.81936998741106426</v>
      </c>
      <c r="N37" s="64">
        <f t="shared" si="105"/>
        <v>0.81936998741106426</v>
      </c>
      <c r="O37" s="64">
        <f t="shared" si="105"/>
        <v>0.81936998741106426</v>
      </c>
      <c r="P37" s="64">
        <f t="shared" si="105"/>
        <v>0.81936998741106426</v>
      </c>
      <c r="Q37" s="64">
        <f t="shared" si="105"/>
        <v>0.81936998741106426</v>
      </c>
      <c r="R37" s="64">
        <f t="shared" ref="R37:V37" si="106">IFERROR(R18/R16,0)</f>
        <v>0.81936998741106426</v>
      </c>
      <c r="S37" s="64">
        <f t="shared" si="106"/>
        <v>0.81936998741106426</v>
      </c>
      <c r="T37" s="64">
        <f t="shared" si="106"/>
        <v>0.81936998741106437</v>
      </c>
      <c r="U37" s="64">
        <f t="shared" si="106"/>
        <v>0.81936998741106437</v>
      </c>
      <c r="V37" s="64">
        <f t="shared" si="106"/>
        <v>0.81936998741106437</v>
      </c>
    </row>
    <row r="38" spans="1:22" x14ac:dyDescent="0.15">
      <c r="A38" s="7" t="s">
        <v>20</v>
      </c>
      <c r="B38" s="63">
        <f>IFERROR(B23/B16,0)</f>
        <v>0.34724159089641321</v>
      </c>
      <c r="C38" s="63">
        <f>IFERROR(C23/C16,0)</f>
        <v>0.45021347420218538</v>
      </c>
      <c r="D38" s="33">
        <f>IFERROR(D23/D16,0)</f>
        <v>0.49693749538779425</v>
      </c>
      <c r="E38" s="63">
        <f>IFERROR(E23/E16,0)</f>
        <v>0.44616569361366809</v>
      </c>
      <c r="F38" s="63">
        <f t="shared" ref="F38:Q38" si="107">IFERROR(F23/F16,0)</f>
        <v>0.33927889443682191</v>
      </c>
      <c r="G38" s="63">
        <f t="shared" si="107"/>
        <v>0.41508319512797914</v>
      </c>
      <c r="H38" s="63">
        <f t="shared" si="107"/>
        <v>0.39010104111205701</v>
      </c>
      <c r="I38" s="63">
        <f t="shared" si="107"/>
        <v>0.36341590003417668</v>
      </c>
      <c r="J38" s="63">
        <f t="shared" si="107"/>
        <v>0.33490473337270155</v>
      </c>
      <c r="K38" s="63">
        <f t="shared" si="107"/>
        <v>0.30443533838539671</v>
      </c>
      <c r="L38" s="63">
        <f t="shared" si="107"/>
        <v>0.31213974911299497</v>
      </c>
      <c r="M38" s="63">
        <f t="shared" si="107"/>
        <v>0.31900367867030988</v>
      </c>
      <c r="N38" s="63">
        <f t="shared" si="107"/>
        <v>0.32511881591228114</v>
      </c>
      <c r="O38" s="63">
        <f t="shared" si="107"/>
        <v>0.33056684727331032</v>
      </c>
      <c r="P38" s="63">
        <f t="shared" si="107"/>
        <v>0.33542054794040899</v>
      </c>
      <c r="Q38" s="63">
        <f t="shared" si="107"/>
        <v>0.33974475398927861</v>
      </c>
      <c r="R38" s="63">
        <f t="shared" ref="R38:V38" si="108">IFERROR(R23/R16,0)</f>
        <v>0.34359722846918078</v>
      </c>
      <c r="S38" s="63">
        <f t="shared" si="108"/>
        <v>0.34702943300582073</v>
      </c>
      <c r="T38" s="63">
        <f t="shared" si="108"/>
        <v>0.35008721522937281</v>
      </c>
      <c r="U38" s="63">
        <f t="shared" si="108"/>
        <v>0.35281142121035558</v>
      </c>
      <c r="V38" s="63">
        <f t="shared" si="108"/>
        <v>0.35523844108432201</v>
      </c>
    </row>
    <row r="39" spans="1:22" x14ac:dyDescent="0.15">
      <c r="A39" s="7" t="s">
        <v>21</v>
      </c>
      <c r="B39" s="63">
        <f>IFERROR(B26/B25,0)</f>
        <v>0.40442363577655793</v>
      </c>
      <c r="C39" s="63">
        <f>IFERROR(C26/C25,0)</f>
        <v>0.24104364477778664</v>
      </c>
      <c r="D39" s="33">
        <f>IFERROR(D26/D25,0)</f>
        <v>0.22632805671554823</v>
      </c>
      <c r="E39" s="63">
        <f t="shared" ref="E39:Q39" si="109">IFERROR(E26/E25,0)</f>
        <v>0.12807065967430306</v>
      </c>
      <c r="F39" s="63">
        <f t="shared" si="109"/>
        <v>0.25499758181525067</v>
      </c>
      <c r="G39" s="63">
        <f t="shared" si="109"/>
        <v>0.2</v>
      </c>
      <c r="H39" s="63">
        <f t="shared" si="109"/>
        <v>0.20000000000000004</v>
      </c>
      <c r="I39" s="63">
        <f t="shared" si="109"/>
        <v>0.19999999999999998</v>
      </c>
      <c r="J39" s="63">
        <f t="shared" si="109"/>
        <v>0.2</v>
      </c>
      <c r="K39" s="63">
        <f t="shared" si="109"/>
        <v>0.2</v>
      </c>
      <c r="L39" s="63">
        <f t="shared" si="109"/>
        <v>0.2</v>
      </c>
      <c r="M39" s="63">
        <f t="shared" si="109"/>
        <v>0.2</v>
      </c>
      <c r="N39" s="63">
        <f t="shared" si="109"/>
        <v>0.19999999999999998</v>
      </c>
      <c r="O39" s="63">
        <f t="shared" si="109"/>
        <v>0.2</v>
      </c>
      <c r="P39" s="63">
        <f t="shared" si="109"/>
        <v>0.2</v>
      </c>
      <c r="Q39" s="63">
        <f t="shared" si="109"/>
        <v>0.2</v>
      </c>
      <c r="R39" s="63">
        <f t="shared" ref="R39:V39" si="110">IFERROR(R26/R25,0)</f>
        <v>0.2</v>
      </c>
      <c r="S39" s="63">
        <f t="shared" si="110"/>
        <v>0.2</v>
      </c>
      <c r="T39" s="63">
        <f t="shared" si="110"/>
        <v>0.2</v>
      </c>
      <c r="U39" s="63">
        <f t="shared" si="110"/>
        <v>0.2</v>
      </c>
      <c r="V39" s="63">
        <f t="shared" si="110"/>
        <v>0.2</v>
      </c>
    </row>
    <row r="40" spans="1:22" x14ac:dyDescent="0.15">
      <c r="B40" s="62"/>
      <c r="C40" s="62"/>
      <c r="D40" s="14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</row>
    <row r="41" spans="1:22" x14ac:dyDescent="0.15">
      <c r="A41" s="15" t="s">
        <v>33</v>
      </c>
      <c r="B41" s="53">
        <f>B42-B43</f>
        <v>18434</v>
      </c>
      <c r="C41" s="53">
        <f>C42-C43</f>
        <v>29449</v>
      </c>
      <c r="D41" s="53">
        <f>D42-D43</f>
        <v>41711</v>
      </c>
      <c r="E41" s="53">
        <f>E42-E43</f>
        <v>41114</v>
      </c>
      <c r="F41" s="53">
        <f>F42-F43</f>
        <v>54855</v>
      </c>
      <c r="G41" s="65">
        <f>F41+G27</f>
        <v>83641.242000000013</v>
      </c>
      <c r="H41" s="65">
        <f t="shared" ref="H41:Q41" si="111">G41+H27</f>
        <v>116479.72745100001</v>
      </c>
      <c r="I41" s="65">
        <f t="shared" si="111"/>
        <v>153598.87643497053</v>
      </c>
      <c r="J41" s="65">
        <f t="shared" si="111"/>
        <v>195095.73749641801</v>
      </c>
      <c r="K41" s="65">
        <f t="shared" si="111"/>
        <v>240856.44875267538</v>
      </c>
      <c r="L41" s="65">
        <f t="shared" si="111"/>
        <v>292633.67553317145</v>
      </c>
      <c r="M41" s="65">
        <f t="shared" si="111"/>
        <v>351015.98423954775</v>
      </c>
      <c r="N41" s="65">
        <f t="shared" si="111"/>
        <v>416651.18540652317</v>
      </c>
      <c r="O41" s="65">
        <f t="shared" si="111"/>
        <v>490252.2513716626</v>
      </c>
      <c r="P41" s="65">
        <f t="shared" si="111"/>
        <v>572603.82585504372</v>
      </c>
      <c r="Q41" s="65">
        <f t="shared" si="111"/>
        <v>664569.38463701785</v>
      </c>
      <c r="R41" s="65">
        <f t="shared" ref="R41" si="112">Q41+R27</f>
        <v>767099.11244113673</v>
      </c>
      <c r="S41" s="65">
        <f t="shared" ref="S41" si="113">R41+S27</f>
        <v>881238.56764007884</v>
      </c>
      <c r="T41" s="65">
        <f t="shared" ref="T41" si="114">S41+T27</f>
        <v>1008138.2135642481</v>
      </c>
      <c r="U41" s="65">
        <f t="shared" ref="U41" si="115">T41+U27</f>
        <v>1149063.9030707357</v>
      </c>
      <c r="V41" s="65">
        <f t="shared" ref="V41" si="116">U41+V27</f>
        <v>1305408.4116961607</v>
      </c>
    </row>
    <row r="42" spans="1:22" s="40" customFormat="1" x14ac:dyDescent="0.15">
      <c r="A42" s="40" t="s">
        <v>34</v>
      </c>
      <c r="B42" s="89">
        <f>Reports!E34</f>
        <v>18434</v>
      </c>
      <c r="C42" s="89">
        <f>Reports!I34</f>
        <v>29449</v>
      </c>
      <c r="D42" s="10">
        <f>Reports!M34</f>
        <v>41711</v>
      </c>
      <c r="E42" s="89">
        <f>Reports!Q34</f>
        <v>41114</v>
      </c>
      <c r="F42" s="89">
        <f>Reports!U34</f>
        <v>54855</v>
      </c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s="40" customFormat="1" x14ac:dyDescent="0.15">
      <c r="A43" s="40" t="s">
        <v>35</v>
      </c>
      <c r="B43" s="89">
        <f>Reports!E35</f>
        <v>0</v>
      </c>
      <c r="C43" s="89">
        <f>Reports!I35</f>
        <v>0</v>
      </c>
      <c r="D43" s="10">
        <f>Reports!M35</f>
        <v>0</v>
      </c>
      <c r="E43" s="89">
        <f>Reports!Q35</f>
        <v>0</v>
      </c>
      <c r="F43" s="89">
        <f>Reports!U35</f>
        <v>0</v>
      </c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s="40" customFormat="1" x14ac:dyDescent="0.15">
      <c r="B44" s="89"/>
      <c r="C44" s="89"/>
      <c r="D44" s="10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s="40" customFormat="1" x14ac:dyDescent="0.15">
      <c r="A45" s="40" t="s">
        <v>83</v>
      </c>
      <c r="B45" s="89"/>
      <c r="C45" s="89"/>
      <c r="D45" s="10">
        <f>Reports!M37</f>
        <v>20105</v>
      </c>
      <c r="E45" s="89">
        <f>Reports!Q37</f>
        <v>19595</v>
      </c>
      <c r="F45" s="89">
        <f>Reports!U37</f>
        <v>19609</v>
      </c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s="40" customFormat="1" x14ac:dyDescent="0.15">
      <c r="A46" s="40" t="s">
        <v>84</v>
      </c>
      <c r="B46" s="89"/>
      <c r="C46" s="89"/>
      <c r="D46" s="10">
        <f>Reports!M38</f>
        <v>84524</v>
      </c>
      <c r="E46" s="89">
        <f>Reports!Q38</f>
        <v>97334</v>
      </c>
      <c r="F46" s="89">
        <f>Reports!U38</f>
        <v>133376</v>
      </c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s="40" customFormat="1" x14ac:dyDescent="0.15">
      <c r="A47" s="40" t="s">
        <v>85</v>
      </c>
      <c r="B47" s="89"/>
      <c r="C47" s="89"/>
      <c r="D47" s="10">
        <f>Reports!M39</f>
        <v>10177</v>
      </c>
      <c r="E47" s="89">
        <f>Reports!Q39</f>
        <v>13207</v>
      </c>
      <c r="F47" s="89">
        <f>Reports!U39</f>
        <v>32322</v>
      </c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s="40" customFormat="1" x14ac:dyDescent="0.15">
      <c r="B48" s="89"/>
      <c r="C48" s="89"/>
      <c r="D48" s="10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s="40" customFormat="1" x14ac:dyDescent="0.15">
      <c r="A49" s="78" t="s">
        <v>86</v>
      </c>
      <c r="B49" s="89"/>
      <c r="C49" s="89"/>
      <c r="D49" s="21">
        <f>D46-D45-D42</f>
        <v>22708</v>
      </c>
      <c r="E49" s="21">
        <f>E46-E45-E42</f>
        <v>36625</v>
      </c>
      <c r="F49" s="21">
        <f>F46-F45-F42</f>
        <v>58912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s="40" customFormat="1" x14ac:dyDescent="0.15">
      <c r="A50" s="78" t="s">
        <v>87</v>
      </c>
      <c r="B50" s="89"/>
      <c r="C50" s="89"/>
      <c r="D50" s="21">
        <f>D46-D47</f>
        <v>74347</v>
      </c>
      <c r="E50" s="21">
        <f>E46-E47</f>
        <v>84127</v>
      </c>
      <c r="F50" s="21">
        <f>F46-F47</f>
        <v>101054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x14ac:dyDescent="0.15">
      <c r="B51" s="66"/>
      <c r="C51" s="66"/>
      <c r="D51" s="67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 spans="1:22" x14ac:dyDescent="0.15">
      <c r="A52" s="7" t="s">
        <v>79</v>
      </c>
      <c r="B52" s="66"/>
      <c r="C52" s="66"/>
      <c r="D52" s="32">
        <f>D27/D50</f>
        <v>0.21430588994848482</v>
      </c>
      <c r="E52" s="32">
        <f>E27/E50</f>
        <v>0.2628525919146053</v>
      </c>
      <c r="F52" s="32">
        <f>F27/F50</f>
        <v>0.18292200209788825</v>
      </c>
      <c r="G52" s="74"/>
      <c r="H52" s="74"/>
      <c r="I52" s="74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 spans="1:22" x14ac:dyDescent="0.15">
      <c r="A53" s="7" t="s">
        <v>80</v>
      </c>
      <c r="B53" s="66"/>
      <c r="C53" s="66"/>
      <c r="D53" s="32">
        <f>D27/D46</f>
        <v>0.18850267379679145</v>
      </c>
      <c r="E53" s="32">
        <f>E27/E46</f>
        <v>0.22718680009041034</v>
      </c>
      <c r="F53" s="32">
        <f>F27/F46</f>
        <v>0.13859315019193857</v>
      </c>
      <c r="G53" s="74"/>
      <c r="H53" s="74"/>
      <c r="I53" s="7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 spans="1:22" x14ac:dyDescent="0.15">
      <c r="A54" s="7" t="s">
        <v>81</v>
      </c>
      <c r="B54" s="66"/>
      <c r="C54" s="66"/>
      <c r="D54" s="32">
        <f>D27/(D50-D45)</f>
        <v>0.29373916890970098</v>
      </c>
      <c r="E54" s="32">
        <f>E27/(E50-E45)</f>
        <v>0.34266720386784849</v>
      </c>
      <c r="F54" s="32">
        <f>F27/(F50-F45)</f>
        <v>0.22696298115292529</v>
      </c>
      <c r="G54" s="74"/>
      <c r="H54" s="74"/>
      <c r="I54" s="74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 spans="1:22" x14ac:dyDescent="0.15">
      <c r="A55" s="7" t="s">
        <v>82</v>
      </c>
      <c r="B55" s="68"/>
      <c r="C55" s="68"/>
      <c r="D55" s="70">
        <f>D27/D49</f>
        <v>0.70164699665316188</v>
      </c>
      <c r="E55" s="70">
        <f>E27/E49</f>
        <v>0.6037679180887372</v>
      </c>
      <c r="F55" s="70">
        <f>F27/F49</f>
        <v>0.31377308527973929</v>
      </c>
      <c r="G55" s="49"/>
      <c r="H55" s="49"/>
      <c r="I55" s="49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</row>
    <row r="56" spans="1:22" x14ac:dyDescent="0.15">
      <c r="B56" s="68"/>
      <c r="C56" s="68"/>
      <c r="D56" s="69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</row>
    <row r="57" spans="1:22" x14ac:dyDescent="0.15">
      <c r="A57" s="7" t="s">
        <v>73</v>
      </c>
      <c r="C57" s="49">
        <f>C13/B13-1</f>
        <v>0.18269230769230771</v>
      </c>
      <c r="D57" s="70">
        <f>D13/C13-1</f>
        <v>0.13821138211382111</v>
      </c>
      <c r="E57" s="49">
        <f t="shared" ref="E57:K57" si="117">E13/D13-1</f>
        <v>8.5714285714285632E-2</v>
      </c>
      <c r="F57" s="49">
        <f t="shared" si="117"/>
        <v>9.210526315789469E-2</v>
      </c>
      <c r="G57" s="49">
        <f t="shared" si="117"/>
        <v>5.0000000000000044E-2</v>
      </c>
      <c r="H57" s="49">
        <f t="shared" si="117"/>
        <v>5.0000000000000044E-2</v>
      </c>
      <c r="I57" s="49">
        <f t="shared" si="117"/>
        <v>5.0000000000000044E-2</v>
      </c>
      <c r="J57" s="49">
        <f t="shared" si="117"/>
        <v>5.0000000000000044E-2</v>
      </c>
      <c r="K57" s="49">
        <f t="shared" si="117"/>
        <v>5.0000000000000044E-2</v>
      </c>
    </row>
    <row r="58" spans="1:22" x14ac:dyDescent="0.15">
      <c r="A58" s="7" t="s">
        <v>75</v>
      </c>
      <c r="C58" s="49">
        <f>C14/B14-1</f>
        <v>0.30354858298401677</v>
      </c>
      <c r="D58" s="70">
        <f>D14/C14-1</f>
        <v>0.29229916367733866</v>
      </c>
      <c r="E58" s="49">
        <f t="shared" ref="E58:K58" si="118">E14/D14-1</f>
        <v>0.26509081352188679</v>
      </c>
      <c r="F58" s="49">
        <f t="shared" si="118"/>
        <v>0.15932881567460444</v>
      </c>
      <c r="G58" s="49">
        <f t="shared" si="118"/>
        <v>0.14999999999999991</v>
      </c>
      <c r="H58" s="49">
        <f t="shared" si="118"/>
        <v>0.14999999999999991</v>
      </c>
      <c r="I58" s="49">
        <f t="shared" si="118"/>
        <v>0.14999999999999991</v>
      </c>
      <c r="J58" s="49">
        <f t="shared" si="118"/>
        <v>0.14999999999999991</v>
      </c>
      <c r="K58" s="49">
        <f t="shared" si="118"/>
        <v>0.14999999999999991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zoomScale="120" zoomScaleNormal="12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Y9" sqref="Y9"/>
    </sheetView>
  </sheetViews>
  <sheetFormatPr baseColWidth="10" defaultRowHeight="13" x14ac:dyDescent="0.15"/>
  <cols>
    <col min="1" max="1" width="17.1640625" style="36" bestFit="1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5" s="2" customFormat="1" x14ac:dyDescent="0.15">
      <c r="A1" s="76" t="s">
        <v>60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3" t="s">
        <v>93</v>
      </c>
      <c r="S1" s="2" t="s">
        <v>94</v>
      </c>
      <c r="T1" s="2" t="s">
        <v>95</v>
      </c>
      <c r="U1" s="2" t="s">
        <v>96</v>
      </c>
      <c r="V1" s="3" t="s">
        <v>97</v>
      </c>
      <c r="W1" s="2" t="s">
        <v>98</v>
      </c>
      <c r="X1" s="2" t="s">
        <v>99</v>
      </c>
      <c r="Y1" s="2" t="s">
        <v>100</v>
      </c>
    </row>
    <row r="2" spans="1:25" s="2" customFormat="1" x14ac:dyDescent="0.15">
      <c r="A2" s="76"/>
      <c r="B2" s="2" t="s">
        <v>54</v>
      </c>
      <c r="C2" s="2" t="s">
        <v>55</v>
      </c>
      <c r="D2" s="2" t="s">
        <v>56</v>
      </c>
      <c r="E2" s="2" t="s">
        <v>57</v>
      </c>
      <c r="F2" s="3" t="s">
        <v>29</v>
      </c>
      <c r="G2" s="2" t="s">
        <v>28</v>
      </c>
      <c r="H2" s="2" t="s">
        <v>27</v>
      </c>
      <c r="I2" s="2" t="s">
        <v>32</v>
      </c>
      <c r="J2" s="3" t="s">
        <v>31</v>
      </c>
      <c r="K2" s="2" t="s">
        <v>30</v>
      </c>
      <c r="L2" s="2" t="s">
        <v>26</v>
      </c>
      <c r="M2" s="2" t="s">
        <v>36</v>
      </c>
      <c r="N2" s="3" t="s">
        <v>46</v>
      </c>
      <c r="O2" s="2" t="s">
        <v>47</v>
      </c>
      <c r="P2" s="2" t="s">
        <v>48</v>
      </c>
      <c r="Q2" s="2" t="s">
        <v>49</v>
      </c>
      <c r="R2" s="87">
        <v>43555</v>
      </c>
      <c r="S2" s="86">
        <v>43646</v>
      </c>
      <c r="T2" s="86">
        <v>43738</v>
      </c>
      <c r="U2" s="86">
        <v>43830</v>
      </c>
      <c r="V2" s="87">
        <v>43921</v>
      </c>
      <c r="W2" s="86">
        <v>44012</v>
      </c>
      <c r="X2" s="86">
        <v>44104</v>
      </c>
    </row>
    <row r="3" spans="1:25" s="40" customFormat="1" x14ac:dyDescent="0.15">
      <c r="A3" s="78" t="s">
        <v>58</v>
      </c>
      <c r="B3" s="5">
        <v>3317</v>
      </c>
      <c r="C3" s="5">
        <v>3827</v>
      </c>
      <c r="D3" s="5">
        <v>4299</v>
      </c>
      <c r="E3" s="5">
        <v>5637</v>
      </c>
      <c r="F3" s="4">
        <v>5201</v>
      </c>
      <c r="G3" s="5">
        <v>6239</v>
      </c>
      <c r="H3" s="5">
        <v>6816</v>
      </c>
      <c r="I3" s="5">
        <v>8629</v>
      </c>
      <c r="J3" s="4">
        <v>7857</v>
      </c>
      <c r="K3" s="8">
        <v>9164</v>
      </c>
      <c r="L3" s="8">
        <v>10142</v>
      </c>
      <c r="M3" s="8">
        <v>12779</v>
      </c>
      <c r="N3" s="4">
        <v>11795</v>
      </c>
      <c r="O3" s="8">
        <v>13038</v>
      </c>
      <c r="P3" s="8">
        <v>13539</v>
      </c>
      <c r="Q3" s="9">
        <v>16640</v>
      </c>
      <c r="R3" s="88">
        <v>14912</v>
      </c>
      <c r="S3" s="40">
        <v>16624</v>
      </c>
      <c r="T3" s="40">
        <v>17383</v>
      </c>
      <c r="U3" s="40">
        <v>20736</v>
      </c>
      <c r="V3" s="88">
        <v>17440</v>
      </c>
      <c r="W3" s="40">
        <v>18321</v>
      </c>
      <c r="X3" s="40">
        <v>21221</v>
      </c>
    </row>
    <row r="4" spans="1:25" s="40" customFormat="1" x14ac:dyDescent="0.15">
      <c r="A4" s="78" t="s">
        <v>72</v>
      </c>
      <c r="B4" s="5">
        <v>226</v>
      </c>
      <c r="C4" s="5">
        <v>215</v>
      </c>
      <c r="D4" s="5">
        <v>202</v>
      </c>
      <c r="E4" s="5">
        <v>204</v>
      </c>
      <c r="F4" s="4">
        <v>181</v>
      </c>
      <c r="G4" s="5">
        <v>197</v>
      </c>
      <c r="H4" s="5">
        <v>195</v>
      </c>
      <c r="I4" s="5">
        <v>180</v>
      </c>
      <c r="J4" s="4">
        <v>175</v>
      </c>
      <c r="K4" s="8">
        <v>157</v>
      </c>
      <c r="L4" s="8">
        <v>186</v>
      </c>
      <c r="M4" s="8">
        <v>193</v>
      </c>
      <c r="N4" s="4">
        <v>171</v>
      </c>
      <c r="O4" s="8">
        <v>193</v>
      </c>
      <c r="P4" s="8">
        <v>188</v>
      </c>
      <c r="Q4" s="9">
        <v>274</v>
      </c>
      <c r="R4" s="88">
        <v>165</v>
      </c>
      <c r="S4" s="40">
        <v>262</v>
      </c>
      <c r="T4" s="40">
        <v>269</v>
      </c>
      <c r="U4" s="40">
        <v>346</v>
      </c>
      <c r="V4" s="88">
        <v>297</v>
      </c>
      <c r="W4" s="40">
        <v>366</v>
      </c>
      <c r="X4" s="40">
        <v>249</v>
      </c>
    </row>
    <row r="5" spans="1:25" s="40" customFormat="1" x14ac:dyDescent="0.15">
      <c r="A5" s="78"/>
      <c r="B5" s="5"/>
      <c r="C5" s="5"/>
      <c r="D5" s="5"/>
      <c r="E5" s="5"/>
      <c r="F5" s="4"/>
      <c r="G5" s="5"/>
      <c r="H5" s="5"/>
      <c r="I5" s="5"/>
      <c r="J5" s="4"/>
      <c r="K5" s="8"/>
      <c r="L5" s="8"/>
      <c r="M5" s="8"/>
      <c r="N5" s="4"/>
      <c r="O5" s="8"/>
      <c r="P5" s="8"/>
      <c r="Q5" s="9"/>
      <c r="R5" s="88"/>
      <c r="V5" s="88"/>
    </row>
    <row r="6" spans="1:25" s="40" customFormat="1" x14ac:dyDescent="0.15">
      <c r="A6" s="78" t="s">
        <v>59</v>
      </c>
      <c r="B6" s="5">
        <v>936</v>
      </c>
      <c r="C6" s="5">
        <v>968</v>
      </c>
      <c r="D6" s="5">
        <v>1010</v>
      </c>
      <c r="E6" s="5">
        <v>1040</v>
      </c>
      <c r="F6" s="4">
        <v>1090</v>
      </c>
      <c r="G6" s="5">
        <v>1130</v>
      </c>
      <c r="H6" s="5">
        <v>1180</v>
      </c>
      <c r="I6" s="5">
        <v>1230</v>
      </c>
      <c r="J6" s="4">
        <v>1280</v>
      </c>
      <c r="K6" s="5">
        <v>1320</v>
      </c>
      <c r="L6" s="5">
        <v>1370</v>
      </c>
      <c r="M6" s="5">
        <v>1400</v>
      </c>
      <c r="N6" s="4">
        <v>1450</v>
      </c>
      <c r="O6" s="5">
        <v>1470</v>
      </c>
      <c r="P6" s="5">
        <v>1490</v>
      </c>
      <c r="Q6" s="10">
        <v>1520</v>
      </c>
      <c r="R6" s="88">
        <v>1560</v>
      </c>
      <c r="S6" s="40">
        <v>1590</v>
      </c>
      <c r="T6" s="40">
        <v>1620</v>
      </c>
      <c r="U6" s="40">
        <v>1660</v>
      </c>
      <c r="V6" s="88">
        <v>1730</v>
      </c>
      <c r="W6" s="40">
        <v>1790</v>
      </c>
      <c r="X6" s="40">
        <v>1820</v>
      </c>
    </row>
    <row r="7" spans="1:25" s="83" customFormat="1" x14ac:dyDescent="0.15">
      <c r="A7" s="79" t="s">
        <v>74</v>
      </c>
      <c r="B7" s="80">
        <f>SUM(B3:B4)/B6</f>
        <v>3.7852564102564101</v>
      </c>
      <c r="C7" s="80">
        <f t="shared" ref="C7:M7" si="0">C9/C6</f>
        <v>4.1756198347107434</v>
      </c>
      <c r="D7" s="80">
        <f t="shared" si="0"/>
        <v>4.4564356435643564</v>
      </c>
      <c r="E7" s="80">
        <f t="shared" si="0"/>
        <v>5.6163461538461537</v>
      </c>
      <c r="F7" s="81">
        <f t="shared" si="0"/>
        <v>4.9376146788990827</v>
      </c>
      <c r="G7" s="80">
        <f t="shared" si="0"/>
        <v>5.6955752212389381</v>
      </c>
      <c r="H7" s="80">
        <f t="shared" si="0"/>
        <v>5.9415254237288133</v>
      </c>
      <c r="I7" s="80">
        <f t="shared" si="0"/>
        <v>7.1617886178861792</v>
      </c>
      <c r="J7" s="81">
        <f t="shared" si="0"/>
        <v>6.2750000000000004</v>
      </c>
      <c r="K7" s="80">
        <f t="shared" si="0"/>
        <v>7.0613636363636365</v>
      </c>
      <c r="L7" s="80">
        <f t="shared" si="0"/>
        <v>7.5386861313868616</v>
      </c>
      <c r="M7" s="80">
        <f t="shared" si="0"/>
        <v>9.2657142857142851</v>
      </c>
      <c r="N7" s="81">
        <f>SUM(N3:N4)/N6</f>
        <v>8.2524137931034485</v>
      </c>
      <c r="O7" s="82">
        <f>SUM(O3:O4)/O6</f>
        <v>9.000680272108843</v>
      </c>
      <c r="P7" s="82">
        <f>SUM(P3:P4)/P6</f>
        <v>9.2127516778523493</v>
      </c>
      <c r="Q7" s="82">
        <f>SUM(Q3:Q4)/Q6</f>
        <v>11.127631578947369</v>
      </c>
      <c r="R7" s="81">
        <f>SUM(R3:R4)/R6</f>
        <v>9.6647435897435905</v>
      </c>
      <c r="S7" s="82">
        <f>SUM(S3:S4)/S6</f>
        <v>10.620125786163522</v>
      </c>
      <c r="T7" s="82">
        <f>SUM(T3:T4)/T6</f>
        <v>10.896296296296295</v>
      </c>
      <c r="U7" s="82">
        <f>SUM(U3:U4)/U6</f>
        <v>12.7</v>
      </c>
      <c r="V7" s="81">
        <f>SUM(V3:V4)/V6</f>
        <v>10.252601156069364</v>
      </c>
      <c r="W7" s="82">
        <f>SUM(W3:W4)/W6</f>
        <v>10.439664804469274</v>
      </c>
      <c r="X7" s="82">
        <f>SUM(X3:X4)/X6</f>
        <v>11.796703296703297</v>
      </c>
    </row>
    <row r="8" spans="1:25" x14ac:dyDescent="0.15">
      <c r="I8" s="5"/>
      <c r="K8" s="13"/>
      <c r="L8" s="13"/>
      <c r="M8" s="13"/>
      <c r="O8" s="13"/>
      <c r="P8" s="13"/>
      <c r="Q8" s="14"/>
    </row>
    <row r="9" spans="1:25" s="85" customFormat="1" x14ac:dyDescent="0.15">
      <c r="A9" s="84" t="s">
        <v>4</v>
      </c>
      <c r="B9" s="16">
        <f>SUM(B3:B4)</f>
        <v>3543</v>
      </c>
      <c r="C9" s="16">
        <f>SUM(C3:C4)</f>
        <v>4042</v>
      </c>
      <c r="D9" s="16">
        <f t="shared" ref="D9:L9" si="1">SUM(D3:D4)</f>
        <v>4501</v>
      </c>
      <c r="E9" s="16">
        <f t="shared" si="1"/>
        <v>5841</v>
      </c>
      <c r="F9" s="17">
        <f t="shared" si="1"/>
        <v>5382</v>
      </c>
      <c r="G9" s="18">
        <f t="shared" si="1"/>
        <v>6436</v>
      </c>
      <c r="H9" s="18">
        <f t="shared" si="1"/>
        <v>7011</v>
      </c>
      <c r="I9" s="18">
        <f t="shared" si="1"/>
        <v>8809</v>
      </c>
      <c r="J9" s="17">
        <f t="shared" si="1"/>
        <v>8032</v>
      </c>
      <c r="K9" s="16">
        <f t="shared" si="1"/>
        <v>9321</v>
      </c>
      <c r="L9" s="16">
        <f t="shared" si="1"/>
        <v>10328</v>
      </c>
      <c r="M9" s="16">
        <f>SUM(M3:M4)</f>
        <v>12972</v>
      </c>
      <c r="N9" s="17">
        <f t="shared" ref="N9:P9" si="2">SUM(N3:N4)</f>
        <v>11966</v>
      </c>
      <c r="O9" s="16">
        <f t="shared" si="2"/>
        <v>13231</v>
      </c>
      <c r="P9" s="16">
        <f t="shared" si="2"/>
        <v>13727</v>
      </c>
      <c r="Q9" s="16">
        <f>SUM(Q3:Q4)</f>
        <v>16914</v>
      </c>
      <c r="R9" s="17">
        <f>SUM(R3:R4)</f>
        <v>15077</v>
      </c>
      <c r="S9" s="16">
        <f>SUM(S3:S4)</f>
        <v>16886</v>
      </c>
      <c r="T9" s="16">
        <f>SUM(T3:T4)</f>
        <v>17652</v>
      </c>
      <c r="U9" s="16">
        <f>SUM(U3:U4)</f>
        <v>21082</v>
      </c>
      <c r="V9" s="17">
        <f>SUM(V3:V4)</f>
        <v>17737</v>
      </c>
      <c r="W9" s="16">
        <f>SUM(W3:W4)</f>
        <v>18687</v>
      </c>
      <c r="X9" s="16">
        <f>SUM(X3:X4)</f>
        <v>21470</v>
      </c>
    </row>
    <row r="10" spans="1:25" s="40" customFormat="1" x14ac:dyDescent="0.15">
      <c r="A10" s="78" t="s">
        <v>5</v>
      </c>
      <c r="B10" s="8">
        <v>654</v>
      </c>
      <c r="C10" s="8">
        <v>668</v>
      </c>
      <c r="D10" s="8">
        <v>720</v>
      </c>
      <c r="E10" s="8">
        <v>824</v>
      </c>
      <c r="F10" s="4">
        <v>838</v>
      </c>
      <c r="G10" s="5">
        <v>916</v>
      </c>
      <c r="H10" s="5">
        <v>987</v>
      </c>
      <c r="I10" s="5">
        <v>1047</v>
      </c>
      <c r="J10" s="4">
        <v>1159</v>
      </c>
      <c r="K10" s="8">
        <v>1237</v>
      </c>
      <c r="L10" s="8">
        <v>1448</v>
      </c>
      <c r="M10" s="8">
        <v>1611</v>
      </c>
      <c r="N10" s="4">
        <v>1927</v>
      </c>
      <c r="O10" s="8">
        <v>2214</v>
      </c>
      <c r="P10" s="8">
        <v>2418</v>
      </c>
      <c r="Q10" s="9">
        <v>2796</v>
      </c>
      <c r="R10" s="88">
        <v>2816</v>
      </c>
      <c r="S10" s="40">
        <v>3307</v>
      </c>
      <c r="T10" s="40">
        <v>3155</v>
      </c>
      <c r="U10" s="40">
        <v>3492</v>
      </c>
      <c r="V10" s="88">
        <v>3459</v>
      </c>
      <c r="W10" s="40">
        <v>3829</v>
      </c>
      <c r="X10" s="40">
        <v>4194</v>
      </c>
    </row>
    <row r="11" spans="1:25" s="40" customFormat="1" x14ac:dyDescent="0.15">
      <c r="A11" s="78" t="s">
        <v>6</v>
      </c>
      <c r="B11" s="19">
        <f>B9-B10</f>
        <v>2889</v>
      </c>
      <c r="C11" s="19">
        <f>C9-C10</f>
        <v>3374</v>
      </c>
      <c r="D11" s="19">
        <f>D9-D10</f>
        <v>3781</v>
      </c>
      <c r="E11" s="19">
        <f>E9-E10</f>
        <v>5017</v>
      </c>
      <c r="F11" s="20">
        <f>F9-F10</f>
        <v>4544</v>
      </c>
      <c r="G11" s="21">
        <f t="shared" ref="G11:L11" si="3">G9-G10</f>
        <v>5520</v>
      </c>
      <c r="H11" s="21">
        <f t="shared" si="3"/>
        <v>6024</v>
      </c>
      <c r="I11" s="21">
        <f t="shared" si="3"/>
        <v>7762</v>
      </c>
      <c r="J11" s="20">
        <f t="shared" si="3"/>
        <v>6873</v>
      </c>
      <c r="K11" s="19">
        <f t="shared" si="3"/>
        <v>8084</v>
      </c>
      <c r="L11" s="19">
        <f t="shared" si="3"/>
        <v>8880</v>
      </c>
      <c r="M11" s="19">
        <f t="shared" ref="M11:Q11" si="4">M9-M10</f>
        <v>11361</v>
      </c>
      <c r="N11" s="20">
        <f t="shared" si="4"/>
        <v>10039</v>
      </c>
      <c r="O11" s="19">
        <f t="shared" si="4"/>
        <v>11017</v>
      </c>
      <c r="P11" s="19">
        <f t="shared" si="4"/>
        <v>11309</v>
      </c>
      <c r="Q11" s="19">
        <f t="shared" si="4"/>
        <v>14118</v>
      </c>
      <c r="R11" s="20">
        <f t="shared" ref="R11:T11" si="5">R9-R10</f>
        <v>12261</v>
      </c>
      <c r="S11" s="19">
        <f t="shared" si="5"/>
        <v>13579</v>
      </c>
      <c r="T11" s="19">
        <f t="shared" si="5"/>
        <v>14497</v>
      </c>
      <c r="U11" s="19">
        <f t="shared" ref="U11:X11" si="6">U9-U10</f>
        <v>17590</v>
      </c>
      <c r="V11" s="20">
        <f t="shared" si="6"/>
        <v>14278</v>
      </c>
      <c r="W11" s="19">
        <f t="shared" si="6"/>
        <v>14858</v>
      </c>
      <c r="X11" s="19">
        <f t="shared" si="6"/>
        <v>17276</v>
      </c>
    </row>
    <row r="12" spans="1:25" s="40" customFormat="1" x14ac:dyDescent="0.15">
      <c r="A12" s="78" t="s">
        <v>7</v>
      </c>
      <c r="B12" s="8">
        <v>1062</v>
      </c>
      <c r="C12" s="8">
        <v>1170</v>
      </c>
      <c r="D12" s="8">
        <v>1271</v>
      </c>
      <c r="E12" s="8">
        <v>1314</v>
      </c>
      <c r="F12" s="4">
        <v>1343</v>
      </c>
      <c r="G12" s="5">
        <v>1463</v>
      </c>
      <c r="H12" s="5">
        <v>1539</v>
      </c>
      <c r="I12" s="5">
        <v>1563</v>
      </c>
      <c r="J12" s="4">
        <v>1834</v>
      </c>
      <c r="K12" s="8">
        <v>1919</v>
      </c>
      <c r="L12" s="8">
        <v>2052</v>
      </c>
      <c r="M12" s="8">
        <v>1949</v>
      </c>
      <c r="N12" s="4">
        <v>2238</v>
      </c>
      <c r="O12" s="8">
        <v>2523</v>
      </c>
      <c r="P12" s="8">
        <v>2657</v>
      </c>
      <c r="Q12" s="9">
        <v>2855</v>
      </c>
      <c r="R12" s="88">
        <v>2860</v>
      </c>
      <c r="S12" s="40">
        <v>3315</v>
      </c>
      <c r="T12" s="40">
        <v>3548</v>
      </c>
      <c r="U12" s="40">
        <v>3877</v>
      </c>
      <c r="V12" s="88">
        <v>4015</v>
      </c>
      <c r="W12" s="40">
        <v>4462</v>
      </c>
      <c r="X12" s="40">
        <v>4763</v>
      </c>
    </row>
    <row r="13" spans="1:25" s="40" customFormat="1" x14ac:dyDescent="0.15">
      <c r="A13" s="78" t="s">
        <v>8</v>
      </c>
      <c r="B13" s="8">
        <v>620</v>
      </c>
      <c r="C13" s="8">
        <v>626</v>
      </c>
      <c r="D13" s="8">
        <v>706</v>
      </c>
      <c r="E13" s="8">
        <v>772</v>
      </c>
      <c r="F13" s="4">
        <v>826</v>
      </c>
      <c r="G13" s="5">
        <v>899</v>
      </c>
      <c r="H13" s="5">
        <v>925</v>
      </c>
      <c r="I13" s="5">
        <v>1118</v>
      </c>
      <c r="J13" s="4">
        <v>1057</v>
      </c>
      <c r="K13" s="8">
        <v>1124</v>
      </c>
      <c r="L13" s="8">
        <v>1170</v>
      </c>
      <c r="M13" s="8">
        <v>1374</v>
      </c>
      <c r="N13" s="4">
        <v>1595</v>
      </c>
      <c r="O13" s="8">
        <v>1855</v>
      </c>
      <c r="P13" s="8">
        <v>1928</v>
      </c>
      <c r="Q13" s="9">
        <v>2467</v>
      </c>
      <c r="R13" s="88">
        <v>2020</v>
      </c>
      <c r="S13" s="40">
        <v>2414</v>
      </c>
      <c r="T13" s="40">
        <v>2416</v>
      </c>
      <c r="U13" s="40">
        <v>3026</v>
      </c>
      <c r="V13" s="88">
        <v>2787</v>
      </c>
      <c r="W13" s="40">
        <v>2840</v>
      </c>
      <c r="X13" s="40">
        <v>2683</v>
      </c>
    </row>
    <row r="14" spans="1:25" s="40" customFormat="1" x14ac:dyDescent="0.15">
      <c r="A14" s="78" t="s">
        <v>9</v>
      </c>
      <c r="B14" s="8">
        <v>274</v>
      </c>
      <c r="C14" s="8">
        <v>305</v>
      </c>
      <c r="D14" s="8">
        <v>345</v>
      </c>
      <c r="E14" s="8">
        <v>371</v>
      </c>
      <c r="F14" s="4">
        <v>366</v>
      </c>
      <c r="G14" s="5">
        <v>412</v>
      </c>
      <c r="H14" s="5">
        <v>438</v>
      </c>
      <c r="I14" s="5">
        <v>515</v>
      </c>
      <c r="J14" s="4">
        <v>655</v>
      </c>
      <c r="K14" s="8">
        <v>640</v>
      </c>
      <c r="L14" s="8">
        <v>536</v>
      </c>
      <c r="M14" s="8">
        <v>686</v>
      </c>
      <c r="N14" s="4">
        <v>757</v>
      </c>
      <c r="O14" s="8">
        <v>776</v>
      </c>
      <c r="P14" s="8">
        <v>943</v>
      </c>
      <c r="Q14" s="9">
        <v>976</v>
      </c>
      <c r="R14" s="88">
        <v>4064</v>
      </c>
      <c r="S14" s="40">
        <v>3224</v>
      </c>
      <c r="T14" s="40">
        <v>1348</v>
      </c>
      <c r="U14" s="40">
        <v>1829</v>
      </c>
      <c r="V14" s="88">
        <v>1583</v>
      </c>
      <c r="W14" s="40">
        <v>1593</v>
      </c>
      <c r="X14" s="40">
        <v>1790</v>
      </c>
    </row>
    <row r="15" spans="1:25" s="40" customFormat="1" x14ac:dyDescent="0.15">
      <c r="A15" s="78" t="s">
        <v>10</v>
      </c>
      <c r="B15" s="19">
        <f>SUM(B12:B14)</f>
        <v>1956</v>
      </c>
      <c r="C15" s="19">
        <f>SUM(C12:C14)</f>
        <v>2101</v>
      </c>
      <c r="D15" s="19">
        <f>SUM(D12:D14)</f>
        <v>2322</v>
      </c>
      <c r="E15" s="19">
        <f>SUM(E12:E14)</f>
        <v>2457</v>
      </c>
      <c r="F15" s="20">
        <f>SUM(F12:F14)</f>
        <v>2535</v>
      </c>
      <c r="G15" s="21">
        <f t="shared" ref="G15:L15" si="7">SUM(G12:G14)</f>
        <v>2774</v>
      </c>
      <c r="H15" s="21">
        <f t="shared" si="7"/>
        <v>2902</v>
      </c>
      <c r="I15" s="21">
        <f t="shared" si="7"/>
        <v>3196</v>
      </c>
      <c r="J15" s="20">
        <f t="shared" si="7"/>
        <v>3546</v>
      </c>
      <c r="K15" s="19">
        <f t="shared" si="7"/>
        <v>3683</v>
      </c>
      <c r="L15" s="19">
        <f t="shared" si="7"/>
        <v>3758</v>
      </c>
      <c r="M15" s="19">
        <f>SUM(M12:M14)</f>
        <v>4009</v>
      </c>
      <c r="N15" s="20">
        <f t="shared" ref="N15:P15" si="8">SUM(N12:N14)</f>
        <v>4590</v>
      </c>
      <c r="O15" s="19">
        <f t="shared" si="8"/>
        <v>5154</v>
      </c>
      <c r="P15" s="19">
        <f t="shared" si="8"/>
        <v>5528</v>
      </c>
      <c r="Q15" s="19">
        <f t="shared" ref="Q15:R15" si="9">SUM(Q12:Q14)</f>
        <v>6298</v>
      </c>
      <c r="R15" s="20">
        <f t="shared" si="9"/>
        <v>8944</v>
      </c>
      <c r="S15" s="19">
        <f t="shared" ref="S15:T15" si="10">SUM(S12:S14)</f>
        <v>8953</v>
      </c>
      <c r="T15" s="19">
        <f t="shared" si="10"/>
        <v>7312</v>
      </c>
      <c r="U15" s="19">
        <f t="shared" ref="U15:V15" si="11">SUM(U12:U14)</f>
        <v>8732</v>
      </c>
      <c r="V15" s="20">
        <f t="shared" si="11"/>
        <v>8385</v>
      </c>
      <c r="W15" s="19">
        <f t="shared" ref="W15:X15" si="12">SUM(W12:W14)</f>
        <v>8895</v>
      </c>
      <c r="X15" s="19">
        <f t="shared" si="12"/>
        <v>9236</v>
      </c>
    </row>
    <row r="16" spans="1:25" s="40" customFormat="1" x14ac:dyDescent="0.15">
      <c r="A16" s="78" t="s">
        <v>11</v>
      </c>
      <c r="B16" s="19">
        <f>B11-B15</f>
        <v>933</v>
      </c>
      <c r="C16" s="19">
        <f>C11-C15</f>
        <v>1273</v>
      </c>
      <c r="D16" s="19">
        <f>D11-D15</f>
        <v>1459</v>
      </c>
      <c r="E16" s="19">
        <f>E11-E15</f>
        <v>2560</v>
      </c>
      <c r="F16" s="20">
        <f>F11-F15</f>
        <v>2009</v>
      </c>
      <c r="G16" s="21">
        <f t="shared" ref="G16:H16" si="13">G11-G15</f>
        <v>2746</v>
      </c>
      <c r="H16" s="21">
        <f t="shared" si="13"/>
        <v>3122</v>
      </c>
      <c r="I16" s="21">
        <f t="shared" ref="I16:P16" si="14">I11-I15</f>
        <v>4566</v>
      </c>
      <c r="J16" s="20">
        <f t="shared" si="14"/>
        <v>3327</v>
      </c>
      <c r="K16" s="19">
        <f t="shared" si="14"/>
        <v>4401</v>
      </c>
      <c r="L16" s="19">
        <f t="shared" si="14"/>
        <v>5122</v>
      </c>
      <c r="M16" s="19">
        <f t="shared" si="14"/>
        <v>7352</v>
      </c>
      <c r="N16" s="20">
        <f t="shared" si="14"/>
        <v>5449</v>
      </c>
      <c r="O16" s="19">
        <f t="shared" si="14"/>
        <v>5863</v>
      </c>
      <c r="P16" s="19">
        <f t="shared" si="14"/>
        <v>5781</v>
      </c>
      <c r="Q16" s="19">
        <f t="shared" ref="Q16:R16" si="15">Q11-Q15</f>
        <v>7820</v>
      </c>
      <c r="R16" s="20">
        <f t="shared" si="15"/>
        <v>3317</v>
      </c>
      <c r="S16" s="19">
        <f t="shared" ref="S16:T16" si="16">S11-S15</f>
        <v>4626</v>
      </c>
      <c r="T16" s="19">
        <f t="shared" si="16"/>
        <v>7185</v>
      </c>
      <c r="U16" s="19">
        <f t="shared" ref="U16:V16" si="17">U11-U15</f>
        <v>8858</v>
      </c>
      <c r="V16" s="20">
        <f t="shared" si="17"/>
        <v>5893</v>
      </c>
      <c r="W16" s="19">
        <f t="shared" ref="W16:X16" si="18">W11-W15</f>
        <v>5963</v>
      </c>
      <c r="X16" s="19">
        <f t="shared" si="18"/>
        <v>8040</v>
      </c>
    </row>
    <row r="17" spans="1:24" s="40" customFormat="1" x14ac:dyDescent="0.15">
      <c r="A17" s="78" t="s">
        <v>12</v>
      </c>
      <c r="B17" s="8">
        <v>-1</v>
      </c>
      <c r="C17" s="8">
        <v>0</v>
      </c>
      <c r="D17" s="8">
        <v>-27</v>
      </c>
      <c r="E17" s="8">
        <v>-3</v>
      </c>
      <c r="F17" s="4">
        <v>56</v>
      </c>
      <c r="G17" s="5">
        <v>20</v>
      </c>
      <c r="H17" s="5">
        <v>47</v>
      </c>
      <c r="I17" s="5">
        <v>-33</v>
      </c>
      <c r="J17" s="4">
        <v>81</v>
      </c>
      <c r="K17" s="8">
        <v>87</v>
      </c>
      <c r="L17" s="8">
        <v>114</v>
      </c>
      <c r="M17" s="8">
        <v>110</v>
      </c>
      <c r="N17" s="4">
        <v>161</v>
      </c>
      <c r="O17" s="8">
        <v>5</v>
      </c>
      <c r="P17" s="8">
        <v>131</v>
      </c>
      <c r="Q17" s="9">
        <v>151</v>
      </c>
      <c r="R17" s="88">
        <v>165</v>
      </c>
      <c r="S17" s="40">
        <v>206</v>
      </c>
      <c r="T17" s="40">
        <v>144</v>
      </c>
      <c r="U17" s="40">
        <v>311</v>
      </c>
      <c r="V17" s="88">
        <v>-32</v>
      </c>
      <c r="W17" s="40">
        <v>168</v>
      </c>
      <c r="X17" s="40">
        <v>93</v>
      </c>
    </row>
    <row r="18" spans="1:24" s="40" customFormat="1" x14ac:dyDescent="0.15">
      <c r="A18" s="78" t="s">
        <v>13</v>
      </c>
      <c r="B18" s="19">
        <f>B16+B17</f>
        <v>932</v>
      </c>
      <c r="C18" s="19">
        <f>C16+C17</f>
        <v>1273</v>
      </c>
      <c r="D18" s="19">
        <f>D16+D17</f>
        <v>1432</v>
      </c>
      <c r="E18" s="19">
        <f>E16+E17</f>
        <v>2557</v>
      </c>
      <c r="F18" s="20">
        <f>F16+F17</f>
        <v>2065</v>
      </c>
      <c r="G18" s="21">
        <f t="shared" ref="G18:I18" si="19">G16+G17</f>
        <v>2766</v>
      </c>
      <c r="H18" s="21">
        <f t="shared" si="19"/>
        <v>3169</v>
      </c>
      <c r="I18" s="21">
        <f t="shared" si="19"/>
        <v>4533</v>
      </c>
      <c r="J18" s="20">
        <f t="shared" ref="J18:K18" si="20">J16+J17</f>
        <v>3408</v>
      </c>
      <c r="K18" s="19">
        <f t="shared" si="20"/>
        <v>4488</v>
      </c>
      <c r="L18" s="19">
        <f t="shared" ref="L18:O18" si="21">L16+L17</f>
        <v>5236</v>
      </c>
      <c r="M18" s="19">
        <f t="shared" si="21"/>
        <v>7462</v>
      </c>
      <c r="N18" s="20">
        <f t="shared" si="21"/>
        <v>5610</v>
      </c>
      <c r="O18" s="19">
        <f t="shared" si="21"/>
        <v>5868</v>
      </c>
      <c r="P18" s="19">
        <f t="shared" ref="P18:T18" si="22">P16+P17</f>
        <v>5912</v>
      </c>
      <c r="Q18" s="19">
        <f t="shared" si="22"/>
        <v>7971</v>
      </c>
      <c r="R18" s="20">
        <f t="shared" si="22"/>
        <v>3482</v>
      </c>
      <c r="S18" s="19">
        <f t="shared" si="22"/>
        <v>4832</v>
      </c>
      <c r="T18" s="19">
        <f t="shared" si="22"/>
        <v>7329</v>
      </c>
      <c r="U18" s="19">
        <f t="shared" ref="U18:X18" si="23">U16+U17</f>
        <v>9169</v>
      </c>
      <c r="V18" s="20">
        <f t="shared" si="23"/>
        <v>5861</v>
      </c>
      <c r="W18" s="19">
        <f t="shared" si="23"/>
        <v>6131</v>
      </c>
      <c r="X18" s="19">
        <f t="shared" si="23"/>
        <v>8133</v>
      </c>
    </row>
    <row r="19" spans="1:24" s="40" customFormat="1" x14ac:dyDescent="0.15">
      <c r="A19" s="78" t="s">
        <v>14</v>
      </c>
      <c r="B19" s="8">
        <v>420</v>
      </c>
      <c r="C19" s="8">
        <v>554</v>
      </c>
      <c r="D19" s="8">
        <v>536</v>
      </c>
      <c r="E19" s="8">
        <v>995</v>
      </c>
      <c r="F19" s="4">
        <v>555</v>
      </c>
      <c r="G19" s="5">
        <v>711</v>
      </c>
      <c r="H19" s="5">
        <v>790</v>
      </c>
      <c r="I19" s="5">
        <v>965</v>
      </c>
      <c r="J19" s="4">
        <v>344</v>
      </c>
      <c r="K19" s="8">
        <v>594</v>
      </c>
      <c r="L19" s="8">
        <v>529</v>
      </c>
      <c r="M19" s="8">
        <v>3194</v>
      </c>
      <c r="N19" s="4">
        <v>622</v>
      </c>
      <c r="O19" s="8">
        <v>762</v>
      </c>
      <c r="P19" s="8">
        <v>775</v>
      </c>
      <c r="Q19" s="9">
        <v>1089</v>
      </c>
      <c r="R19" s="88">
        <v>1053</v>
      </c>
      <c r="S19" s="40">
        <v>2216</v>
      </c>
      <c r="T19" s="40">
        <v>1238</v>
      </c>
      <c r="U19" s="40">
        <v>1820</v>
      </c>
      <c r="V19" s="88">
        <v>959</v>
      </c>
      <c r="W19" s="40">
        <v>953</v>
      </c>
      <c r="X19" s="40">
        <v>287</v>
      </c>
    </row>
    <row r="20" spans="1:24" s="85" customFormat="1" x14ac:dyDescent="0.15">
      <c r="A20" s="84" t="s">
        <v>15</v>
      </c>
      <c r="B20" s="16">
        <f>B18-B19</f>
        <v>512</v>
      </c>
      <c r="C20" s="16">
        <f>C18-C19</f>
        <v>719</v>
      </c>
      <c r="D20" s="16">
        <f>D18-D19</f>
        <v>896</v>
      </c>
      <c r="E20" s="16">
        <f>E18-E19</f>
        <v>1562</v>
      </c>
      <c r="F20" s="17">
        <f>F18-F19</f>
        <v>1510</v>
      </c>
      <c r="G20" s="18">
        <f t="shared" ref="G20:H20" si="24">G18-G19</f>
        <v>2055</v>
      </c>
      <c r="H20" s="18">
        <f t="shared" si="24"/>
        <v>2379</v>
      </c>
      <c r="I20" s="18">
        <f t="shared" ref="I20:P20" si="25">I18-I19</f>
        <v>3568</v>
      </c>
      <c r="J20" s="17">
        <f t="shared" si="25"/>
        <v>3064</v>
      </c>
      <c r="K20" s="16">
        <f t="shared" si="25"/>
        <v>3894</v>
      </c>
      <c r="L20" s="16">
        <f t="shared" si="25"/>
        <v>4707</v>
      </c>
      <c r="M20" s="16">
        <f t="shared" si="25"/>
        <v>4268</v>
      </c>
      <c r="N20" s="17">
        <f t="shared" si="25"/>
        <v>4988</v>
      </c>
      <c r="O20" s="16">
        <f t="shared" si="25"/>
        <v>5106</v>
      </c>
      <c r="P20" s="16">
        <f t="shared" si="25"/>
        <v>5137</v>
      </c>
      <c r="Q20" s="16">
        <f t="shared" ref="Q20:R20" si="26">Q18-Q19</f>
        <v>6882</v>
      </c>
      <c r="R20" s="17">
        <f t="shared" si="26"/>
        <v>2429</v>
      </c>
      <c r="S20" s="16">
        <f t="shared" ref="S20:T20" si="27">S18-S19</f>
        <v>2616</v>
      </c>
      <c r="T20" s="16">
        <f t="shared" si="27"/>
        <v>6091</v>
      </c>
      <c r="U20" s="16">
        <f t="shared" ref="U20:V20" si="28">U18-U19</f>
        <v>7349</v>
      </c>
      <c r="V20" s="17">
        <f t="shared" si="28"/>
        <v>4902</v>
      </c>
      <c r="W20" s="16">
        <f t="shared" ref="W20:X20" si="29">W18-W19</f>
        <v>5178</v>
      </c>
      <c r="X20" s="16">
        <f t="shared" si="29"/>
        <v>7846</v>
      </c>
    </row>
    <row r="21" spans="1:24" x14ac:dyDescent="0.15">
      <c r="A21" s="36" t="s">
        <v>16</v>
      </c>
      <c r="B21" s="22">
        <f t="shared" ref="B21:H21" si="30">IFERROR(B20/B22,0)</f>
        <v>0.18053596614950634</v>
      </c>
      <c r="C21" s="22">
        <f t="shared" si="30"/>
        <v>0.25228070175438594</v>
      </c>
      <c r="D21" s="22">
        <f t="shared" si="30"/>
        <v>0.31295843520782396</v>
      </c>
      <c r="E21" s="22">
        <f t="shared" si="30"/>
        <v>0.54273801250868658</v>
      </c>
      <c r="F21" s="12">
        <f t="shared" si="30"/>
        <v>0.52285318559556782</v>
      </c>
      <c r="G21" s="11">
        <f t="shared" si="30"/>
        <v>0.7076446280991735</v>
      </c>
      <c r="H21" s="11">
        <f t="shared" si="30"/>
        <v>0.81612349914236704</v>
      </c>
      <c r="I21" s="11">
        <f t="shared" ref="I21:L21" si="31">IFERROR(I20/I22,0)</f>
        <v>1.2144315861130019</v>
      </c>
      <c r="J21" s="12">
        <f t="shared" si="31"/>
        <v>1.0407608695652173</v>
      </c>
      <c r="K21" s="22">
        <f t="shared" si="31"/>
        <v>1.3195526940020332</v>
      </c>
      <c r="L21" s="22">
        <f t="shared" si="31"/>
        <v>1.5923545331529094</v>
      </c>
      <c r="M21" s="22">
        <f t="shared" ref="M21:P21" si="32">IFERROR(M20/M22,0)</f>
        <v>1.4691910499139416</v>
      </c>
      <c r="N21" s="12">
        <f t="shared" si="32"/>
        <v>1.6937181663837011</v>
      </c>
      <c r="O21" s="22">
        <f t="shared" si="32"/>
        <v>1.7426621160409557</v>
      </c>
      <c r="P21" s="22">
        <f t="shared" si="32"/>
        <v>1.7634740817027119</v>
      </c>
      <c r="Q21" s="22">
        <f t="shared" ref="Q21:R21" si="33">IFERROR(Q20/Q22,0)</f>
        <v>2.3846153846153846</v>
      </c>
      <c r="R21" s="12">
        <f t="shared" si="33"/>
        <v>0.84663645869640991</v>
      </c>
      <c r="S21" s="22">
        <f t="shared" ref="S21:T21" si="34">IFERROR(S20/S22,0)</f>
        <v>0.90991304347826085</v>
      </c>
      <c r="T21" s="22">
        <f t="shared" si="34"/>
        <v>2.1193458594293668</v>
      </c>
      <c r="U21" s="22">
        <f t="shared" ref="U21:V21" si="35">IFERROR(U20/U22,0)</f>
        <v>2.559735283873215</v>
      </c>
      <c r="V21" s="12">
        <f t="shared" si="35"/>
        <v>1.7092050209205021</v>
      </c>
      <c r="W21" s="22">
        <f t="shared" ref="W21:X21" si="36">IFERROR(W20/W22,0)</f>
        <v>1.7985411601250434</v>
      </c>
      <c r="X21" s="22">
        <f t="shared" si="36"/>
        <v>2.7139398132134209</v>
      </c>
    </row>
    <row r="22" spans="1:24" s="40" customFormat="1" x14ac:dyDescent="0.15">
      <c r="A22" s="78" t="s">
        <v>17</v>
      </c>
      <c r="B22" s="8">
        <v>2836</v>
      </c>
      <c r="C22" s="8">
        <v>2850</v>
      </c>
      <c r="D22" s="8">
        <v>2863</v>
      </c>
      <c r="E22" s="8">
        <v>2878</v>
      </c>
      <c r="F22" s="4">
        <v>2888</v>
      </c>
      <c r="G22" s="5">
        <v>2904</v>
      </c>
      <c r="H22" s="5">
        <v>2915</v>
      </c>
      <c r="I22" s="5">
        <v>2938</v>
      </c>
      <c r="J22" s="4">
        <v>2944</v>
      </c>
      <c r="K22" s="8">
        <v>2951</v>
      </c>
      <c r="L22" s="8">
        <v>2956</v>
      </c>
      <c r="M22" s="8">
        <f>2396+509</f>
        <v>2905</v>
      </c>
      <c r="N22" s="4">
        <v>2945</v>
      </c>
      <c r="O22" s="8">
        <v>2930</v>
      </c>
      <c r="P22" s="8">
        <v>2913</v>
      </c>
      <c r="Q22" s="9">
        <v>2886</v>
      </c>
      <c r="R22" s="88">
        <v>2869</v>
      </c>
      <c r="S22" s="40">
        <v>2875</v>
      </c>
      <c r="T22" s="40">
        <v>2874</v>
      </c>
      <c r="U22" s="40">
        <v>2871</v>
      </c>
      <c r="V22" s="88">
        <v>2868</v>
      </c>
      <c r="W22" s="40">
        <v>2879</v>
      </c>
      <c r="X22" s="40">
        <v>2891</v>
      </c>
    </row>
    <row r="23" spans="1:24" x14ac:dyDescent="0.15">
      <c r="B23" s="13"/>
      <c r="C23" s="13"/>
      <c r="D23" s="13"/>
      <c r="E23" s="13"/>
      <c r="K23" s="13"/>
      <c r="L23" s="13"/>
      <c r="M23" s="13"/>
      <c r="O23" s="13"/>
      <c r="P23" s="13"/>
      <c r="Q23" s="14"/>
    </row>
    <row r="24" spans="1:24" s="15" customFormat="1" x14ac:dyDescent="0.15">
      <c r="A24" s="77" t="s">
        <v>18</v>
      </c>
      <c r="B24" s="23"/>
      <c r="C24" s="23"/>
      <c r="D24" s="23"/>
      <c r="E24" s="23"/>
      <c r="F24" s="24">
        <f>F9/B9-1</f>
        <v>0.51905165114309915</v>
      </c>
      <c r="G24" s="23">
        <f t="shared" ref="G24:O24" si="37">G9/C9-1</f>
        <v>0.5922810489856507</v>
      </c>
      <c r="H24" s="23">
        <f t="shared" si="37"/>
        <v>0.55765385469895579</v>
      </c>
      <c r="I24" s="23">
        <f t="shared" si="37"/>
        <v>0.5081321691491183</v>
      </c>
      <c r="J24" s="24">
        <f t="shared" si="37"/>
        <v>0.49238201412114457</v>
      </c>
      <c r="K24" s="23">
        <f t="shared" si="37"/>
        <v>0.44825978868862637</v>
      </c>
      <c r="L24" s="23">
        <f t="shared" si="37"/>
        <v>0.47311367850520614</v>
      </c>
      <c r="M24" s="23">
        <f>M9/I9-1</f>
        <v>0.47258485639686687</v>
      </c>
      <c r="N24" s="24">
        <f t="shared" si="37"/>
        <v>0.48979083665338652</v>
      </c>
      <c r="O24" s="23">
        <f t="shared" si="37"/>
        <v>0.41948288810213485</v>
      </c>
      <c r="P24" s="23">
        <f>P9/L9-1</f>
        <v>0.32910534469403574</v>
      </c>
      <c r="Q24" s="23">
        <f>Q9/M9-1</f>
        <v>0.30388529139685483</v>
      </c>
      <c r="R24" s="24">
        <f>R9/N9-1</f>
        <v>0.25998662878154777</v>
      </c>
      <c r="S24" s="23">
        <f>S9/O9-1</f>
        <v>0.2762451817700855</v>
      </c>
      <c r="T24" s="23">
        <f>T9/P9-1</f>
        <v>0.2859328331026445</v>
      </c>
      <c r="U24" s="23">
        <f>U9/Q9-1</f>
        <v>0.2464230814709707</v>
      </c>
      <c r="V24" s="24">
        <f>V9/R9-1</f>
        <v>0.17642767128739134</v>
      </c>
      <c r="W24" s="23">
        <f>W9/S9-1</f>
        <v>0.10665640175293145</v>
      </c>
      <c r="X24" s="23">
        <f>X9/T9-1</f>
        <v>0.21629277135735325</v>
      </c>
    </row>
    <row r="25" spans="1:24" s="15" customFormat="1" x14ac:dyDescent="0.15">
      <c r="A25" s="36" t="s">
        <v>69</v>
      </c>
      <c r="B25" s="23"/>
      <c r="C25" s="23"/>
      <c r="D25" s="23"/>
      <c r="E25" s="23"/>
      <c r="F25" s="25">
        <f>F12/B12-1</f>
        <v>0.26459510357815441</v>
      </c>
      <c r="G25" s="26">
        <f>G12/C12-1</f>
        <v>0.25042735042735043</v>
      </c>
      <c r="H25" s="26">
        <f t="shared" ref="H25" si="38">H12/D12-1</f>
        <v>0.21085759244689228</v>
      </c>
      <c r="I25" s="26">
        <f t="shared" ref="I25:I27" si="39">I12/E12-1</f>
        <v>0.18949771689497719</v>
      </c>
      <c r="J25" s="25">
        <f t="shared" ref="J25:J27" si="40">J12/F12-1</f>
        <v>0.36559940431868942</v>
      </c>
      <c r="K25" s="26">
        <f t="shared" ref="K25:K27" si="41">K12/G12-1</f>
        <v>0.31168831168831179</v>
      </c>
      <c r="L25" s="26">
        <f t="shared" ref="L25:L27" si="42">L12/H12-1</f>
        <v>0.33333333333333326</v>
      </c>
      <c r="M25" s="26">
        <f t="shared" ref="M25:M27" si="43">M12/I12-1</f>
        <v>0.24696097248880355</v>
      </c>
      <c r="N25" s="25">
        <f t="shared" ref="N25:N27" si="44">N12/J12-1</f>
        <v>0.22028353326063255</v>
      </c>
      <c r="O25" s="26">
        <f t="shared" ref="O25:O27" si="45">O12/K12-1</f>
        <v>0.31474726420010413</v>
      </c>
      <c r="P25" s="26">
        <f t="shared" ref="P25:P27" si="46">P12/L12-1</f>
        <v>0.29483430799220267</v>
      </c>
      <c r="Q25" s="26">
        <f>Q12/M12-1</f>
        <v>0.46485377116469984</v>
      </c>
      <c r="R25" s="25">
        <f>R12/N12-1</f>
        <v>0.27792672028596965</v>
      </c>
      <c r="S25" s="26">
        <f>S12/O12-1</f>
        <v>0.31391200951248521</v>
      </c>
      <c r="T25" s="26">
        <f>T12/P12-1</f>
        <v>0.33534060971019941</v>
      </c>
      <c r="U25" s="26">
        <f>U12/Q12-1</f>
        <v>0.35796847635726792</v>
      </c>
      <c r="V25" s="25">
        <f>V12/R12-1</f>
        <v>0.40384615384615374</v>
      </c>
      <c r="W25" s="26">
        <f>W12/S12-1</f>
        <v>0.34600301659125199</v>
      </c>
      <c r="X25" s="26">
        <f>X12/T12-1</f>
        <v>0.34244644870349483</v>
      </c>
    </row>
    <row r="26" spans="1:24" s="15" customFormat="1" x14ac:dyDescent="0.15">
      <c r="A26" s="36" t="s">
        <v>70</v>
      </c>
      <c r="B26" s="27"/>
      <c r="C26" s="23"/>
      <c r="D26" s="23"/>
      <c r="E26" s="23"/>
      <c r="F26" s="25">
        <f>F13/B13-1</f>
        <v>0.33225806451612905</v>
      </c>
      <c r="G26" s="26">
        <f t="shared" ref="G26:H26" si="47">G13/C13-1</f>
        <v>0.4361022364217253</v>
      </c>
      <c r="H26" s="26">
        <f t="shared" si="47"/>
        <v>0.31019830028328621</v>
      </c>
      <c r="I26" s="26">
        <f t="shared" si="39"/>
        <v>0.44818652849740936</v>
      </c>
      <c r="J26" s="25">
        <f t="shared" si="40"/>
        <v>0.27966101694915246</v>
      </c>
      <c r="K26" s="26">
        <f t="shared" si="41"/>
        <v>0.25027808676307006</v>
      </c>
      <c r="L26" s="26">
        <f t="shared" si="42"/>
        <v>0.26486486486486482</v>
      </c>
      <c r="M26" s="26">
        <f t="shared" si="43"/>
        <v>0.22898032200357776</v>
      </c>
      <c r="N26" s="25">
        <f t="shared" si="44"/>
        <v>0.50898770104068114</v>
      </c>
      <c r="O26" s="26">
        <f t="shared" si="45"/>
        <v>0.6503558718861211</v>
      </c>
      <c r="P26" s="26">
        <f t="shared" si="46"/>
        <v>0.64786324786324778</v>
      </c>
      <c r="Q26" s="26">
        <f>Q13/M13-1</f>
        <v>0.79548762736535661</v>
      </c>
      <c r="R26" s="25">
        <f>R13/N13-1</f>
        <v>0.26645768025078365</v>
      </c>
      <c r="S26" s="26">
        <f>S13/O13-1</f>
        <v>0.30134770889487861</v>
      </c>
      <c r="T26" s="26">
        <f>T13/P13-1</f>
        <v>0.25311203319502074</v>
      </c>
      <c r="U26" s="26">
        <f>U13/Q13-1</f>
        <v>0.22659100121605191</v>
      </c>
      <c r="V26" s="25">
        <f>V13/R13-1</f>
        <v>0.3797029702970296</v>
      </c>
      <c r="W26" s="26">
        <f>W13/S13-1</f>
        <v>0.17647058823529416</v>
      </c>
      <c r="X26" s="26">
        <f>X13/T13-1</f>
        <v>0.11051324503311255</v>
      </c>
    </row>
    <row r="27" spans="1:24" s="15" customFormat="1" x14ac:dyDescent="0.15">
      <c r="A27" s="36" t="s">
        <v>71</v>
      </c>
      <c r="B27" s="23"/>
      <c r="C27" s="23"/>
      <c r="D27" s="23"/>
      <c r="E27" s="23"/>
      <c r="F27" s="25">
        <f>F14/B14-1</f>
        <v>0.33576642335766427</v>
      </c>
      <c r="G27" s="26">
        <f t="shared" ref="G27:H27" si="48">G14/C14-1</f>
        <v>0.35081967213114762</v>
      </c>
      <c r="H27" s="26">
        <f t="shared" si="48"/>
        <v>0.26956521739130435</v>
      </c>
      <c r="I27" s="26">
        <f t="shared" si="39"/>
        <v>0.38814016172506749</v>
      </c>
      <c r="J27" s="25">
        <f t="shared" si="40"/>
        <v>0.78961748633879791</v>
      </c>
      <c r="K27" s="26">
        <f t="shared" si="41"/>
        <v>0.55339805825242716</v>
      </c>
      <c r="L27" s="26">
        <f t="shared" si="42"/>
        <v>0.22374429223744285</v>
      </c>
      <c r="M27" s="26">
        <f t="shared" si="43"/>
        <v>0.33203883495145625</v>
      </c>
      <c r="N27" s="25">
        <f t="shared" si="44"/>
        <v>0.1557251908396946</v>
      </c>
      <c r="O27" s="26">
        <f t="shared" si="45"/>
        <v>0.21249999999999991</v>
      </c>
      <c r="P27" s="26">
        <f t="shared" si="46"/>
        <v>0.75932835820895517</v>
      </c>
      <c r="Q27" s="26">
        <f>Q14/M14-1</f>
        <v>0.42274052478134116</v>
      </c>
      <c r="R27" s="25">
        <f>R14/N14-1</f>
        <v>4.3685601056803174</v>
      </c>
      <c r="S27" s="26">
        <f>S14/O14-1</f>
        <v>3.1546391752577323</v>
      </c>
      <c r="T27" s="26">
        <f>T14/P14-1</f>
        <v>0.42948038176033942</v>
      </c>
      <c r="U27" s="26">
        <f>U14/Q14-1</f>
        <v>0.87397540983606548</v>
      </c>
      <c r="V27" s="25">
        <f>V14/R14-1</f>
        <v>-0.6104822834645669</v>
      </c>
      <c r="W27" s="26">
        <f>W14/S14-1</f>
        <v>-0.50589330024813894</v>
      </c>
      <c r="X27" s="26">
        <f>X14/T14-1</f>
        <v>0.32789317507418403</v>
      </c>
    </row>
    <row r="28" spans="1:24" x14ac:dyDescent="0.15">
      <c r="B28" s="14"/>
      <c r="C28" s="14"/>
      <c r="D28" s="14"/>
      <c r="E28" s="14"/>
      <c r="F28" s="28"/>
      <c r="G28" s="29"/>
      <c r="H28" s="29"/>
      <c r="I28" s="29"/>
      <c r="J28" s="28"/>
      <c r="K28" s="14"/>
      <c r="L28" s="14"/>
      <c r="M28" s="14"/>
      <c r="N28" s="28"/>
      <c r="O28" s="14"/>
      <c r="P28" s="14"/>
      <c r="Q28" s="14"/>
      <c r="R28" s="28"/>
      <c r="S28" s="14"/>
      <c r="T28" s="14"/>
      <c r="U28" s="14"/>
      <c r="V28" s="28"/>
      <c r="W28" s="14"/>
      <c r="X28" s="14"/>
    </row>
    <row r="29" spans="1:24" x14ac:dyDescent="0.15">
      <c r="A29" s="36" t="s">
        <v>19</v>
      </c>
      <c r="B29" s="30">
        <f>IFERROR(B11/B9,0)</f>
        <v>0.81541066892464009</v>
      </c>
      <c r="C29" s="30">
        <f>IFERROR(C11/C9,0)</f>
        <v>0.83473527956457194</v>
      </c>
      <c r="D29" s="30">
        <f>IFERROR(D11/D9,0)</f>
        <v>0.84003554765607646</v>
      </c>
      <c r="E29" s="30">
        <f>IFERROR(E11/E9,0)</f>
        <v>0.85892826570792669</v>
      </c>
      <c r="F29" s="31">
        <f>IFERROR(F11/F9,0)</f>
        <v>0.84429580081753997</v>
      </c>
      <c r="G29" s="32">
        <f t="shared" ref="G29:K29" si="49">IFERROR(G11/G9,0)</f>
        <v>0.8576755748912368</v>
      </c>
      <c r="H29" s="32">
        <f t="shared" si="49"/>
        <v>0.85922122379118526</v>
      </c>
      <c r="I29" s="32">
        <f t="shared" si="49"/>
        <v>0.88114428425473945</v>
      </c>
      <c r="J29" s="31">
        <f>IFERROR(J11/J9,0)</f>
        <v>0.85570219123505975</v>
      </c>
      <c r="K29" s="30">
        <f t="shared" si="49"/>
        <v>0.86728891749812254</v>
      </c>
      <c r="L29" s="30">
        <f>IFERROR(L11/L9,0)</f>
        <v>0.85979860573199074</v>
      </c>
      <c r="M29" s="30">
        <f t="shared" ref="M29" si="50">IFERROR(M11/M9,0)</f>
        <v>0.87580943570767811</v>
      </c>
      <c r="N29" s="31">
        <f>IFERROR(N11/N9,0)</f>
        <v>0.8389603877653351</v>
      </c>
      <c r="O29" s="30">
        <f t="shared" ref="O29" si="51">IFERROR(O11/O9,0)</f>
        <v>0.83266570931902351</v>
      </c>
      <c r="P29" s="30">
        <f>IFERROR(P11/P9,0)</f>
        <v>0.82385080498288044</v>
      </c>
      <c r="Q29" s="30">
        <f>IFERROR(Q11/Q9,0)</f>
        <v>0.83469315360056762</v>
      </c>
      <c r="R29" s="31">
        <f>IFERROR(R11/R9,0)</f>
        <v>0.81322544272733299</v>
      </c>
      <c r="S29" s="30">
        <f>IFERROR(S11/S9,0)</f>
        <v>0.80415729006277392</v>
      </c>
      <c r="T29" s="30">
        <f>IFERROR(T11/T9,0)</f>
        <v>0.82126671198731027</v>
      </c>
      <c r="U29" s="30">
        <f>IFERROR(U11/U9,0)</f>
        <v>0.83436106631249407</v>
      </c>
      <c r="V29" s="31">
        <f>IFERROR(V11/V9,0)</f>
        <v>0.80498393189378137</v>
      </c>
      <c r="W29" s="30">
        <f>IFERROR(W11/W9,0)</f>
        <v>0.7950981966072671</v>
      </c>
      <c r="X29" s="30">
        <f>IFERROR(X11/X9,0)</f>
        <v>0.80465766185374943</v>
      </c>
    </row>
    <row r="30" spans="1:24" x14ac:dyDescent="0.15">
      <c r="A30" s="36" t="s">
        <v>20</v>
      </c>
      <c r="B30" s="33">
        <f>IFERROR(B16/B9,0)</f>
        <v>0.26333615580016934</v>
      </c>
      <c r="C30" s="33">
        <f>IFERROR(C16/C9,0)</f>
        <v>0.31494309747649679</v>
      </c>
      <c r="D30" s="33">
        <f>IFERROR(D16/D9,0)</f>
        <v>0.32415018884692293</v>
      </c>
      <c r="E30" s="33">
        <f>IFERROR(E16/E9,0)</f>
        <v>0.43828111624721794</v>
      </c>
      <c r="F30" s="34">
        <f>IFERROR(F16/F9,0)</f>
        <v>0.37328130806391674</v>
      </c>
      <c r="G30" s="35">
        <f t="shared" ref="G30:L30" si="52">IFERROR(G16/G9,0)</f>
        <v>0.42666252330640148</v>
      </c>
      <c r="H30" s="35">
        <f t="shared" si="52"/>
        <v>0.445300242476109</v>
      </c>
      <c r="I30" s="35">
        <f t="shared" si="52"/>
        <v>0.5183335225337723</v>
      </c>
      <c r="J30" s="34">
        <f t="shared" si="52"/>
        <v>0.41421812749003983</v>
      </c>
      <c r="K30" s="33">
        <f t="shared" si="52"/>
        <v>0.47215963952365625</v>
      </c>
      <c r="L30" s="33">
        <f t="shared" si="52"/>
        <v>0.49593338497288925</v>
      </c>
      <c r="M30" s="33">
        <f t="shared" ref="M30:P30" si="53">IFERROR(M16/M9,0)</f>
        <v>0.56675917360468697</v>
      </c>
      <c r="N30" s="34">
        <f t="shared" si="53"/>
        <v>0.45537355841551064</v>
      </c>
      <c r="O30" s="33">
        <f t="shared" si="53"/>
        <v>0.44312599198851182</v>
      </c>
      <c r="P30" s="33">
        <f t="shared" si="53"/>
        <v>0.42114081736723247</v>
      </c>
      <c r="Q30" s="33">
        <f>IFERROR(Q16/Q9,0)</f>
        <v>0.46233889085964291</v>
      </c>
      <c r="R30" s="34">
        <f>IFERROR(R16/R9,0)</f>
        <v>0.22000397957153281</v>
      </c>
      <c r="S30" s="33">
        <f>IFERROR(S16/S9,0)</f>
        <v>0.27395475541869002</v>
      </c>
      <c r="T30" s="33">
        <f>IFERROR(T16/T9,0)</f>
        <v>0.40703602991162474</v>
      </c>
      <c r="U30" s="33">
        <f>IFERROR(U16/U9,0)</f>
        <v>0.42016886443411439</v>
      </c>
      <c r="V30" s="34">
        <f>IFERROR(V16/V9,0)</f>
        <v>0.33224333314540228</v>
      </c>
      <c r="W30" s="33">
        <f>IFERROR(W16/W9,0)</f>
        <v>0.31909883876491679</v>
      </c>
      <c r="X30" s="33">
        <f>IFERROR(X16/X9,0)</f>
        <v>0.37447601304145317</v>
      </c>
    </row>
    <row r="31" spans="1:24" x14ac:dyDescent="0.15">
      <c r="A31" s="36" t="s">
        <v>21</v>
      </c>
      <c r="B31" s="33">
        <f>IFERROR(B19/B18,0)</f>
        <v>0.45064377682403434</v>
      </c>
      <c r="C31" s="33">
        <f t="shared" ref="C31" si="54">IFERROR(C19/C18,0)</f>
        <v>0.43519245875883739</v>
      </c>
      <c r="D31" s="33">
        <f t="shared" ref="D31:E31" si="55">IFERROR(D19/D18,0)</f>
        <v>0.37430167597765363</v>
      </c>
      <c r="E31" s="33">
        <f t="shared" si="55"/>
        <v>0.38912788423934297</v>
      </c>
      <c r="F31" s="34">
        <f>IFERROR(F19/F18,0)</f>
        <v>0.26876513317191281</v>
      </c>
      <c r="G31" s="35">
        <f>IFERROR(G19/G18,0)</f>
        <v>0.25704989154013014</v>
      </c>
      <c r="H31" s="35">
        <f>IFERROR(H19/H18,0)</f>
        <v>0.24928999684443043</v>
      </c>
      <c r="I31" s="35">
        <f t="shared" ref="I31:K31" si="56">IFERROR(I19/I18,0)</f>
        <v>0.21288330024266491</v>
      </c>
      <c r="J31" s="34">
        <f t="shared" si="56"/>
        <v>0.10093896713615023</v>
      </c>
      <c r="K31" s="33">
        <f t="shared" si="56"/>
        <v>0.13235294117647059</v>
      </c>
      <c r="L31" s="33">
        <f>IFERROR(L19/L18,0)</f>
        <v>0.10103132161955691</v>
      </c>
      <c r="M31" s="33">
        <f>IFERROR(M19/M18,0)</f>
        <v>0.42803537925489143</v>
      </c>
      <c r="N31" s="34">
        <f t="shared" ref="N31:O31" si="57">IFERROR(N19/N18,0)</f>
        <v>0.11087344028520499</v>
      </c>
      <c r="O31" s="33">
        <f t="shared" si="57"/>
        <v>0.12985685071574643</v>
      </c>
      <c r="P31" s="33">
        <f>IFERROR(P19/P18,0)</f>
        <v>0.13108930987821379</v>
      </c>
      <c r="Q31" s="33">
        <f>IFERROR(Q19/Q18,0)</f>
        <v>0.13662024840045164</v>
      </c>
      <c r="R31" s="34">
        <f>IFERROR(R19/R18,0)</f>
        <v>0.30241240666283747</v>
      </c>
      <c r="S31" s="33">
        <f>IFERROR(S19/S18,0)</f>
        <v>0.45860927152317882</v>
      </c>
      <c r="T31" s="33">
        <f>IFERROR(T19/T18,0)</f>
        <v>0.16891799699822621</v>
      </c>
      <c r="U31" s="33">
        <f>IFERROR(U19/U18,0)</f>
        <v>0.19849492856363835</v>
      </c>
      <c r="V31" s="34">
        <f>IFERROR(V19/V18,0)</f>
        <v>0.16362395495649207</v>
      </c>
      <c r="W31" s="33">
        <f>IFERROR(W19/W18,0)</f>
        <v>0.15543956940140272</v>
      </c>
      <c r="X31" s="33">
        <f>IFERROR(X19/X18,0)</f>
        <v>3.5288331488995447E-2</v>
      </c>
    </row>
    <row r="32" spans="1:24" x14ac:dyDescent="0.15">
      <c r="B32" s="13"/>
      <c r="C32" s="13"/>
      <c r="D32" s="13"/>
      <c r="E32" s="13"/>
      <c r="K32" s="13"/>
      <c r="L32" s="13"/>
      <c r="M32" s="13"/>
      <c r="O32" s="13"/>
      <c r="P32" s="13"/>
      <c r="Q32" s="14"/>
    </row>
    <row r="33" spans="1:24" s="85" customFormat="1" x14ac:dyDescent="0.15">
      <c r="A33" s="84" t="s">
        <v>33</v>
      </c>
      <c r="B33" s="16">
        <f>B34-B35</f>
        <v>12413</v>
      </c>
      <c r="C33" s="16">
        <f>C34-C35</f>
        <v>14125</v>
      </c>
      <c r="D33" s="16">
        <f>D34-D35</f>
        <v>15834</v>
      </c>
      <c r="E33" s="16">
        <f>E34-E35</f>
        <v>18434</v>
      </c>
      <c r="F33" s="17">
        <f>F34-F35</f>
        <v>20621</v>
      </c>
      <c r="G33" s="18">
        <f t="shared" ref="G33:K33" si="58">G34-G35</f>
        <v>23293</v>
      </c>
      <c r="H33" s="18">
        <f t="shared" si="58"/>
        <v>26140</v>
      </c>
      <c r="I33" s="18">
        <f t="shared" si="58"/>
        <v>29449</v>
      </c>
      <c r="J33" s="17">
        <f t="shared" si="58"/>
        <v>32306</v>
      </c>
      <c r="K33" s="16">
        <f t="shared" si="58"/>
        <v>35452</v>
      </c>
      <c r="L33" s="16">
        <f>L34-L35</f>
        <v>38289</v>
      </c>
      <c r="M33" s="16">
        <f>M34-M35</f>
        <v>41711</v>
      </c>
      <c r="N33" s="17">
        <f t="shared" ref="N33" si="59">N34-N35</f>
        <v>43956</v>
      </c>
      <c r="O33" s="16">
        <f>O34-O35</f>
        <v>42309</v>
      </c>
      <c r="P33" s="16">
        <f>P34-P35</f>
        <v>41206</v>
      </c>
      <c r="Q33" s="16">
        <f>Q34-Q35</f>
        <v>41114</v>
      </c>
      <c r="R33" s="17">
        <f>R34-R35</f>
        <v>45243</v>
      </c>
      <c r="S33" s="16">
        <f>S34-S35</f>
        <v>48596</v>
      </c>
      <c r="T33" s="16">
        <f>T34-T35</f>
        <v>52269</v>
      </c>
      <c r="U33" s="16">
        <f>U34-U35</f>
        <v>54855</v>
      </c>
      <c r="V33" s="17">
        <f>V34-V35</f>
        <v>60289</v>
      </c>
      <c r="W33" s="16">
        <f>W34-W35</f>
        <v>58240</v>
      </c>
      <c r="X33" s="16">
        <f>X34-X35</f>
        <v>55620</v>
      </c>
    </row>
    <row r="34" spans="1:24" s="40" customFormat="1" x14ac:dyDescent="0.15">
      <c r="A34" s="78" t="s">
        <v>34</v>
      </c>
      <c r="B34" s="8">
        <f>3419+8994</f>
        <v>12413</v>
      </c>
      <c r="C34" s="8">
        <f>5123+9002</f>
        <v>14125</v>
      </c>
      <c r="D34" s="8">
        <f>4308+11526</f>
        <v>15834</v>
      </c>
      <c r="E34" s="8">
        <f>4907+13527</f>
        <v>18434</v>
      </c>
      <c r="F34" s="4">
        <f>6456+14165</f>
        <v>20621</v>
      </c>
      <c r="G34" s="5">
        <f>5108+18185</f>
        <v>23293</v>
      </c>
      <c r="H34" s="5">
        <f>6038+20102</f>
        <v>26140</v>
      </c>
      <c r="I34" s="5">
        <f>8903+20546</f>
        <v>29449</v>
      </c>
      <c r="J34" s="4">
        <f>7104+25202</f>
        <v>32306</v>
      </c>
      <c r="K34" s="8">
        <f>6252+29200</f>
        <v>35452</v>
      </c>
      <c r="L34" s="8">
        <f>7201+31088</f>
        <v>38289</v>
      </c>
      <c r="M34" s="8">
        <f>8079+33632</f>
        <v>41711</v>
      </c>
      <c r="N34" s="4">
        <f>12082+31874</f>
        <v>43956</v>
      </c>
      <c r="O34" s="8">
        <f>11552+30757</f>
        <v>42309</v>
      </c>
      <c r="P34" s="8">
        <f>9637+31569</f>
        <v>41206</v>
      </c>
      <c r="Q34" s="9">
        <f>10019+31095</f>
        <v>41114</v>
      </c>
      <c r="R34" s="88">
        <f>11076+34167</f>
        <v>45243</v>
      </c>
      <c r="S34" s="40">
        <f>13877+34719</f>
        <v>48596</v>
      </c>
      <c r="T34" s="40">
        <f>15979+36290</f>
        <v>52269</v>
      </c>
      <c r="U34" s="40">
        <f>19079+35776</f>
        <v>54855</v>
      </c>
      <c r="V34" s="88">
        <f>23618+36671</f>
        <v>60289</v>
      </c>
      <c r="W34" s="40">
        <f>21045+37195</f>
        <v>58240</v>
      </c>
      <c r="X34" s="40">
        <f>11617+44003</f>
        <v>55620</v>
      </c>
    </row>
    <row r="35" spans="1:24" s="40" customFormat="1" x14ac:dyDescent="0.15">
      <c r="A35" s="78" t="s">
        <v>35</v>
      </c>
      <c r="B35" s="8">
        <v>0</v>
      </c>
      <c r="C35" s="8">
        <v>0</v>
      </c>
      <c r="D35" s="8">
        <v>0</v>
      </c>
      <c r="E35" s="8">
        <v>0</v>
      </c>
      <c r="F35" s="4">
        <v>0</v>
      </c>
      <c r="G35" s="5">
        <v>0</v>
      </c>
      <c r="H35" s="5">
        <v>0</v>
      </c>
      <c r="I35" s="5">
        <v>0</v>
      </c>
      <c r="J35" s="4">
        <v>0</v>
      </c>
      <c r="K35" s="8">
        <v>0</v>
      </c>
      <c r="L35" s="8">
        <v>0</v>
      </c>
      <c r="M35" s="8">
        <v>0</v>
      </c>
      <c r="N35" s="4">
        <v>0</v>
      </c>
      <c r="O35" s="8">
        <v>0</v>
      </c>
      <c r="P35" s="8">
        <v>0</v>
      </c>
      <c r="Q35" s="9">
        <v>0</v>
      </c>
      <c r="R35" s="88">
        <v>0</v>
      </c>
      <c r="S35" s="40">
        <v>0</v>
      </c>
      <c r="T35" s="40">
        <v>0</v>
      </c>
      <c r="U35" s="40">
        <v>0</v>
      </c>
      <c r="V35" s="88">
        <v>0</v>
      </c>
      <c r="W35" s="40">
        <v>0</v>
      </c>
      <c r="X35" s="40">
        <v>0</v>
      </c>
    </row>
    <row r="36" spans="1:24" s="40" customFormat="1" x14ac:dyDescent="0.15">
      <c r="A36" s="78"/>
      <c r="B36" s="8"/>
      <c r="C36" s="8"/>
      <c r="D36" s="8"/>
      <c r="E36" s="8"/>
      <c r="F36" s="4"/>
      <c r="G36" s="5"/>
      <c r="H36" s="5"/>
      <c r="I36" s="5"/>
      <c r="J36" s="4"/>
      <c r="K36" s="8"/>
      <c r="L36" s="8"/>
      <c r="M36" s="8"/>
      <c r="N36" s="4"/>
      <c r="O36" s="8"/>
      <c r="P36" s="8"/>
      <c r="Q36" s="9"/>
      <c r="R36" s="88"/>
      <c r="V36" s="88"/>
    </row>
    <row r="37" spans="1:24" s="40" customFormat="1" x14ac:dyDescent="0.15">
      <c r="A37" s="78" t="s">
        <v>83</v>
      </c>
      <c r="B37" s="8"/>
      <c r="C37" s="8"/>
      <c r="D37" s="8"/>
      <c r="E37" s="8"/>
      <c r="F37" s="4"/>
      <c r="G37" s="5"/>
      <c r="H37" s="5"/>
      <c r="I37" s="5"/>
      <c r="J37" s="4"/>
      <c r="K37" s="8"/>
      <c r="L37" s="8"/>
      <c r="M37" s="8">
        <f>1884+18221</f>
        <v>20105</v>
      </c>
      <c r="N37" s="4">
        <f>1735+18268</f>
        <v>20003</v>
      </c>
      <c r="O37" s="8">
        <f>1573+18263</f>
        <v>19836</v>
      </c>
      <c r="P37" s="8">
        <f>1451+18304</f>
        <v>19755</v>
      </c>
      <c r="Q37" s="9">
        <f>1294+18301</f>
        <v>19595</v>
      </c>
      <c r="R37" s="88">
        <f>1150+18333</f>
        <v>19483</v>
      </c>
      <c r="S37" s="40">
        <f>994+18334</f>
        <v>19328</v>
      </c>
      <c r="T37" s="40">
        <f>853+18338</f>
        <v>19191</v>
      </c>
      <c r="U37" s="40">
        <f>894+18715</f>
        <v>19609</v>
      </c>
      <c r="V37" s="88">
        <f>838+18811</f>
        <v>19649</v>
      </c>
      <c r="W37" s="40">
        <f>859+19029</f>
        <v>19888</v>
      </c>
      <c r="X37" s="40">
        <f>744+19031</f>
        <v>19775</v>
      </c>
    </row>
    <row r="38" spans="1:24" s="40" customFormat="1" x14ac:dyDescent="0.15">
      <c r="A38" s="78" t="s">
        <v>84</v>
      </c>
      <c r="B38" s="8"/>
      <c r="C38" s="8"/>
      <c r="D38" s="8"/>
      <c r="E38" s="8"/>
      <c r="F38" s="4"/>
      <c r="G38" s="5"/>
      <c r="H38" s="5"/>
      <c r="I38" s="5"/>
      <c r="J38" s="4"/>
      <c r="K38" s="8"/>
      <c r="L38" s="8"/>
      <c r="M38" s="8">
        <v>84524</v>
      </c>
      <c r="N38" s="4">
        <v>88945</v>
      </c>
      <c r="O38" s="8">
        <v>90291</v>
      </c>
      <c r="P38" s="8">
        <v>92452</v>
      </c>
      <c r="Q38" s="9">
        <v>97334</v>
      </c>
      <c r="R38" s="88">
        <v>109477</v>
      </c>
      <c r="S38" s="40">
        <v>117006</v>
      </c>
      <c r="T38" s="40">
        <v>124418</v>
      </c>
      <c r="U38" s="40">
        <v>133376</v>
      </c>
      <c r="V38" s="88">
        <v>138371</v>
      </c>
      <c r="W38" s="40">
        <v>139691</v>
      </c>
      <c r="X38" s="40">
        <v>146437</v>
      </c>
    </row>
    <row r="39" spans="1:24" s="40" customFormat="1" x14ac:dyDescent="0.15">
      <c r="A39" s="78" t="s">
        <v>85</v>
      </c>
      <c r="B39" s="8"/>
      <c r="C39" s="8"/>
      <c r="D39" s="8"/>
      <c r="E39" s="8"/>
      <c r="F39" s="4"/>
      <c r="G39" s="5"/>
      <c r="H39" s="5"/>
      <c r="I39" s="5"/>
      <c r="J39" s="4"/>
      <c r="K39" s="8"/>
      <c r="L39" s="8"/>
      <c r="M39" s="8">
        <v>10177</v>
      </c>
      <c r="N39" s="4">
        <v>11325</v>
      </c>
      <c r="O39" s="8">
        <v>10909</v>
      </c>
      <c r="P39" s="8">
        <v>12110</v>
      </c>
      <c r="Q39" s="9">
        <v>13207</v>
      </c>
      <c r="R39" s="88">
        <v>22961</v>
      </c>
      <c r="S39" s="40">
        <v>28244</v>
      </c>
      <c r="T39" s="40">
        <v>30419</v>
      </c>
      <c r="U39" s="40">
        <v>32322</v>
      </c>
      <c r="V39" s="88">
        <v>33067</v>
      </c>
      <c r="W39" s="40">
        <v>29244</v>
      </c>
      <c r="X39" s="40">
        <v>28706</v>
      </c>
    </row>
    <row r="40" spans="1:24" s="40" customFormat="1" x14ac:dyDescent="0.15">
      <c r="A40" s="78"/>
      <c r="B40" s="8"/>
      <c r="C40" s="8"/>
      <c r="D40" s="8"/>
      <c r="E40" s="8"/>
      <c r="F40" s="4"/>
      <c r="G40" s="5"/>
      <c r="H40" s="5"/>
      <c r="I40" s="5"/>
      <c r="J40" s="4"/>
      <c r="K40" s="8"/>
      <c r="L40" s="8"/>
      <c r="M40" s="8"/>
      <c r="N40" s="4"/>
      <c r="O40" s="8"/>
      <c r="P40" s="8"/>
      <c r="Q40" s="9"/>
      <c r="R40" s="88"/>
      <c r="V40" s="88"/>
    </row>
    <row r="41" spans="1:24" s="40" customFormat="1" x14ac:dyDescent="0.15">
      <c r="A41" s="78" t="s">
        <v>86</v>
      </c>
      <c r="B41" s="8"/>
      <c r="C41" s="8"/>
      <c r="D41" s="8"/>
      <c r="E41" s="8"/>
      <c r="F41" s="4"/>
      <c r="G41" s="5"/>
      <c r="H41" s="5"/>
      <c r="I41" s="5"/>
      <c r="J41" s="4"/>
      <c r="K41" s="8"/>
      <c r="L41" s="8"/>
      <c r="M41" s="19">
        <f>M38-M37-M34</f>
        <v>22708</v>
      </c>
      <c r="N41" s="20">
        <f>N38-N37-N34</f>
        <v>24986</v>
      </c>
      <c r="O41" s="19">
        <f>O38-O37-O34</f>
        <v>28146</v>
      </c>
      <c r="P41" s="19">
        <f>P38-P37-P34</f>
        <v>31491</v>
      </c>
      <c r="Q41" s="19">
        <f>Q38-Q37-Q34</f>
        <v>36625</v>
      </c>
      <c r="R41" s="20">
        <f>R38-R37-R34</f>
        <v>44751</v>
      </c>
      <c r="S41" s="19">
        <f>S38-S37-S34</f>
        <v>49082</v>
      </c>
      <c r="T41" s="19">
        <f>T38-T37-T34</f>
        <v>52958</v>
      </c>
      <c r="U41" s="19">
        <f>U38-U37-U34</f>
        <v>58912</v>
      </c>
      <c r="V41" s="20">
        <f>V38-V37-V34</f>
        <v>58433</v>
      </c>
      <c r="W41" s="19">
        <f>W38-W37-W34</f>
        <v>61563</v>
      </c>
      <c r="X41" s="19">
        <f>X38-X37-X34</f>
        <v>71042</v>
      </c>
    </row>
    <row r="42" spans="1:24" s="40" customFormat="1" x14ac:dyDescent="0.15">
      <c r="A42" s="78" t="s">
        <v>87</v>
      </c>
      <c r="B42" s="8"/>
      <c r="C42" s="8"/>
      <c r="D42" s="8"/>
      <c r="E42" s="8"/>
      <c r="F42" s="4"/>
      <c r="G42" s="5"/>
      <c r="H42" s="5"/>
      <c r="I42" s="5"/>
      <c r="J42" s="4"/>
      <c r="K42" s="8"/>
      <c r="L42" s="8"/>
      <c r="M42" s="19">
        <f>M38-M39</f>
        <v>74347</v>
      </c>
      <c r="N42" s="20">
        <f>N38-N39</f>
        <v>77620</v>
      </c>
      <c r="O42" s="19">
        <f>O38-O39</f>
        <v>79382</v>
      </c>
      <c r="P42" s="19">
        <f>P38-P39</f>
        <v>80342</v>
      </c>
      <c r="Q42" s="19">
        <f>Q38-Q39</f>
        <v>84127</v>
      </c>
      <c r="R42" s="20">
        <f>R38-R39</f>
        <v>86516</v>
      </c>
      <c r="S42" s="19">
        <f>S38-S39</f>
        <v>88762</v>
      </c>
      <c r="T42" s="19">
        <f>T38-T39</f>
        <v>93999</v>
      </c>
      <c r="U42" s="19">
        <f>U38-U39</f>
        <v>101054</v>
      </c>
      <c r="V42" s="20">
        <f>V38-V39</f>
        <v>105304</v>
      </c>
      <c r="W42" s="19">
        <f>W38-W39</f>
        <v>110447</v>
      </c>
      <c r="X42" s="19">
        <f>X38-X39</f>
        <v>117731</v>
      </c>
    </row>
    <row r="43" spans="1:24" s="40" customFormat="1" x14ac:dyDescent="0.15">
      <c r="A43" s="78"/>
      <c r="B43" s="8"/>
      <c r="C43" s="8"/>
      <c r="D43" s="8"/>
      <c r="E43" s="8"/>
      <c r="F43" s="4"/>
      <c r="G43" s="5"/>
      <c r="H43" s="5"/>
      <c r="I43" s="5"/>
      <c r="J43" s="4"/>
      <c r="K43" s="8"/>
      <c r="L43" s="8"/>
      <c r="M43" s="8"/>
      <c r="N43" s="4"/>
      <c r="O43" s="8"/>
      <c r="P43" s="8"/>
      <c r="Q43" s="9"/>
      <c r="R43" s="88"/>
      <c r="V43" s="88"/>
    </row>
    <row r="44" spans="1:24" s="85" customFormat="1" x14ac:dyDescent="0.15">
      <c r="A44" s="84" t="s">
        <v>78</v>
      </c>
      <c r="B44" s="71"/>
      <c r="C44" s="71"/>
      <c r="D44" s="71"/>
      <c r="E44" s="16">
        <f t="shared" ref="E44:P44" si="60">SUM(B20:E20)</f>
        <v>3689</v>
      </c>
      <c r="F44" s="17">
        <f t="shared" si="60"/>
        <v>4687</v>
      </c>
      <c r="G44" s="16">
        <f t="shared" si="60"/>
        <v>6023</v>
      </c>
      <c r="H44" s="16">
        <f t="shared" si="60"/>
        <v>7506</v>
      </c>
      <c r="I44" s="16">
        <f t="shared" si="60"/>
        <v>9512</v>
      </c>
      <c r="J44" s="17">
        <f t="shared" si="60"/>
        <v>11066</v>
      </c>
      <c r="K44" s="16">
        <f t="shared" si="60"/>
        <v>12905</v>
      </c>
      <c r="L44" s="16">
        <f t="shared" si="60"/>
        <v>15233</v>
      </c>
      <c r="M44" s="16">
        <f t="shared" si="60"/>
        <v>15933</v>
      </c>
      <c r="N44" s="17">
        <f t="shared" si="60"/>
        <v>17857</v>
      </c>
      <c r="O44" s="16">
        <f t="shared" si="60"/>
        <v>19069</v>
      </c>
      <c r="P44" s="16">
        <f t="shared" si="60"/>
        <v>19499</v>
      </c>
      <c r="Q44" s="16">
        <f>SUM(N20:Q20)</f>
        <v>22113</v>
      </c>
      <c r="R44" s="17">
        <f>SUM(O20:R20)</f>
        <v>19554</v>
      </c>
      <c r="S44" s="16">
        <f>SUM(P20:S20)</f>
        <v>17064</v>
      </c>
      <c r="T44" s="16">
        <f>SUM(Q20:T20)</f>
        <v>18018</v>
      </c>
      <c r="U44" s="16">
        <f>SUM(R20:U20)</f>
        <v>18485</v>
      </c>
      <c r="V44" s="17">
        <f>SUM(S20:V20)</f>
        <v>20958</v>
      </c>
      <c r="W44" s="16">
        <f>SUM(T20:W20)</f>
        <v>23520</v>
      </c>
      <c r="X44" s="16">
        <f>SUM(U20:X20)</f>
        <v>25275</v>
      </c>
    </row>
    <row r="45" spans="1:24" x14ac:dyDescent="0.15">
      <c r="A45" s="36" t="s">
        <v>79</v>
      </c>
      <c r="B45" s="8"/>
      <c r="C45" s="8"/>
      <c r="D45" s="8"/>
      <c r="E45" s="8"/>
      <c r="F45" s="4"/>
      <c r="G45" s="5"/>
      <c r="H45" s="5"/>
      <c r="I45" s="5"/>
      <c r="J45" s="4"/>
      <c r="K45" s="8"/>
      <c r="L45" s="8"/>
      <c r="M45" s="72">
        <f>M44/M42</f>
        <v>0.21430588994848482</v>
      </c>
      <c r="N45" s="73">
        <f>N44/N42</f>
        <v>0.2300566864210255</v>
      </c>
      <c r="O45" s="72">
        <f>O44/O42</f>
        <v>0.24021818548285506</v>
      </c>
      <c r="P45" s="72">
        <f>P44/P42</f>
        <v>0.2426999576809141</v>
      </c>
      <c r="Q45" s="72">
        <f>Q44/Q42</f>
        <v>0.2628525919146053</v>
      </c>
      <c r="R45" s="73">
        <f>R44/R42</f>
        <v>0.22601599704100975</v>
      </c>
      <c r="S45" s="72">
        <f>S44/S42</f>
        <v>0.19224442892228658</v>
      </c>
      <c r="T45" s="72">
        <f>T44/T42</f>
        <v>0.19168289024351323</v>
      </c>
      <c r="U45" s="72">
        <f>U44/U42</f>
        <v>0.18292200209788825</v>
      </c>
      <c r="V45" s="73">
        <f>V44/V42</f>
        <v>0.19902377877383576</v>
      </c>
      <c r="W45" s="72">
        <f>W44/W42</f>
        <v>0.21295281899915797</v>
      </c>
      <c r="X45" s="72">
        <f>X44/X42</f>
        <v>0.21468432273572804</v>
      </c>
    </row>
    <row r="46" spans="1:24" x14ac:dyDescent="0.15">
      <c r="A46" s="36" t="s">
        <v>80</v>
      </c>
      <c r="B46" s="8"/>
      <c r="C46" s="8"/>
      <c r="D46" s="8"/>
      <c r="E46" s="8"/>
      <c r="F46" s="4"/>
      <c r="G46" s="5"/>
      <c r="H46" s="5"/>
      <c r="I46" s="5"/>
      <c r="J46" s="4"/>
      <c r="K46" s="8"/>
      <c r="L46" s="8"/>
      <c r="M46" s="72">
        <f>M44/M38</f>
        <v>0.18850267379679145</v>
      </c>
      <c r="N46" s="73">
        <f>N44/N38</f>
        <v>0.20076451739839227</v>
      </c>
      <c r="O46" s="72">
        <f>O44/O38</f>
        <v>0.21119491422179398</v>
      </c>
      <c r="P46" s="72">
        <f>P44/P38</f>
        <v>0.21090944490113789</v>
      </c>
      <c r="Q46" s="72">
        <f>Q44/Q38</f>
        <v>0.22718680009041034</v>
      </c>
      <c r="R46" s="73">
        <f>R44/R38</f>
        <v>0.17861285932204937</v>
      </c>
      <c r="S46" s="72">
        <f>S44/S38</f>
        <v>0.14583867493974667</v>
      </c>
      <c r="T46" s="72">
        <f>T44/T38</f>
        <v>0.14481827388320018</v>
      </c>
      <c r="U46" s="72">
        <f>U44/U38</f>
        <v>0.13859315019193857</v>
      </c>
      <c r="V46" s="73">
        <f>V44/V38</f>
        <v>0.1514623728960548</v>
      </c>
      <c r="W46" s="72">
        <f>W44/W38</f>
        <v>0.16837162021891175</v>
      </c>
      <c r="X46" s="72">
        <f>X44/X38</f>
        <v>0.17259982108346933</v>
      </c>
    </row>
    <row r="47" spans="1:24" x14ac:dyDescent="0.15">
      <c r="A47" s="36" t="s">
        <v>81</v>
      </c>
      <c r="B47" s="8"/>
      <c r="C47" s="8"/>
      <c r="D47" s="8"/>
      <c r="E47" s="8"/>
      <c r="F47" s="4"/>
      <c r="G47" s="5"/>
      <c r="H47" s="5"/>
      <c r="I47" s="5"/>
      <c r="J47" s="4"/>
      <c r="K47" s="8"/>
      <c r="L47" s="8"/>
      <c r="M47" s="72">
        <f>M44/(M42-M37)</f>
        <v>0.29373916890970098</v>
      </c>
      <c r="N47" s="73">
        <f>N44/(N42-N37)</f>
        <v>0.30992588992831976</v>
      </c>
      <c r="O47" s="72">
        <f>O44/(O42-O37)</f>
        <v>0.3202398145971182</v>
      </c>
      <c r="P47" s="72">
        <f>P44/(P42-P37)</f>
        <v>0.3218347170185023</v>
      </c>
      <c r="Q47" s="72">
        <f>Q44/(Q42-Q37)</f>
        <v>0.34266720386784849</v>
      </c>
      <c r="R47" s="73">
        <f>R44/(R42-R37)</f>
        <v>0.29170706965226084</v>
      </c>
      <c r="S47" s="72">
        <f>S44/(S42-S37)</f>
        <v>0.245758562087738</v>
      </c>
      <c r="T47" s="72">
        <f>T44/(T42-T37)</f>
        <v>0.24085659287776709</v>
      </c>
      <c r="U47" s="72">
        <f>U44/(U42-U37)</f>
        <v>0.22696298115292529</v>
      </c>
      <c r="V47" s="73">
        <f>V44/(V42-V37)</f>
        <v>0.24467923647189305</v>
      </c>
      <c r="W47" s="72">
        <f>W44/(W42-W37)</f>
        <v>0.2597201824225091</v>
      </c>
      <c r="X47" s="72">
        <f>X44/(X42-X37)</f>
        <v>0.25802401078035037</v>
      </c>
    </row>
    <row r="48" spans="1:24" x14ac:dyDescent="0.15">
      <c r="A48" s="36" t="s">
        <v>82</v>
      </c>
      <c r="B48" s="8"/>
      <c r="C48" s="8"/>
      <c r="D48" s="8"/>
      <c r="E48" s="8"/>
      <c r="F48" s="4"/>
      <c r="G48" s="5"/>
      <c r="H48" s="5"/>
      <c r="I48" s="5"/>
      <c r="J48" s="4"/>
      <c r="K48" s="8"/>
      <c r="L48" s="8"/>
      <c r="M48" s="72">
        <f>M44/M41</f>
        <v>0.70164699665316188</v>
      </c>
      <c r="N48" s="73">
        <f>N44/N41</f>
        <v>0.7146802209237173</v>
      </c>
      <c r="O48" s="72">
        <f>O44/O41</f>
        <v>0.67750301996731332</v>
      </c>
      <c r="P48" s="72">
        <f>P44/P41</f>
        <v>0.61919278524022736</v>
      </c>
      <c r="Q48" s="72">
        <f>Q44/Q41</f>
        <v>0.6037679180887372</v>
      </c>
      <c r="R48" s="73">
        <f>R44/R41</f>
        <v>0.43695112958369647</v>
      </c>
      <c r="S48" s="72">
        <f>S44/S41</f>
        <v>0.34766309441343057</v>
      </c>
      <c r="T48" s="72">
        <f>T44/T41</f>
        <v>0.34023188186865061</v>
      </c>
      <c r="U48" s="72">
        <f>U44/U41</f>
        <v>0.31377308527973929</v>
      </c>
      <c r="V48" s="73">
        <f>V44/V41</f>
        <v>0.35866719148426401</v>
      </c>
      <c r="W48" s="72">
        <f>W44/W41</f>
        <v>0.38204765849617467</v>
      </c>
      <c r="X48" s="72">
        <f>X44/X41</f>
        <v>0.35577545677205036</v>
      </c>
    </row>
    <row r="49" spans="1:24" x14ac:dyDescent="0.15">
      <c r="Q49" s="29"/>
      <c r="X49" s="29"/>
    </row>
    <row r="50" spans="1:24" x14ac:dyDescent="0.15">
      <c r="A50" s="36" t="s">
        <v>73</v>
      </c>
      <c r="B50" s="29"/>
      <c r="C50" s="32"/>
      <c r="D50" s="32"/>
      <c r="E50" s="32"/>
      <c r="F50" s="31">
        <f t="shared" ref="F50:Q50" si="61">F6/B6-1</f>
        <v>0.16452991452991461</v>
      </c>
      <c r="G50" s="32">
        <f t="shared" si="61"/>
        <v>0.1673553719008265</v>
      </c>
      <c r="H50" s="32">
        <f t="shared" si="61"/>
        <v>0.16831683168316824</v>
      </c>
      <c r="I50" s="32">
        <f t="shared" si="61"/>
        <v>0.18269230769230771</v>
      </c>
      <c r="J50" s="31">
        <f t="shared" si="61"/>
        <v>0.17431192660550465</v>
      </c>
      <c r="K50" s="32">
        <f t="shared" si="61"/>
        <v>0.16814159292035402</v>
      </c>
      <c r="L50" s="32">
        <f t="shared" si="61"/>
        <v>0.16101694915254239</v>
      </c>
      <c r="M50" s="32">
        <f t="shared" si="61"/>
        <v>0.13821138211382111</v>
      </c>
      <c r="N50" s="31">
        <f t="shared" si="61"/>
        <v>0.1328125</v>
      </c>
      <c r="O50" s="32">
        <f t="shared" si="61"/>
        <v>0.11363636363636354</v>
      </c>
      <c r="P50" s="32">
        <f t="shared" si="61"/>
        <v>8.7591240875912302E-2</v>
      </c>
      <c r="Q50" s="32">
        <f t="shared" si="61"/>
        <v>8.5714285714285632E-2</v>
      </c>
      <c r="R50" s="31">
        <f t="shared" ref="R50:U50" si="62">R6/N6-1</f>
        <v>7.5862068965517171E-2</v>
      </c>
      <c r="S50" s="32">
        <f t="shared" si="62"/>
        <v>8.163265306122458E-2</v>
      </c>
      <c r="T50" s="32">
        <f t="shared" si="62"/>
        <v>8.7248322147650992E-2</v>
      </c>
      <c r="U50" s="32">
        <f t="shared" si="62"/>
        <v>9.210526315789469E-2</v>
      </c>
      <c r="V50" s="31">
        <f t="shared" ref="V50:X51" si="63">V6/R6-1</f>
        <v>0.10897435897435903</v>
      </c>
      <c r="W50" s="32">
        <f t="shared" si="63"/>
        <v>0.12578616352201255</v>
      </c>
      <c r="X50" s="32">
        <f t="shared" si="63"/>
        <v>0.12345679012345689</v>
      </c>
    </row>
    <row r="51" spans="1:24" x14ac:dyDescent="0.15">
      <c r="A51" s="36" t="s">
        <v>75</v>
      </c>
      <c r="B51" s="29"/>
      <c r="C51" s="10"/>
      <c r="D51" s="29"/>
      <c r="E51" s="29"/>
      <c r="F51" s="31">
        <f>F7/B7-1</f>
        <v>0.30443334446783554</v>
      </c>
      <c r="G51" s="30">
        <f>G7/C7-1</f>
        <v>0.36400712868859286</v>
      </c>
      <c r="H51" s="30">
        <f t="shared" ref="H51:P51" si="64">H7/D7-1</f>
        <v>0.33324609597114008</v>
      </c>
      <c r="I51" s="30">
        <f t="shared" si="64"/>
        <v>0.27516866334559609</v>
      </c>
      <c r="J51" s="31">
        <f t="shared" si="64"/>
        <v>0.27085655890003713</v>
      </c>
      <c r="K51" s="30">
        <f t="shared" si="64"/>
        <v>0.23979815243799085</v>
      </c>
      <c r="L51" s="30">
        <f t="shared" si="64"/>
        <v>0.26881324134025064</v>
      </c>
      <c r="M51" s="30">
        <f t="shared" si="64"/>
        <v>0.29377098097724708</v>
      </c>
      <c r="N51" s="31">
        <f t="shared" si="64"/>
        <v>0.31512570408023066</v>
      </c>
      <c r="O51" s="30">
        <f t="shared" si="64"/>
        <v>0.2746376954386518</v>
      </c>
      <c r="P51" s="30">
        <f t="shared" si="64"/>
        <v>0.22206330351062342</v>
      </c>
      <c r="Q51" s="30">
        <f>Q7/M7-1</f>
        <v>0.20094697891815594</v>
      </c>
      <c r="R51" s="31">
        <f>R7/N7-1</f>
        <v>0.17114141777772063</v>
      </c>
      <c r="S51" s="30">
        <f>S7/O7-1</f>
        <v>0.17992479069309786</v>
      </c>
      <c r="T51" s="30">
        <f>T7/P7-1</f>
        <v>0.18274069217465438</v>
      </c>
      <c r="U51" s="30">
        <f>U7/Q7-1</f>
        <v>0.14130306255173219</v>
      </c>
      <c r="V51" s="31">
        <f>V7/R7-1</f>
        <v>6.0824952143543554E-2</v>
      </c>
      <c r="W51" s="30">
        <f>W7/S7-1</f>
        <v>-1.69923582194631E-2</v>
      </c>
      <c r="X51" s="30">
        <f>X7/T7-1</f>
        <v>8.2634225054347477E-2</v>
      </c>
    </row>
    <row r="52" spans="1:24" x14ac:dyDescent="0.15">
      <c r="F52" s="4"/>
      <c r="Q52" s="29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FB94-0AB3-414C-B878-F515704013C0}">
  <dimension ref="B4:B9"/>
  <sheetViews>
    <sheetView zoomScale="120" zoomScaleNormal="120" workbookViewId="0">
      <selection activeCell="B10" sqref="B10"/>
    </sheetView>
  </sheetViews>
  <sheetFormatPr baseColWidth="10" defaultRowHeight="13" x14ac:dyDescent="0.15"/>
  <cols>
    <col min="1" max="1" width="10.83203125" style="7"/>
    <col min="2" max="2" width="10.5" style="7" bestFit="1" customWidth="1"/>
    <col min="3" max="16384" width="10.83203125" style="7"/>
  </cols>
  <sheetData>
    <row r="4" spans="2:2" x14ac:dyDescent="0.15">
      <c r="B4" s="75" t="s">
        <v>88</v>
      </c>
    </row>
    <row r="6" spans="2:2" x14ac:dyDescent="0.15">
      <c r="B6" s="7" t="s">
        <v>89</v>
      </c>
    </row>
    <row r="7" spans="2:2" x14ac:dyDescent="0.15">
      <c r="B7" s="7" t="s">
        <v>90</v>
      </c>
    </row>
    <row r="8" spans="2:2" x14ac:dyDescent="0.15">
      <c r="B8" s="7" t="s">
        <v>91</v>
      </c>
    </row>
    <row r="9" spans="2:2" x14ac:dyDescent="0.15">
      <c r="B9" s="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2021-01-05T00:34:09Z</dcterms:modified>
</cp:coreProperties>
</file>