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CC8B6CD6-6D2F-454D-BF31-A660843E068B}" xr6:coauthVersionLast="46" xr6:coauthVersionMax="46" xr10:uidLastSave="{00000000-0000-0000-0000-000000000000}"/>
  <bookViews>
    <workbookView xWindow="0" yWindow="460" windowWidth="21340" windowHeight="2032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2" l="1"/>
  <c r="D50" i="2"/>
  <c r="D54" i="2" s="1"/>
  <c r="D49" i="2"/>
  <c r="D55" i="2" s="1"/>
  <c r="D47" i="2"/>
  <c r="D46" i="2"/>
  <c r="D45" i="2"/>
  <c r="E41" i="2"/>
  <c r="F5" i="2"/>
  <c r="K19" i="2"/>
  <c r="L19" i="2" s="1"/>
  <c r="M19" i="2" s="1"/>
  <c r="N19" i="2" s="1"/>
  <c r="O19" i="2" s="1"/>
  <c r="P19" i="2" s="1"/>
  <c r="Q19" i="2" s="1"/>
  <c r="R19" i="2" s="1"/>
  <c r="S19" i="2" s="1"/>
  <c r="T19" i="2" s="1"/>
  <c r="J19" i="2"/>
  <c r="P35" i="2"/>
  <c r="P29" i="2"/>
  <c r="Q29" i="2" s="1"/>
  <c r="R29" i="2" s="1"/>
  <c r="S29" i="2" s="1"/>
  <c r="T29" i="2" s="1"/>
  <c r="P21" i="2"/>
  <c r="Q21" i="2" s="1"/>
  <c r="P20" i="2"/>
  <c r="P18" i="2"/>
  <c r="P31" i="2" s="1"/>
  <c r="P16" i="2"/>
  <c r="Q16" i="2" s="1"/>
  <c r="P9" i="2"/>
  <c r="Q9" i="2" s="1"/>
  <c r="R9" i="2" s="1"/>
  <c r="S9" i="2" s="1"/>
  <c r="F20" i="2"/>
  <c r="G20" i="2" s="1"/>
  <c r="H20" i="2" s="1"/>
  <c r="I20" i="2" s="1"/>
  <c r="E20" i="2"/>
  <c r="F19" i="2"/>
  <c r="G19" i="2" s="1"/>
  <c r="H19" i="2" s="1"/>
  <c r="I19" i="2" s="1"/>
  <c r="E19" i="2"/>
  <c r="E18" i="2"/>
  <c r="E17" i="2"/>
  <c r="F10" i="2"/>
  <c r="G10" i="2" s="1"/>
  <c r="H10" i="2" s="1"/>
  <c r="I10" i="2" s="1"/>
  <c r="E10" i="2"/>
  <c r="F11" i="2"/>
  <c r="G11" i="2" s="1"/>
  <c r="H11" i="2" s="1"/>
  <c r="I11" i="2" s="1"/>
  <c r="E11" i="2"/>
  <c r="D64" i="2"/>
  <c r="D63" i="2"/>
  <c r="C5" i="2"/>
  <c r="C3" i="2"/>
  <c r="Q29" i="1"/>
  <c r="P53" i="1"/>
  <c r="P52" i="1"/>
  <c r="P46" i="1"/>
  <c r="P50" i="1" s="1"/>
  <c r="P44" i="1"/>
  <c r="P43" i="1"/>
  <c r="P39" i="1"/>
  <c r="P36" i="1"/>
  <c r="P35" i="1"/>
  <c r="P33" i="1"/>
  <c r="P32" i="1"/>
  <c r="P31" i="1"/>
  <c r="P30" i="1"/>
  <c r="P29" i="1"/>
  <c r="P27" i="1"/>
  <c r="P26" i="1"/>
  <c r="P25" i="1"/>
  <c r="P21" i="1"/>
  <c r="P22" i="1" s="1"/>
  <c r="P18" i="1"/>
  <c r="P15" i="1"/>
  <c r="P16" i="1" s="1"/>
  <c r="P11" i="1"/>
  <c r="P9" i="1"/>
  <c r="P59" i="1"/>
  <c r="O53" i="1"/>
  <c r="O52" i="1"/>
  <c r="O46" i="1"/>
  <c r="O50" i="1" s="1"/>
  <c r="O44" i="1"/>
  <c r="O43" i="1"/>
  <c r="O39" i="1"/>
  <c r="O36" i="1"/>
  <c r="O35" i="1"/>
  <c r="O33" i="1"/>
  <c r="O32" i="1"/>
  <c r="O31" i="1"/>
  <c r="O30" i="1"/>
  <c r="O29" i="1"/>
  <c r="O27" i="1"/>
  <c r="O26" i="1"/>
  <c r="O25" i="1"/>
  <c r="O22" i="1"/>
  <c r="O21" i="1"/>
  <c r="O18" i="1"/>
  <c r="O15" i="1"/>
  <c r="O16" i="1" s="1"/>
  <c r="O11" i="1"/>
  <c r="O9" i="1"/>
  <c r="O59" i="1"/>
  <c r="N59" i="1"/>
  <c r="N53" i="1"/>
  <c r="N52" i="1"/>
  <c r="N44" i="1"/>
  <c r="M39" i="1"/>
  <c r="N39" i="1"/>
  <c r="M36" i="1"/>
  <c r="N36" i="1"/>
  <c r="N35" i="1" s="1"/>
  <c r="N32" i="1"/>
  <c r="N31" i="1"/>
  <c r="N30" i="1"/>
  <c r="N15" i="1"/>
  <c r="N9" i="1"/>
  <c r="N11" i="1" s="1"/>
  <c r="N25" i="1" s="1"/>
  <c r="F4" i="2"/>
  <c r="D52" i="2" l="1"/>
  <c r="R16" i="2"/>
  <c r="Q18" i="2"/>
  <c r="Q35" i="2"/>
  <c r="Q17" i="2"/>
  <c r="R21" i="2"/>
  <c r="Q38" i="2"/>
  <c r="P38" i="2"/>
  <c r="Q20" i="2"/>
  <c r="P17" i="2"/>
  <c r="P37" i="2"/>
  <c r="P47" i="1"/>
  <c r="P49" i="1"/>
  <c r="P48" i="1"/>
  <c r="O47" i="1"/>
  <c r="O48" i="1"/>
  <c r="O49" i="1"/>
  <c r="N16" i="1"/>
  <c r="N43" i="1"/>
  <c r="M3" i="1"/>
  <c r="M4" i="1"/>
  <c r="Q31" i="2" l="1"/>
  <c r="Q37" i="2"/>
  <c r="R20" i="2"/>
  <c r="S21" i="2"/>
  <c r="R38" i="2"/>
  <c r="R18" i="2"/>
  <c r="R17" i="2"/>
  <c r="R35" i="2"/>
  <c r="S16" i="2"/>
  <c r="N26" i="1"/>
  <c r="N18" i="1"/>
  <c r="D43" i="2"/>
  <c r="D29" i="2"/>
  <c r="D26" i="2"/>
  <c r="D17" i="2"/>
  <c r="D11" i="2"/>
  <c r="I58" i="2" s="1"/>
  <c r="D10" i="2"/>
  <c r="D16" i="2" s="1"/>
  <c r="M59" i="1"/>
  <c r="M14" i="1"/>
  <c r="M32" i="1" s="1"/>
  <c r="M12" i="1"/>
  <c r="D19" i="2" s="1"/>
  <c r="M13" i="1"/>
  <c r="M31" i="1" s="1"/>
  <c r="M9" i="1"/>
  <c r="M11" i="1" s="1"/>
  <c r="M17" i="1"/>
  <c r="M53" i="1"/>
  <c r="M44" i="1"/>
  <c r="M43" i="1"/>
  <c r="M35" i="1"/>
  <c r="L39" i="1"/>
  <c r="L36" i="1"/>
  <c r="L35" i="1" s="1"/>
  <c r="L17" i="1"/>
  <c r="L9" i="1"/>
  <c r="L11" i="1" s="1"/>
  <c r="L59" i="1"/>
  <c r="L53" i="1"/>
  <c r="L52" i="1"/>
  <c r="L44" i="1"/>
  <c r="L32" i="1"/>
  <c r="L31" i="1"/>
  <c r="L30" i="1"/>
  <c r="L15" i="1"/>
  <c r="K39" i="1"/>
  <c r="K36" i="1"/>
  <c r="K17" i="1"/>
  <c r="K9" i="1"/>
  <c r="K59" i="1"/>
  <c r="K53" i="1"/>
  <c r="K52" i="1"/>
  <c r="K44" i="1"/>
  <c r="K35" i="1"/>
  <c r="K32" i="1"/>
  <c r="K31" i="1"/>
  <c r="K30" i="1"/>
  <c r="K15" i="1"/>
  <c r="P36" i="2" l="1"/>
  <c r="P22" i="2"/>
  <c r="T21" i="2"/>
  <c r="T38" i="2" s="1"/>
  <c r="S38" i="2"/>
  <c r="T16" i="2"/>
  <c r="S35" i="2"/>
  <c r="R31" i="2"/>
  <c r="S18" i="2" s="1"/>
  <c r="R37" i="2"/>
  <c r="S20" i="2"/>
  <c r="D20" i="2"/>
  <c r="J20" i="2" s="1"/>
  <c r="K20" i="2" s="1"/>
  <c r="L20" i="2" s="1"/>
  <c r="M20" i="2" s="1"/>
  <c r="N20" i="2" s="1"/>
  <c r="O20" i="2" s="1"/>
  <c r="N21" i="1"/>
  <c r="N22" i="1" s="1"/>
  <c r="N27" i="1"/>
  <c r="M30" i="1"/>
  <c r="D42" i="2"/>
  <c r="D21" i="2"/>
  <c r="E21" i="2" s="1"/>
  <c r="F21" i="2" s="1"/>
  <c r="G21" i="2" s="1"/>
  <c r="H21" i="2" s="1"/>
  <c r="I21" i="2" s="1"/>
  <c r="E16" i="2"/>
  <c r="D18" i="2"/>
  <c r="D22" i="2"/>
  <c r="D41" i="2"/>
  <c r="E24" i="2" s="1"/>
  <c r="M15" i="1"/>
  <c r="M52" i="1"/>
  <c r="M25" i="1"/>
  <c r="M29" i="1"/>
  <c r="L43" i="1"/>
  <c r="K43" i="1"/>
  <c r="K11" i="1"/>
  <c r="C11" i="2"/>
  <c r="C10" i="2"/>
  <c r="C63" i="2"/>
  <c r="B63" i="2"/>
  <c r="B10" i="2"/>
  <c r="B11" i="2"/>
  <c r="C4" i="2"/>
  <c r="E35" i="1"/>
  <c r="B9" i="1"/>
  <c r="B11" i="1"/>
  <c r="B15" i="1"/>
  <c r="B25" i="1"/>
  <c r="F39" i="1"/>
  <c r="F36" i="1"/>
  <c r="F35" i="1" s="1"/>
  <c r="G39" i="1"/>
  <c r="G36" i="1"/>
  <c r="G35" i="1" s="1"/>
  <c r="E39" i="1"/>
  <c r="H39" i="1"/>
  <c r="H36" i="1"/>
  <c r="H35" i="1" s="1"/>
  <c r="E36" i="1"/>
  <c r="I9" i="1"/>
  <c r="I11" i="1" s="1"/>
  <c r="J9" i="1"/>
  <c r="F59" i="1"/>
  <c r="G59" i="1"/>
  <c r="H59" i="1"/>
  <c r="I59" i="1"/>
  <c r="J59" i="1"/>
  <c r="I39" i="1"/>
  <c r="C45" i="2" s="1"/>
  <c r="I36" i="1"/>
  <c r="C42" i="2" s="1"/>
  <c r="J39" i="1"/>
  <c r="J36" i="1"/>
  <c r="J35" i="1" s="1"/>
  <c r="F17" i="1"/>
  <c r="J17" i="1"/>
  <c r="D24" i="2" s="1"/>
  <c r="J15" i="1"/>
  <c r="N33" i="1" s="1"/>
  <c r="G9" i="1"/>
  <c r="K29" i="1" s="1"/>
  <c r="G15" i="1"/>
  <c r="K33" i="1" s="1"/>
  <c r="H9" i="1"/>
  <c r="H11" i="1"/>
  <c r="H15" i="1"/>
  <c r="I15" i="1"/>
  <c r="J53" i="1"/>
  <c r="J52" i="1"/>
  <c r="J44" i="1"/>
  <c r="F15" i="1"/>
  <c r="J32" i="1"/>
  <c r="J31" i="1"/>
  <c r="J30" i="1"/>
  <c r="F9" i="1"/>
  <c r="C19" i="2"/>
  <c r="C20" i="2"/>
  <c r="C21" i="2"/>
  <c r="B19" i="2"/>
  <c r="B20" i="2"/>
  <c r="B21" i="2"/>
  <c r="C15" i="1"/>
  <c r="E15" i="1"/>
  <c r="D15" i="1"/>
  <c r="C46" i="2"/>
  <c r="C17" i="2"/>
  <c r="C24" i="2"/>
  <c r="C26" i="2"/>
  <c r="I44" i="1"/>
  <c r="C43" i="2"/>
  <c r="C47" i="2"/>
  <c r="C29" i="2"/>
  <c r="E9" i="1"/>
  <c r="E11" i="1"/>
  <c r="E25" i="1" s="1"/>
  <c r="B42" i="2"/>
  <c r="B43" i="2"/>
  <c r="I53" i="1"/>
  <c r="H53" i="1"/>
  <c r="G53" i="1"/>
  <c r="F53" i="1"/>
  <c r="I52" i="1"/>
  <c r="H52" i="1"/>
  <c r="G52" i="1"/>
  <c r="F52" i="1"/>
  <c r="H44" i="1"/>
  <c r="B24" i="2"/>
  <c r="B46" i="2"/>
  <c r="B45" i="2"/>
  <c r="B17" i="2"/>
  <c r="B26" i="2"/>
  <c r="B47" i="2"/>
  <c r="C9" i="1"/>
  <c r="C11" i="1"/>
  <c r="C25" i="1" s="1"/>
  <c r="D9" i="1"/>
  <c r="D11" i="1" s="1"/>
  <c r="E44" i="1"/>
  <c r="G44" i="1"/>
  <c r="F44" i="1"/>
  <c r="I32" i="1"/>
  <c r="I31" i="1"/>
  <c r="I30" i="1"/>
  <c r="F32" i="1"/>
  <c r="F31" i="1"/>
  <c r="F30" i="1"/>
  <c r="G32" i="1"/>
  <c r="G31" i="1"/>
  <c r="G30" i="1"/>
  <c r="H32" i="1"/>
  <c r="H31" i="1"/>
  <c r="H30" i="1"/>
  <c r="B29" i="2"/>
  <c r="E29" i="2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P23" i="2" l="1"/>
  <c r="P32" i="2" s="1"/>
  <c r="Q36" i="2"/>
  <c r="Q22" i="2"/>
  <c r="S31" i="2"/>
  <c r="S17" i="2"/>
  <c r="T18" i="2"/>
  <c r="T17" i="2" s="1"/>
  <c r="T35" i="2"/>
  <c r="S37" i="2"/>
  <c r="T20" i="2"/>
  <c r="T37" i="2" s="1"/>
  <c r="I29" i="1"/>
  <c r="C16" i="2"/>
  <c r="F29" i="1"/>
  <c r="F33" i="1"/>
  <c r="C16" i="1"/>
  <c r="C18" i="1" s="1"/>
  <c r="J11" i="1"/>
  <c r="N29" i="1"/>
  <c r="B16" i="2"/>
  <c r="C35" i="2" s="1"/>
  <c r="H33" i="1"/>
  <c r="G11" i="1"/>
  <c r="E43" i="1"/>
  <c r="F11" i="1"/>
  <c r="H29" i="1"/>
  <c r="J16" i="1"/>
  <c r="J18" i="1" s="1"/>
  <c r="J25" i="1"/>
  <c r="M33" i="1"/>
  <c r="D23" i="2"/>
  <c r="D25" i="2" s="1"/>
  <c r="H16" i="1"/>
  <c r="L29" i="1"/>
  <c r="I43" i="1"/>
  <c r="L33" i="1"/>
  <c r="J33" i="1"/>
  <c r="G33" i="1"/>
  <c r="J29" i="1"/>
  <c r="G43" i="1"/>
  <c r="B16" i="1"/>
  <c r="B26" i="1" s="1"/>
  <c r="H43" i="1"/>
  <c r="G29" i="1"/>
  <c r="I33" i="1"/>
  <c r="F16" i="2"/>
  <c r="E35" i="2"/>
  <c r="C64" i="2"/>
  <c r="B49" i="2"/>
  <c r="M16" i="1"/>
  <c r="M18" i="1" s="1"/>
  <c r="L25" i="1"/>
  <c r="L16" i="1"/>
  <c r="K25" i="1"/>
  <c r="K16" i="1"/>
  <c r="C18" i="2"/>
  <c r="C31" i="2" s="1"/>
  <c r="C58" i="2"/>
  <c r="C57" i="2"/>
  <c r="D58" i="2"/>
  <c r="C37" i="2"/>
  <c r="C50" i="2"/>
  <c r="B41" i="2"/>
  <c r="C41" i="2"/>
  <c r="C36" i="2"/>
  <c r="B22" i="2"/>
  <c r="C6" i="2"/>
  <c r="C7" i="2" s="1"/>
  <c r="H18" i="1"/>
  <c r="H26" i="1"/>
  <c r="I25" i="1"/>
  <c r="I16" i="1"/>
  <c r="D16" i="1"/>
  <c r="D25" i="1"/>
  <c r="D38" i="2"/>
  <c r="E16" i="1"/>
  <c r="J43" i="1"/>
  <c r="F43" i="1"/>
  <c r="I35" i="1"/>
  <c r="C38" i="2"/>
  <c r="B50" i="2"/>
  <c r="C49" i="2"/>
  <c r="C22" i="2"/>
  <c r="D57" i="2"/>
  <c r="H25" i="1"/>
  <c r="Q39" i="2" l="1"/>
  <c r="Q23" i="2"/>
  <c r="Q32" i="2" s="1"/>
  <c r="R36" i="2"/>
  <c r="R22" i="2"/>
  <c r="T31" i="2"/>
  <c r="J26" i="1"/>
  <c r="B18" i="2"/>
  <c r="B31" i="2" s="1"/>
  <c r="C27" i="1"/>
  <c r="C21" i="1"/>
  <c r="G25" i="1"/>
  <c r="G16" i="1"/>
  <c r="C26" i="1"/>
  <c r="F16" i="1"/>
  <c r="F25" i="1"/>
  <c r="B23" i="2"/>
  <c r="B25" i="2" s="1"/>
  <c r="B18" i="1"/>
  <c r="B27" i="1" s="1"/>
  <c r="D35" i="2"/>
  <c r="M26" i="1"/>
  <c r="M27" i="1"/>
  <c r="L26" i="1"/>
  <c r="L18" i="1"/>
  <c r="K26" i="1"/>
  <c r="K18" i="1"/>
  <c r="D26" i="1"/>
  <c r="D18" i="1"/>
  <c r="E57" i="2"/>
  <c r="E58" i="2"/>
  <c r="C22" i="1"/>
  <c r="E26" i="1"/>
  <c r="E18" i="1"/>
  <c r="D36" i="2"/>
  <c r="D39" i="2"/>
  <c r="I18" i="1"/>
  <c r="I26" i="1"/>
  <c r="C39" i="2"/>
  <c r="C23" i="2"/>
  <c r="E38" i="2"/>
  <c r="J21" i="1"/>
  <c r="J22" i="1" s="1"/>
  <c r="J27" i="1"/>
  <c r="D37" i="2"/>
  <c r="D31" i="2"/>
  <c r="H21" i="1"/>
  <c r="H22" i="1" s="1"/>
  <c r="H27" i="1"/>
  <c r="S36" i="2" l="1"/>
  <c r="S22" i="2"/>
  <c r="R39" i="2"/>
  <c r="R23" i="2"/>
  <c r="R32" i="2" s="1"/>
  <c r="B21" i="1"/>
  <c r="F26" i="1"/>
  <c r="F18" i="1"/>
  <c r="G26" i="1"/>
  <c r="G18" i="1"/>
  <c r="B32" i="2"/>
  <c r="G16" i="2"/>
  <c r="M21" i="1"/>
  <c r="L27" i="1"/>
  <c r="L21" i="1"/>
  <c r="K27" i="1"/>
  <c r="K21" i="1"/>
  <c r="E37" i="2"/>
  <c r="F58" i="2"/>
  <c r="B27" i="2"/>
  <c r="B33" i="2"/>
  <c r="C25" i="2"/>
  <c r="C32" i="2"/>
  <c r="D27" i="1"/>
  <c r="D21" i="1"/>
  <c r="E36" i="2"/>
  <c r="E22" i="2"/>
  <c r="E39" i="2" s="1"/>
  <c r="E27" i="1"/>
  <c r="E21" i="1"/>
  <c r="F38" i="2"/>
  <c r="F57" i="2"/>
  <c r="B22" i="1"/>
  <c r="I27" i="1"/>
  <c r="I21" i="1"/>
  <c r="I22" i="1" s="1"/>
  <c r="T36" i="2" l="1"/>
  <c r="T22" i="2"/>
  <c r="S39" i="2"/>
  <c r="S23" i="2"/>
  <c r="S32" i="2" s="1"/>
  <c r="N46" i="1"/>
  <c r="N50" i="1"/>
  <c r="N49" i="1"/>
  <c r="N48" i="1"/>
  <c r="N47" i="1"/>
  <c r="G27" i="1"/>
  <c r="G21" i="1"/>
  <c r="F27" i="1"/>
  <c r="F21" i="1"/>
  <c r="F22" i="1" s="1"/>
  <c r="M46" i="1"/>
  <c r="M48" i="1" s="1"/>
  <c r="I16" i="2"/>
  <c r="H16" i="2"/>
  <c r="M22" i="1"/>
  <c r="M47" i="1"/>
  <c r="M50" i="1"/>
  <c r="M49" i="1"/>
  <c r="L46" i="1"/>
  <c r="L22" i="1"/>
  <c r="K22" i="1"/>
  <c r="K46" i="1"/>
  <c r="F36" i="2"/>
  <c r="F22" i="2"/>
  <c r="F39" i="2" s="1"/>
  <c r="D22" i="1"/>
  <c r="F46" i="1"/>
  <c r="C27" i="2"/>
  <c r="C33" i="2"/>
  <c r="E22" i="1"/>
  <c r="H46" i="1"/>
  <c r="B28" i="2"/>
  <c r="B55" i="2"/>
  <c r="B54" i="2"/>
  <c r="B53" i="2"/>
  <c r="B52" i="2"/>
  <c r="E46" i="1"/>
  <c r="F35" i="2"/>
  <c r="H58" i="2"/>
  <c r="G58" i="2"/>
  <c r="G57" i="2"/>
  <c r="F37" i="2"/>
  <c r="E31" i="2"/>
  <c r="F18" i="2" s="1"/>
  <c r="E23" i="2"/>
  <c r="G38" i="2"/>
  <c r="D32" i="2"/>
  <c r="T39" i="2" l="1"/>
  <c r="T23" i="2"/>
  <c r="T32" i="2" s="1"/>
  <c r="I57" i="2"/>
  <c r="G46" i="1"/>
  <c r="I46" i="1"/>
  <c r="G22" i="1"/>
  <c r="J46" i="1"/>
  <c r="L50" i="1"/>
  <c r="L48" i="1"/>
  <c r="L49" i="1"/>
  <c r="L47" i="1"/>
  <c r="K49" i="1"/>
  <c r="K48" i="1"/>
  <c r="K50" i="1"/>
  <c r="K47" i="1"/>
  <c r="F23" i="2"/>
  <c r="F31" i="2"/>
  <c r="G18" i="2" s="1"/>
  <c r="G17" i="2" s="1"/>
  <c r="F17" i="2"/>
  <c r="H50" i="1"/>
  <c r="H47" i="1"/>
  <c r="H49" i="1"/>
  <c r="H48" i="1"/>
  <c r="G35" i="2"/>
  <c r="G50" i="1"/>
  <c r="G49" i="1"/>
  <c r="G48" i="1"/>
  <c r="G47" i="1"/>
  <c r="G22" i="2"/>
  <c r="G39" i="2" s="1"/>
  <c r="G36" i="2"/>
  <c r="D33" i="2"/>
  <c r="D27" i="2"/>
  <c r="D28" i="2" s="1"/>
  <c r="H38" i="2"/>
  <c r="G37" i="2"/>
  <c r="H57" i="2"/>
  <c r="C55" i="2"/>
  <c r="C54" i="2"/>
  <c r="C53" i="2"/>
  <c r="C52" i="2"/>
  <c r="C28" i="2"/>
  <c r="F49" i="1"/>
  <c r="F48" i="1"/>
  <c r="F47" i="1"/>
  <c r="F50" i="1"/>
  <c r="I49" i="1"/>
  <c r="I48" i="1"/>
  <c r="I50" i="1"/>
  <c r="I47" i="1"/>
  <c r="E49" i="1"/>
  <c r="E48" i="1"/>
  <c r="E47" i="1"/>
  <c r="E50" i="1"/>
  <c r="E32" i="2"/>
  <c r="J47" i="1" l="1"/>
  <c r="J48" i="1"/>
  <c r="J50" i="1"/>
  <c r="J49" i="1"/>
  <c r="H35" i="2"/>
  <c r="H37" i="2"/>
  <c r="G23" i="2"/>
  <c r="G31" i="2"/>
  <c r="H18" i="2" s="1"/>
  <c r="I38" i="2"/>
  <c r="J21" i="2"/>
  <c r="H22" i="2"/>
  <c r="H39" i="2" s="1"/>
  <c r="H36" i="2"/>
  <c r="F32" i="2"/>
  <c r="H31" i="2" l="1"/>
  <c r="I18" i="2" s="1"/>
  <c r="I17" i="2" s="1"/>
  <c r="H23" i="2"/>
  <c r="H17" i="2"/>
  <c r="I22" i="2"/>
  <c r="I39" i="2" s="1"/>
  <c r="I36" i="2"/>
  <c r="E25" i="2"/>
  <c r="J38" i="2"/>
  <c r="K21" i="2"/>
  <c r="G32" i="2"/>
  <c r="I37" i="2"/>
  <c r="I35" i="2"/>
  <c r="J16" i="2"/>
  <c r="E33" i="2" l="1"/>
  <c r="E27" i="2"/>
  <c r="J37" i="2"/>
  <c r="K38" i="2"/>
  <c r="L21" i="2"/>
  <c r="J22" i="2"/>
  <c r="J39" i="2" s="1"/>
  <c r="J36" i="2"/>
  <c r="I23" i="2"/>
  <c r="I31" i="2"/>
  <c r="J18" i="2" s="1"/>
  <c r="H32" i="2"/>
  <c r="K16" i="2"/>
  <c r="J35" i="2"/>
  <c r="J23" i="2" l="1"/>
  <c r="J31" i="2"/>
  <c r="K18" i="2" s="1"/>
  <c r="J17" i="2"/>
  <c r="L38" i="2"/>
  <c r="M21" i="2"/>
  <c r="K37" i="2"/>
  <c r="I32" i="2"/>
  <c r="K22" i="2"/>
  <c r="K39" i="2" s="1"/>
  <c r="K36" i="2"/>
  <c r="L16" i="2"/>
  <c r="K35" i="2"/>
  <c r="K31" i="2" l="1"/>
  <c r="L18" i="2" s="1"/>
  <c r="K23" i="2"/>
  <c r="L35" i="2"/>
  <c r="M16" i="2"/>
  <c r="K17" i="2"/>
  <c r="L22" i="2"/>
  <c r="L39" i="2" s="1"/>
  <c r="L36" i="2"/>
  <c r="L37" i="2"/>
  <c r="N21" i="2"/>
  <c r="M38" i="2"/>
  <c r="E28" i="2"/>
  <c r="J32" i="2"/>
  <c r="N38" i="2" l="1"/>
  <c r="O21" i="2"/>
  <c r="O38" i="2" s="1"/>
  <c r="L23" i="2"/>
  <c r="L31" i="2"/>
  <c r="M18" i="2" s="1"/>
  <c r="M17" i="2" s="1"/>
  <c r="K32" i="2"/>
  <c r="M37" i="2"/>
  <c r="M22" i="2"/>
  <c r="M39" i="2" s="1"/>
  <c r="M36" i="2"/>
  <c r="M35" i="2"/>
  <c r="N16" i="2"/>
  <c r="L17" i="2"/>
  <c r="F24" i="2"/>
  <c r="F25" i="2" s="1"/>
  <c r="O16" i="2" l="1"/>
  <c r="N35" i="2"/>
  <c r="M23" i="2"/>
  <c r="M31" i="2"/>
  <c r="N18" i="2" s="1"/>
  <c r="N36" i="2"/>
  <c r="N22" i="2"/>
  <c r="N39" i="2" s="1"/>
  <c r="O37" i="2"/>
  <c r="N37" i="2"/>
  <c r="L32" i="2"/>
  <c r="F33" i="2"/>
  <c r="F27" i="2" l="1"/>
  <c r="N31" i="2"/>
  <c r="N23" i="2"/>
  <c r="N17" i="2"/>
  <c r="O22" i="2"/>
  <c r="O36" i="2"/>
  <c r="M32" i="2"/>
  <c r="O18" i="2"/>
  <c r="O35" i="2"/>
  <c r="O39" i="2" l="1"/>
  <c r="P39" i="2"/>
  <c r="F41" i="2"/>
  <c r="G24" i="2" s="1"/>
  <c r="G25" i="2" s="1"/>
  <c r="F28" i="2"/>
  <c r="O31" i="2"/>
  <c r="O23" i="2"/>
  <c r="O17" i="2"/>
  <c r="N32" i="2"/>
  <c r="O32" i="2" l="1"/>
  <c r="G33" i="2"/>
  <c r="G27" i="2" l="1"/>
  <c r="G28" i="2" l="1"/>
  <c r="G41" i="2"/>
  <c r="H24" i="2" s="1"/>
  <c r="H25" i="2" s="1"/>
  <c r="H26" i="2" s="1"/>
  <c r="H33" i="2" l="1"/>
  <c r="H27" i="2" l="1"/>
  <c r="H28" i="2" l="1"/>
  <c r="H41" i="2"/>
  <c r="I24" i="2" l="1"/>
  <c r="I25" i="2" s="1"/>
  <c r="I26" i="2" s="1"/>
  <c r="I33" i="2" l="1"/>
  <c r="I27" i="2" l="1"/>
  <c r="I28" i="2" s="1"/>
  <c r="I41" i="2" l="1"/>
  <c r="J24" i="2"/>
  <c r="J25" i="2" s="1"/>
  <c r="J26" i="2" s="1"/>
  <c r="J33" i="2" l="1"/>
  <c r="J27" i="2" l="1"/>
  <c r="J28" i="2" s="1"/>
  <c r="J41" i="2" l="1"/>
  <c r="K24" i="2" s="1"/>
  <c r="K25" i="2" s="1"/>
  <c r="K26" i="2" s="1"/>
  <c r="K33" i="2" l="1"/>
  <c r="K27" i="2"/>
  <c r="K28" i="2" l="1"/>
  <c r="K41" i="2"/>
  <c r="L24" i="2" l="1"/>
  <c r="L25" i="2" s="1"/>
  <c r="L26" i="2" s="1"/>
  <c r="L33" i="2" l="1"/>
  <c r="L27" i="2" l="1"/>
  <c r="L28" i="2" l="1"/>
  <c r="L41" i="2"/>
  <c r="M24" i="2" l="1"/>
  <c r="M25" i="2" s="1"/>
  <c r="M26" i="2" s="1"/>
  <c r="M33" i="2" l="1"/>
  <c r="M27" i="2"/>
  <c r="M28" i="2" l="1"/>
  <c r="M41" i="2"/>
  <c r="N24" i="2" l="1"/>
  <c r="N25" i="2" s="1"/>
  <c r="N26" i="2" s="1"/>
  <c r="N33" i="2" l="1"/>
  <c r="N27" i="2" l="1"/>
  <c r="N28" i="2" l="1"/>
  <c r="N41" i="2"/>
  <c r="O24" i="2" l="1"/>
  <c r="O25" i="2" s="1"/>
  <c r="O26" i="2" s="1"/>
  <c r="O33" i="2" l="1"/>
  <c r="O27" i="2" l="1"/>
  <c r="O28" i="2" l="1"/>
  <c r="O41" i="2"/>
  <c r="P24" i="2" l="1"/>
  <c r="P25" i="2" s="1"/>
  <c r="P26" i="2" l="1"/>
  <c r="P33" i="2" s="1"/>
  <c r="P27" i="2"/>
  <c r="P28" i="2" l="1"/>
  <c r="P41" i="2"/>
  <c r="Q24" i="2" l="1"/>
  <c r="Q25" i="2" s="1"/>
  <c r="Q26" i="2" l="1"/>
  <c r="Q33" i="2" s="1"/>
  <c r="Q27" i="2"/>
  <c r="Q28" i="2" l="1"/>
  <c r="Q41" i="2"/>
  <c r="R24" i="2" l="1"/>
  <c r="R25" i="2" s="1"/>
  <c r="R26" i="2" l="1"/>
  <c r="R33" i="2" s="1"/>
  <c r="R27" i="2"/>
  <c r="R28" i="2" l="1"/>
  <c r="R41" i="2"/>
  <c r="S24" i="2" l="1"/>
  <c r="S25" i="2" s="1"/>
  <c r="S26" i="2" l="1"/>
  <c r="S33" i="2" s="1"/>
  <c r="S27" i="2"/>
  <c r="S28" i="2" l="1"/>
  <c r="S41" i="2"/>
  <c r="T24" i="2" l="1"/>
  <c r="T25" i="2" s="1"/>
  <c r="T26" i="2" l="1"/>
  <c r="T33" i="2" s="1"/>
  <c r="T27" i="2"/>
  <c r="T28" i="2" l="1"/>
  <c r="U27" i="2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F6" i="2" s="1"/>
  <c r="F7" i="2" s="1"/>
  <c r="G7" i="2" s="1"/>
  <c r="T41" i="2"/>
</calcChain>
</file>

<file path=xl/sharedStrings.xml><?xml version="1.0" encoding="utf-8"?>
<sst xmlns="http://schemas.openxmlformats.org/spreadsheetml/2006/main" count="142" uniqueCount="94">
  <si>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</si>
  <si>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</si>
  <si>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</si>
  <si>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</si>
  <si>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</si>
  <si>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</si>
  <si>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</si>
  <si>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</si>
  <si>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</si>
  <si>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</si>
  <si>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</si>
  <si>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</si>
  <si>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</si>
  <si>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</si>
  <si>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</si>
  <si>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</si>
  <si>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</si>
  <si>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</si>
  <si>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</si>
  <si>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</si>
  <si>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</si>
  <si>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</si>
  <si>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</si>
  <si>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</si>
  <si>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</si>
  <si>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</si>
  <si>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</si>
  <si>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</si>
  <si>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</si>
  <si>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</si>
  <si>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</si>
  <si>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</si>
  <si>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</si>
  <si>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</si>
  <si>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</si>
  <si>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</si>
  <si>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</si>
  <si>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</si>
  <si>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</si>
  <si>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</si>
  <si>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Inflation + risk premium (opportunity cost)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</si>
  <si>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</si>
  <si>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</si>
  <si>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</si>
  <si>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</si>
  <si>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</si>
  <si>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</si>
  <si>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</si>
  <si>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</si>
  <si>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</si>
  <si>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</si>
  <si>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</si>
  <si>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</si>
  <si>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</si>
  <si>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</si>
  <si>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</si>
  <si>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</si>
  <si>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DAU</t>
  </si>
  <si>
    <t>ARPU</t>
  </si>
  <si>
    <t>DAU y/y</t>
  </si>
  <si>
    <t>ARPU y/y</t>
  </si>
  <si>
    <t>Future net income (terminal value)</t>
  </si>
  <si>
    <t>Tax anomaly &amp; fines</t>
  </si>
  <si>
    <t>MongoDB, Inc (MDB)</t>
  </si>
  <si>
    <t>Q120</t>
  </si>
  <si>
    <t>Q220</t>
  </si>
  <si>
    <t>Q320</t>
  </si>
  <si>
    <t>Q420</t>
  </si>
  <si>
    <t>Subscription</t>
  </si>
  <si>
    <t>Services</t>
  </si>
  <si>
    <t>30/4/2018</t>
  </si>
  <si>
    <t>Subscription y/y</t>
  </si>
  <si>
    <t>Services y/y</t>
  </si>
  <si>
    <t>Customers</t>
  </si>
  <si>
    <t>31/1/2019</t>
  </si>
  <si>
    <t>31/10/2018</t>
  </si>
  <si>
    <t>31/7/2018</t>
  </si>
  <si>
    <t>31/1/2018</t>
  </si>
  <si>
    <t>31/10/2017</t>
  </si>
  <si>
    <t>31/7/2017</t>
  </si>
  <si>
    <t>30/4/2017</t>
  </si>
  <si>
    <t>Customers y/y</t>
  </si>
  <si>
    <t>Dev Ittycheria</t>
  </si>
  <si>
    <t>Kevin P. Ryan</t>
  </si>
  <si>
    <t>Dwight Merriman</t>
  </si>
  <si>
    <t>OE y/y</t>
  </si>
  <si>
    <t>Q121</t>
  </si>
  <si>
    <t>Q221</t>
  </si>
  <si>
    <t>Q321</t>
  </si>
  <si>
    <t>Q421</t>
  </si>
  <si>
    <t>PRODUCTS</t>
  </si>
  <si>
    <t>MongoDB Enterprise Advanced</t>
  </si>
  <si>
    <t>MongoDB Atlas</t>
  </si>
  <si>
    <t>44% of total revenue Q221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</si>
</sst>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%"/>
    <numFmt numFmtId="166" formatCode="#,##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2" borderId="0" xfId="0" applyNumberFormat="1" applyFont="1" applyFill="1" applyBorder="1"/>
    <xf numFmtId="3" fontId="5" fillId="0" borderId="0" xfId="0" applyNumberFormat="1" applyFont="1" applyBorder="1"/>
    <xf numFmtId="2" fontId="6" fillId="2" borderId="0" xfId="0" applyNumberFormat="1" applyFont="1" applyFill="1" applyBorder="1"/>
    <xf numFmtId="2" fontId="6" fillId="0" borderId="0" xfId="0" applyNumberFormat="1" applyFont="1" applyBorder="1"/>
    <xf numFmtId="9" fontId="5" fillId="0" borderId="0" xfId="1" applyFont="1" applyBorder="1"/>
    <xf numFmtId="9" fontId="6" fillId="0" borderId="0" xfId="1" applyFont="1" applyBorder="1"/>
    <xf numFmtId="9" fontId="6" fillId="0" borderId="0" xfId="0" applyNumberFormat="1" applyFont="1" applyBorder="1"/>
    <xf numFmtId="165" fontId="6" fillId="0" borderId="0" xfId="0" applyNumberFormat="1" applyFont="1" applyFill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5" fillId="0" borderId="0" xfId="0" applyFont="1" applyFill="1" applyBorder="1"/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5" fillId="0" borderId="0" xfId="0" applyNumberFormat="1" applyFont="1" applyFill="1" applyBorder="1"/>
    <xf numFmtId="3" fontId="6" fillId="0" borderId="0" xfId="0" applyNumberFormat="1" applyFont="1" applyFill="1"/>
    <xf numFmtId="3" fontId="6" fillId="0" borderId="0" xfId="0" applyNumberFormat="1" applyFont="1" applyFill="1" applyBorder="1"/>
    <xf numFmtId="3" fontId="6" fillId="2" borderId="0" xfId="0" applyNumberFormat="1" applyFont="1" applyFill="1"/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4" fontId="6" fillId="2" borderId="0" xfId="0" applyNumberFormat="1" applyFont="1" applyFill="1"/>
    <xf numFmtId="4" fontId="6" fillId="0" borderId="0" xfId="0" applyNumberFormat="1" applyFont="1"/>
    <xf numFmtId="4" fontId="6" fillId="0" borderId="0" xfId="0" applyNumberFormat="1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9" fontId="7" fillId="0" borderId="0" xfId="0" applyNumberFormat="1" applyFont="1" applyBorder="1"/>
    <xf numFmtId="166" fontId="6" fillId="0" borderId="0" xfId="0" applyNumberFormat="1" applyFont="1" applyBorder="1"/>
    <xf numFmtId="14" fontId="6" fillId="0" borderId="1" xfId="0" applyNumberFormat="1" applyFont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0" fontId="4" fillId="0" borderId="0" xfId="4" applyFont="1" applyBorder="1" applyAlignment="1">
      <alignment horizontal="left"/>
    </xf>
    <xf numFmtId="0" fontId="8" fillId="0" borderId="0" xfId="0" applyFont="1"/>
    <xf numFmtId="3" fontId="6" fillId="0" borderId="1" xfId="0" applyNumberFormat="1" applyFont="1" applyBorder="1"/>
    <xf numFmtId="0" fontId="6" fillId="0" borderId="1" xfId="0" applyFont="1" applyBorder="1"/>
    <xf numFmtId="9" fontId="6" fillId="0" borderId="1" xfId="0" applyNumberFormat="1" applyFont="1" applyBorder="1"/>
    <xf numFmtId="3" fontId="7" fillId="0" borderId="0" xfId="0" applyNumberFormat="1" applyFont="1" applyBorder="1"/>
    <xf numFmtId="3" fontId="7" fillId="0" borderId="1" xfId="0" applyNumberFormat="1" applyFont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7</xdr:row>
      <xdr:rowOff>152400</xdr:rowOff>
    </xdr:from>
    <xdr:to>
      <xdr:col>4</xdr:col>
      <xdr:colOff>241300</xdr:colOff>
      <xdr:row>64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702300" y="1308100"/>
          <a:ext cx="0" cy="94107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152400</xdr:rowOff>
    </xdr:from>
    <xdr:to>
      <xdr:col>16</xdr:col>
      <xdr:colOff>209550</xdr:colOff>
      <xdr:row>59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3925550" y="152400"/>
          <a:ext cx="0" cy="999066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Kevin_P._Ryan" TargetMode="External"/><Relationship Id="rId2" Type="http://schemas.openxmlformats.org/officeDocument/2006/relationships/hyperlink" Target="https://en.wikipedia.org/wiki/Dev_Ittycheria" TargetMode="External"/><Relationship Id="rId1" Type="http://schemas.openxmlformats.org/officeDocument/2006/relationships/hyperlink" Target="https://investors.mongodb.com/investor-relation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Dwight_Merrima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MD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64"/>
  <sheetViews>
    <sheetView tabSelected="1" zoomScale="120" zoomScaleNormal="120" workbookViewId="0">
      <pane xSplit="1" ySplit="9" topLeftCell="C10" activePane="bottomRight" state="frozen"/>
      <selection pane="topRight" activeCell="B1" sqref="B1"/>
      <selection pane="bottomLeft" activeCell="A11" sqref="A11"/>
      <selection pane="bottomRight" activeCell="G13" sqref="G13"/>
    </sheetView>
  </sheetViews>
  <sheetFormatPr baseColWidth="10" defaultRowHeight="13" x14ac:dyDescent="0.15"/>
  <cols>
    <col min="1" max="1" width="17.5" style="3" bestFit="1" customWidth="1"/>
    <col min="2" max="16384" width="10.83203125" style="3"/>
  </cols>
  <sheetData>
    <row r="1" spans="1:120" x14ac:dyDescent="0.15">
      <c r="A1" s="1" t="s">
        <v>55</v>
      </c>
      <c r="B1" s="2" t="s">
        <v>63</v>
      </c>
    </row>
    <row r="2" spans="1:120" x14ac:dyDescent="0.15">
      <c r="B2" s="3" t="s">
        <v>36</v>
      </c>
      <c r="C2" s="4">
        <v>350.24</v>
      </c>
      <c r="D2" s="72">
        <v>44200</v>
      </c>
      <c r="E2" s="6" t="s">
        <v>21</v>
      </c>
      <c r="F2" s="7">
        <v>0.01</v>
      </c>
      <c r="I2" s="16"/>
      <c r="J2" s="2"/>
    </row>
    <row r="3" spans="1:120" x14ac:dyDescent="0.15">
      <c r="A3" s="2" t="s">
        <v>34</v>
      </c>
      <c r="B3" s="3" t="s">
        <v>13</v>
      </c>
      <c r="C3" s="8">
        <f>Reports!P23</f>
        <v>59.368167</v>
      </c>
      <c r="D3" s="73" t="s">
        <v>88</v>
      </c>
      <c r="E3" s="6" t="s">
        <v>22</v>
      </c>
      <c r="F3" s="7">
        <v>0.05</v>
      </c>
      <c r="G3" s="5" t="s">
        <v>56</v>
      </c>
      <c r="I3" s="16"/>
    </row>
    <row r="4" spans="1:120" x14ac:dyDescent="0.15">
      <c r="A4" s="9" t="s">
        <v>82</v>
      </c>
      <c r="B4" s="3" t="s">
        <v>37</v>
      </c>
      <c r="C4" s="10">
        <f>C2*C3</f>
        <v>20793.10681008</v>
      </c>
      <c r="D4" s="73"/>
      <c r="E4" s="6" t="s">
        <v>23</v>
      </c>
      <c r="F4" s="7">
        <f>6%</f>
        <v>0.06</v>
      </c>
      <c r="G4" s="5" t="s">
        <v>40</v>
      </c>
      <c r="I4" s="26"/>
    </row>
    <row r="5" spans="1:120" x14ac:dyDescent="0.15">
      <c r="B5" s="3" t="s">
        <v>18</v>
      </c>
      <c r="C5" s="8">
        <f>Reports!P35</f>
        <v>19</v>
      </c>
      <c r="D5" s="73" t="s">
        <v>88</v>
      </c>
      <c r="E5" s="6" t="s">
        <v>24</v>
      </c>
      <c r="F5" s="11">
        <f>NPV(F4,E27:DP27)</f>
        <v>31024.472860120226</v>
      </c>
      <c r="G5" s="5" t="s">
        <v>61</v>
      </c>
      <c r="I5" s="26"/>
    </row>
    <row r="6" spans="1:120" x14ac:dyDescent="0.15">
      <c r="A6" s="2" t="s">
        <v>35</v>
      </c>
      <c r="B6" s="3" t="s">
        <v>38</v>
      </c>
      <c r="C6" s="10">
        <f>C4-C5</f>
        <v>20774.10681008</v>
      </c>
      <c r="D6" s="73"/>
      <c r="E6" s="12" t="s">
        <v>25</v>
      </c>
      <c r="F6" s="13">
        <f>F5+C5</f>
        <v>31043.472860120226</v>
      </c>
      <c r="I6" s="26"/>
    </row>
    <row r="7" spans="1:120" x14ac:dyDescent="0.15">
      <c r="A7" s="9" t="s">
        <v>83</v>
      </c>
      <c r="B7" s="5" t="s">
        <v>39</v>
      </c>
      <c r="C7" s="58">
        <f>C6/C3</f>
        <v>349.9199631694878</v>
      </c>
      <c r="D7" s="73"/>
      <c r="E7" s="14" t="s">
        <v>39</v>
      </c>
      <c r="F7" s="54">
        <f>F6/C3</f>
        <v>522.89761380236359</v>
      </c>
      <c r="G7" s="26">
        <f>F7/C2-1</f>
        <v>0.49296943182493025</v>
      </c>
    </row>
    <row r="8" spans="1:120" x14ac:dyDescent="0.15">
      <c r="A8" s="9" t="s">
        <v>84</v>
      </c>
      <c r="C8" s="6"/>
      <c r="D8" s="15"/>
    </row>
    <row r="9" spans="1:120" x14ac:dyDescent="0.15">
      <c r="B9" s="3">
        <v>2018</v>
      </c>
      <c r="C9" s="3">
        <f t="shared" ref="C9:N9" si="0">B9+1</f>
        <v>2019</v>
      </c>
      <c r="D9" s="3">
        <f t="shared" si="0"/>
        <v>2020</v>
      </c>
      <c r="E9" s="3">
        <f t="shared" si="0"/>
        <v>2021</v>
      </c>
      <c r="F9" s="3">
        <f t="shared" si="0"/>
        <v>2022</v>
      </c>
      <c r="G9" s="3">
        <f t="shared" si="0"/>
        <v>2023</v>
      </c>
      <c r="H9" s="3">
        <f t="shared" si="0"/>
        <v>2024</v>
      </c>
      <c r="I9" s="3">
        <f t="shared" si="0"/>
        <v>2025</v>
      </c>
      <c r="J9" s="3">
        <f t="shared" si="0"/>
        <v>2026</v>
      </c>
      <c r="K9" s="3">
        <f t="shared" si="0"/>
        <v>2027</v>
      </c>
      <c r="L9" s="3">
        <f t="shared" si="0"/>
        <v>2028</v>
      </c>
      <c r="M9" s="3">
        <f t="shared" si="0"/>
        <v>2029</v>
      </c>
      <c r="N9" s="3">
        <f t="shared" si="0"/>
        <v>2030</v>
      </c>
      <c r="O9" s="3">
        <v>2031</v>
      </c>
      <c r="P9" s="3">
        <f t="shared" ref="P9" si="1">O9+1</f>
        <v>2032</v>
      </c>
      <c r="Q9" s="3">
        <f t="shared" ref="Q9" si="2">P9+1</f>
        <v>2033</v>
      </c>
      <c r="R9" s="3">
        <f t="shared" ref="R9" si="3">Q9+1</f>
        <v>2034</v>
      </c>
      <c r="S9" s="3">
        <f t="shared" ref="S9" si="4">R9+1</f>
        <v>2035</v>
      </c>
      <c r="T9" s="3">
        <v>2031</v>
      </c>
    </row>
    <row r="10" spans="1:120" x14ac:dyDescent="0.15">
      <c r="A10" s="3" t="s">
        <v>68</v>
      </c>
      <c r="B10" s="16">
        <f>SUM(Reports!B3:E3)</f>
        <v>146.101</v>
      </c>
      <c r="C10" s="16">
        <f>SUM(Reports!F3:I3)</f>
        <v>238.72400000000002</v>
      </c>
      <c r="D10" s="16">
        <f>SUM(Reports!J3:M3)</f>
        <v>386.81560000000002</v>
      </c>
      <c r="E10" s="16">
        <f>D10*1.45</f>
        <v>560.88261999999997</v>
      </c>
      <c r="F10" s="16">
        <f t="shared" ref="F10:I10" si="5">E10*1.45</f>
        <v>813.27979899999991</v>
      </c>
      <c r="G10" s="16">
        <f t="shared" si="5"/>
        <v>1179.2557085499998</v>
      </c>
      <c r="H10" s="16">
        <f t="shared" si="5"/>
        <v>1709.9207773974997</v>
      </c>
      <c r="I10" s="16">
        <f t="shared" si="5"/>
        <v>2479.3851272263746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</row>
    <row r="11" spans="1:120" x14ac:dyDescent="0.15">
      <c r="A11" s="3" t="s">
        <v>69</v>
      </c>
      <c r="B11" s="16">
        <f>SUM(Reports!B4:E4)</f>
        <v>13.428000000000001</v>
      </c>
      <c r="C11" s="16">
        <f>SUM(Reports!F4:I4)</f>
        <v>18.374000000000002</v>
      </c>
      <c r="D11" s="16">
        <f>SUM(Reports!J4:M4)</f>
        <v>22.2164</v>
      </c>
      <c r="E11" s="16">
        <f>D11*1.15</f>
        <v>25.548859999999998</v>
      </c>
      <c r="F11" s="16">
        <f t="shared" ref="F11:I11" si="6">E11*1.15</f>
        <v>29.381188999999996</v>
      </c>
      <c r="G11" s="16">
        <f t="shared" si="6"/>
        <v>33.788367349999994</v>
      </c>
      <c r="H11" s="16">
        <f t="shared" si="6"/>
        <v>38.856622452499991</v>
      </c>
      <c r="I11" s="16">
        <f t="shared" si="6"/>
        <v>44.685115820374989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</row>
    <row r="12" spans="1:120" x14ac:dyDescent="0.15">
      <c r="B12" s="16"/>
      <c r="C12" s="16"/>
      <c r="D12" s="16"/>
      <c r="E12" s="16"/>
      <c r="F12" s="16"/>
      <c r="G12" s="16"/>
    </row>
    <row r="13" spans="1:120" s="16" customFormat="1" x14ac:dyDescent="0.15">
      <c r="A13" s="16" t="s">
        <v>57</v>
      </c>
    </row>
    <row r="14" spans="1:120" s="55" customFormat="1" x14ac:dyDescent="0.15">
      <c r="A14" s="55" t="s">
        <v>58</v>
      </c>
    </row>
    <row r="15" spans="1:120" x14ac:dyDescent="0.15">
      <c r="D15" s="46">
        <v>407</v>
      </c>
      <c r="E15" s="16">
        <v>574</v>
      </c>
      <c r="F15" s="16"/>
      <c r="G15" s="16"/>
    </row>
    <row r="16" spans="1:120" x14ac:dyDescent="0.15">
      <c r="A16" s="2" t="s">
        <v>0</v>
      </c>
      <c r="B16" s="17">
        <f t="shared" ref="B16:C16" si="7">SUM(B10:B11)</f>
        <v>159.529</v>
      </c>
      <c r="C16" s="17">
        <f t="shared" si="7"/>
        <v>257.09800000000001</v>
      </c>
      <c r="D16" s="17">
        <f>SUM(D10:D11)</f>
        <v>409.03200000000004</v>
      </c>
      <c r="E16" s="18">
        <f>SUM(E10:E11)</f>
        <v>586.43147999999997</v>
      </c>
      <c r="F16" s="18">
        <f>SUM(F10:F11)</f>
        <v>842.66098799999986</v>
      </c>
      <c r="G16" s="18">
        <f t="shared" ref="G16:I16" si="8">SUM(G10:G11)</f>
        <v>1213.0440758999998</v>
      </c>
      <c r="H16" s="18">
        <f t="shared" si="8"/>
        <v>1748.7773998499997</v>
      </c>
      <c r="I16" s="18">
        <f t="shared" si="8"/>
        <v>2524.0702430467495</v>
      </c>
      <c r="J16" s="18">
        <f t="shared" ref="J16:O16" si="9">I16*1.1</f>
        <v>2776.4772673514249</v>
      </c>
      <c r="K16" s="18">
        <f t="shared" si="9"/>
        <v>3054.1249940865678</v>
      </c>
      <c r="L16" s="18">
        <f t="shared" si="9"/>
        <v>3359.5374934952247</v>
      </c>
      <c r="M16" s="18">
        <f t="shared" si="9"/>
        <v>3695.4912428447474</v>
      </c>
      <c r="N16" s="18">
        <f t="shared" si="9"/>
        <v>4065.0403671292224</v>
      </c>
      <c r="O16" s="18">
        <f t="shared" si="9"/>
        <v>4471.5444038421447</v>
      </c>
      <c r="P16" s="18">
        <f t="shared" ref="P16" si="10">O16*1.1</f>
        <v>4918.6988442263591</v>
      </c>
      <c r="Q16" s="18">
        <f t="shared" ref="Q16" si="11">P16*1.1</f>
        <v>5410.5687286489956</v>
      </c>
      <c r="R16" s="18">
        <f t="shared" ref="R16" si="12">Q16*1.1</f>
        <v>5951.6256015138961</v>
      </c>
      <c r="S16" s="18">
        <f t="shared" ref="S16" si="13">R16*1.1</f>
        <v>6546.7881616652858</v>
      </c>
      <c r="T16" s="18">
        <f t="shared" ref="T16" si="14">S16*1.1</f>
        <v>7201.4669778318148</v>
      </c>
    </row>
    <row r="17" spans="1:120" x14ac:dyDescent="0.15">
      <c r="A17" s="3" t="s">
        <v>1</v>
      </c>
      <c r="B17" s="16">
        <f>SUM(Reports!B10:E10)</f>
        <v>42.858999999999995</v>
      </c>
      <c r="C17" s="8">
        <f>SUM(Reports!F10:I10)</f>
        <v>73.568000000000012</v>
      </c>
      <c r="D17" s="16">
        <f>SUM(Reports!J10:M10)</f>
        <v>122.172</v>
      </c>
      <c r="E17" s="8">
        <f>E16-E18</f>
        <v>175.15868385495514</v>
      </c>
      <c r="F17" s="8">
        <f t="shared" ref="F17" si="15">F16-F18</f>
        <v>251.69076802288328</v>
      </c>
      <c r="G17" s="8">
        <f t="shared" ref="G17:O17" si="16">G16-G18</f>
        <v>362.31889153135887</v>
      </c>
      <c r="H17" s="8">
        <f t="shared" si="16"/>
        <v>522.33476230337533</v>
      </c>
      <c r="I17" s="8">
        <f t="shared" si="16"/>
        <v>753.90363036023473</v>
      </c>
      <c r="J17" s="8">
        <f t="shared" si="16"/>
        <v>829.29399339625843</v>
      </c>
      <c r="K17" s="8">
        <f t="shared" si="16"/>
        <v>912.22339273588432</v>
      </c>
      <c r="L17" s="8">
        <f t="shared" si="16"/>
        <v>1003.445732009473</v>
      </c>
      <c r="M17" s="8">
        <f t="shared" si="16"/>
        <v>1103.7903052104207</v>
      </c>
      <c r="N17" s="8">
        <f t="shared" si="16"/>
        <v>1214.1693357314625</v>
      </c>
      <c r="O17" s="8">
        <f t="shared" si="16"/>
        <v>1335.5862693046088</v>
      </c>
      <c r="P17" s="8">
        <f t="shared" ref="P17:T17" si="17">P16-P18</f>
        <v>1469.1448962350696</v>
      </c>
      <c r="Q17" s="8">
        <f t="shared" si="17"/>
        <v>1616.0593858585771</v>
      </c>
      <c r="R17" s="8">
        <f t="shared" si="17"/>
        <v>1777.6653244444351</v>
      </c>
      <c r="S17" s="8">
        <f t="shared" si="17"/>
        <v>1955.4318568888784</v>
      </c>
      <c r="T17" s="8">
        <f t="shared" si="17"/>
        <v>2150.9750425777665</v>
      </c>
    </row>
    <row r="18" spans="1:120" x14ac:dyDescent="0.15">
      <c r="A18" s="3" t="s">
        <v>2</v>
      </c>
      <c r="B18" s="10">
        <f>B16-B17</f>
        <v>116.67</v>
      </c>
      <c r="C18" s="10">
        <f>C16-C17</f>
        <v>183.53</v>
      </c>
      <c r="D18" s="10">
        <f>D16-D17</f>
        <v>286.86</v>
      </c>
      <c r="E18" s="8">
        <f>E16*D31</f>
        <v>411.27279614504482</v>
      </c>
      <c r="F18" s="8">
        <f t="shared" ref="F18:O18" si="18">F16*E31</f>
        <v>590.97021997711659</v>
      </c>
      <c r="G18" s="8">
        <f t="shared" si="18"/>
        <v>850.72518436864095</v>
      </c>
      <c r="H18" s="8">
        <f t="shared" si="18"/>
        <v>1226.4426375466244</v>
      </c>
      <c r="I18" s="8">
        <f t="shared" si="18"/>
        <v>1770.1666126865148</v>
      </c>
      <c r="J18" s="8">
        <f t="shared" si="18"/>
        <v>1947.1832739551664</v>
      </c>
      <c r="K18" s="8">
        <f t="shared" si="18"/>
        <v>2141.9016013506834</v>
      </c>
      <c r="L18" s="8">
        <f t="shared" si="18"/>
        <v>2356.0917614857517</v>
      </c>
      <c r="M18" s="8">
        <f t="shared" si="18"/>
        <v>2591.7009376343267</v>
      </c>
      <c r="N18" s="8">
        <f t="shared" si="18"/>
        <v>2850.8710313977599</v>
      </c>
      <c r="O18" s="8">
        <f t="shared" si="18"/>
        <v>3135.9581345375359</v>
      </c>
      <c r="P18" s="8">
        <f t="shared" ref="P18" si="19">P16*O31</f>
        <v>3449.5539479912895</v>
      </c>
      <c r="Q18" s="8">
        <f t="shared" ref="Q18" si="20">Q16*P31</f>
        <v>3794.5093427904185</v>
      </c>
      <c r="R18" s="8">
        <f t="shared" ref="R18" si="21">R16*Q31</f>
        <v>4173.960277069461</v>
      </c>
      <c r="S18" s="8">
        <f t="shared" ref="S18" si="22">S16*R31</f>
        <v>4591.3563047764073</v>
      </c>
      <c r="T18" s="8">
        <f t="shared" ref="T18" si="23">T16*S31</f>
        <v>5050.4919352540483</v>
      </c>
    </row>
    <row r="19" spans="1:120" x14ac:dyDescent="0.15">
      <c r="A19" s="3" t="s">
        <v>3</v>
      </c>
      <c r="B19" s="16">
        <f>SUM(Reports!B12:E12)</f>
        <v>62.201999999999998</v>
      </c>
      <c r="C19" s="8">
        <f>SUM(Reports!F12:I12)</f>
        <v>89.854000000000013</v>
      </c>
      <c r="D19" s="16">
        <f>SUM(Reports!J12:M12)</f>
        <v>149.428</v>
      </c>
      <c r="E19" s="8">
        <f>D19*1.3</f>
        <v>194.25640000000001</v>
      </c>
      <c r="F19" s="8">
        <f t="shared" ref="F19:I19" si="24">E19*1.3</f>
        <v>252.53332000000003</v>
      </c>
      <c r="G19" s="8">
        <f t="shared" si="24"/>
        <v>328.29331600000006</v>
      </c>
      <c r="H19" s="8">
        <f t="shared" si="24"/>
        <v>426.78131080000009</v>
      </c>
      <c r="I19" s="8">
        <f t="shared" si="24"/>
        <v>554.81570404000013</v>
      </c>
      <c r="J19" s="8">
        <f>I19*1.05</f>
        <v>582.55648924200011</v>
      </c>
      <c r="K19" s="8">
        <f t="shared" ref="K19:T19" si="25">J19*1.05</f>
        <v>611.68431370410019</v>
      </c>
      <c r="L19" s="8">
        <f t="shared" si="25"/>
        <v>642.26852938930517</v>
      </c>
      <c r="M19" s="8">
        <f t="shared" si="25"/>
        <v>674.38195585877043</v>
      </c>
      <c r="N19" s="8">
        <f t="shared" si="25"/>
        <v>708.10105365170898</v>
      </c>
      <c r="O19" s="8">
        <f t="shared" si="25"/>
        <v>743.50610633429449</v>
      </c>
      <c r="P19" s="8">
        <f t="shared" si="25"/>
        <v>780.68141165100928</v>
      </c>
      <c r="Q19" s="8">
        <f t="shared" si="25"/>
        <v>819.71548223355978</v>
      </c>
      <c r="R19" s="8">
        <f t="shared" si="25"/>
        <v>860.70125634523777</v>
      </c>
      <c r="S19" s="8">
        <f t="shared" si="25"/>
        <v>903.73631916249974</v>
      </c>
      <c r="T19" s="8">
        <f t="shared" si="25"/>
        <v>948.92313512062481</v>
      </c>
    </row>
    <row r="20" spans="1:120" x14ac:dyDescent="0.15">
      <c r="A20" s="3" t="s">
        <v>4</v>
      </c>
      <c r="B20" s="16">
        <f>SUM(Reports!B13:E13)</f>
        <v>108.62100000000001</v>
      </c>
      <c r="C20" s="8">
        <f>SUM(Reports!F13:I13)</f>
        <v>151.67500000000001</v>
      </c>
      <c r="D20" s="16">
        <f>SUM(Reports!J13:M13)</f>
        <v>220.84300000000002</v>
      </c>
      <c r="E20" s="8">
        <f>D20*1.25</f>
        <v>276.05375000000004</v>
      </c>
      <c r="F20" s="8">
        <f t="shared" ref="F20:I20" si="26">E20*1.25</f>
        <v>345.06718750000005</v>
      </c>
      <c r="G20" s="8">
        <f t="shared" si="26"/>
        <v>431.33398437500006</v>
      </c>
      <c r="H20" s="8">
        <f t="shared" si="26"/>
        <v>539.16748046875011</v>
      </c>
      <c r="I20" s="8">
        <f t="shared" si="26"/>
        <v>673.95935058593761</v>
      </c>
      <c r="J20" s="8">
        <f>I20*1.05</f>
        <v>707.65731811523449</v>
      </c>
      <c r="K20" s="8">
        <f t="shared" ref="K20:O20" si="27">J20*1.05</f>
        <v>743.04018402099621</v>
      </c>
      <c r="L20" s="8">
        <f t="shared" si="27"/>
        <v>780.19219322204606</v>
      </c>
      <c r="M20" s="8">
        <f t="shared" si="27"/>
        <v>819.20180288314839</v>
      </c>
      <c r="N20" s="8">
        <f t="shared" si="27"/>
        <v>860.16189302730584</v>
      </c>
      <c r="O20" s="8">
        <f t="shared" si="27"/>
        <v>903.16998767867119</v>
      </c>
      <c r="P20" s="8">
        <f t="shared" ref="P20" si="28">O20*1.05</f>
        <v>948.32848706260484</v>
      </c>
      <c r="Q20" s="8">
        <f t="shared" ref="Q20" si="29">P20*1.05</f>
        <v>995.74491141573515</v>
      </c>
      <c r="R20" s="8">
        <f t="shared" ref="R20" si="30">Q20*1.05</f>
        <v>1045.5321569865218</v>
      </c>
      <c r="S20" s="8">
        <f t="shared" ref="S20" si="31">R20*1.05</f>
        <v>1097.808764835848</v>
      </c>
      <c r="T20" s="8">
        <f t="shared" ref="T20" si="32">S20*1.05</f>
        <v>1152.6992030776405</v>
      </c>
    </row>
    <row r="21" spans="1:120" x14ac:dyDescent="0.15">
      <c r="A21" s="3" t="s">
        <v>5</v>
      </c>
      <c r="B21" s="16">
        <f>SUM(Reports!B14:E14)</f>
        <v>36.775000000000006</v>
      </c>
      <c r="C21" s="8">
        <f>SUM(Reports!F14:I14)</f>
        <v>53.036000000000001</v>
      </c>
      <c r="D21" s="16">
        <f>SUM(Reports!J14:M14)</f>
        <v>69.744699999999995</v>
      </c>
      <c r="E21" s="8">
        <f>D21*1.2</f>
        <v>83.693639999999988</v>
      </c>
      <c r="F21" s="8">
        <f t="shared" ref="F21:I21" si="33">E21*1.2</f>
        <v>100.43236799999998</v>
      </c>
      <c r="G21" s="8">
        <f t="shared" si="33"/>
        <v>120.51884159999997</v>
      </c>
      <c r="H21" s="8">
        <f t="shared" si="33"/>
        <v>144.62260991999997</v>
      </c>
      <c r="I21" s="8">
        <f t="shared" si="33"/>
        <v>173.54713190399997</v>
      </c>
      <c r="J21" s="8">
        <f t="shared" ref="J21:O21" si="34">I21*0.98</f>
        <v>170.07618926591996</v>
      </c>
      <c r="K21" s="8">
        <f t="shared" si="34"/>
        <v>166.67466548060156</v>
      </c>
      <c r="L21" s="8">
        <f t="shared" si="34"/>
        <v>163.34117217098952</v>
      </c>
      <c r="M21" s="8">
        <f t="shared" si="34"/>
        <v>160.07434872756974</v>
      </c>
      <c r="N21" s="8">
        <f t="shared" si="34"/>
        <v>156.87286175301836</v>
      </c>
      <c r="O21" s="8">
        <f t="shared" si="34"/>
        <v>153.73540451795799</v>
      </c>
      <c r="P21" s="8">
        <f t="shared" ref="P21" si="35">O21*0.98</f>
        <v>150.66069642759882</v>
      </c>
      <c r="Q21" s="8">
        <f t="shared" ref="Q21" si="36">P21*0.98</f>
        <v>147.64748249904684</v>
      </c>
      <c r="R21" s="8">
        <f t="shared" ref="R21" si="37">Q21*0.98</f>
        <v>144.69453284906589</v>
      </c>
      <c r="S21" s="8">
        <f t="shared" ref="S21" si="38">R21*0.98</f>
        <v>141.80064219208458</v>
      </c>
      <c r="T21" s="8">
        <f t="shared" ref="T21" si="39">S21*0.98</f>
        <v>138.96462934824288</v>
      </c>
    </row>
    <row r="22" spans="1:120" x14ac:dyDescent="0.15">
      <c r="A22" s="3" t="s">
        <v>6</v>
      </c>
      <c r="B22" s="10">
        <f>SUM(B19:B21)</f>
        <v>207.59800000000001</v>
      </c>
      <c r="C22" s="10">
        <f>SUM(C19:C21)</f>
        <v>294.56500000000005</v>
      </c>
      <c r="D22" s="10">
        <f>SUM(D19:D21)</f>
        <v>440.01570000000004</v>
      </c>
      <c r="E22" s="8">
        <f t="shared" ref="E22:F22" si="40">SUM(E19:E21)</f>
        <v>554.00378999999998</v>
      </c>
      <c r="F22" s="8">
        <f t="shared" si="40"/>
        <v>698.03287550000005</v>
      </c>
      <c r="G22" s="8">
        <f t="shared" ref="G22:O22" si="41">SUM(G19:G21)</f>
        <v>880.14614197500009</v>
      </c>
      <c r="H22" s="8">
        <f t="shared" si="41"/>
        <v>1110.5714011887503</v>
      </c>
      <c r="I22" s="8">
        <f t="shared" si="41"/>
        <v>1402.3221865299377</v>
      </c>
      <c r="J22" s="8">
        <f t="shared" si="41"/>
        <v>1460.2899966231546</v>
      </c>
      <c r="K22" s="8">
        <f t="shared" si="41"/>
        <v>1521.399163205698</v>
      </c>
      <c r="L22" s="8">
        <f t="shared" si="41"/>
        <v>1585.8018947823407</v>
      </c>
      <c r="M22" s="8">
        <f t="shared" si="41"/>
        <v>1653.6581074694884</v>
      </c>
      <c r="N22" s="8">
        <f t="shared" si="41"/>
        <v>1725.1358084320332</v>
      </c>
      <c r="O22" s="8">
        <f t="shared" si="41"/>
        <v>1800.4114985309236</v>
      </c>
      <c r="P22" s="8">
        <f t="shared" ref="P22:T22" si="42">SUM(P19:P21)</f>
        <v>1879.670595141213</v>
      </c>
      <c r="Q22" s="8">
        <f t="shared" si="42"/>
        <v>1963.1078761483418</v>
      </c>
      <c r="R22" s="8">
        <f t="shared" si="42"/>
        <v>2050.9279461808255</v>
      </c>
      <c r="S22" s="8">
        <f t="shared" si="42"/>
        <v>2143.3457261904323</v>
      </c>
      <c r="T22" s="8">
        <f t="shared" si="42"/>
        <v>2240.5869675465083</v>
      </c>
    </row>
    <row r="23" spans="1:120" x14ac:dyDescent="0.15">
      <c r="A23" s="3" t="s">
        <v>7</v>
      </c>
      <c r="B23" s="10">
        <f>B18-B22</f>
        <v>-90.928000000000011</v>
      </c>
      <c r="C23" s="10">
        <f>C18-C22</f>
        <v>-111.03500000000005</v>
      </c>
      <c r="D23" s="10">
        <f>D18-D22</f>
        <v>-153.15570000000002</v>
      </c>
      <c r="E23" s="8">
        <f t="shared" ref="E23:F23" si="43">E18-E22</f>
        <v>-142.73099385495516</v>
      </c>
      <c r="F23" s="8">
        <f t="shared" si="43"/>
        <v>-107.06265552288346</v>
      </c>
      <c r="G23" s="8">
        <f t="shared" ref="G23:O23" si="44">G18-G22</f>
        <v>-29.420957606359138</v>
      </c>
      <c r="H23" s="8">
        <f t="shared" si="44"/>
        <v>115.87123635787407</v>
      </c>
      <c r="I23" s="8">
        <f t="shared" si="44"/>
        <v>367.84442615657713</v>
      </c>
      <c r="J23" s="8">
        <f t="shared" si="44"/>
        <v>486.89327733201185</v>
      </c>
      <c r="K23" s="8">
        <f t="shared" si="44"/>
        <v>620.50243814498549</v>
      </c>
      <c r="L23" s="8">
        <f t="shared" si="44"/>
        <v>770.28986670341101</v>
      </c>
      <c r="M23" s="8">
        <f t="shared" si="44"/>
        <v>938.04283016483828</v>
      </c>
      <c r="N23" s="8">
        <f t="shared" si="44"/>
        <v>1125.7352229657267</v>
      </c>
      <c r="O23" s="8">
        <f t="shared" si="44"/>
        <v>1335.5466360066123</v>
      </c>
      <c r="P23" s="8">
        <f t="shared" ref="P23:T23" si="45">P18-P22</f>
        <v>1569.8833528500766</v>
      </c>
      <c r="Q23" s="8">
        <f t="shared" si="45"/>
        <v>1831.4014666420767</v>
      </c>
      <c r="R23" s="8">
        <f t="shared" si="45"/>
        <v>2123.0323308886354</v>
      </c>
      <c r="S23" s="8">
        <f t="shared" si="45"/>
        <v>2448.0105785859751</v>
      </c>
      <c r="T23" s="8">
        <f t="shared" si="45"/>
        <v>2809.90496770754</v>
      </c>
    </row>
    <row r="24" spans="1:120" x14ac:dyDescent="0.15">
      <c r="A24" s="3" t="s">
        <v>8</v>
      </c>
      <c r="B24" s="16">
        <f>SUM(Reports!B17:E17)</f>
        <v>2.1950000000000003</v>
      </c>
      <c r="C24" s="8">
        <f>SUM(Reports!F17:I17)</f>
        <v>-4.5640000000000001</v>
      </c>
      <c r="D24" s="16">
        <f>SUM(Reports!J17:M17)</f>
        <v>-11.801</v>
      </c>
      <c r="E24" s="8">
        <f t="shared" ref="E24:O24" si="46">D41*$F$3</f>
        <v>3.75</v>
      </c>
      <c r="F24" s="8">
        <f t="shared" si="46"/>
        <v>-3.1990496927477583</v>
      </c>
      <c r="G24" s="8">
        <f t="shared" si="46"/>
        <v>-8.7121349535293202</v>
      </c>
      <c r="H24" s="8">
        <f t="shared" si="46"/>
        <v>-10.618789581523743</v>
      </c>
      <c r="I24" s="8">
        <f t="shared" si="46"/>
        <v>-6.1455605935288542</v>
      </c>
      <c r="J24" s="8">
        <f t="shared" si="46"/>
        <v>9.2266411929007006</v>
      </c>
      <c r="K24" s="8">
        <f t="shared" si="46"/>
        <v>30.311737730209487</v>
      </c>
      <c r="L24" s="8">
        <f t="shared" si="46"/>
        <v>57.971340204905282</v>
      </c>
      <c r="M24" s="8">
        <f t="shared" si="46"/>
        <v>93.172441498508718</v>
      </c>
      <c r="N24" s="8">
        <f t="shared" si="46"/>
        <v>136.99909054420095</v>
      </c>
      <c r="O24" s="8">
        <f t="shared" si="46"/>
        <v>190.6652988683729</v>
      </c>
      <c r="P24" s="8">
        <f t="shared" ref="P24" si="47">O41*$F$3</f>
        <v>255.52930610055975</v>
      </c>
      <c r="Q24" s="8">
        <f t="shared" ref="Q24" si="48">P41*$F$3</f>
        <v>333.10934410596178</v>
      </c>
      <c r="R24" s="8">
        <f t="shared" ref="R24" si="49">Q41*$F$3</f>
        <v>425.10105356275346</v>
      </c>
      <c r="S24" s="8">
        <f t="shared" ref="S24" si="50">R41*$F$3</f>
        <v>533.3967224019375</v>
      </c>
      <c r="T24" s="8">
        <f t="shared" ref="T24" si="51">S41*$F$3</f>
        <v>660.10653269392378</v>
      </c>
    </row>
    <row r="25" spans="1:120" x14ac:dyDescent="0.15">
      <c r="A25" s="3" t="s">
        <v>9</v>
      </c>
      <c r="B25" s="10">
        <f>B23+B24</f>
        <v>-88.733000000000004</v>
      </c>
      <c r="C25" s="10">
        <f>C23+C24</f>
        <v>-115.59900000000005</v>
      </c>
      <c r="D25" s="10">
        <f>D23+D24</f>
        <v>-164.95670000000001</v>
      </c>
      <c r="E25" s="8">
        <f t="shared" ref="E25:F25" si="52">E23+E24</f>
        <v>-138.98099385495516</v>
      </c>
      <c r="F25" s="8">
        <f t="shared" si="52"/>
        <v>-110.26170521563122</v>
      </c>
      <c r="G25" s="8">
        <f t="shared" ref="G25" si="53">G23+G24</f>
        <v>-38.13309255988846</v>
      </c>
      <c r="H25" s="8">
        <f t="shared" ref="H25" si="54">H23+H24</f>
        <v>105.25244677635033</v>
      </c>
      <c r="I25" s="8">
        <f t="shared" ref="I25" si="55">I23+I24</f>
        <v>361.69886556304829</v>
      </c>
      <c r="J25" s="8">
        <f t="shared" ref="J25" si="56">J23+J24</f>
        <v>496.11991852491258</v>
      </c>
      <c r="K25" s="8">
        <f t="shared" ref="K25" si="57">K23+K24</f>
        <v>650.81417587519502</v>
      </c>
      <c r="L25" s="8">
        <f t="shared" ref="L25" si="58">L23+L24</f>
        <v>828.26120690831624</v>
      </c>
      <c r="M25" s="8">
        <f t="shared" ref="M25" si="59">M23+M24</f>
        <v>1031.215271663347</v>
      </c>
      <c r="N25" s="8">
        <f t="shared" ref="N25" si="60">N23+N24</f>
        <v>1262.7343135099277</v>
      </c>
      <c r="O25" s="8">
        <f t="shared" ref="O25:S25" si="61">O23+O24</f>
        <v>1526.2119348749852</v>
      </c>
      <c r="P25" s="8">
        <f t="shared" si="61"/>
        <v>1825.4126589506363</v>
      </c>
      <c r="Q25" s="8">
        <f t="shared" si="61"/>
        <v>2164.5108107480382</v>
      </c>
      <c r="R25" s="8">
        <f t="shared" si="61"/>
        <v>2548.1333844513888</v>
      </c>
      <c r="S25" s="8">
        <f t="shared" si="61"/>
        <v>2981.4073009879125</v>
      </c>
      <c r="T25" s="8">
        <f t="shared" ref="T25" si="62">T23+T24</f>
        <v>3470.0115004014638</v>
      </c>
    </row>
    <row r="26" spans="1:120" x14ac:dyDescent="0.15">
      <c r="A26" s="3" t="s">
        <v>10</v>
      </c>
      <c r="B26" s="16">
        <f>SUM(Reports!B19:E19)</f>
        <v>0.98459999999999992</v>
      </c>
      <c r="C26" s="8">
        <f>SUM(Reports!F19:I19)</f>
        <v>-4.2520000000000007</v>
      </c>
      <c r="D26" s="16">
        <f>SUM(Reports!J19:M19)</f>
        <v>-1.1379999999999999</v>
      </c>
      <c r="E26" s="8">
        <v>0</v>
      </c>
      <c r="F26" s="8">
        <v>0</v>
      </c>
      <c r="G26" s="8">
        <v>0</v>
      </c>
      <c r="H26" s="8">
        <f t="shared" ref="H26:O26" si="63">H25*0.15</f>
        <v>15.787867016452548</v>
      </c>
      <c r="I26" s="8">
        <f t="shared" si="63"/>
        <v>54.25482983445724</v>
      </c>
      <c r="J26" s="8">
        <f t="shared" si="63"/>
        <v>74.417987778736887</v>
      </c>
      <c r="K26" s="8">
        <f t="shared" si="63"/>
        <v>97.622126381279244</v>
      </c>
      <c r="L26" s="8">
        <f t="shared" si="63"/>
        <v>124.23918103624743</v>
      </c>
      <c r="M26" s="8">
        <f t="shared" si="63"/>
        <v>154.68229074950204</v>
      </c>
      <c r="N26" s="8">
        <f t="shared" si="63"/>
        <v>189.41014702648914</v>
      </c>
      <c r="O26" s="8">
        <f t="shared" si="63"/>
        <v>228.93179023124779</v>
      </c>
      <c r="P26" s="8">
        <f t="shared" ref="P26:T26" si="64">P25*0.15</f>
        <v>273.81189884259544</v>
      </c>
      <c r="Q26" s="8">
        <f t="shared" si="64"/>
        <v>324.67662161220574</v>
      </c>
      <c r="R26" s="8">
        <f t="shared" si="64"/>
        <v>382.22000766770833</v>
      </c>
      <c r="S26" s="8">
        <f t="shared" si="64"/>
        <v>447.21109514818687</v>
      </c>
      <c r="T26" s="8">
        <f t="shared" si="64"/>
        <v>520.50172506021954</v>
      </c>
    </row>
    <row r="27" spans="1:120" s="2" customFormat="1" x14ac:dyDescent="0.15">
      <c r="A27" s="2" t="s">
        <v>11</v>
      </c>
      <c r="B27" s="17">
        <f>B25-B26</f>
        <v>-89.717600000000004</v>
      </c>
      <c r="C27" s="17">
        <f>C25-C26</f>
        <v>-111.34700000000005</v>
      </c>
      <c r="D27" s="17">
        <f>D25-D26</f>
        <v>-163.81870000000001</v>
      </c>
      <c r="E27" s="17">
        <f>E25-E26</f>
        <v>-138.98099385495516</v>
      </c>
      <c r="F27" s="17">
        <f t="shared" ref="F27" si="65">F25-F26</f>
        <v>-110.26170521563122</v>
      </c>
      <c r="G27" s="17">
        <f t="shared" ref="G27:O27" si="66">G25-G26</f>
        <v>-38.13309255988846</v>
      </c>
      <c r="H27" s="17">
        <f t="shared" si="66"/>
        <v>89.464579759897774</v>
      </c>
      <c r="I27" s="17">
        <f t="shared" si="66"/>
        <v>307.44403572859107</v>
      </c>
      <c r="J27" s="17">
        <f t="shared" si="66"/>
        <v>421.70193074617566</v>
      </c>
      <c r="K27" s="17">
        <f t="shared" si="66"/>
        <v>553.19204949391576</v>
      </c>
      <c r="L27" s="17">
        <f t="shared" si="66"/>
        <v>704.02202587206875</v>
      </c>
      <c r="M27" s="17">
        <f t="shared" si="66"/>
        <v>876.53298091384499</v>
      </c>
      <c r="N27" s="17">
        <f t="shared" si="66"/>
        <v>1073.3241664834386</v>
      </c>
      <c r="O27" s="17">
        <f t="shared" si="66"/>
        <v>1297.2801446437375</v>
      </c>
      <c r="P27" s="17">
        <f t="shared" ref="P27:T27" si="67">P25-P26</f>
        <v>1551.600760108041</v>
      </c>
      <c r="Q27" s="17">
        <f t="shared" si="67"/>
        <v>1839.8341891358325</v>
      </c>
      <c r="R27" s="17">
        <f t="shared" si="67"/>
        <v>2165.9133767836806</v>
      </c>
      <c r="S27" s="17">
        <f t="shared" si="67"/>
        <v>2534.1962058397257</v>
      </c>
      <c r="T27" s="17">
        <f t="shared" si="67"/>
        <v>2949.5097753412442</v>
      </c>
      <c r="U27" s="17">
        <f t="shared" ref="P27:AU27" si="68">T27*($F$2+1)</f>
        <v>2979.0048730946569</v>
      </c>
      <c r="V27" s="17">
        <f t="shared" si="68"/>
        <v>3008.7949218256035</v>
      </c>
      <c r="W27" s="17">
        <f t="shared" si="68"/>
        <v>3038.8828710438597</v>
      </c>
      <c r="X27" s="17">
        <f t="shared" si="68"/>
        <v>3069.2716997542984</v>
      </c>
      <c r="Y27" s="17">
        <f t="shared" si="68"/>
        <v>3099.9644167518413</v>
      </c>
      <c r="Z27" s="17">
        <f t="shared" si="68"/>
        <v>3130.9640609193598</v>
      </c>
      <c r="AA27" s="17">
        <f t="shared" si="68"/>
        <v>3162.2737015285534</v>
      </c>
      <c r="AB27" s="17">
        <f t="shared" si="68"/>
        <v>3193.8964385438389</v>
      </c>
      <c r="AC27" s="17">
        <f t="shared" si="68"/>
        <v>3225.8354029292773</v>
      </c>
      <c r="AD27" s="17">
        <f t="shared" si="68"/>
        <v>3258.0937569585699</v>
      </c>
      <c r="AE27" s="17">
        <f t="shared" si="68"/>
        <v>3290.6746945281557</v>
      </c>
      <c r="AF27" s="17">
        <f t="shared" si="68"/>
        <v>3323.5814414734373</v>
      </c>
      <c r="AG27" s="17">
        <f t="shared" si="68"/>
        <v>3356.8172558881715</v>
      </c>
      <c r="AH27" s="17">
        <f t="shared" si="68"/>
        <v>3390.3854284470531</v>
      </c>
      <c r="AI27" s="17">
        <f t="shared" si="68"/>
        <v>3424.2892827315236</v>
      </c>
      <c r="AJ27" s="17">
        <f t="shared" si="68"/>
        <v>3458.5321755588388</v>
      </c>
      <c r="AK27" s="17">
        <f t="shared" si="68"/>
        <v>3493.1174973144271</v>
      </c>
      <c r="AL27" s="17">
        <f t="shared" si="68"/>
        <v>3528.0486722875712</v>
      </c>
      <c r="AM27" s="17">
        <f t="shared" si="68"/>
        <v>3563.3291590104468</v>
      </c>
      <c r="AN27" s="17">
        <f t="shared" si="68"/>
        <v>3598.9624506005512</v>
      </c>
      <c r="AO27" s="17">
        <f t="shared" si="68"/>
        <v>3634.9520751065565</v>
      </c>
      <c r="AP27" s="17">
        <f t="shared" si="68"/>
        <v>3671.301595857622</v>
      </c>
      <c r="AQ27" s="17">
        <f t="shared" si="68"/>
        <v>3708.0146118161983</v>
      </c>
      <c r="AR27" s="17">
        <f t="shared" si="68"/>
        <v>3745.0947579343601</v>
      </c>
      <c r="AS27" s="17">
        <f t="shared" si="68"/>
        <v>3782.545705513704</v>
      </c>
      <c r="AT27" s="17">
        <f t="shared" si="68"/>
        <v>3820.3711625688411</v>
      </c>
      <c r="AU27" s="17">
        <f t="shared" si="68"/>
        <v>3858.5748741945295</v>
      </c>
      <c r="AV27" s="17">
        <f t="shared" ref="AV27:CA27" si="69">AU27*($F$2+1)</f>
        <v>3897.1606229364747</v>
      </c>
      <c r="AW27" s="17">
        <f t="shared" si="69"/>
        <v>3936.1322291658394</v>
      </c>
      <c r="AX27" s="17">
        <f t="shared" si="69"/>
        <v>3975.4935514574977</v>
      </c>
      <c r="AY27" s="17">
        <f t="shared" si="69"/>
        <v>4015.2484869720729</v>
      </c>
      <c r="AZ27" s="17">
        <f t="shared" si="69"/>
        <v>4055.4009718417938</v>
      </c>
      <c r="BA27" s="17">
        <f t="shared" si="69"/>
        <v>4095.9549815602118</v>
      </c>
      <c r="BB27" s="17">
        <f t="shared" si="69"/>
        <v>4136.9145313758136</v>
      </c>
      <c r="BC27" s="17">
        <f t="shared" si="69"/>
        <v>4178.2836766895716</v>
      </c>
      <c r="BD27" s="17">
        <f t="shared" si="69"/>
        <v>4220.066513456467</v>
      </c>
      <c r="BE27" s="17">
        <f t="shared" si="69"/>
        <v>4262.2671785910316</v>
      </c>
      <c r="BF27" s="17">
        <f t="shared" si="69"/>
        <v>4304.8898503769415</v>
      </c>
      <c r="BG27" s="17">
        <f t="shared" si="69"/>
        <v>4347.9387488807106</v>
      </c>
      <c r="BH27" s="17">
        <f t="shared" si="69"/>
        <v>4391.4181363695179</v>
      </c>
      <c r="BI27" s="17">
        <f t="shared" si="69"/>
        <v>4435.3323177332131</v>
      </c>
      <c r="BJ27" s="17">
        <f t="shared" si="69"/>
        <v>4479.6856409105449</v>
      </c>
      <c r="BK27" s="17">
        <f t="shared" si="69"/>
        <v>4524.4824973196501</v>
      </c>
      <c r="BL27" s="17">
        <f t="shared" si="69"/>
        <v>4569.727322292847</v>
      </c>
      <c r="BM27" s="17">
        <f t="shared" si="69"/>
        <v>4615.4245955157758</v>
      </c>
      <c r="BN27" s="17">
        <f t="shared" si="69"/>
        <v>4661.5788414709332</v>
      </c>
      <c r="BO27" s="17">
        <f t="shared" si="69"/>
        <v>4708.1946298856428</v>
      </c>
      <c r="BP27" s="17">
        <f t="shared" si="69"/>
        <v>4755.2765761844994</v>
      </c>
      <c r="BQ27" s="17">
        <f t="shared" si="69"/>
        <v>4802.8293419463444</v>
      </c>
      <c r="BR27" s="17">
        <f t="shared" si="69"/>
        <v>4850.8576353658082</v>
      </c>
      <c r="BS27" s="17">
        <f t="shared" si="69"/>
        <v>4899.3662117194663</v>
      </c>
      <c r="BT27" s="17">
        <f t="shared" si="69"/>
        <v>4948.3598738366609</v>
      </c>
      <c r="BU27" s="17">
        <f t="shared" si="69"/>
        <v>4997.8434725750276</v>
      </c>
      <c r="BV27" s="17">
        <f t="shared" si="69"/>
        <v>5047.8219073007776</v>
      </c>
      <c r="BW27" s="17">
        <f t="shared" si="69"/>
        <v>5098.3001263737851</v>
      </c>
      <c r="BX27" s="17">
        <f t="shared" si="69"/>
        <v>5149.2831276375227</v>
      </c>
      <c r="BY27" s="17">
        <f t="shared" si="69"/>
        <v>5200.7759589138977</v>
      </c>
      <c r="BZ27" s="17">
        <f t="shared" si="69"/>
        <v>5252.7837185030367</v>
      </c>
      <c r="CA27" s="17">
        <f t="shared" si="69"/>
        <v>5305.3115556880666</v>
      </c>
      <c r="CB27" s="17">
        <f t="shared" ref="CB27:DG27" si="70">CA27*($F$2+1)</f>
        <v>5358.3646712449472</v>
      </c>
      <c r="CC27" s="17">
        <f t="shared" si="70"/>
        <v>5411.9483179573963</v>
      </c>
      <c r="CD27" s="17">
        <f t="shared" si="70"/>
        <v>5466.06780113697</v>
      </c>
      <c r="CE27" s="17">
        <f t="shared" si="70"/>
        <v>5520.7284791483398</v>
      </c>
      <c r="CF27" s="17">
        <f t="shared" si="70"/>
        <v>5575.9357639398231</v>
      </c>
      <c r="CG27" s="17">
        <f t="shared" si="70"/>
        <v>5631.6951215792214</v>
      </c>
      <c r="CH27" s="17">
        <f t="shared" si="70"/>
        <v>5688.0120727950134</v>
      </c>
      <c r="CI27" s="17">
        <f t="shared" si="70"/>
        <v>5744.8921935229637</v>
      </c>
      <c r="CJ27" s="17">
        <f t="shared" si="70"/>
        <v>5802.3411154581936</v>
      </c>
      <c r="CK27" s="17">
        <f t="shared" si="70"/>
        <v>5860.364526612776</v>
      </c>
      <c r="CL27" s="17">
        <f t="shared" si="70"/>
        <v>5918.9681718789034</v>
      </c>
      <c r="CM27" s="17">
        <f t="shared" si="70"/>
        <v>5978.1578535976923</v>
      </c>
      <c r="CN27" s="17">
        <f t="shared" si="70"/>
        <v>6037.9394321336695</v>
      </c>
      <c r="CO27" s="17">
        <f t="shared" si="70"/>
        <v>6098.3188264550063</v>
      </c>
      <c r="CP27" s="17">
        <f t="shared" si="70"/>
        <v>6159.3020147195566</v>
      </c>
      <c r="CQ27" s="17">
        <f t="shared" si="70"/>
        <v>6220.8950348667522</v>
      </c>
      <c r="CR27" s="17">
        <f t="shared" si="70"/>
        <v>6283.1039852154199</v>
      </c>
      <c r="CS27" s="17">
        <f t="shared" si="70"/>
        <v>6345.9350250675743</v>
      </c>
      <c r="CT27" s="17">
        <f t="shared" si="70"/>
        <v>6409.3943753182502</v>
      </c>
      <c r="CU27" s="17">
        <f t="shared" si="70"/>
        <v>6473.4883190714327</v>
      </c>
      <c r="CV27" s="17">
        <f t="shared" si="70"/>
        <v>6538.2232022621474</v>
      </c>
      <c r="CW27" s="17">
        <f t="shared" si="70"/>
        <v>6603.6054342847692</v>
      </c>
      <c r="CX27" s="17">
        <f t="shared" si="70"/>
        <v>6669.641488627617</v>
      </c>
      <c r="CY27" s="17">
        <f t="shared" si="70"/>
        <v>6736.3379035138933</v>
      </c>
      <c r="CZ27" s="17">
        <f t="shared" si="70"/>
        <v>6803.7012825490319</v>
      </c>
      <c r="DA27" s="17">
        <f t="shared" si="70"/>
        <v>6871.7382953745227</v>
      </c>
      <c r="DB27" s="17">
        <f t="shared" si="70"/>
        <v>6940.4556783282678</v>
      </c>
      <c r="DC27" s="17">
        <f t="shared" si="70"/>
        <v>7009.8602351115505</v>
      </c>
      <c r="DD27" s="17">
        <f t="shared" si="70"/>
        <v>7079.9588374626665</v>
      </c>
      <c r="DE27" s="17">
        <f t="shared" si="70"/>
        <v>7150.7584258372935</v>
      </c>
      <c r="DF27" s="17">
        <f t="shared" si="70"/>
        <v>7222.2660100956664</v>
      </c>
      <c r="DG27" s="17">
        <f t="shared" si="70"/>
        <v>7294.4886701966234</v>
      </c>
      <c r="DH27" s="17">
        <f t="shared" ref="DH27:DP27" si="71">DG27*($F$2+1)</f>
        <v>7367.4335568985898</v>
      </c>
      <c r="DI27" s="17">
        <f t="shared" si="71"/>
        <v>7441.1078924675758</v>
      </c>
      <c r="DJ27" s="17">
        <f t="shared" si="71"/>
        <v>7515.5189713922518</v>
      </c>
      <c r="DK27" s="17">
        <f t="shared" si="71"/>
        <v>7590.6741611061743</v>
      </c>
      <c r="DL27" s="17">
        <f t="shared" si="71"/>
        <v>7666.5809027172363</v>
      </c>
      <c r="DM27" s="17">
        <f t="shared" si="71"/>
        <v>7743.2467117444085</v>
      </c>
      <c r="DN27" s="17">
        <f t="shared" si="71"/>
        <v>7820.679178861853</v>
      </c>
      <c r="DO27" s="17">
        <f t="shared" si="71"/>
        <v>7898.8859706504718</v>
      </c>
      <c r="DP27" s="17">
        <f t="shared" si="71"/>
        <v>7977.8748303569764</v>
      </c>
    </row>
    <row r="28" spans="1:120" x14ac:dyDescent="0.15">
      <c r="A28" s="3" t="s">
        <v>12</v>
      </c>
      <c r="B28" s="19">
        <f>B27/B29</f>
        <v>-1.7841054541912706</v>
      </c>
      <c r="C28" s="19">
        <f>C27/C29</f>
        <v>-2.0686639940455067</v>
      </c>
      <c r="D28" s="19">
        <f>D27/D29</f>
        <v>-2.9253339285714288</v>
      </c>
      <c r="E28" s="20">
        <f t="shared" ref="E28:F28" si="72">E27/E29</f>
        <v>-2.4818034616956277</v>
      </c>
      <c r="F28" s="20">
        <f t="shared" si="72"/>
        <v>-1.9689590217077004</v>
      </c>
      <c r="G28" s="20">
        <f t="shared" ref="G28:O28" si="73">G27/G29</f>
        <v>-0.6809480814265797</v>
      </c>
      <c r="H28" s="20">
        <f t="shared" si="73"/>
        <v>1.5975817814267459</v>
      </c>
      <c r="I28" s="20">
        <f t="shared" si="73"/>
        <v>5.4900720665819831</v>
      </c>
      <c r="J28" s="20">
        <f t="shared" si="73"/>
        <v>7.5303916204674222</v>
      </c>
      <c r="K28" s="20">
        <f t="shared" si="73"/>
        <v>9.8784294552484955</v>
      </c>
      <c r="L28" s="20">
        <f t="shared" si="73"/>
        <v>12.571821890572656</v>
      </c>
      <c r="M28" s="20">
        <f t="shared" si="73"/>
        <v>15.652374659175804</v>
      </c>
      <c r="N28" s="20">
        <f t="shared" si="73"/>
        <v>19.166502972918547</v>
      </c>
      <c r="O28" s="20">
        <f t="shared" si="73"/>
        <v>23.165716868638167</v>
      </c>
      <c r="P28" s="20">
        <f t="shared" ref="P28:T28" si="74">P27/P29</f>
        <v>27.707156430500731</v>
      </c>
      <c r="Q28" s="20">
        <f t="shared" si="74"/>
        <v>32.854181948854155</v>
      </c>
      <c r="R28" s="20">
        <f t="shared" si="74"/>
        <v>38.67702458542287</v>
      </c>
      <c r="S28" s="20">
        <f t="shared" si="74"/>
        <v>45.253503675709389</v>
      </c>
      <c r="T28" s="20">
        <f t="shared" si="74"/>
        <v>52.66981741680793</v>
      </c>
    </row>
    <row r="29" spans="1:120" s="16" customFormat="1" x14ac:dyDescent="0.15">
      <c r="A29" s="16" t="s">
        <v>13</v>
      </c>
      <c r="B29" s="8">
        <f>Reports!E23</f>
        <v>50.287162000000002</v>
      </c>
      <c r="C29" s="8">
        <f>Reports!I23</f>
        <v>53.825561</v>
      </c>
      <c r="D29" s="8">
        <f>Reports!M23</f>
        <v>56</v>
      </c>
      <c r="E29" s="8">
        <f t="shared" ref="E29" si="75">D29</f>
        <v>56</v>
      </c>
      <c r="F29" s="8">
        <f t="shared" ref="F29" si="76">E29</f>
        <v>56</v>
      </c>
      <c r="G29" s="8">
        <f t="shared" ref="G29" si="77">F29</f>
        <v>56</v>
      </c>
      <c r="H29" s="8">
        <f t="shared" ref="H29" si="78">G29</f>
        <v>56</v>
      </c>
      <c r="I29" s="8">
        <f t="shared" ref="I29" si="79">H29</f>
        <v>56</v>
      </c>
      <c r="J29" s="8">
        <f t="shared" ref="J29" si="80">I29</f>
        <v>56</v>
      </c>
      <c r="K29" s="8">
        <f t="shared" ref="K29" si="81">J29</f>
        <v>56</v>
      </c>
      <c r="L29" s="8">
        <f t="shared" ref="L29" si="82">K29</f>
        <v>56</v>
      </c>
      <c r="M29" s="8">
        <f t="shared" ref="M29" si="83">L29</f>
        <v>56</v>
      </c>
      <c r="N29" s="8">
        <f t="shared" ref="N29" si="84">M29</f>
        <v>56</v>
      </c>
      <c r="O29" s="8">
        <f t="shared" ref="O29" si="85">N29</f>
        <v>56</v>
      </c>
      <c r="P29" s="8">
        <f t="shared" ref="P29" si="86">O29</f>
        <v>56</v>
      </c>
      <c r="Q29" s="8">
        <f t="shared" ref="Q29" si="87">P29</f>
        <v>56</v>
      </c>
      <c r="R29" s="8">
        <f t="shared" ref="R29" si="88">Q29</f>
        <v>56</v>
      </c>
      <c r="S29" s="8">
        <f t="shared" ref="S29" si="89">R29</f>
        <v>56</v>
      </c>
      <c r="T29" s="8">
        <f t="shared" ref="T29" si="90">S29</f>
        <v>56</v>
      </c>
    </row>
    <row r="30" spans="1:120" x14ac:dyDescent="0.1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120" x14ac:dyDescent="0.15">
      <c r="A31" s="3" t="s">
        <v>15</v>
      </c>
      <c r="B31" s="23">
        <f t="shared" ref="B31:O31" si="91">IFERROR(B18/B16,0)</f>
        <v>0.73134038325320161</v>
      </c>
      <c r="C31" s="23">
        <f>IFERROR(C18/C16,0)</f>
        <v>0.71385230534659927</v>
      </c>
      <c r="D31" s="23">
        <f t="shared" si="91"/>
        <v>0.70131432259578708</v>
      </c>
      <c r="E31" s="23">
        <f t="shared" si="91"/>
        <v>0.70131432259578708</v>
      </c>
      <c r="F31" s="23">
        <f>IFERROR(F18/F16,0)</f>
        <v>0.70131432259578708</v>
      </c>
      <c r="G31" s="23">
        <f t="shared" si="91"/>
        <v>0.70131432259578708</v>
      </c>
      <c r="H31" s="23">
        <f t="shared" si="91"/>
        <v>0.70131432259578708</v>
      </c>
      <c r="I31" s="23">
        <f t="shared" si="91"/>
        <v>0.70131432259578708</v>
      </c>
      <c r="J31" s="23">
        <f t="shared" si="91"/>
        <v>0.70131432259578708</v>
      </c>
      <c r="K31" s="23">
        <f t="shared" si="91"/>
        <v>0.70131432259578708</v>
      </c>
      <c r="L31" s="23">
        <f t="shared" si="91"/>
        <v>0.70131432259578697</v>
      </c>
      <c r="M31" s="23">
        <f t="shared" si="91"/>
        <v>0.70131432259578697</v>
      </c>
      <c r="N31" s="23">
        <f t="shared" si="91"/>
        <v>0.70131432259578697</v>
      </c>
      <c r="O31" s="23">
        <f t="shared" si="91"/>
        <v>0.70131432259578697</v>
      </c>
      <c r="P31" s="23">
        <f t="shared" ref="P31:T31" si="92">IFERROR(P18/P16,0)</f>
        <v>0.70131432259578697</v>
      </c>
      <c r="Q31" s="23">
        <f t="shared" si="92"/>
        <v>0.70131432259578697</v>
      </c>
      <c r="R31" s="23">
        <f t="shared" si="92"/>
        <v>0.70131432259578697</v>
      </c>
      <c r="S31" s="23">
        <f t="shared" si="92"/>
        <v>0.70131432259578697</v>
      </c>
      <c r="T31" s="23">
        <f t="shared" si="92"/>
        <v>0.70131432259578697</v>
      </c>
    </row>
    <row r="32" spans="1:120" x14ac:dyDescent="0.15">
      <c r="A32" s="3" t="s">
        <v>16</v>
      </c>
      <c r="B32" s="22">
        <f t="shared" ref="B32:O32" si="93">IFERROR(B23/B16,0)</f>
        <v>-0.569977872361765</v>
      </c>
      <c r="C32" s="22">
        <f>IFERROR(C23/C16,0)</f>
        <v>-0.43187811651588132</v>
      </c>
      <c r="D32" s="22">
        <f t="shared" si="93"/>
        <v>-0.37443451857067422</v>
      </c>
      <c r="E32" s="22">
        <f t="shared" si="93"/>
        <v>-0.24338903814466981</v>
      </c>
      <c r="F32" s="22">
        <f t="shared" si="93"/>
        <v>-0.12705305816635654</v>
      </c>
      <c r="G32" s="22">
        <f t="shared" si="93"/>
        <v>-2.4253824070267768E-2</v>
      </c>
      <c r="H32" s="22">
        <f t="shared" si="93"/>
        <v>6.6258425096191689E-2</v>
      </c>
      <c r="I32" s="22">
        <f t="shared" si="93"/>
        <v>0.14573462334097337</v>
      </c>
      <c r="J32" s="22">
        <f t="shared" si="93"/>
        <v>0.17536368226651311</v>
      </c>
      <c r="K32" s="22">
        <f t="shared" si="93"/>
        <v>0.20316864547011321</v>
      </c>
      <c r="L32" s="22">
        <f t="shared" si="93"/>
        <v>0.22928449770090531</v>
      </c>
      <c r="M32" s="22">
        <f t="shared" si="93"/>
        <v>0.25383440753136344</v>
      </c>
      <c r="N32" s="22">
        <f t="shared" si="93"/>
        <v>0.2769308841478329</v>
      </c>
      <c r="O32" s="22">
        <f t="shared" si="93"/>
        <v>0.2986768139569525</v>
      </c>
      <c r="P32" s="22">
        <f t="shared" ref="P32:T32" si="94">IFERROR(P23/P16,0)</f>
        <v>0.31916638984572693</v>
      </c>
      <c r="Q32" s="22">
        <f t="shared" si="94"/>
        <v>0.33848594454494113</v>
      </c>
      <c r="R32" s="22">
        <f t="shared" si="94"/>
        <v>0.35671469830840946</v>
      </c>
      <c r="S32" s="22">
        <f t="shared" si="94"/>
        <v>0.37392543001777567</v>
      </c>
      <c r="T32" s="22">
        <f t="shared" si="94"/>
        <v>0.39018507983959866</v>
      </c>
    </row>
    <row r="33" spans="1:120" x14ac:dyDescent="0.15">
      <c r="A33" s="3" t="s">
        <v>17</v>
      </c>
      <c r="B33" s="22">
        <f t="shared" ref="B33:O33" si="95">IFERROR(B26/B25,0)</f>
        <v>-1.1096209978249354E-2</v>
      </c>
      <c r="C33" s="22">
        <f>IFERROR(C26/C25,0)</f>
        <v>3.6782325106618559E-2</v>
      </c>
      <c r="D33" s="22">
        <f t="shared" si="95"/>
        <v>6.8987801041121687E-3</v>
      </c>
      <c r="E33" s="22">
        <f>IFERROR(E26/E25,0)</f>
        <v>0</v>
      </c>
      <c r="F33" s="22">
        <f t="shared" si="95"/>
        <v>0</v>
      </c>
      <c r="G33" s="22">
        <f t="shared" si="95"/>
        <v>0</v>
      </c>
      <c r="H33" s="22">
        <f t="shared" si="95"/>
        <v>0.15</v>
      </c>
      <c r="I33" s="22">
        <f t="shared" si="95"/>
        <v>0.15</v>
      </c>
      <c r="J33" s="22">
        <f t="shared" si="95"/>
        <v>0.15</v>
      </c>
      <c r="K33" s="22">
        <f t="shared" si="95"/>
        <v>0.15</v>
      </c>
      <c r="L33" s="22">
        <f t="shared" si="95"/>
        <v>0.15</v>
      </c>
      <c r="M33" s="22">
        <f t="shared" si="95"/>
        <v>0.15</v>
      </c>
      <c r="N33" s="22">
        <f t="shared" si="95"/>
        <v>0.15</v>
      </c>
      <c r="O33" s="22">
        <f t="shared" si="95"/>
        <v>0.15</v>
      </c>
      <c r="P33" s="22">
        <f t="shared" ref="P33:T33" si="96">IFERROR(P26/P25,0)</f>
        <v>0.15</v>
      </c>
      <c r="Q33" s="22">
        <f t="shared" si="96"/>
        <v>0.15</v>
      </c>
      <c r="R33" s="22">
        <f t="shared" si="96"/>
        <v>0.15</v>
      </c>
      <c r="S33" s="22">
        <f t="shared" si="96"/>
        <v>0.15</v>
      </c>
      <c r="T33" s="22">
        <f t="shared" si="96"/>
        <v>0.15</v>
      </c>
    </row>
    <row r="34" spans="1:120" x14ac:dyDescent="0.15"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</row>
    <row r="35" spans="1:120" x14ac:dyDescent="0.15">
      <c r="A35" s="2" t="s">
        <v>14</v>
      </c>
      <c r="B35" s="21"/>
      <c r="C35" s="21">
        <f t="shared" ref="C35:O35" si="97">C16/B16-1</f>
        <v>0.61160666712635336</v>
      </c>
      <c r="D35" s="21">
        <f t="shared" si="97"/>
        <v>0.59095753370310167</v>
      </c>
      <c r="E35" s="21">
        <f>E16/D16-1</f>
        <v>0.43370562694361303</v>
      </c>
      <c r="F35" s="21">
        <f t="shared" si="97"/>
        <v>0.43693000246166847</v>
      </c>
      <c r="G35" s="21">
        <f t="shared" si="97"/>
        <v>0.43953985431208786</v>
      </c>
      <c r="H35" s="21">
        <f t="shared" si="97"/>
        <v>0.44164374122392913</v>
      </c>
      <c r="I35" s="21">
        <f t="shared" si="97"/>
        <v>0.44333420780898125</v>
      </c>
      <c r="J35" s="21">
        <f t="shared" si="97"/>
        <v>0.10000000000000009</v>
      </c>
      <c r="K35" s="21">
        <f t="shared" si="97"/>
        <v>0.10000000000000009</v>
      </c>
      <c r="L35" s="21">
        <f t="shared" si="97"/>
        <v>0.10000000000000009</v>
      </c>
      <c r="M35" s="21">
        <f t="shared" si="97"/>
        <v>0.10000000000000009</v>
      </c>
      <c r="N35" s="21">
        <f t="shared" si="97"/>
        <v>0.10000000000000009</v>
      </c>
      <c r="O35" s="21">
        <f t="shared" si="97"/>
        <v>0.10000000000000009</v>
      </c>
      <c r="P35" s="21">
        <f t="shared" ref="P35" si="98">P16/O16-1</f>
        <v>0.10000000000000009</v>
      </c>
      <c r="Q35" s="21">
        <f t="shared" ref="Q35" si="99">Q16/P16-1</f>
        <v>0.10000000000000009</v>
      </c>
      <c r="R35" s="21">
        <f t="shared" ref="R35" si="100">R16/Q16-1</f>
        <v>0.10000000000000009</v>
      </c>
      <c r="S35" s="21">
        <f t="shared" ref="S35" si="101">S16/R16-1</f>
        <v>0.10000000000000009</v>
      </c>
      <c r="T35" s="21">
        <f t="shared" ref="T35" si="102">T16/S16-1</f>
        <v>0.10000000000000009</v>
      </c>
    </row>
    <row r="36" spans="1:120" x14ac:dyDescent="0.15">
      <c r="A36" s="3" t="s">
        <v>30</v>
      </c>
      <c r="B36" s="22"/>
      <c r="C36" s="22">
        <f t="shared" ref="C36:O36" si="103">C19/B19-1</f>
        <v>0.44455162213433685</v>
      </c>
      <c r="D36" s="22">
        <f t="shared" si="103"/>
        <v>0.66300888107374156</v>
      </c>
      <c r="E36" s="22">
        <f t="shared" si="103"/>
        <v>0.30000000000000004</v>
      </c>
      <c r="F36" s="22">
        <f t="shared" si="103"/>
        <v>0.30000000000000004</v>
      </c>
      <c r="G36" s="22">
        <f t="shared" si="103"/>
        <v>0.30000000000000004</v>
      </c>
      <c r="H36" s="22">
        <f t="shared" si="103"/>
        <v>0.30000000000000004</v>
      </c>
      <c r="I36" s="22">
        <f t="shared" si="103"/>
        <v>0.30000000000000004</v>
      </c>
      <c r="J36" s="22">
        <f t="shared" si="103"/>
        <v>5.0000000000000044E-2</v>
      </c>
      <c r="K36" s="22">
        <f t="shared" si="103"/>
        <v>5.0000000000000044E-2</v>
      </c>
      <c r="L36" s="22">
        <f t="shared" si="103"/>
        <v>5.0000000000000044E-2</v>
      </c>
      <c r="M36" s="22">
        <f t="shared" si="103"/>
        <v>5.0000000000000044E-2</v>
      </c>
      <c r="N36" s="22">
        <f t="shared" si="103"/>
        <v>5.0000000000000044E-2</v>
      </c>
      <c r="O36" s="22">
        <f t="shared" si="103"/>
        <v>5.0000000000000044E-2</v>
      </c>
      <c r="P36" s="22">
        <f t="shared" ref="P36:P38" si="104">P19/O19-1</f>
        <v>5.0000000000000044E-2</v>
      </c>
      <c r="Q36" s="22">
        <f t="shared" ref="Q36:Q39" si="105">Q19/P19-1</f>
        <v>5.0000000000000044E-2</v>
      </c>
      <c r="R36" s="22">
        <f t="shared" ref="R36:R39" si="106">R19/Q19-1</f>
        <v>5.0000000000000044E-2</v>
      </c>
      <c r="S36" s="22">
        <f t="shared" ref="S36:S39" si="107">S19/R19-1</f>
        <v>5.0000000000000044E-2</v>
      </c>
      <c r="T36" s="22">
        <f t="shared" ref="T36:T39" si="108">T19/S19-1</f>
        <v>5.0000000000000044E-2</v>
      </c>
    </row>
    <row r="37" spans="1:120" x14ac:dyDescent="0.15">
      <c r="A37" s="3" t="s">
        <v>31</v>
      </c>
      <c r="B37" s="22"/>
      <c r="C37" s="22">
        <f t="shared" ref="C37:O37" si="109">C20/B20-1</f>
        <v>0.39636902624722659</v>
      </c>
      <c r="D37" s="22">
        <f t="shared" si="109"/>
        <v>0.45602769078622063</v>
      </c>
      <c r="E37" s="22">
        <f t="shared" si="109"/>
        <v>0.25</v>
      </c>
      <c r="F37" s="22">
        <f t="shared" si="109"/>
        <v>0.25</v>
      </c>
      <c r="G37" s="22">
        <f t="shared" si="109"/>
        <v>0.25</v>
      </c>
      <c r="H37" s="22">
        <f t="shared" si="109"/>
        <v>0.25</v>
      </c>
      <c r="I37" s="22">
        <f t="shared" si="109"/>
        <v>0.25</v>
      </c>
      <c r="J37" s="22">
        <f t="shared" si="109"/>
        <v>5.0000000000000044E-2</v>
      </c>
      <c r="K37" s="22">
        <f t="shared" si="109"/>
        <v>5.0000000000000044E-2</v>
      </c>
      <c r="L37" s="22">
        <f t="shared" si="109"/>
        <v>5.0000000000000044E-2</v>
      </c>
      <c r="M37" s="22">
        <f t="shared" si="109"/>
        <v>5.0000000000000044E-2</v>
      </c>
      <c r="N37" s="22">
        <f t="shared" si="109"/>
        <v>5.0000000000000044E-2</v>
      </c>
      <c r="O37" s="22">
        <f t="shared" si="109"/>
        <v>5.0000000000000044E-2</v>
      </c>
      <c r="P37" s="22">
        <f t="shared" si="104"/>
        <v>5.0000000000000044E-2</v>
      </c>
      <c r="Q37" s="22">
        <f t="shared" si="105"/>
        <v>5.0000000000000044E-2</v>
      </c>
      <c r="R37" s="22">
        <f t="shared" si="106"/>
        <v>5.0000000000000044E-2</v>
      </c>
      <c r="S37" s="22">
        <f t="shared" si="107"/>
        <v>5.0000000000000044E-2</v>
      </c>
      <c r="T37" s="22">
        <f t="shared" si="108"/>
        <v>5.0000000000000044E-2</v>
      </c>
    </row>
    <row r="38" spans="1:120" x14ac:dyDescent="0.15">
      <c r="A38" s="3" t="s">
        <v>32</v>
      </c>
      <c r="B38" s="22"/>
      <c r="C38" s="22">
        <f t="shared" ref="C38:O38" si="110">C21/B21-1</f>
        <v>0.44217539089055036</v>
      </c>
      <c r="D38" s="22">
        <f t="shared" si="110"/>
        <v>0.31504449807677792</v>
      </c>
      <c r="E38" s="22">
        <f t="shared" si="110"/>
        <v>0.19999999999999996</v>
      </c>
      <c r="F38" s="22">
        <f t="shared" si="110"/>
        <v>0.19999999999999996</v>
      </c>
      <c r="G38" s="22">
        <f t="shared" si="110"/>
        <v>0.19999999999999996</v>
      </c>
      <c r="H38" s="22">
        <f t="shared" si="110"/>
        <v>0.19999999999999996</v>
      </c>
      <c r="I38" s="22">
        <f t="shared" si="110"/>
        <v>0.19999999999999996</v>
      </c>
      <c r="J38" s="22">
        <f t="shared" si="110"/>
        <v>-2.0000000000000018E-2</v>
      </c>
      <c r="K38" s="22">
        <f t="shared" si="110"/>
        <v>-2.0000000000000018E-2</v>
      </c>
      <c r="L38" s="22">
        <f t="shared" si="110"/>
        <v>-2.0000000000000018E-2</v>
      </c>
      <c r="M38" s="22">
        <f t="shared" si="110"/>
        <v>-1.9999999999999907E-2</v>
      </c>
      <c r="N38" s="22">
        <f t="shared" si="110"/>
        <v>-1.9999999999999907E-2</v>
      </c>
      <c r="O38" s="22">
        <f t="shared" si="110"/>
        <v>-2.0000000000000018E-2</v>
      </c>
      <c r="P38" s="22">
        <f t="shared" si="104"/>
        <v>-2.0000000000000018E-2</v>
      </c>
      <c r="Q38" s="22">
        <f t="shared" si="105"/>
        <v>-2.0000000000000018E-2</v>
      </c>
      <c r="R38" s="22">
        <f t="shared" si="106"/>
        <v>-2.0000000000000129E-2</v>
      </c>
      <c r="S38" s="22">
        <f t="shared" si="107"/>
        <v>-2.0000000000000018E-2</v>
      </c>
      <c r="T38" s="22">
        <f t="shared" si="108"/>
        <v>-2.0000000000000018E-2</v>
      </c>
    </row>
    <row r="39" spans="1:120" s="5" customFormat="1" x14ac:dyDescent="0.15">
      <c r="A39" s="5" t="s">
        <v>85</v>
      </c>
      <c r="B39" s="61"/>
      <c r="C39" s="61">
        <f>C22/B22-1</f>
        <v>0.41892022081137603</v>
      </c>
      <c r="D39" s="61">
        <f t="shared" ref="D39:O39" si="111">D22/C22-1</f>
        <v>0.49378133858401352</v>
      </c>
      <c r="E39" s="61">
        <f t="shared" si="111"/>
        <v>0.25905459737004821</v>
      </c>
      <c r="F39" s="61">
        <f t="shared" si="111"/>
        <v>0.25997852018304801</v>
      </c>
      <c r="G39" s="61">
        <f t="shared" si="111"/>
        <v>0.26089497051919297</v>
      </c>
      <c r="H39" s="61">
        <f t="shared" si="111"/>
        <v>0.26180340766669552</v>
      </c>
      <c r="I39" s="61">
        <f t="shared" si="111"/>
        <v>0.26270331203279573</v>
      </c>
      <c r="J39" s="61">
        <f t="shared" si="111"/>
        <v>4.1337012742170831E-2</v>
      </c>
      <c r="K39" s="61">
        <f>K22/J22-1</f>
        <v>4.1847281515216217E-2</v>
      </c>
      <c r="L39" s="61">
        <f t="shared" si="111"/>
        <v>4.2331252135660025E-2</v>
      </c>
      <c r="M39" s="61">
        <f t="shared" si="111"/>
        <v>4.2789842104748788E-2</v>
      </c>
      <c r="N39" s="61">
        <f t="shared" si="111"/>
        <v>4.3223989674578744E-2</v>
      </c>
      <c r="O39" s="61">
        <f t="shared" si="111"/>
        <v>4.3634645881768686E-2</v>
      </c>
      <c r="P39" s="61">
        <f>P22/O22-1</f>
        <v>4.4022767392322359E-2</v>
      </c>
      <c r="Q39" s="61">
        <f t="shared" si="105"/>
        <v>4.4389310139131277E-2</v>
      </c>
      <c r="R39" s="61">
        <f t="shared" si="106"/>
        <v>4.4735223723307849E-2</v>
      </c>
      <c r="S39" s="61">
        <f t="shared" si="107"/>
        <v>4.5061446542626893E-2</v>
      </c>
      <c r="T39" s="61">
        <f t="shared" si="108"/>
        <v>4.5368901604554424E-2</v>
      </c>
    </row>
    <row r="40" spans="1:120" x14ac:dyDescent="0.15"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</row>
    <row r="41" spans="1:120" x14ac:dyDescent="0.15">
      <c r="A41" s="2" t="s">
        <v>18</v>
      </c>
      <c r="B41" s="17">
        <f>B42-B43</f>
        <v>278.97399999999999</v>
      </c>
      <c r="C41" s="17">
        <f>C42-C43</f>
        <v>249.11200000000002</v>
      </c>
      <c r="D41" s="17">
        <f>D42-D43</f>
        <v>75</v>
      </c>
      <c r="E41" s="48">
        <f>D41+E27</f>
        <v>-63.980993854955159</v>
      </c>
      <c r="F41" s="48">
        <f t="shared" ref="F41:O41" si="112">E41+F27</f>
        <v>-174.24269907058638</v>
      </c>
      <c r="G41" s="48">
        <f t="shared" si="112"/>
        <v>-212.37579163047485</v>
      </c>
      <c r="H41" s="48">
        <f t="shared" si="112"/>
        <v>-122.91121187057708</v>
      </c>
      <c r="I41" s="48">
        <f t="shared" si="112"/>
        <v>184.53282385801401</v>
      </c>
      <c r="J41" s="48">
        <f t="shared" si="112"/>
        <v>606.23475460418967</v>
      </c>
      <c r="K41" s="48">
        <f t="shared" si="112"/>
        <v>1159.4268040981055</v>
      </c>
      <c r="L41" s="48">
        <f t="shared" si="112"/>
        <v>1863.4488299701743</v>
      </c>
      <c r="M41" s="48">
        <f t="shared" si="112"/>
        <v>2739.9818108840191</v>
      </c>
      <c r="N41" s="48">
        <f t="shared" si="112"/>
        <v>3813.3059773674577</v>
      </c>
      <c r="O41" s="48">
        <f t="shared" si="112"/>
        <v>5110.5861220111947</v>
      </c>
      <c r="P41" s="48">
        <f t="shared" ref="P41" si="113">O41+P27</f>
        <v>6662.1868821192356</v>
      </c>
      <c r="Q41" s="48">
        <f t="shared" ref="Q41" si="114">P41+Q27</f>
        <v>8502.0210712550688</v>
      </c>
      <c r="R41" s="48">
        <f t="shared" ref="R41" si="115">Q41+R27</f>
        <v>10667.93444803875</v>
      </c>
      <c r="S41" s="48">
        <f t="shared" ref="S41" si="116">R41+S27</f>
        <v>13202.130653878476</v>
      </c>
      <c r="T41" s="48">
        <f t="shared" ref="T41" si="117">S41+T27</f>
        <v>16151.64042921972</v>
      </c>
    </row>
    <row r="42" spans="1:120" x14ac:dyDescent="0.15">
      <c r="A42" s="3" t="s">
        <v>19</v>
      </c>
      <c r="B42" s="50">
        <f>Reports!E36</f>
        <v>278.97399999999999</v>
      </c>
      <c r="C42" s="50">
        <f>Reports!I36</f>
        <v>465.97</v>
      </c>
      <c r="D42" s="50">
        <f>Reports!M36</f>
        <v>986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</row>
    <row r="43" spans="1:120" x14ac:dyDescent="0.15">
      <c r="A43" s="3" t="s">
        <v>20</v>
      </c>
      <c r="B43" s="50">
        <f>Reports!E37</f>
        <v>0</v>
      </c>
      <c r="C43" s="50">
        <f>Reports!I37</f>
        <v>216.858</v>
      </c>
      <c r="D43" s="50">
        <f>Reports!M37</f>
        <v>911</v>
      </c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</row>
    <row r="44" spans="1:120" x14ac:dyDescent="0.15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5" spans="1:120" x14ac:dyDescent="0.15">
      <c r="A45" s="3" t="s">
        <v>45</v>
      </c>
      <c r="B45" s="49">
        <f>Reports!E39</f>
        <v>3.327</v>
      </c>
      <c r="C45" s="50">
        <f>Reports!I39</f>
        <v>57.771999999999998</v>
      </c>
      <c r="D45" s="50">
        <f>Reports!M39</f>
        <v>91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</row>
    <row r="46" spans="1:120" x14ac:dyDescent="0.15">
      <c r="A46" s="3" t="s">
        <v>46</v>
      </c>
      <c r="B46" s="49">
        <f>Reports!E40</f>
        <v>415.19600000000003</v>
      </c>
      <c r="C46" s="50">
        <f>Reports!I40</f>
        <v>733.476</v>
      </c>
      <c r="D46" s="50">
        <f>Reports!M40</f>
        <v>1329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</row>
    <row r="47" spans="1:120" x14ac:dyDescent="0.15">
      <c r="A47" s="3" t="s">
        <v>47</v>
      </c>
      <c r="B47" s="49">
        <f>Reports!E41</f>
        <v>221.703</v>
      </c>
      <c r="C47" s="50">
        <f>Reports!I41</f>
        <v>468.91</v>
      </c>
      <c r="D47" s="50">
        <f>Reports!M41</f>
        <v>1246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</row>
    <row r="49" spans="1:120" x14ac:dyDescent="0.15">
      <c r="A49" s="3" t="s">
        <v>48</v>
      </c>
      <c r="B49" s="51">
        <f>B46-B45-B42</f>
        <v>132.89500000000004</v>
      </c>
      <c r="C49" s="51">
        <f>C46-C45-C42</f>
        <v>209.73399999999992</v>
      </c>
      <c r="D49" s="51">
        <f>D46-D45-D42</f>
        <v>252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</row>
    <row r="50" spans="1:120" x14ac:dyDescent="0.15">
      <c r="A50" s="3" t="s">
        <v>49</v>
      </c>
      <c r="B50" s="51">
        <f>B46-B47</f>
        <v>193.49300000000002</v>
      </c>
      <c r="C50" s="51">
        <f>C46-C47</f>
        <v>264.56599999999997</v>
      </c>
      <c r="D50" s="51">
        <f>D46-D47</f>
        <v>83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</row>
    <row r="52" spans="1:120" x14ac:dyDescent="0.15">
      <c r="A52" s="25" t="s">
        <v>51</v>
      </c>
      <c r="B52" s="26">
        <f>B27/B50</f>
        <v>-0.46367362126795281</v>
      </c>
      <c r="C52" s="26">
        <f>C27/C50</f>
        <v>-0.420866626853035</v>
      </c>
      <c r="D52" s="26">
        <f>D27/D50</f>
        <v>-1.9737192771084338</v>
      </c>
    </row>
    <row r="53" spans="1:120" x14ac:dyDescent="0.15">
      <c r="A53" s="25" t="s">
        <v>52</v>
      </c>
      <c r="B53" s="26">
        <f>B27/B46</f>
        <v>-0.21608493338086107</v>
      </c>
      <c r="C53" s="26">
        <f>C27/C46</f>
        <v>-0.1518072847646004</v>
      </c>
      <c r="D53" s="26">
        <f>D27/D46</f>
        <v>-0.12326463506395786</v>
      </c>
    </row>
    <row r="54" spans="1:120" x14ac:dyDescent="0.15">
      <c r="A54" s="25" t="s">
        <v>53</v>
      </c>
      <c r="B54" s="26">
        <f>B27/(B50-B45)</f>
        <v>-0.47178570301736372</v>
      </c>
      <c r="C54" s="26">
        <f>C27/(C50-C45)</f>
        <v>-0.53844405543681184</v>
      </c>
      <c r="D54" s="26">
        <f>D27/(D50-D45)</f>
        <v>20.477337500000001</v>
      </c>
    </row>
    <row r="55" spans="1:120" x14ac:dyDescent="0.15">
      <c r="A55" s="25" t="s">
        <v>54</v>
      </c>
      <c r="B55" s="26">
        <f>B27/B49</f>
        <v>-0.67510139583882001</v>
      </c>
      <c r="C55" s="26">
        <f>C27/C49</f>
        <v>-0.53089627814279083</v>
      </c>
      <c r="D55" s="26">
        <f>D27/D49</f>
        <v>-0.65007420634920643</v>
      </c>
    </row>
    <row r="57" spans="1:120" x14ac:dyDescent="0.15">
      <c r="A57" s="3" t="s">
        <v>71</v>
      </c>
      <c r="B57" s="26"/>
      <c r="C57" s="26">
        <f t="shared" ref="C57:H58" si="118">C10/B10-1</f>
        <v>0.63396554438368002</v>
      </c>
      <c r="D57" s="26">
        <f t="shared" si="118"/>
        <v>0.6203465089391933</v>
      </c>
      <c r="E57" s="26">
        <f t="shared" si="118"/>
        <v>0.44999999999999996</v>
      </c>
      <c r="F57" s="26">
        <f t="shared" si="118"/>
        <v>0.44999999999999996</v>
      </c>
      <c r="G57" s="26">
        <f t="shared" si="118"/>
        <v>0.44999999999999996</v>
      </c>
      <c r="H57" s="26">
        <f t="shared" si="118"/>
        <v>0.44999999999999996</v>
      </c>
      <c r="I57" s="26">
        <f t="shared" ref="I57" si="119">I10/H10-1</f>
        <v>0.44999999999999996</v>
      </c>
    </row>
    <row r="58" spans="1:120" x14ac:dyDescent="0.15">
      <c r="A58" s="3" t="s">
        <v>72</v>
      </c>
      <c r="B58" s="26"/>
      <c r="C58" s="26">
        <f t="shared" si="118"/>
        <v>0.36833482275841534</v>
      </c>
      <c r="D58" s="26">
        <f t="shared" si="118"/>
        <v>0.20912158484815491</v>
      </c>
      <c r="E58" s="26">
        <f t="shared" si="118"/>
        <v>0.14999999999999991</v>
      </c>
      <c r="F58" s="26">
        <f t="shared" si="118"/>
        <v>0.14999999999999991</v>
      </c>
      <c r="G58" s="26">
        <f t="shared" si="118"/>
        <v>0.14999999999999991</v>
      </c>
      <c r="H58" s="26">
        <f t="shared" si="118"/>
        <v>0.14999999999999991</v>
      </c>
      <c r="I58" s="26">
        <f t="shared" ref="I58" si="120">I11/H11-1</f>
        <v>0.14999999999999991</v>
      </c>
    </row>
    <row r="60" spans="1:120" s="26" customFormat="1" x14ac:dyDescent="0.15">
      <c r="A60" s="26" t="s">
        <v>59</v>
      </c>
    </row>
    <row r="61" spans="1:120" s="26" customFormat="1" x14ac:dyDescent="0.15">
      <c r="A61" s="26" t="s">
        <v>60</v>
      </c>
    </row>
    <row r="63" spans="1:120" x14ac:dyDescent="0.15">
      <c r="A63" s="3" t="s">
        <v>73</v>
      </c>
      <c r="B63" s="16">
        <f>Reports!E58</f>
        <v>5700</v>
      </c>
      <c r="C63" s="16">
        <f>Reports!I58</f>
        <v>13400</v>
      </c>
      <c r="D63" s="16">
        <f>Reports!M58</f>
        <v>15900</v>
      </c>
    </row>
    <row r="64" spans="1:120" x14ac:dyDescent="0.15">
      <c r="A64" s="3" t="s">
        <v>81</v>
      </c>
      <c r="C64" s="26">
        <f>C63/B63-1</f>
        <v>1.3508771929824563</v>
      </c>
      <c r="D64" s="26">
        <f>D63/C63-1</f>
        <v>0.18656716417910446</v>
      </c>
    </row>
  </sheetData>
  <hyperlinks>
    <hyperlink ref="A1" r:id="rId1" xr:uid="{00000000-0004-0000-0000-000000000000}"/>
    <hyperlink ref="A4" r:id="rId2" xr:uid="{00000000-0004-0000-0000-000001000000}"/>
    <hyperlink ref="A7" r:id="rId3" xr:uid="{00000000-0004-0000-0000-000002000000}"/>
    <hyperlink ref="A8" r:id="rId4" xr:uid="{00000000-0004-0000-0000-000003000000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9"/>
  <sheetViews>
    <sheetView zoomScale="120" zoomScaleNormal="12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S23" sqref="S23"/>
    </sheetView>
  </sheetViews>
  <sheetFormatPr baseColWidth="10" defaultRowHeight="13" x14ac:dyDescent="0.15"/>
  <cols>
    <col min="1" max="1" width="17.5" style="6" bestFit="1" customWidth="1"/>
    <col min="2" max="2" width="10.83203125" style="28"/>
    <col min="3" max="5" width="10.83203125" style="27"/>
    <col min="6" max="6" width="10.83203125" style="28"/>
    <col min="7" max="9" width="10.83203125" style="27"/>
    <col min="10" max="10" width="10.83203125" style="28"/>
    <col min="11" max="13" width="10.83203125" style="27"/>
    <col min="14" max="14" width="10.83203125" style="68"/>
    <col min="15" max="16384" width="10.83203125" style="6"/>
  </cols>
  <sheetData>
    <row r="1" spans="1:17" s="27" customFormat="1" x14ac:dyDescent="0.15">
      <c r="A1" s="65" t="s">
        <v>33</v>
      </c>
      <c r="B1" s="29" t="s">
        <v>26</v>
      </c>
      <c r="C1" s="30" t="s">
        <v>27</v>
      </c>
      <c r="D1" s="30" t="s">
        <v>28</v>
      </c>
      <c r="E1" s="30" t="s">
        <v>29</v>
      </c>
      <c r="F1" s="29" t="s">
        <v>41</v>
      </c>
      <c r="G1" s="30" t="s">
        <v>42</v>
      </c>
      <c r="H1" s="30" t="s">
        <v>43</v>
      </c>
      <c r="I1" s="30" t="s">
        <v>44</v>
      </c>
      <c r="J1" s="29" t="s">
        <v>64</v>
      </c>
      <c r="K1" s="30" t="s">
        <v>65</v>
      </c>
      <c r="L1" s="30" t="s">
        <v>66</v>
      </c>
      <c r="M1" s="30" t="s">
        <v>67</v>
      </c>
      <c r="N1" s="28" t="s">
        <v>86</v>
      </c>
      <c r="O1" s="27" t="s">
        <v>87</v>
      </c>
      <c r="P1" s="27" t="s">
        <v>88</v>
      </c>
      <c r="Q1" s="27" t="s">
        <v>89</v>
      </c>
    </row>
    <row r="2" spans="1:17" s="27" customFormat="1" x14ac:dyDescent="0.15">
      <c r="A2" s="1"/>
      <c r="B2" s="28" t="s">
        <v>80</v>
      </c>
      <c r="C2" s="27" t="s">
        <v>79</v>
      </c>
      <c r="D2" s="27" t="s">
        <v>78</v>
      </c>
      <c r="E2" s="27" t="s">
        <v>77</v>
      </c>
      <c r="F2" s="28" t="s">
        <v>70</v>
      </c>
      <c r="G2" s="27" t="s">
        <v>76</v>
      </c>
      <c r="H2" s="27" t="s">
        <v>75</v>
      </c>
      <c r="I2" s="27" t="s">
        <v>74</v>
      </c>
      <c r="J2" s="63">
        <v>43585</v>
      </c>
      <c r="K2" s="64">
        <v>43677</v>
      </c>
      <c r="L2" s="64">
        <v>43769</v>
      </c>
      <c r="M2" s="64">
        <v>43861</v>
      </c>
      <c r="N2" s="63">
        <v>43951</v>
      </c>
      <c r="O2" s="64">
        <v>44043</v>
      </c>
      <c r="P2" s="64">
        <v>44135</v>
      </c>
    </row>
    <row r="3" spans="1:17" s="8" customFormat="1" x14ac:dyDescent="0.15">
      <c r="A3" s="8" t="s">
        <v>68</v>
      </c>
      <c r="B3" s="29">
        <v>29.187000000000001</v>
      </c>
      <c r="C3" s="30">
        <v>32.530999999999999</v>
      </c>
      <c r="D3" s="30">
        <v>37.884999999999998</v>
      </c>
      <c r="E3" s="30">
        <v>46.497999999999998</v>
      </c>
      <c r="F3" s="29">
        <v>46.069000000000003</v>
      </c>
      <c r="G3" s="30">
        <v>51.933</v>
      </c>
      <c r="H3" s="30">
        <v>60.09</v>
      </c>
      <c r="I3" s="30">
        <v>80.632000000000005</v>
      </c>
      <c r="J3" s="29">
        <v>83.994</v>
      </c>
      <c r="K3" s="30">
        <v>94</v>
      </c>
      <c r="L3" s="30">
        <v>104</v>
      </c>
      <c r="M3" s="30">
        <f>I3*1.3</f>
        <v>104.8216</v>
      </c>
      <c r="N3" s="67">
        <v>124.85599999999999</v>
      </c>
      <c r="O3" s="8">
        <v>132.47800000000001</v>
      </c>
      <c r="P3" s="8">
        <v>144.06899999999999</v>
      </c>
    </row>
    <row r="4" spans="1:17" s="8" customFormat="1" x14ac:dyDescent="0.15">
      <c r="A4" s="8" t="s">
        <v>69</v>
      </c>
      <c r="B4" s="29">
        <v>3.2029999999999998</v>
      </c>
      <c r="C4" s="30">
        <v>3.069</v>
      </c>
      <c r="D4" s="30">
        <v>3.6030000000000002</v>
      </c>
      <c r="E4" s="30">
        <v>3.5529999999999999</v>
      </c>
      <c r="F4" s="29">
        <v>4.07</v>
      </c>
      <c r="G4" s="30">
        <v>4.5570000000000004</v>
      </c>
      <c r="H4" s="30">
        <v>4.8949999999999996</v>
      </c>
      <c r="I4" s="30">
        <v>4.8520000000000003</v>
      </c>
      <c r="J4" s="29">
        <v>5.3940000000000001</v>
      </c>
      <c r="K4" s="30">
        <v>5</v>
      </c>
      <c r="L4" s="30">
        <v>6</v>
      </c>
      <c r="M4" s="30">
        <f>I4*1.2</f>
        <v>5.8224</v>
      </c>
      <c r="N4" s="67">
        <v>5.4729999999999999</v>
      </c>
      <c r="O4" s="8">
        <v>5.8029999999999999</v>
      </c>
      <c r="P4" s="8">
        <v>6.702</v>
      </c>
    </row>
    <row r="5" spans="1:17" x14ac:dyDescent="0.15">
      <c r="B5" s="29"/>
      <c r="C5" s="30"/>
      <c r="D5" s="30"/>
      <c r="E5" s="30"/>
      <c r="F5" s="29"/>
      <c r="G5" s="30"/>
      <c r="H5" s="30"/>
      <c r="I5" s="30"/>
      <c r="K5" s="30"/>
      <c r="L5" s="30"/>
      <c r="M5" s="30"/>
    </row>
    <row r="6" spans="1:17" s="62" customFormat="1" x14ac:dyDescent="0.15">
      <c r="A6" s="62" t="s">
        <v>57</v>
      </c>
      <c r="B6" s="29"/>
      <c r="C6" s="30"/>
      <c r="D6" s="30"/>
      <c r="E6" s="30"/>
      <c r="F6" s="29"/>
      <c r="G6" s="30"/>
      <c r="H6" s="30"/>
      <c r="I6" s="30"/>
      <c r="J6" s="29"/>
      <c r="K6" s="30"/>
      <c r="L6" s="30"/>
      <c r="M6" s="30"/>
      <c r="N6" s="29"/>
      <c r="O6" s="30"/>
    </row>
    <row r="7" spans="1:17" s="4" customFormat="1" x14ac:dyDescent="0.15">
      <c r="A7" s="4" t="s">
        <v>58</v>
      </c>
      <c r="B7" s="57"/>
      <c r="C7" s="56"/>
      <c r="D7" s="56"/>
      <c r="E7" s="56"/>
      <c r="F7" s="57"/>
      <c r="G7" s="56"/>
      <c r="H7" s="56"/>
      <c r="I7" s="56"/>
      <c r="J7" s="57"/>
      <c r="K7" s="56"/>
      <c r="L7" s="56"/>
      <c r="M7" s="56"/>
      <c r="N7" s="57"/>
      <c r="O7" s="56"/>
    </row>
    <row r="8" spans="1:17" s="8" customFormat="1" x14ac:dyDescent="0.15">
      <c r="B8" s="29"/>
      <c r="C8" s="30"/>
      <c r="D8" s="30"/>
      <c r="E8" s="30"/>
      <c r="F8" s="29"/>
      <c r="G8" s="30"/>
      <c r="H8" s="30"/>
      <c r="I8" s="30"/>
      <c r="J8" s="29"/>
      <c r="K8" s="30"/>
      <c r="L8" s="30"/>
      <c r="M8" s="30">
        <v>109</v>
      </c>
      <c r="N8" s="67">
        <v>119</v>
      </c>
      <c r="O8" s="8">
        <v>125</v>
      </c>
      <c r="P8" s="8">
        <v>137</v>
      </c>
      <c r="Q8" s="8">
        <v>155</v>
      </c>
    </row>
    <row r="9" spans="1:17" s="18" customFormat="1" x14ac:dyDescent="0.15">
      <c r="A9" s="18" t="s">
        <v>0</v>
      </c>
      <c r="B9" s="33">
        <f t="shared" ref="B9:J9" si="0">SUM(B3:B4)</f>
        <v>32.39</v>
      </c>
      <c r="C9" s="32">
        <f t="shared" si="0"/>
        <v>35.6</v>
      </c>
      <c r="D9" s="32">
        <f t="shared" si="0"/>
        <v>41.488</v>
      </c>
      <c r="E9" s="32">
        <f t="shared" si="0"/>
        <v>50.050999999999995</v>
      </c>
      <c r="F9" s="33">
        <f t="shared" si="0"/>
        <v>50.139000000000003</v>
      </c>
      <c r="G9" s="32">
        <f t="shared" si="0"/>
        <v>56.49</v>
      </c>
      <c r="H9" s="32">
        <f t="shared" si="0"/>
        <v>64.984999999999999</v>
      </c>
      <c r="I9" s="32">
        <f t="shared" si="0"/>
        <v>85.484000000000009</v>
      </c>
      <c r="J9" s="33">
        <f t="shared" si="0"/>
        <v>89.388000000000005</v>
      </c>
      <c r="K9" s="32">
        <f>SUM(K3:K4)</f>
        <v>99</v>
      </c>
      <c r="L9" s="32">
        <f>SUM(L3:L4)</f>
        <v>110</v>
      </c>
      <c r="M9" s="32">
        <f>SUM(M3:M4)</f>
        <v>110.64400000000001</v>
      </c>
      <c r="N9" s="33">
        <f>SUM(N3:N4)</f>
        <v>130.32900000000001</v>
      </c>
      <c r="O9" s="32">
        <f>SUM(O3:O4)</f>
        <v>138.28100000000001</v>
      </c>
      <c r="P9" s="32">
        <f>SUM(P3:P4)</f>
        <v>150.77099999999999</v>
      </c>
      <c r="Q9" s="18">
        <v>155</v>
      </c>
    </row>
    <row r="10" spans="1:17" s="8" customFormat="1" x14ac:dyDescent="0.15">
      <c r="A10" s="8" t="s">
        <v>1</v>
      </c>
      <c r="B10" s="29">
        <v>9.1989999999999998</v>
      </c>
      <c r="C10" s="30">
        <v>10.188000000000001</v>
      </c>
      <c r="D10" s="30">
        <v>11.071</v>
      </c>
      <c r="E10" s="30">
        <v>12.401</v>
      </c>
      <c r="F10" s="29">
        <v>13.749000000000001</v>
      </c>
      <c r="G10" s="30">
        <v>16.494</v>
      </c>
      <c r="H10" s="30">
        <v>17.757999999999999</v>
      </c>
      <c r="I10" s="30">
        <v>25.567</v>
      </c>
      <c r="J10" s="29">
        <v>28.172000000000001</v>
      </c>
      <c r="K10" s="30">
        <v>30</v>
      </c>
      <c r="L10" s="30">
        <v>32</v>
      </c>
      <c r="M10" s="30">
        <v>32</v>
      </c>
      <c r="N10" s="67">
        <v>37.677</v>
      </c>
      <c r="O10" s="8">
        <v>42.304000000000002</v>
      </c>
      <c r="P10" s="8">
        <v>46.11</v>
      </c>
    </row>
    <row r="11" spans="1:17" s="8" customFormat="1" x14ac:dyDescent="0.15">
      <c r="A11" s="8" t="s">
        <v>2</v>
      </c>
      <c r="B11" s="35">
        <f t="shared" ref="B11:D11" si="1">B9-B10</f>
        <v>23.191000000000003</v>
      </c>
      <c r="C11" s="34">
        <f t="shared" si="1"/>
        <v>25.411999999999999</v>
      </c>
      <c r="D11" s="34">
        <f t="shared" si="1"/>
        <v>30.417000000000002</v>
      </c>
      <c r="E11" s="34">
        <f t="shared" ref="E11" si="2">E9-E10</f>
        <v>37.649999999999991</v>
      </c>
      <c r="F11" s="35">
        <f>F9-F10</f>
        <v>36.39</v>
      </c>
      <c r="G11" s="34">
        <f>G9-G10</f>
        <v>39.996000000000002</v>
      </c>
      <c r="H11" s="34">
        <f t="shared" ref="H11:I11" si="3">H9-H10</f>
        <v>47.227000000000004</v>
      </c>
      <c r="I11" s="34">
        <f t="shared" si="3"/>
        <v>59.917000000000009</v>
      </c>
      <c r="J11" s="35">
        <f t="shared" ref="J11:K11" si="4">J9-J10</f>
        <v>61.216000000000008</v>
      </c>
      <c r="K11" s="34">
        <f t="shared" si="4"/>
        <v>69</v>
      </c>
      <c r="L11" s="34">
        <f t="shared" ref="L11:P11" si="5">L9-L10</f>
        <v>78</v>
      </c>
      <c r="M11" s="34">
        <f t="shared" si="5"/>
        <v>78.644000000000005</v>
      </c>
      <c r="N11" s="35">
        <f t="shared" si="5"/>
        <v>92.652000000000015</v>
      </c>
      <c r="O11" s="34">
        <f t="shared" si="5"/>
        <v>95.977000000000004</v>
      </c>
      <c r="P11" s="34">
        <f t="shared" si="5"/>
        <v>104.66099999999999</v>
      </c>
    </row>
    <row r="12" spans="1:17" s="8" customFormat="1" x14ac:dyDescent="0.15">
      <c r="A12" s="8" t="s">
        <v>3</v>
      </c>
      <c r="B12" s="29">
        <v>13.077</v>
      </c>
      <c r="C12" s="30">
        <v>15.749000000000001</v>
      </c>
      <c r="D12" s="30">
        <v>16.588000000000001</v>
      </c>
      <c r="E12" s="30">
        <v>16.788</v>
      </c>
      <c r="F12" s="29">
        <v>18.645</v>
      </c>
      <c r="G12" s="30">
        <v>21.43</v>
      </c>
      <c r="H12" s="30">
        <v>23.178999999999998</v>
      </c>
      <c r="I12" s="30">
        <v>26.6</v>
      </c>
      <c r="J12" s="29">
        <v>30.867999999999999</v>
      </c>
      <c r="K12" s="30">
        <v>37</v>
      </c>
      <c r="L12" s="30">
        <v>39</v>
      </c>
      <c r="M12" s="30">
        <f>I12*1.6</f>
        <v>42.56</v>
      </c>
      <c r="N12" s="67">
        <v>46</v>
      </c>
      <c r="O12" s="8">
        <v>49</v>
      </c>
      <c r="P12" s="8">
        <v>54</v>
      </c>
    </row>
    <row r="13" spans="1:17" s="8" customFormat="1" x14ac:dyDescent="0.15">
      <c r="A13" s="8" t="s">
        <v>4</v>
      </c>
      <c r="B13" s="29">
        <v>22.145</v>
      </c>
      <c r="C13" s="30">
        <v>26.891999999999999</v>
      </c>
      <c r="D13" s="30">
        <v>28.05</v>
      </c>
      <c r="E13" s="30">
        <v>31.533999999999999</v>
      </c>
      <c r="F13" s="29">
        <v>33.197000000000003</v>
      </c>
      <c r="G13" s="30">
        <v>37.880000000000003</v>
      </c>
      <c r="H13" s="30">
        <v>38.116</v>
      </c>
      <c r="I13" s="30">
        <v>42.481999999999999</v>
      </c>
      <c r="J13" s="29">
        <v>46.12</v>
      </c>
      <c r="K13" s="30">
        <v>54</v>
      </c>
      <c r="L13" s="30">
        <v>57</v>
      </c>
      <c r="M13" s="30">
        <f>I13*1.5</f>
        <v>63.722999999999999</v>
      </c>
      <c r="N13" s="67">
        <v>69</v>
      </c>
      <c r="O13" s="8">
        <v>75</v>
      </c>
      <c r="P13" s="8">
        <v>83</v>
      </c>
    </row>
    <row r="14" spans="1:17" s="8" customFormat="1" x14ac:dyDescent="0.15">
      <c r="A14" s="8" t="s">
        <v>5</v>
      </c>
      <c r="B14" s="29">
        <v>7.7709999999999999</v>
      </c>
      <c r="C14" s="30">
        <v>8.9329999999999998</v>
      </c>
      <c r="D14" s="30">
        <v>9.8290000000000006</v>
      </c>
      <c r="E14" s="30">
        <v>10.242000000000001</v>
      </c>
      <c r="F14" s="29">
        <v>11.227</v>
      </c>
      <c r="G14" s="30">
        <v>12.254</v>
      </c>
      <c r="H14" s="30">
        <v>14.986000000000001</v>
      </c>
      <c r="I14" s="30">
        <v>14.569000000000001</v>
      </c>
      <c r="J14" s="29">
        <v>14.805</v>
      </c>
      <c r="K14" s="30">
        <v>16</v>
      </c>
      <c r="L14" s="30">
        <v>20</v>
      </c>
      <c r="M14" s="30">
        <f>I14*1.3</f>
        <v>18.939700000000002</v>
      </c>
      <c r="N14" s="67">
        <v>20</v>
      </c>
      <c r="O14" s="8">
        <v>21</v>
      </c>
      <c r="P14" s="8">
        <v>25</v>
      </c>
    </row>
    <row r="15" spans="1:17" s="8" customFormat="1" x14ac:dyDescent="0.15">
      <c r="A15" s="8" t="s">
        <v>6</v>
      </c>
      <c r="B15" s="35">
        <f t="shared" ref="B15:D15" si="6">SUM(B12:B14)</f>
        <v>42.993000000000002</v>
      </c>
      <c r="C15" s="34">
        <f t="shared" si="6"/>
        <v>51.573999999999998</v>
      </c>
      <c r="D15" s="34">
        <f t="shared" si="6"/>
        <v>54.467000000000006</v>
      </c>
      <c r="E15" s="34">
        <f t="shared" ref="E15:F15" si="7">SUM(E12:E14)</f>
        <v>58.564000000000007</v>
      </c>
      <c r="F15" s="35">
        <f t="shared" si="7"/>
        <v>63.069000000000003</v>
      </c>
      <c r="G15" s="34">
        <f t="shared" ref="G15:H15" si="8">SUM(G12:G14)</f>
        <v>71.564000000000007</v>
      </c>
      <c r="H15" s="34">
        <f t="shared" si="8"/>
        <v>76.281000000000006</v>
      </c>
      <c r="I15" s="34">
        <f t="shared" ref="I15:K15" si="9">SUM(I12:I14)</f>
        <v>83.650999999999996</v>
      </c>
      <c r="J15" s="35">
        <f t="shared" si="9"/>
        <v>91.793000000000006</v>
      </c>
      <c r="K15" s="34">
        <f t="shared" si="9"/>
        <v>107</v>
      </c>
      <c r="L15" s="34">
        <f t="shared" ref="L15:M15" si="10">SUM(L12:L14)</f>
        <v>116</v>
      </c>
      <c r="M15" s="34">
        <f t="shared" si="10"/>
        <v>125.2227</v>
      </c>
      <c r="N15" s="35">
        <f t="shared" ref="N15:O15" si="11">SUM(N12:N14)</f>
        <v>135</v>
      </c>
      <c r="O15" s="34">
        <f t="shared" si="11"/>
        <v>145</v>
      </c>
      <c r="P15" s="34">
        <f t="shared" ref="P15" si="12">SUM(P12:P14)</f>
        <v>162</v>
      </c>
    </row>
    <row r="16" spans="1:17" s="8" customFormat="1" x14ac:dyDescent="0.15">
      <c r="A16" s="8" t="s">
        <v>7</v>
      </c>
      <c r="B16" s="35">
        <f t="shared" ref="B16:H16" si="13">B11-B15</f>
        <v>-19.802</v>
      </c>
      <c r="C16" s="34">
        <f t="shared" si="13"/>
        <v>-26.161999999999999</v>
      </c>
      <c r="D16" s="34">
        <f t="shared" si="13"/>
        <v>-24.050000000000004</v>
      </c>
      <c r="E16" s="34">
        <f t="shared" si="13"/>
        <v>-20.914000000000016</v>
      </c>
      <c r="F16" s="35">
        <f t="shared" si="13"/>
        <v>-26.679000000000002</v>
      </c>
      <c r="G16" s="34">
        <f t="shared" si="13"/>
        <v>-31.568000000000005</v>
      </c>
      <c r="H16" s="34">
        <f t="shared" si="13"/>
        <v>-29.054000000000002</v>
      </c>
      <c r="I16" s="34">
        <f t="shared" ref="I16:K16" si="14">I11-I15</f>
        <v>-23.733999999999988</v>
      </c>
      <c r="J16" s="35">
        <f t="shared" si="14"/>
        <v>-30.576999999999998</v>
      </c>
      <c r="K16" s="34">
        <f t="shared" si="14"/>
        <v>-38</v>
      </c>
      <c r="L16" s="34">
        <f t="shared" ref="L16:M16" si="15">L11-L15</f>
        <v>-38</v>
      </c>
      <c r="M16" s="34">
        <f t="shared" si="15"/>
        <v>-46.578699999999998</v>
      </c>
      <c r="N16" s="35">
        <f t="shared" ref="N16:O16" si="16">N11-N15</f>
        <v>-42.347999999999985</v>
      </c>
      <c r="O16" s="34">
        <f t="shared" si="16"/>
        <v>-49.022999999999996</v>
      </c>
      <c r="P16" s="34">
        <f t="shared" ref="P16" si="17">P11-P15</f>
        <v>-57.339000000000013</v>
      </c>
    </row>
    <row r="17" spans="1:17" s="8" customFormat="1" x14ac:dyDescent="0.15">
      <c r="A17" s="8" t="s">
        <v>8</v>
      </c>
      <c r="B17" s="29">
        <v>0.34100000000000003</v>
      </c>
      <c r="C17" s="30">
        <v>0.33500000000000002</v>
      </c>
      <c r="D17" s="30">
        <v>0.17</v>
      </c>
      <c r="E17" s="30">
        <v>1.349</v>
      </c>
      <c r="F17" s="29">
        <f>0.959-0.368</f>
        <v>0.59099999999999997</v>
      </c>
      <c r="G17" s="30">
        <v>-0.432</v>
      </c>
      <c r="H17" s="30">
        <v>-2.2989999999999999</v>
      </c>
      <c r="I17" s="30">
        <v>-2.4239999999999999</v>
      </c>
      <c r="J17" s="29">
        <f>2.303-4.689-0.415</f>
        <v>-2.8010000000000002</v>
      </c>
      <c r="K17" s="30">
        <f>2-5</f>
        <v>-3</v>
      </c>
      <c r="L17" s="30">
        <f>2-5</f>
        <v>-3</v>
      </c>
      <c r="M17" s="30">
        <f>2-5</f>
        <v>-3</v>
      </c>
      <c r="N17" s="67">
        <v>-12</v>
      </c>
      <c r="O17" s="8">
        <v>-14</v>
      </c>
      <c r="P17" s="8">
        <v>-14</v>
      </c>
    </row>
    <row r="18" spans="1:17" s="8" customFormat="1" x14ac:dyDescent="0.15">
      <c r="A18" s="8" t="s">
        <v>9</v>
      </c>
      <c r="B18" s="35">
        <f t="shared" ref="B18:C18" si="18">B16+B17</f>
        <v>-19.460999999999999</v>
      </c>
      <c r="C18" s="34">
        <f t="shared" si="18"/>
        <v>-25.826999999999998</v>
      </c>
      <c r="D18" s="34">
        <f t="shared" ref="D18:F18" si="19">D16+D17</f>
        <v>-23.880000000000003</v>
      </c>
      <c r="E18" s="34">
        <f>E16+E17</f>
        <v>-19.565000000000015</v>
      </c>
      <c r="F18" s="35">
        <f t="shared" si="19"/>
        <v>-26.088000000000001</v>
      </c>
      <c r="G18" s="34">
        <f t="shared" ref="G18" si="20">G16+G17</f>
        <v>-32.000000000000007</v>
      </c>
      <c r="H18" s="34">
        <f t="shared" ref="H18:P18" si="21">H16+H17</f>
        <v>-31.353000000000002</v>
      </c>
      <c r="I18" s="34">
        <f t="shared" si="21"/>
        <v>-26.157999999999987</v>
      </c>
      <c r="J18" s="35">
        <f t="shared" si="21"/>
        <v>-33.378</v>
      </c>
      <c r="K18" s="34">
        <f t="shared" si="21"/>
        <v>-41</v>
      </c>
      <c r="L18" s="34">
        <f t="shared" si="21"/>
        <v>-41</v>
      </c>
      <c r="M18" s="34">
        <f t="shared" si="21"/>
        <v>-49.578699999999998</v>
      </c>
      <c r="N18" s="35">
        <f t="shared" si="21"/>
        <v>-54.347999999999985</v>
      </c>
      <c r="O18" s="34">
        <f t="shared" si="21"/>
        <v>-63.022999999999996</v>
      </c>
      <c r="P18" s="34">
        <f t="shared" si="21"/>
        <v>-71.339000000000013</v>
      </c>
    </row>
    <row r="19" spans="1:17" s="8" customFormat="1" x14ac:dyDescent="0.15">
      <c r="A19" s="8" t="s">
        <v>10</v>
      </c>
      <c r="B19" s="29">
        <v>0.22900000000000001</v>
      </c>
      <c r="C19" s="30">
        <v>0.252</v>
      </c>
      <c r="D19" s="30">
        <v>3.3599999999999998E-2</v>
      </c>
      <c r="E19" s="30">
        <v>0.47</v>
      </c>
      <c r="F19" s="29">
        <v>-0.46700000000000003</v>
      </c>
      <c r="G19" s="30">
        <v>0.246</v>
      </c>
      <c r="H19" s="30">
        <v>-3.3000000000000002E-2</v>
      </c>
      <c r="I19" s="30">
        <v>-3.9980000000000002</v>
      </c>
      <c r="J19" s="29">
        <v>-0.13800000000000001</v>
      </c>
      <c r="K19" s="30">
        <v>-3</v>
      </c>
      <c r="L19" s="30">
        <v>1</v>
      </c>
      <c r="M19" s="30">
        <v>1</v>
      </c>
      <c r="N19" s="67">
        <v>0</v>
      </c>
      <c r="O19" s="8">
        <v>1</v>
      </c>
      <c r="P19" s="8">
        <v>1</v>
      </c>
    </row>
    <row r="20" spans="1:17" s="70" customFormat="1" x14ac:dyDescent="0.15">
      <c r="A20" s="70" t="s">
        <v>62</v>
      </c>
      <c r="B20" s="53"/>
      <c r="C20" s="52"/>
      <c r="D20" s="52"/>
      <c r="E20" s="52"/>
      <c r="F20" s="53"/>
      <c r="G20" s="52"/>
      <c r="H20" s="52"/>
      <c r="I20" s="52"/>
      <c r="J20" s="53"/>
      <c r="K20" s="52"/>
      <c r="L20" s="52"/>
      <c r="M20" s="52"/>
      <c r="N20" s="71"/>
    </row>
    <row r="21" spans="1:17" s="18" customFormat="1" x14ac:dyDescent="0.15">
      <c r="A21" s="18" t="s">
        <v>11</v>
      </c>
      <c r="B21" s="33">
        <f t="shared" ref="B21:G21" si="22">B18-B19</f>
        <v>-19.689999999999998</v>
      </c>
      <c r="C21" s="32">
        <f t="shared" si="22"/>
        <v>-26.078999999999997</v>
      </c>
      <c r="D21" s="32">
        <f t="shared" si="22"/>
        <v>-23.913600000000002</v>
      </c>
      <c r="E21" s="32">
        <f t="shared" si="22"/>
        <v>-20.035000000000014</v>
      </c>
      <c r="F21" s="33">
        <f t="shared" si="22"/>
        <v>-25.621000000000002</v>
      </c>
      <c r="G21" s="32">
        <f t="shared" si="22"/>
        <v>-32.246000000000009</v>
      </c>
      <c r="H21" s="32">
        <f t="shared" ref="H21:M21" si="23">H18-H19</f>
        <v>-31.32</v>
      </c>
      <c r="I21" s="32">
        <f t="shared" si="23"/>
        <v>-22.159999999999986</v>
      </c>
      <c r="J21" s="33">
        <f t="shared" si="23"/>
        <v>-33.24</v>
      </c>
      <c r="K21" s="32">
        <f t="shared" si="23"/>
        <v>-38</v>
      </c>
      <c r="L21" s="32">
        <f t="shared" si="23"/>
        <v>-42</v>
      </c>
      <c r="M21" s="32">
        <f t="shared" si="23"/>
        <v>-50.578699999999998</v>
      </c>
      <c r="N21" s="33">
        <f t="shared" ref="N21:O21" si="24">N18-N19</f>
        <v>-54.347999999999985</v>
      </c>
      <c r="O21" s="32">
        <f t="shared" si="24"/>
        <v>-64.022999999999996</v>
      </c>
      <c r="P21" s="32">
        <f t="shared" ref="P21" si="25">P18-P19</f>
        <v>-72.339000000000013</v>
      </c>
    </row>
    <row r="22" spans="1:17" x14ac:dyDescent="0.15">
      <c r="A22" s="6" t="s">
        <v>12</v>
      </c>
      <c r="B22" s="37">
        <f t="shared" ref="B22:D22" si="26">IFERROR(B21/B23,0)</f>
        <v>-1.4956824607645418</v>
      </c>
      <c r="C22" s="36">
        <f t="shared" si="26"/>
        <v>-1.9175121972201623</v>
      </c>
      <c r="D22" s="36">
        <f t="shared" si="26"/>
        <v>-1.3726375504674018</v>
      </c>
      <c r="E22" s="36">
        <f t="shared" ref="E22" si="27">IFERROR(E21/E23,0)</f>
        <v>-0.39841182526864438</v>
      </c>
      <c r="F22" s="37">
        <f t="shared" ref="F22:M22" si="28">IFERROR(F21/F23,0)</f>
        <v>-0.50885746850867208</v>
      </c>
      <c r="G22" s="36">
        <f t="shared" si="28"/>
        <v>-0.62998607919491212</v>
      </c>
      <c r="H22" s="36">
        <f t="shared" si="28"/>
        <v>-0.5942789155874616</v>
      </c>
      <c r="I22" s="36">
        <f t="shared" si="28"/>
        <v>-0.4117003072202069</v>
      </c>
      <c r="J22" s="37">
        <f t="shared" si="28"/>
        <v>-0.60755888797421997</v>
      </c>
      <c r="K22" s="36">
        <f t="shared" si="28"/>
        <v>-0.6785714285714286</v>
      </c>
      <c r="L22" s="36">
        <f t="shared" si="28"/>
        <v>-0.75</v>
      </c>
      <c r="M22" s="36">
        <f t="shared" si="28"/>
        <v>-0.90319107142857136</v>
      </c>
      <c r="N22" s="37">
        <f t="shared" ref="N22:O22" si="29">IFERROR(N21/N23,0)</f>
        <v>-0.94273111431067469</v>
      </c>
      <c r="O22" s="36">
        <f t="shared" si="29"/>
        <v>-1.0963988803349882</v>
      </c>
      <c r="P22" s="36">
        <f t="shared" ref="P22" si="30">IFERROR(P21/P23,0)</f>
        <v>-1.2184812780222778</v>
      </c>
    </row>
    <row r="23" spans="1:17" s="8" customFormat="1" x14ac:dyDescent="0.15">
      <c r="A23" s="8" t="s">
        <v>13</v>
      </c>
      <c r="B23" s="29">
        <v>13.164559000000001</v>
      </c>
      <c r="C23" s="30">
        <v>13.600434999999999</v>
      </c>
      <c r="D23" s="30">
        <v>17.421641999999999</v>
      </c>
      <c r="E23" s="30">
        <v>50.287162000000002</v>
      </c>
      <c r="F23" s="29">
        <v>50.350051999999998</v>
      </c>
      <c r="G23" s="30">
        <v>51.185257999999997</v>
      </c>
      <c r="H23" s="30">
        <v>52.702525999999999</v>
      </c>
      <c r="I23" s="30">
        <v>53.825561</v>
      </c>
      <c r="J23" s="29">
        <v>54.710746</v>
      </c>
      <c r="K23" s="30">
        <v>56</v>
      </c>
      <c r="L23" s="30">
        <v>56</v>
      </c>
      <c r="M23" s="30">
        <v>56</v>
      </c>
      <c r="N23" s="67">
        <v>57.649524</v>
      </c>
      <c r="O23" s="8">
        <v>58.393894000000003</v>
      </c>
      <c r="P23" s="8">
        <v>59.368167</v>
      </c>
    </row>
    <row r="24" spans="1:17" x14ac:dyDescent="0.15">
      <c r="B24" s="29"/>
      <c r="C24" s="30"/>
      <c r="D24" s="30"/>
      <c r="E24" s="30"/>
      <c r="I24" s="30"/>
    </row>
    <row r="25" spans="1:17" x14ac:dyDescent="0.15">
      <c r="A25" s="6" t="s">
        <v>15</v>
      </c>
      <c r="B25" s="43">
        <f t="shared" ref="B25:I25" si="31">IFERROR(B11/B9,0)</f>
        <v>0.71599259030564999</v>
      </c>
      <c r="C25" s="42">
        <f t="shared" si="31"/>
        <v>0.71382022471910112</v>
      </c>
      <c r="D25" s="42">
        <f t="shared" si="31"/>
        <v>0.73315175472425764</v>
      </c>
      <c r="E25" s="42">
        <f t="shared" si="31"/>
        <v>0.75223272262292451</v>
      </c>
      <c r="F25" s="43">
        <f t="shared" si="31"/>
        <v>0.72578232513612151</v>
      </c>
      <c r="G25" s="42">
        <f t="shared" si="31"/>
        <v>0.70801911842804033</v>
      </c>
      <c r="H25" s="42">
        <f t="shared" si="31"/>
        <v>0.72673693929368322</v>
      </c>
      <c r="I25" s="42">
        <f t="shared" si="31"/>
        <v>0.70091479107201349</v>
      </c>
      <c r="J25" s="43">
        <f t="shared" ref="J25:K25" si="32">IFERROR(J11/J9,0)</f>
        <v>0.68483465342104088</v>
      </c>
      <c r="K25" s="42">
        <f t="shared" si="32"/>
        <v>0.69696969696969702</v>
      </c>
      <c r="L25" s="42">
        <f t="shared" ref="L25:M25" si="33">IFERROR(L11/L9,0)</f>
        <v>0.70909090909090911</v>
      </c>
      <c r="M25" s="42">
        <f t="shared" si="33"/>
        <v>0.71078413650988759</v>
      </c>
      <c r="N25" s="43">
        <f t="shared" ref="N25:O25" si="34">IFERROR(N11/N9,0)</f>
        <v>0.71090854683148041</v>
      </c>
      <c r="O25" s="42">
        <f t="shared" si="34"/>
        <v>0.69407221527180163</v>
      </c>
      <c r="P25" s="42">
        <f t="shared" ref="P25" si="35">IFERROR(P11/P9,0)</f>
        <v>0.69417195614541261</v>
      </c>
    </row>
    <row r="26" spans="1:17" x14ac:dyDescent="0.15">
      <c r="A26" s="6" t="s">
        <v>16</v>
      </c>
      <c r="B26" s="45">
        <f t="shared" ref="B26:I26" si="36">IFERROR(B16/B9,0)</f>
        <v>-0.61136153133683235</v>
      </c>
      <c r="C26" s="44">
        <f t="shared" si="36"/>
        <v>-0.73488764044943811</v>
      </c>
      <c r="D26" s="44">
        <f t="shared" si="36"/>
        <v>-0.57968569224836108</v>
      </c>
      <c r="E26" s="44">
        <f t="shared" si="36"/>
        <v>-0.41785378913508259</v>
      </c>
      <c r="F26" s="45">
        <f t="shared" si="36"/>
        <v>-0.53210075988751271</v>
      </c>
      <c r="G26" s="44">
        <f t="shared" si="36"/>
        <v>-0.55882457072048153</v>
      </c>
      <c r="H26" s="44">
        <f t="shared" si="36"/>
        <v>-0.44708778948988231</v>
      </c>
      <c r="I26" s="44">
        <f t="shared" si="36"/>
        <v>-0.27764259978475486</v>
      </c>
      <c r="J26" s="45">
        <f t="shared" ref="J26:K26" si="37">IFERROR(J16/J9,0)</f>
        <v>-0.34207052400769672</v>
      </c>
      <c r="K26" s="44">
        <f t="shared" si="37"/>
        <v>-0.38383838383838381</v>
      </c>
      <c r="L26" s="44">
        <f t="shared" ref="L26:M26" si="38">IFERROR(L16/L9,0)</f>
        <v>-0.34545454545454546</v>
      </c>
      <c r="M26" s="44">
        <f t="shared" si="38"/>
        <v>-0.42097809189834057</v>
      </c>
      <c r="N26" s="45">
        <f t="shared" ref="N26:O26" si="39">IFERROR(N16/N9,0)</f>
        <v>-0.32493151946228377</v>
      </c>
      <c r="O26" s="44">
        <f t="shared" si="39"/>
        <v>-0.35451725110463472</v>
      </c>
      <c r="P26" s="44">
        <f t="shared" ref="P26" si="40">IFERROR(P16/P9,0)</f>
        <v>-0.38030523111208403</v>
      </c>
    </row>
    <row r="27" spans="1:17" x14ac:dyDescent="0.15">
      <c r="A27" s="6" t="s">
        <v>17</v>
      </c>
      <c r="B27" s="45">
        <f t="shared" ref="B27:I27" si="41">IFERROR(B19/B18,0)</f>
        <v>-1.1767123991572891E-2</v>
      </c>
      <c r="C27" s="44">
        <f t="shared" si="41"/>
        <v>-9.757230804971543E-3</v>
      </c>
      <c r="D27" s="44">
        <f t="shared" si="41"/>
        <v>-1.4070351758793968E-3</v>
      </c>
      <c r="E27" s="44">
        <f t="shared" si="41"/>
        <v>-2.4022489138768189E-2</v>
      </c>
      <c r="F27" s="45">
        <f t="shared" si="41"/>
        <v>1.7900950628641523E-2</v>
      </c>
      <c r="G27" s="44">
        <f t="shared" si="41"/>
        <v>-7.6874999999999982E-3</v>
      </c>
      <c r="H27" s="44">
        <f t="shared" si="41"/>
        <v>1.0525308582910726E-3</v>
      </c>
      <c r="I27" s="44">
        <f t="shared" si="41"/>
        <v>0.15284043122562896</v>
      </c>
      <c r="J27" s="45">
        <f t="shared" ref="J27:K27" si="42">IFERROR(J19/J18,0)</f>
        <v>4.1344598238360602E-3</v>
      </c>
      <c r="K27" s="44">
        <f t="shared" si="42"/>
        <v>7.3170731707317069E-2</v>
      </c>
      <c r="L27" s="44">
        <f t="shared" ref="L27:M27" si="43">IFERROR(L19/L18,0)</f>
        <v>-2.4390243902439025E-2</v>
      </c>
      <c r="M27" s="44">
        <f t="shared" si="43"/>
        <v>-2.0169952015684157E-2</v>
      </c>
      <c r="N27" s="45">
        <f t="shared" ref="N27:O27" si="44">IFERROR(N19/N18,0)</f>
        <v>0</v>
      </c>
      <c r="O27" s="44">
        <f t="shared" si="44"/>
        <v>-1.5867223077289244E-2</v>
      </c>
      <c r="P27" s="44">
        <f t="shared" ref="P27" si="45">IFERROR(P19/P18,0)</f>
        <v>-1.4017578042865752E-2</v>
      </c>
    </row>
    <row r="28" spans="1:17" x14ac:dyDescent="0.15">
      <c r="B28" s="29"/>
      <c r="C28" s="30"/>
      <c r="D28" s="30"/>
      <c r="E28" s="30"/>
      <c r="I28" s="30"/>
      <c r="N28" s="28"/>
      <c r="O28" s="27"/>
      <c r="P28" s="27"/>
    </row>
    <row r="29" spans="1:17" s="12" customFormat="1" x14ac:dyDescent="0.15">
      <c r="A29" s="12" t="s">
        <v>14</v>
      </c>
      <c r="B29" s="29"/>
      <c r="C29" s="30"/>
      <c r="D29" s="30"/>
      <c r="E29" s="30"/>
      <c r="F29" s="39">
        <f t="shared" ref="F29:K29" si="46">IFERROR((F9/B9)-1,0)</f>
        <v>0.54797777091694977</v>
      </c>
      <c r="G29" s="38">
        <f t="shared" si="46"/>
        <v>0.58679775280898872</v>
      </c>
      <c r="H29" s="38">
        <f t="shared" si="46"/>
        <v>0.56635653682992682</v>
      </c>
      <c r="I29" s="38">
        <f t="shared" si="46"/>
        <v>0.70793790333859508</v>
      </c>
      <c r="J29" s="39">
        <f t="shared" si="46"/>
        <v>0.78280380542092987</v>
      </c>
      <c r="K29" s="38">
        <f t="shared" si="46"/>
        <v>0.75252257036643644</v>
      </c>
      <c r="L29" s="38">
        <f>IFERROR((L9/H9)-1,0)</f>
        <v>0.69269831499576817</v>
      </c>
      <c r="M29" s="38">
        <f>IFERROR((M9/I9)-1,0)</f>
        <v>0.29432408403911836</v>
      </c>
      <c r="N29" s="39">
        <f>IFERROR((N9/J9)-1,0)</f>
        <v>0.45801449859041488</v>
      </c>
      <c r="O29" s="38">
        <f>IFERROR((O9/K9)-1,0)</f>
        <v>0.3967777777777779</v>
      </c>
      <c r="P29" s="38">
        <f>IFERROR((P9/L9)-1,0)</f>
        <v>0.3706454545454545</v>
      </c>
      <c r="Q29" s="38">
        <f>IFERROR((Q9/M9)-1,0)</f>
        <v>0.40088933878023192</v>
      </c>
    </row>
    <row r="30" spans="1:17" s="12" customFormat="1" x14ac:dyDescent="0.15">
      <c r="A30" s="6" t="s">
        <v>30</v>
      </c>
      <c r="B30" s="29"/>
      <c r="C30" s="30"/>
      <c r="D30" s="30"/>
      <c r="E30" s="30"/>
      <c r="F30" s="41">
        <f t="shared" ref="F30:P32" si="47">F12/B12-1</f>
        <v>0.4257857306721724</v>
      </c>
      <c r="G30" s="40">
        <f t="shared" si="47"/>
        <v>0.36072131563908805</v>
      </c>
      <c r="H30" s="40">
        <f t="shared" si="47"/>
        <v>0.39733542319749193</v>
      </c>
      <c r="I30" s="40">
        <f t="shared" si="47"/>
        <v>0.58446509411484393</v>
      </c>
      <c r="J30" s="41">
        <f t="shared" si="47"/>
        <v>0.65556449450254761</v>
      </c>
      <c r="K30" s="40">
        <f t="shared" si="47"/>
        <v>0.72655156322911818</v>
      </c>
      <c r="L30" s="40">
        <f t="shared" si="47"/>
        <v>0.68255748738081889</v>
      </c>
      <c r="M30" s="40">
        <f t="shared" si="47"/>
        <v>0.60000000000000009</v>
      </c>
      <c r="N30" s="41">
        <f t="shared" si="47"/>
        <v>0.49021640533886224</v>
      </c>
      <c r="O30" s="40">
        <f t="shared" si="47"/>
        <v>0.32432432432432434</v>
      </c>
      <c r="P30" s="40">
        <f t="shared" si="47"/>
        <v>0.38461538461538458</v>
      </c>
    </row>
    <row r="31" spans="1:17" s="12" customFormat="1" x14ac:dyDescent="0.15">
      <c r="A31" s="6" t="s">
        <v>31</v>
      </c>
      <c r="B31" s="29"/>
      <c r="C31" s="30"/>
      <c r="D31" s="30"/>
      <c r="E31" s="30"/>
      <c r="F31" s="41">
        <f t="shared" si="47"/>
        <v>0.49907428313389035</v>
      </c>
      <c r="G31" s="40">
        <f t="shared" si="47"/>
        <v>0.40859735237245287</v>
      </c>
      <c r="H31" s="40">
        <f t="shared" si="47"/>
        <v>0.35885918003565065</v>
      </c>
      <c r="I31" s="40">
        <f t="shared" si="47"/>
        <v>0.34718082070146505</v>
      </c>
      <c r="J31" s="41">
        <f t="shared" si="47"/>
        <v>0.38928216405096827</v>
      </c>
      <c r="K31" s="40">
        <f t="shared" si="47"/>
        <v>0.42555438225976761</v>
      </c>
      <c r="L31" s="40">
        <f t="shared" si="47"/>
        <v>0.49543498793157736</v>
      </c>
      <c r="M31" s="40">
        <f t="shared" si="47"/>
        <v>0.5</v>
      </c>
      <c r="N31" s="41">
        <f t="shared" si="47"/>
        <v>0.49609713790112764</v>
      </c>
      <c r="O31" s="40">
        <f t="shared" si="47"/>
        <v>0.38888888888888884</v>
      </c>
      <c r="P31" s="40">
        <f t="shared" si="47"/>
        <v>0.45614035087719307</v>
      </c>
    </row>
    <row r="32" spans="1:17" s="12" customFormat="1" x14ac:dyDescent="0.15">
      <c r="A32" s="6" t="s">
        <v>32</v>
      </c>
      <c r="B32" s="29"/>
      <c r="C32" s="30"/>
      <c r="D32" s="30"/>
      <c r="E32" s="30"/>
      <c r="F32" s="41">
        <f t="shared" si="47"/>
        <v>0.44473040792690788</v>
      </c>
      <c r="G32" s="40">
        <f t="shared" si="47"/>
        <v>0.37176760326877867</v>
      </c>
      <c r="H32" s="40">
        <f t="shared" si="47"/>
        <v>0.52467188930715225</v>
      </c>
      <c r="I32" s="40">
        <f t="shared" si="47"/>
        <v>0.42247607889084149</v>
      </c>
      <c r="J32" s="41">
        <f t="shared" si="47"/>
        <v>0.31869600071256787</v>
      </c>
      <c r="K32" s="40">
        <f t="shared" si="47"/>
        <v>0.30569609923290364</v>
      </c>
      <c r="L32" s="40">
        <f t="shared" si="47"/>
        <v>0.33457894034432134</v>
      </c>
      <c r="M32" s="40">
        <f t="shared" si="47"/>
        <v>0.30000000000000004</v>
      </c>
      <c r="N32" s="41">
        <f t="shared" si="47"/>
        <v>0.35089496791624453</v>
      </c>
      <c r="O32" s="40">
        <f t="shared" si="47"/>
        <v>0.3125</v>
      </c>
      <c r="P32" s="40">
        <f t="shared" si="47"/>
        <v>0.25</v>
      </c>
    </row>
    <row r="33" spans="1:16" x14ac:dyDescent="0.15">
      <c r="B33" s="29"/>
      <c r="C33" s="30"/>
      <c r="D33" s="30"/>
      <c r="E33" s="30"/>
      <c r="F33" s="60">
        <f t="shared" ref="F33:P33" si="48">F15/B15-1</f>
        <v>0.46695973763170739</v>
      </c>
      <c r="G33" s="59">
        <f t="shared" si="48"/>
        <v>0.38759840229573062</v>
      </c>
      <c r="H33" s="59">
        <f t="shared" si="48"/>
        <v>0.40049938494868442</v>
      </c>
      <c r="I33" s="59">
        <f t="shared" si="48"/>
        <v>0.42836896386858792</v>
      </c>
      <c r="J33" s="60">
        <f t="shared" si="48"/>
        <v>0.45543769522269262</v>
      </c>
      <c r="K33" s="59">
        <f t="shared" si="48"/>
        <v>0.4951651668436643</v>
      </c>
      <c r="L33" s="59">
        <f t="shared" si="48"/>
        <v>0.52069322636043047</v>
      </c>
      <c r="M33" s="59">
        <f t="shared" si="48"/>
        <v>0.49696596573860452</v>
      </c>
      <c r="N33" s="60">
        <f t="shared" si="48"/>
        <v>0.47070038020328342</v>
      </c>
      <c r="O33" s="59">
        <f t="shared" si="48"/>
        <v>0.35514018691588789</v>
      </c>
      <c r="P33" s="59">
        <f t="shared" si="48"/>
        <v>0.39655172413793105</v>
      </c>
    </row>
    <row r="34" spans="1:16" x14ac:dyDescent="0.15">
      <c r="B34" s="60"/>
      <c r="C34" s="59"/>
      <c r="D34" s="59"/>
      <c r="E34" s="59"/>
      <c r="F34" s="60"/>
      <c r="G34" s="59"/>
      <c r="H34" s="59"/>
      <c r="I34" s="59"/>
      <c r="J34" s="60"/>
      <c r="K34" s="59"/>
      <c r="L34" s="59"/>
      <c r="M34" s="59"/>
    </row>
    <row r="35" spans="1:16" s="18" customFormat="1" x14ac:dyDescent="0.15">
      <c r="A35" s="18" t="s">
        <v>18</v>
      </c>
      <c r="B35" s="53"/>
      <c r="C35" s="52"/>
      <c r="D35" s="52"/>
      <c r="E35" s="32">
        <f t="shared" ref="E35:H35" si="49">E36-E37</f>
        <v>278.97399999999999</v>
      </c>
      <c r="F35" s="33">
        <f t="shared" si="49"/>
        <v>270.988</v>
      </c>
      <c r="G35" s="32">
        <f t="shared" si="49"/>
        <v>312.12400000000002</v>
      </c>
      <c r="H35" s="32">
        <f t="shared" si="49"/>
        <v>308.47900000000004</v>
      </c>
      <c r="I35" s="32">
        <f t="shared" ref="I35:K35" si="50">I36-I37</f>
        <v>249.11200000000002</v>
      </c>
      <c r="J35" s="33">
        <f t="shared" si="50"/>
        <v>256.327</v>
      </c>
      <c r="K35" s="32">
        <f t="shared" si="50"/>
        <v>213</v>
      </c>
      <c r="L35" s="32">
        <f t="shared" ref="L35:P35" si="51">L36-L37</f>
        <v>199</v>
      </c>
      <c r="M35" s="32">
        <f t="shared" si="51"/>
        <v>75</v>
      </c>
      <c r="N35" s="33">
        <f t="shared" si="51"/>
        <v>54</v>
      </c>
      <c r="O35" s="32">
        <f t="shared" si="51"/>
        <v>39</v>
      </c>
      <c r="P35" s="32">
        <f t="shared" si="51"/>
        <v>19</v>
      </c>
    </row>
    <row r="36" spans="1:16" s="8" customFormat="1" x14ac:dyDescent="0.15">
      <c r="A36" s="8" t="s">
        <v>19</v>
      </c>
      <c r="B36" s="29"/>
      <c r="C36" s="30"/>
      <c r="D36" s="30"/>
      <c r="E36" s="30">
        <f>61.902+217.072</f>
        <v>278.97399999999999</v>
      </c>
      <c r="F36" s="29">
        <f>111.617+159.371</f>
        <v>270.988</v>
      </c>
      <c r="G36" s="30">
        <f>122.771+399.906</f>
        <v>522.67700000000002</v>
      </c>
      <c r="H36" s="30">
        <f>139.49+382.681</f>
        <v>522.17100000000005</v>
      </c>
      <c r="I36" s="30">
        <f>147.831+318.139</f>
        <v>465.97</v>
      </c>
      <c r="J36" s="29">
        <f>158.06+318.346</f>
        <v>476.40600000000001</v>
      </c>
      <c r="K36" s="30">
        <f>187+249</f>
        <v>436</v>
      </c>
      <c r="L36" s="30">
        <f>151+275</f>
        <v>426</v>
      </c>
      <c r="M36" s="30">
        <f>706+280</f>
        <v>986</v>
      </c>
      <c r="N36" s="67">
        <f>701+276</f>
        <v>977</v>
      </c>
      <c r="O36" s="8">
        <f>469+505</f>
        <v>974</v>
      </c>
      <c r="P36" s="8">
        <f>415+552</f>
        <v>967</v>
      </c>
    </row>
    <row r="37" spans="1:16" s="8" customFormat="1" x14ac:dyDescent="0.15">
      <c r="A37" s="8" t="s">
        <v>20</v>
      </c>
      <c r="B37" s="29"/>
      <c r="C37" s="30"/>
      <c r="D37" s="30"/>
      <c r="E37" s="30">
        <v>0</v>
      </c>
      <c r="F37" s="29">
        <v>0</v>
      </c>
      <c r="G37" s="30">
        <v>210.553</v>
      </c>
      <c r="H37" s="30">
        <v>213.69200000000001</v>
      </c>
      <c r="I37" s="30">
        <v>216.858</v>
      </c>
      <c r="J37" s="29">
        <v>220.07900000000001</v>
      </c>
      <c r="K37" s="30">
        <v>223</v>
      </c>
      <c r="L37" s="30">
        <v>227</v>
      </c>
      <c r="M37" s="30">
        <v>911</v>
      </c>
      <c r="N37" s="67">
        <v>923</v>
      </c>
      <c r="O37" s="8">
        <v>935</v>
      </c>
      <c r="P37" s="8">
        <v>948</v>
      </c>
    </row>
    <row r="38" spans="1:16" s="8" customFormat="1" x14ac:dyDescent="0.15">
      <c r="B38" s="29"/>
      <c r="C38" s="30"/>
      <c r="D38" s="30"/>
      <c r="E38" s="30"/>
      <c r="F38" s="29"/>
      <c r="G38" s="30"/>
      <c r="H38" s="30"/>
      <c r="I38" s="30"/>
      <c r="J38" s="29"/>
      <c r="K38" s="30"/>
      <c r="L38" s="30"/>
      <c r="M38" s="30"/>
      <c r="N38" s="67"/>
    </row>
    <row r="39" spans="1:16" s="8" customFormat="1" x14ac:dyDescent="0.15">
      <c r="A39" s="50" t="s">
        <v>45</v>
      </c>
      <c r="B39" s="29"/>
      <c r="C39" s="30"/>
      <c r="D39" s="30"/>
      <c r="E39" s="46">
        <f>1.7+1.627</f>
        <v>3.327</v>
      </c>
      <c r="F39" s="29">
        <f>1.7+1.406</f>
        <v>3.1059999999999999</v>
      </c>
      <c r="G39" s="30">
        <f>1.7+1.185</f>
        <v>2.8849999999999998</v>
      </c>
      <c r="H39" s="30">
        <f>1.7+0.965</f>
        <v>2.665</v>
      </c>
      <c r="I39" s="30">
        <f>41.878+15.894</f>
        <v>57.771999999999998</v>
      </c>
      <c r="J39" s="29">
        <f>41.878+14.223</f>
        <v>56.100999999999999</v>
      </c>
      <c r="K39" s="30">
        <f>55+12</f>
        <v>67</v>
      </c>
      <c r="L39" s="30">
        <f>12+55</f>
        <v>67</v>
      </c>
      <c r="M39" s="30">
        <f>56+35</f>
        <v>91</v>
      </c>
      <c r="N39" s="67">
        <f>56+33</f>
        <v>89</v>
      </c>
      <c r="O39" s="8">
        <f>56+31</f>
        <v>87</v>
      </c>
      <c r="P39" s="8">
        <f>56+28</f>
        <v>84</v>
      </c>
    </row>
    <row r="40" spans="1:16" s="8" customFormat="1" x14ac:dyDescent="0.15">
      <c r="A40" s="50" t="s">
        <v>46</v>
      </c>
      <c r="B40" s="29"/>
      <c r="C40" s="30"/>
      <c r="D40" s="30"/>
      <c r="E40" s="46">
        <v>415.19600000000003</v>
      </c>
      <c r="F40" s="29">
        <v>400.22699999999998</v>
      </c>
      <c r="G40" s="30">
        <v>663.93</v>
      </c>
      <c r="H40" s="30">
        <v>670.67</v>
      </c>
      <c r="I40" s="30">
        <v>733.476</v>
      </c>
      <c r="J40" s="29">
        <v>734.24099999999999</v>
      </c>
      <c r="K40" s="30">
        <v>742</v>
      </c>
      <c r="L40" s="30">
        <v>735</v>
      </c>
      <c r="M40" s="30">
        <v>1329</v>
      </c>
      <c r="N40" s="67">
        <v>1337</v>
      </c>
      <c r="O40" s="8">
        <v>1355</v>
      </c>
      <c r="P40" s="8">
        <v>1356</v>
      </c>
    </row>
    <row r="41" spans="1:16" s="8" customFormat="1" x14ac:dyDescent="0.15">
      <c r="A41" s="50" t="s">
        <v>47</v>
      </c>
      <c r="B41" s="29"/>
      <c r="C41" s="30"/>
      <c r="D41" s="30"/>
      <c r="E41" s="46">
        <v>221.703</v>
      </c>
      <c r="F41" s="29">
        <v>227.72</v>
      </c>
      <c r="G41" s="30">
        <v>455.30599999999998</v>
      </c>
      <c r="H41" s="30">
        <v>473.42500000000001</v>
      </c>
      <c r="I41" s="30">
        <v>468.91</v>
      </c>
      <c r="J41" s="29">
        <v>486.37299999999999</v>
      </c>
      <c r="K41" s="30">
        <v>502</v>
      </c>
      <c r="L41" s="30">
        <v>516</v>
      </c>
      <c r="M41" s="30">
        <v>1246</v>
      </c>
      <c r="N41" s="67">
        <v>1274</v>
      </c>
      <c r="O41" s="8">
        <v>1307</v>
      </c>
      <c r="P41" s="8">
        <v>1334</v>
      </c>
    </row>
    <row r="42" spans="1:16" x14ac:dyDescent="0.15">
      <c r="E42" s="47"/>
    </row>
    <row r="43" spans="1:16" x14ac:dyDescent="0.15">
      <c r="A43" s="25" t="s">
        <v>48</v>
      </c>
      <c r="E43" s="34">
        <f t="shared" ref="E43:G43" si="52">E40-E36-E39</f>
        <v>132.89500000000004</v>
      </c>
      <c r="F43" s="35">
        <f t="shared" si="52"/>
        <v>126.13299999999998</v>
      </c>
      <c r="G43" s="34">
        <f t="shared" si="52"/>
        <v>138.36799999999994</v>
      </c>
      <c r="H43" s="34">
        <f t="shared" ref="H43:M43" si="53">H40-H36-H39</f>
        <v>145.83399999999992</v>
      </c>
      <c r="I43" s="34">
        <f t="shared" si="53"/>
        <v>209.73399999999998</v>
      </c>
      <c r="J43" s="35">
        <f t="shared" si="53"/>
        <v>201.73399999999998</v>
      </c>
      <c r="K43" s="34">
        <f t="shared" si="53"/>
        <v>239</v>
      </c>
      <c r="L43" s="34">
        <f t="shared" si="53"/>
        <v>242</v>
      </c>
      <c r="M43" s="34">
        <f t="shared" si="53"/>
        <v>252</v>
      </c>
      <c r="N43" s="35">
        <f t="shared" ref="N43:O43" si="54">N40-N36-N39</f>
        <v>271</v>
      </c>
      <c r="O43" s="34">
        <f t="shared" si="54"/>
        <v>294</v>
      </c>
      <c r="P43" s="34">
        <f t="shared" ref="P43" si="55">P40-P36-P39</f>
        <v>305</v>
      </c>
    </row>
    <row r="44" spans="1:16" x14ac:dyDescent="0.15">
      <c r="A44" s="25" t="s">
        <v>49</v>
      </c>
      <c r="E44" s="34">
        <f t="shared" ref="E44:H44" si="56">E40-E41</f>
        <v>193.49300000000002</v>
      </c>
      <c r="F44" s="35">
        <f t="shared" si="56"/>
        <v>172.50699999999998</v>
      </c>
      <c r="G44" s="34">
        <f t="shared" si="56"/>
        <v>208.62399999999997</v>
      </c>
      <c r="H44" s="34">
        <f t="shared" si="56"/>
        <v>197.24499999999995</v>
      </c>
      <c r="I44" s="34">
        <f t="shared" ref="I44:K44" si="57">I40-I41</f>
        <v>264.56599999999997</v>
      </c>
      <c r="J44" s="35">
        <f t="shared" si="57"/>
        <v>247.86799999999999</v>
      </c>
      <c r="K44" s="34">
        <f t="shared" si="57"/>
        <v>240</v>
      </c>
      <c r="L44" s="34">
        <f t="shared" ref="L44:M44" si="58">L40-L41</f>
        <v>219</v>
      </c>
      <c r="M44" s="34">
        <f t="shared" si="58"/>
        <v>83</v>
      </c>
      <c r="N44" s="35">
        <f t="shared" ref="N44:O44" si="59">N40-N41</f>
        <v>63</v>
      </c>
      <c r="O44" s="34">
        <f t="shared" si="59"/>
        <v>48</v>
      </c>
      <c r="P44" s="34">
        <f t="shared" ref="P44" si="60">P40-P41</f>
        <v>22</v>
      </c>
    </row>
    <row r="45" spans="1:16" x14ac:dyDescent="0.15">
      <c r="E45" s="47"/>
      <c r="O45" s="27"/>
    </row>
    <row r="46" spans="1:16" s="12" customFormat="1" x14ac:dyDescent="0.15">
      <c r="A46" s="31" t="s">
        <v>50</v>
      </c>
      <c r="B46" s="28"/>
      <c r="C46" s="27"/>
      <c r="D46" s="27"/>
      <c r="E46" s="32">
        <f t="shared" ref="E46:P46" si="61">SUM(B21:E21)</f>
        <v>-89.717600000000004</v>
      </c>
      <c r="F46" s="33">
        <f t="shared" si="61"/>
        <v>-95.648600000000016</v>
      </c>
      <c r="G46" s="32">
        <f t="shared" si="61"/>
        <v>-101.81560000000002</v>
      </c>
      <c r="H46" s="32">
        <f t="shared" si="61"/>
        <v>-109.22200000000004</v>
      </c>
      <c r="I46" s="32">
        <f t="shared" si="61"/>
        <v>-111.34699999999999</v>
      </c>
      <c r="J46" s="33">
        <f>SUM(G21:J21)</f>
        <v>-118.96600000000001</v>
      </c>
      <c r="K46" s="32">
        <f t="shared" si="61"/>
        <v>-124.72</v>
      </c>
      <c r="L46" s="32">
        <f t="shared" si="61"/>
        <v>-135.39999999999998</v>
      </c>
      <c r="M46" s="32">
        <f t="shared" si="61"/>
        <v>-163.81870000000001</v>
      </c>
      <c r="N46" s="33">
        <f t="shared" si="61"/>
        <v>-184.92669999999998</v>
      </c>
      <c r="O46" s="32">
        <f t="shared" si="61"/>
        <v>-210.94969999999998</v>
      </c>
      <c r="P46" s="32">
        <f t="shared" si="61"/>
        <v>-241.28870000000001</v>
      </c>
    </row>
    <row r="47" spans="1:16" x14ac:dyDescent="0.15">
      <c r="A47" s="25" t="s">
        <v>51</v>
      </c>
      <c r="E47" s="42">
        <f t="shared" ref="E47:G47" si="62">E46/E44</f>
        <v>-0.46367362126795281</v>
      </c>
      <c r="F47" s="43">
        <f t="shared" si="62"/>
        <v>-0.55446213776832265</v>
      </c>
      <c r="G47" s="42">
        <f t="shared" si="62"/>
        <v>-0.48803397499808282</v>
      </c>
      <c r="H47" s="42">
        <f t="shared" ref="H47:M47" si="63">H46/H44</f>
        <v>-0.55373773733174514</v>
      </c>
      <c r="I47" s="42">
        <f t="shared" si="63"/>
        <v>-0.42086662685303478</v>
      </c>
      <c r="J47" s="43">
        <f t="shared" si="63"/>
        <v>-0.47995707392644477</v>
      </c>
      <c r="K47" s="42">
        <f t="shared" si="63"/>
        <v>-0.51966666666666661</v>
      </c>
      <c r="L47" s="42">
        <f t="shared" si="63"/>
        <v>-0.61826484018264827</v>
      </c>
      <c r="M47" s="42">
        <f t="shared" si="63"/>
        <v>-1.9737192771084338</v>
      </c>
      <c r="N47" s="43">
        <f t="shared" ref="N47:O47" si="64">N46/N44</f>
        <v>-2.9353444444444441</v>
      </c>
      <c r="O47" s="42">
        <f t="shared" si="64"/>
        <v>-4.3947854166666662</v>
      </c>
      <c r="P47" s="42">
        <f t="shared" ref="P47" si="65">P46/P44</f>
        <v>-10.967668181818182</v>
      </c>
    </row>
    <row r="48" spans="1:16" x14ac:dyDescent="0.15">
      <c r="A48" s="25" t="s">
        <v>52</v>
      </c>
      <c r="E48" s="42">
        <f t="shared" ref="E48:G48" si="66">E46/E40</f>
        <v>-0.21608493338086107</v>
      </c>
      <c r="F48" s="43">
        <f t="shared" si="66"/>
        <v>-0.23898587551564493</v>
      </c>
      <c r="G48" s="42">
        <f t="shared" si="66"/>
        <v>-0.1533529137107828</v>
      </c>
      <c r="H48" s="42">
        <f t="shared" ref="H48:M48" si="67">H46/H40</f>
        <v>-0.16285505539236889</v>
      </c>
      <c r="I48" s="42">
        <f t="shared" si="67"/>
        <v>-0.15180728476460034</v>
      </c>
      <c r="J48" s="43">
        <f t="shared" si="67"/>
        <v>-0.16202581986023665</v>
      </c>
      <c r="K48" s="42">
        <f t="shared" si="67"/>
        <v>-0.16808625336927224</v>
      </c>
      <c r="L48" s="42">
        <f t="shared" si="67"/>
        <v>-0.18421768707482991</v>
      </c>
      <c r="M48" s="42">
        <f t="shared" si="67"/>
        <v>-0.12326463506395786</v>
      </c>
      <c r="N48" s="43">
        <f t="shared" ref="N48:O48" si="68">N46/N40</f>
        <v>-0.13831465968586387</v>
      </c>
      <c r="O48" s="42">
        <f t="shared" si="68"/>
        <v>-0.15568243542435423</v>
      </c>
      <c r="P48" s="42">
        <f t="shared" ref="P48" si="69">P46/P40</f>
        <v>-0.1779415191740413</v>
      </c>
    </row>
    <row r="49" spans="1:16" x14ac:dyDescent="0.15">
      <c r="A49" s="25" t="s">
        <v>53</v>
      </c>
      <c r="E49" s="42">
        <f t="shared" ref="E49:G49" si="70">E46/(E44-E39)</f>
        <v>-0.47178570301736372</v>
      </c>
      <c r="F49" s="43">
        <f t="shared" si="70"/>
        <v>-0.56462830797929187</v>
      </c>
      <c r="G49" s="42">
        <f t="shared" si="70"/>
        <v>-0.49487749041261031</v>
      </c>
      <c r="H49" s="42">
        <f t="shared" ref="H49:M49" si="71">H46/(H44-H39)</f>
        <v>-0.56132182135882447</v>
      </c>
      <c r="I49" s="42">
        <f t="shared" si="71"/>
        <v>-0.53844405543681151</v>
      </c>
      <c r="J49" s="43">
        <f t="shared" si="71"/>
        <v>-0.62036742505227704</v>
      </c>
      <c r="K49" s="42">
        <f t="shared" si="71"/>
        <v>-0.72092485549132945</v>
      </c>
      <c r="L49" s="42">
        <f t="shared" si="71"/>
        <v>-0.89078947368421035</v>
      </c>
      <c r="M49" s="42">
        <f t="shared" si="71"/>
        <v>20.477337500000001</v>
      </c>
      <c r="N49" s="43">
        <f t="shared" ref="N49:O49" si="72">N46/(N44-N39)</f>
        <v>7.112565384615384</v>
      </c>
      <c r="O49" s="42">
        <f t="shared" si="72"/>
        <v>5.4089666666666663</v>
      </c>
      <c r="P49" s="42">
        <f t="shared" ref="P49" si="73">P46/(P44-P39)</f>
        <v>3.8917532258064518</v>
      </c>
    </row>
    <row r="50" spans="1:16" x14ac:dyDescent="0.15">
      <c r="A50" s="25" t="s">
        <v>54</v>
      </c>
      <c r="E50" s="42">
        <f t="shared" ref="E50:G50" si="74">E46/E43</f>
        <v>-0.67510139583882001</v>
      </c>
      <c r="F50" s="43">
        <f t="shared" si="74"/>
        <v>-0.75831542895197945</v>
      </c>
      <c r="G50" s="42">
        <f t="shared" si="74"/>
        <v>-0.73583198427382102</v>
      </c>
      <c r="H50" s="42">
        <f t="shared" ref="H50:M50" si="75">H46/H43</f>
        <v>-0.74894743338316239</v>
      </c>
      <c r="I50" s="42">
        <f t="shared" si="75"/>
        <v>-0.53089627814279039</v>
      </c>
      <c r="J50" s="43">
        <f t="shared" si="75"/>
        <v>-0.58971715228964883</v>
      </c>
      <c r="K50" s="42">
        <f t="shared" si="75"/>
        <v>-0.5218410041841004</v>
      </c>
      <c r="L50" s="42">
        <f t="shared" si="75"/>
        <v>-0.55950413223140483</v>
      </c>
      <c r="M50" s="42">
        <f t="shared" si="75"/>
        <v>-0.65007420634920643</v>
      </c>
      <c r="N50" s="43">
        <f t="shared" ref="N50:O50" si="76">N46/N43</f>
        <v>-0.68238634686346855</v>
      </c>
      <c r="O50" s="42">
        <f t="shared" si="76"/>
        <v>-0.71751598639455771</v>
      </c>
      <c r="P50" s="42">
        <f t="shared" ref="P50" si="77">P46/P43</f>
        <v>-0.79111049180327875</v>
      </c>
    </row>
    <row r="51" spans="1:16" x14ac:dyDescent="0.15">
      <c r="N51" s="28"/>
      <c r="O51" s="27"/>
      <c r="P51" s="27"/>
    </row>
    <row r="52" spans="1:16" x14ac:dyDescent="0.15">
      <c r="A52" s="6" t="s">
        <v>71</v>
      </c>
      <c r="F52" s="43">
        <f t="shared" ref="F52:P53" si="78">F3/B3-1</f>
        <v>0.57840819542947197</v>
      </c>
      <c r="G52" s="42">
        <f t="shared" si="78"/>
        <v>0.59641572653776409</v>
      </c>
      <c r="H52" s="42">
        <f t="shared" si="78"/>
        <v>0.58611587699617274</v>
      </c>
      <c r="I52" s="42">
        <f t="shared" si="78"/>
        <v>0.73409609015441535</v>
      </c>
      <c r="J52" s="43">
        <f t="shared" si="78"/>
        <v>0.82322168920532235</v>
      </c>
      <c r="K52" s="42">
        <f t="shared" si="78"/>
        <v>0.81002445458571626</v>
      </c>
      <c r="L52" s="42">
        <f t="shared" si="78"/>
        <v>0.73073722749209513</v>
      </c>
      <c r="M52" s="42">
        <f t="shared" si="78"/>
        <v>0.30000000000000004</v>
      </c>
      <c r="N52" s="43">
        <f t="shared" si="78"/>
        <v>0.48648713003309751</v>
      </c>
      <c r="O52" s="42">
        <f t="shared" si="78"/>
        <v>0.40934042553191508</v>
      </c>
      <c r="P52" s="42">
        <f t="shared" si="78"/>
        <v>0.38527884615384611</v>
      </c>
    </row>
    <row r="53" spans="1:16" x14ac:dyDescent="0.15">
      <c r="A53" s="6" t="s">
        <v>72</v>
      </c>
      <c r="F53" s="43">
        <f t="shared" si="78"/>
        <v>0.27068373399937573</v>
      </c>
      <c r="G53" s="42">
        <f t="shared" si="78"/>
        <v>0.48484848484848508</v>
      </c>
      <c r="H53" s="42">
        <f t="shared" si="78"/>
        <v>0.35859006383569225</v>
      </c>
      <c r="I53" s="42">
        <f t="shared" si="78"/>
        <v>0.36560652969321716</v>
      </c>
      <c r="J53" s="43">
        <f t="shared" si="78"/>
        <v>0.32530712530712536</v>
      </c>
      <c r="K53" s="42">
        <f t="shared" si="78"/>
        <v>9.7213078779899043E-2</v>
      </c>
      <c r="L53" s="42">
        <f t="shared" si="78"/>
        <v>0.22574055158324824</v>
      </c>
      <c r="M53" s="42">
        <f t="shared" si="78"/>
        <v>0.19999999999999996</v>
      </c>
      <c r="N53" s="43">
        <f t="shared" si="78"/>
        <v>1.4645902855024096E-2</v>
      </c>
      <c r="O53" s="42">
        <f t="shared" si="78"/>
        <v>0.16060000000000008</v>
      </c>
      <c r="P53" s="42">
        <f t="shared" si="78"/>
        <v>0.11699999999999999</v>
      </c>
    </row>
    <row r="55" spans="1:16" s="23" customFormat="1" x14ac:dyDescent="0.15">
      <c r="A55" s="23" t="s">
        <v>59</v>
      </c>
      <c r="B55" s="43"/>
      <c r="C55" s="42"/>
      <c r="D55" s="42"/>
      <c r="E55" s="42"/>
      <c r="F55" s="43"/>
      <c r="G55" s="42"/>
      <c r="H55" s="42"/>
      <c r="I55" s="42"/>
      <c r="J55" s="43"/>
      <c r="K55" s="42"/>
      <c r="L55" s="42"/>
      <c r="M55" s="42"/>
      <c r="N55" s="69"/>
    </row>
    <row r="56" spans="1:16" s="23" customFormat="1" x14ac:dyDescent="0.15">
      <c r="A56" s="23" t="s">
        <v>60</v>
      </c>
      <c r="B56" s="43"/>
      <c r="C56" s="42"/>
      <c r="D56" s="42"/>
      <c r="E56" s="42"/>
      <c r="F56" s="43"/>
      <c r="G56" s="42"/>
      <c r="H56" s="42"/>
      <c r="I56" s="42"/>
      <c r="J56" s="43"/>
      <c r="K56" s="42"/>
      <c r="L56" s="42"/>
      <c r="M56" s="42"/>
      <c r="N56" s="69"/>
    </row>
    <row r="58" spans="1:16" s="8" customFormat="1" x14ac:dyDescent="0.15">
      <c r="A58" s="8" t="s">
        <v>73</v>
      </c>
      <c r="B58" s="29">
        <v>3700</v>
      </c>
      <c r="C58" s="30">
        <v>4300</v>
      </c>
      <c r="D58" s="30">
        <v>4900</v>
      </c>
      <c r="E58" s="30">
        <v>5700</v>
      </c>
      <c r="F58" s="29">
        <v>6600</v>
      </c>
      <c r="G58" s="30">
        <v>7400</v>
      </c>
      <c r="H58" s="30">
        <v>8300</v>
      </c>
      <c r="I58" s="30">
        <v>13400</v>
      </c>
      <c r="J58" s="29">
        <v>14200</v>
      </c>
      <c r="K58" s="30">
        <v>15000</v>
      </c>
      <c r="L58" s="30">
        <v>15900</v>
      </c>
      <c r="M58" s="30">
        <v>15900</v>
      </c>
      <c r="N58" s="67">
        <v>18400</v>
      </c>
      <c r="O58" s="8">
        <v>20200</v>
      </c>
      <c r="P58" s="8">
        <v>22600</v>
      </c>
    </row>
    <row r="59" spans="1:16" s="23" customFormat="1" x14ac:dyDescent="0.15">
      <c r="A59" s="23" t="s">
        <v>81</v>
      </c>
      <c r="B59" s="43"/>
      <c r="C59" s="42"/>
      <c r="D59" s="42"/>
      <c r="E59" s="42"/>
      <c r="F59" s="43">
        <f t="shared" ref="F59:P59" si="79">F58/B58-1</f>
        <v>0.78378378378378377</v>
      </c>
      <c r="G59" s="42">
        <f t="shared" si="79"/>
        <v>0.72093023255813948</v>
      </c>
      <c r="H59" s="42">
        <f t="shared" si="79"/>
        <v>0.69387755102040827</v>
      </c>
      <c r="I59" s="42">
        <f t="shared" si="79"/>
        <v>1.3508771929824563</v>
      </c>
      <c r="J59" s="43">
        <f t="shared" si="79"/>
        <v>1.1515151515151514</v>
      </c>
      <c r="K59" s="42">
        <f t="shared" si="79"/>
        <v>1.0270270270270272</v>
      </c>
      <c r="L59" s="42">
        <f t="shared" si="79"/>
        <v>0.9156626506024097</v>
      </c>
      <c r="M59" s="42">
        <f t="shared" si="79"/>
        <v>0.18656716417910446</v>
      </c>
      <c r="N59" s="43">
        <f t="shared" si="79"/>
        <v>0.29577464788732399</v>
      </c>
      <c r="O59" s="42">
        <f t="shared" si="79"/>
        <v>0.34666666666666668</v>
      </c>
      <c r="P59" s="42">
        <f t="shared" si="79"/>
        <v>0.42138364779874204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E948-E774-CC47-BD3E-C5F284440C3A}">
  <dimension ref="B4:C7"/>
  <sheetViews>
    <sheetView zoomScale="120" zoomScaleNormal="120" workbookViewId="0">
      <selection activeCell="D14" sqref="D14"/>
    </sheetView>
  </sheetViews>
  <sheetFormatPr baseColWidth="10" defaultRowHeight="13" x14ac:dyDescent="0.15"/>
  <cols>
    <col min="1" max="1" width="10.83203125" style="3"/>
    <col min="2" max="2" width="25.83203125" style="3" bestFit="1" customWidth="1"/>
    <col min="3" max="16384" width="10.83203125" style="3"/>
  </cols>
  <sheetData>
    <row r="4" spans="2:3" x14ac:dyDescent="0.15">
      <c r="B4" s="66" t="s">
        <v>90</v>
      </c>
    </row>
    <row r="6" spans="2:3" x14ac:dyDescent="0.15">
      <c r="B6" s="3" t="s">
        <v>91</v>
      </c>
    </row>
    <row r="7" spans="2:3" x14ac:dyDescent="0.15">
      <c r="B7" s="3" t="s">
        <v>92</v>
      </c>
      <c r="C7" s="3" t="s">
        <v>93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2021-01-04T23:46:19Z</dcterms:modified>
</cp:coreProperties>
</file>