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163905BF-4989-3040-ADE9-B65ED2633E6A}" xr6:coauthVersionLast="46" xr6:coauthVersionMax="46" xr10:uidLastSave="{00000000-0000-0000-0000-000000000000}"/>
  <bookViews>
    <workbookView xWindow="-54380" yWindow="-5940" windowWidth="28240" windowHeight="2674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2" l="1"/>
  <c r="J52" i="1"/>
  <c r="N52" i="1"/>
  <c r="M52" i="1"/>
  <c r="L52" i="1"/>
  <c r="K52" i="1"/>
  <c r="R52" i="1"/>
  <c r="Q52" i="1"/>
  <c r="P52" i="1"/>
  <c r="O52" i="1"/>
  <c r="V52" i="1"/>
  <c r="U52" i="1"/>
  <c r="T52" i="1"/>
  <c r="S52" i="1"/>
  <c r="W52" i="1"/>
  <c r="X52" i="1"/>
  <c r="Y52" i="1"/>
  <c r="Z52" i="1"/>
  <c r="X51" i="1"/>
  <c r="F51" i="1"/>
  <c r="J51" i="1"/>
  <c r="I51" i="1"/>
  <c r="H51" i="1"/>
  <c r="G51" i="1"/>
  <c r="N51" i="1"/>
  <c r="M51" i="1"/>
  <c r="L51" i="1"/>
  <c r="K51" i="1"/>
  <c r="R51" i="1"/>
  <c r="Q51" i="1"/>
  <c r="P51" i="1"/>
  <c r="O51" i="1"/>
  <c r="V51" i="1"/>
  <c r="U51" i="1"/>
  <c r="T51" i="1"/>
  <c r="S51" i="1"/>
  <c r="W51" i="1"/>
  <c r="Y51" i="1"/>
  <c r="Z51" i="1"/>
  <c r="H46" i="2"/>
  <c r="H45" i="2"/>
  <c r="H42" i="2"/>
  <c r="H28" i="2"/>
  <c r="H19" i="2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H18" i="2"/>
  <c r="H16" i="2"/>
  <c r="H13" i="2"/>
  <c r="I13" i="2" s="1"/>
  <c r="J13" i="2" s="1"/>
  <c r="K13" i="2" s="1"/>
  <c r="L13" i="2" s="1"/>
  <c r="M13" i="2" s="1"/>
  <c r="H12" i="2"/>
  <c r="I12" i="2" s="1"/>
  <c r="J12" i="2" s="1"/>
  <c r="K12" i="2" s="1"/>
  <c r="L12" i="2" s="1"/>
  <c r="M12" i="2" s="1"/>
  <c r="H11" i="2"/>
  <c r="D4" i="2"/>
  <c r="Z56" i="1"/>
  <c r="Z55" i="1"/>
  <c r="Z54" i="1"/>
  <c r="Z43" i="1"/>
  <c r="Z38" i="1"/>
  <c r="H44" i="2" s="1"/>
  <c r="Z35" i="1"/>
  <c r="H41" i="2" s="1"/>
  <c r="Z34" i="1"/>
  <c r="D6" i="2" s="1"/>
  <c r="Z30" i="1"/>
  <c r="Z29" i="1"/>
  <c r="Z16" i="1"/>
  <c r="Z13" i="1"/>
  <c r="Z14" i="1" s="1"/>
  <c r="Z8" i="1"/>
  <c r="H15" i="2" l="1"/>
  <c r="H17" i="2" s="1"/>
  <c r="Z10" i="1"/>
  <c r="Z24" i="1" s="1"/>
  <c r="I11" i="2"/>
  <c r="J11" i="2" s="1"/>
  <c r="K11" i="2" s="1"/>
  <c r="L11" i="2" s="1"/>
  <c r="M11" i="2" s="1"/>
  <c r="M15" i="2" s="1"/>
  <c r="I18" i="2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Z42" i="1"/>
  <c r="H40" i="2"/>
  <c r="H49" i="2"/>
  <c r="H48" i="2"/>
  <c r="M58" i="2"/>
  <c r="Y56" i="1"/>
  <c r="Y55" i="1"/>
  <c r="Y54" i="1"/>
  <c r="Y43" i="1"/>
  <c r="Y38" i="1"/>
  <c r="Y35" i="1"/>
  <c r="Y34" i="1" s="1"/>
  <c r="Y30" i="1"/>
  <c r="Y29" i="1"/>
  <c r="Y13" i="1"/>
  <c r="Y14" i="1" s="1"/>
  <c r="Y8" i="1"/>
  <c r="Y10" i="1" s="1"/>
  <c r="Z15" i="1" l="1"/>
  <c r="M56" i="2"/>
  <c r="R35" i="2"/>
  <c r="Y15" i="1"/>
  <c r="Y24" i="1"/>
  <c r="Y42" i="1"/>
  <c r="X56" i="1"/>
  <c r="X55" i="1"/>
  <c r="X54" i="1"/>
  <c r="X43" i="1"/>
  <c r="X38" i="1"/>
  <c r="X35" i="1"/>
  <c r="X34" i="1" s="1"/>
  <c r="X30" i="1"/>
  <c r="X29" i="1"/>
  <c r="X16" i="1"/>
  <c r="H23" i="2" s="1"/>
  <c r="X13" i="1"/>
  <c r="X8" i="1"/>
  <c r="X10" i="1" s="1"/>
  <c r="X24" i="1" s="1"/>
  <c r="Z25" i="1" l="1"/>
  <c r="Z17" i="1"/>
  <c r="S35" i="2"/>
  <c r="X42" i="1"/>
  <c r="X14" i="1"/>
  <c r="Y17" i="1"/>
  <c r="Y25" i="1"/>
  <c r="G46" i="2"/>
  <c r="G45" i="2"/>
  <c r="G28" i="2"/>
  <c r="G25" i="2"/>
  <c r="G23" i="2"/>
  <c r="G19" i="2"/>
  <c r="G18" i="2"/>
  <c r="G16" i="2"/>
  <c r="G13" i="2"/>
  <c r="G12" i="2"/>
  <c r="H57" i="2" s="1"/>
  <c r="G11" i="2"/>
  <c r="W38" i="1"/>
  <c r="W35" i="1"/>
  <c r="W13" i="1"/>
  <c r="H20" i="2" s="1"/>
  <c r="V38" i="1"/>
  <c r="V36" i="1"/>
  <c r="V35" i="1"/>
  <c r="G41" i="2" s="1"/>
  <c r="V13" i="1"/>
  <c r="Z31" i="1" s="1"/>
  <c r="V56" i="1"/>
  <c r="V55" i="1"/>
  <c r="V54" i="1"/>
  <c r="V43" i="1"/>
  <c r="V30" i="1"/>
  <c r="V29" i="1"/>
  <c r="V14" i="1"/>
  <c r="Z32" i="1" s="1"/>
  <c r="V8" i="1"/>
  <c r="Z28" i="1" s="1"/>
  <c r="I20" i="2" l="1"/>
  <c r="J20" i="2" s="1"/>
  <c r="K20" i="2" s="1"/>
  <c r="L20" i="2" s="1"/>
  <c r="M20" i="2" s="1"/>
  <c r="N20" i="2" s="1"/>
  <c r="O20" i="2" s="1"/>
  <c r="P20" i="2" s="1"/>
  <c r="Q20" i="2" s="1"/>
  <c r="R20" i="2" s="1"/>
  <c r="H21" i="2"/>
  <c r="H22" i="2" s="1"/>
  <c r="H24" i="2" s="1"/>
  <c r="W35" i="2"/>
  <c r="G49" i="2"/>
  <c r="V34" i="1"/>
  <c r="W42" i="1"/>
  <c r="Y20" i="1"/>
  <c r="Y21" i="1" s="1"/>
  <c r="Y26" i="1"/>
  <c r="V42" i="1"/>
  <c r="G42" i="2"/>
  <c r="G40" i="2" s="1"/>
  <c r="X15" i="1"/>
  <c r="V10" i="1"/>
  <c r="V24" i="1" s="1"/>
  <c r="G44" i="2"/>
  <c r="H35" i="2"/>
  <c r="G15" i="2"/>
  <c r="M57" i="2"/>
  <c r="U35" i="2" l="1"/>
  <c r="T35" i="2"/>
  <c r="V35" i="2"/>
  <c r="X25" i="1"/>
  <c r="X17" i="1"/>
  <c r="V15" i="1"/>
  <c r="G48" i="2"/>
  <c r="G17" i="2"/>
  <c r="V25" i="1" l="1"/>
  <c r="V17" i="1"/>
  <c r="X26" i="1"/>
  <c r="X20" i="1"/>
  <c r="X21" i="1" s="1"/>
  <c r="R36" i="2" l="1"/>
  <c r="V20" i="1"/>
  <c r="V26" i="1"/>
  <c r="Z18" i="1" s="1"/>
  <c r="Z19" i="1" l="1"/>
  <c r="H25" i="2"/>
  <c r="Z26" i="1"/>
  <c r="Z20" i="1"/>
  <c r="Z21" i="1" s="1"/>
  <c r="S36" i="2"/>
  <c r="V21" i="1"/>
  <c r="U43" i="1"/>
  <c r="U38" i="1"/>
  <c r="U36" i="1"/>
  <c r="U35" i="1"/>
  <c r="U56" i="1"/>
  <c r="U55" i="1"/>
  <c r="U54" i="1"/>
  <c r="U13" i="1"/>
  <c r="Y31" i="1" s="1"/>
  <c r="U8" i="1"/>
  <c r="Y28" i="1" s="1"/>
  <c r="W56" i="1"/>
  <c r="W55" i="1"/>
  <c r="W54" i="1"/>
  <c r="W43" i="1"/>
  <c r="W30" i="1"/>
  <c r="W29" i="1"/>
  <c r="W14" i="1"/>
  <c r="W8" i="1"/>
  <c r="AA28" i="1" s="1"/>
  <c r="T36" i="2" l="1"/>
  <c r="U10" i="1"/>
  <c r="U14" i="1"/>
  <c r="U34" i="1"/>
  <c r="U42" i="1"/>
  <c r="W10" i="1"/>
  <c r="W34" i="1"/>
  <c r="D5" i="2"/>
  <c r="U29" i="1"/>
  <c r="U30" i="1"/>
  <c r="T38" i="1"/>
  <c r="T36" i="1"/>
  <c r="T35" i="1"/>
  <c r="T13" i="1"/>
  <c r="X31" i="1" s="1"/>
  <c r="T56" i="1"/>
  <c r="T55" i="1"/>
  <c r="T54" i="1"/>
  <c r="T43" i="1"/>
  <c r="T30" i="1"/>
  <c r="T29" i="1"/>
  <c r="T8" i="1"/>
  <c r="F19" i="2"/>
  <c r="F18" i="2"/>
  <c r="F16" i="2"/>
  <c r="F13" i="2"/>
  <c r="G58" i="2" s="1"/>
  <c r="F12" i="2"/>
  <c r="G57" i="2" s="1"/>
  <c r="F11" i="2"/>
  <c r="G56" i="2" s="1"/>
  <c r="E25" i="2"/>
  <c r="E23" i="2"/>
  <c r="E18" i="2"/>
  <c r="E19" i="2"/>
  <c r="E16" i="2"/>
  <c r="E13" i="2"/>
  <c r="E12" i="2"/>
  <c r="E11" i="2"/>
  <c r="D19" i="2"/>
  <c r="D18" i="2"/>
  <c r="D16" i="2"/>
  <c r="D13" i="2"/>
  <c r="D12" i="2"/>
  <c r="D11" i="2"/>
  <c r="D15" i="2" s="1"/>
  <c r="C25" i="2"/>
  <c r="C23" i="2"/>
  <c r="C19" i="2"/>
  <c r="C18" i="2"/>
  <c r="C16" i="2"/>
  <c r="C13" i="2"/>
  <c r="C12" i="2"/>
  <c r="C11" i="2"/>
  <c r="C13" i="1"/>
  <c r="C14" i="1" s="1"/>
  <c r="G13" i="1"/>
  <c r="D13" i="1"/>
  <c r="D14" i="1" s="1"/>
  <c r="H13" i="1"/>
  <c r="H14" i="1" s="1"/>
  <c r="D8" i="1"/>
  <c r="D10" i="1" s="1"/>
  <c r="G8" i="1"/>
  <c r="G10" i="1" s="1"/>
  <c r="H8" i="1"/>
  <c r="H28" i="1" s="1"/>
  <c r="G54" i="1"/>
  <c r="H54" i="1"/>
  <c r="I54" i="1"/>
  <c r="G55" i="1"/>
  <c r="H55" i="1"/>
  <c r="I55" i="1"/>
  <c r="G56" i="1"/>
  <c r="H56" i="1"/>
  <c r="I56" i="1"/>
  <c r="E13" i="1"/>
  <c r="E14" i="1" s="1"/>
  <c r="I13" i="1"/>
  <c r="I14" i="1" s="1"/>
  <c r="I8" i="1"/>
  <c r="F38" i="1"/>
  <c r="C44" i="2" s="1"/>
  <c r="F35" i="1"/>
  <c r="C41" i="2" s="1"/>
  <c r="J38" i="1"/>
  <c r="J35" i="1"/>
  <c r="D41" i="2" s="1"/>
  <c r="F13" i="1"/>
  <c r="F14" i="1" s="1"/>
  <c r="J13" i="1"/>
  <c r="J14" i="1" s="1"/>
  <c r="K13" i="1"/>
  <c r="K14" i="1" s="1"/>
  <c r="O38" i="1"/>
  <c r="O35" i="1"/>
  <c r="O34" i="1" s="1"/>
  <c r="P38" i="1"/>
  <c r="P35" i="1"/>
  <c r="P34" i="1" s="1"/>
  <c r="L13" i="1"/>
  <c r="P13" i="1"/>
  <c r="P14" i="1" s="1"/>
  <c r="Q38" i="1"/>
  <c r="Q35" i="1"/>
  <c r="Q34" i="1" s="1"/>
  <c r="M13" i="1"/>
  <c r="M14" i="1" s="1"/>
  <c r="M32" i="1" s="1"/>
  <c r="Q13" i="1"/>
  <c r="Q14" i="1" s="1"/>
  <c r="N38" i="1"/>
  <c r="E44" i="2" s="1"/>
  <c r="N35" i="1"/>
  <c r="E41" i="2" s="1"/>
  <c r="N13" i="1"/>
  <c r="N14" i="1" s="1"/>
  <c r="R13" i="1"/>
  <c r="V31" i="1" s="1"/>
  <c r="R38" i="1"/>
  <c r="R35" i="1"/>
  <c r="F41" i="2" s="1"/>
  <c r="S38" i="1"/>
  <c r="S36" i="1"/>
  <c r="S35" i="1"/>
  <c r="S42" i="1" s="1"/>
  <c r="S56" i="1"/>
  <c r="S55" i="1"/>
  <c r="S54" i="1"/>
  <c r="R8" i="1"/>
  <c r="Q8" i="1"/>
  <c r="Q10" i="1" s="1"/>
  <c r="Q24" i="1" s="1"/>
  <c r="P8" i="1"/>
  <c r="P10" i="1" s="1"/>
  <c r="S43" i="1"/>
  <c r="O13" i="1"/>
  <c r="O14" i="1" s="1"/>
  <c r="S30" i="1"/>
  <c r="S29" i="1"/>
  <c r="O8" i="1"/>
  <c r="O10" i="1" s="1"/>
  <c r="O24" i="1" s="1"/>
  <c r="S8" i="1"/>
  <c r="S10" i="1" s="1"/>
  <c r="S13" i="1"/>
  <c r="W31" i="1" s="1"/>
  <c r="F45" i="2"/>
  <c r="F44" i="2"/>
  <c r="F23" i="2"/>
  <c r="F25" i="2"/>
  <c r="R43" i="1"/>
  <c r="F42" i="2"/>
  <c r="F46" i="2"/>
  <c r="F28" i="2"/>
  <c r="N8" i="1"/>
  <c r="N10" i="1"/>
  <c r="J8" i="1"/>
  <c r="E42" i="2"/>
  <c r="R56" i="1"/>
  <c r="Q56" i="1"/>
  <c r="P56" i="1"/>
  <c r="O56" i="1"/>
  <c r="N56" i="1"/>
  <c r="M56" i="1"/>
  <c r="L56" i="1"/>
  <c r="K56" i="1"/>
  <c r="J56" i="1"/>
  <c r="R55" i="1"/>
  <c r="Q55" i="1"/>
  <c r="P55" i="1"/>
  <c r="O55" i="1"/>
  <c r="N55" i="1"/>
  <c r="M55" i="1"/>
  <c r="L55" i="1"/>
  <c r="K55" i="1"/>
  <c r="J55" i="1"/>
  <c r="R54" i="1"/>
  <c r="Q54" i="1"/>
  <c r="P54" i="1"/>
  <c r="O54" i="1"/>
  <c r="N54" i="1"/>
  <c r="M54" i="1"/>
  <c r="L54" i="1"/>
  <c r="K54" i="1"/>
  <c r="J54" i="1"/>
  <c r="F8" i="1"/>
  <c r="F10" i="1" s="1"/>
  <c r="F43" i="1"/>
  <c r="C45" i="2"/>
  <c r="C46" i="2"/>
  <c r="Q43" i="1"/>
  <c r="D23" i="2"/>
  <c r="D25" i="2"/>
  <c r="D45" i="2"/>
  <c r="D46" i="2"/>
  <c r="C42" i="2"/>
  <c r="C28" i="2"/>
  <c r="D42" i="2"/>
  <c r="E45" i="2"/>
  <c r="E46" i="2"/>
  <c r="K8" i="1"/>
  <c r="K10" i="1"/>
  <c r="L8" i="1"/>
  <c r="M8" i="1"/>
  <c r="J43" i="1"/>
  <c r="N43" i="1"/>
  <c r="C8" i="1"/>
  <c r="C10" i="1"/>
  <c r="C24" i="1" s="1"/>
  <c r="E8" i="1"/>
  <c r="E10" i="1" s="1"/>
  <c r="P43" i="1"/>
  <c r="O43" i="1"/>
  <c r="R30" i="1"/>
  <c r="R29" i="1"/>
  <c r="O30" i="1"/>
  <c r="O29" i="1"/>
  <c r="P30" i="1"/>
  <c r="P29" i="1"/>
  <c r="Q30" i="1"/>
  <c r="Q29" i="1"/>
  <c r="E28" i="2"/>
  <c r="D28" i="2"/>
  <c r="I28" i="2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G29" i="1"/>
  <c r="J29" i="1"/>
  <c r="N29" i="1"/>
  <c r="L29" i="1"/>
  <c r="K29" i="1"/>
  <c r="I29" i="1"/>
  <c r="M29" i="1"/>
  <c r="I30" i="1"/>
  <c r="J30" i="1"/>
  <c r="K30" i="1"/>
  <c r="L30" i="1"/>
  <c r="M30" i="1"/>
  <c r="N30" i="1"/>
  <c r="M31" i="1"/>
  <c r="H30" i="1"/>
  <c r="H29" i="1"/>
  <c r="G30" i="1"/>
  <c r="N24" i="1"/>
  <c r="J28" i="1"/>
  <c r="F10" i="2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O42" i="1" l="1"/>
  <c r="D15" i="1"/>
  <c r="N32" i="1"/>
  <c r="U36" i="2"/>
  <c r="T42" i="1"/>
  <c r="T34" i="1"/>
  <c r="S28" i="1"/>
  <c r="M28" i="1"/>
  <c r="R42" i="1"/>
  <c r="K31" i="1"/>
  <c r="C15" i="2"/>
  <c r="C17" i="2" s="1"/>
  <c r="C30" i="2" s="1"/>
  <c r="N31" i="1"/>
  <c r="J34" i="1"/>
  <c r="T10" i="1"/>
  <c r="T24" i="1" s="1"/>
  <c r="X28" i="1"/>
  <c r="R10" i="1"/>
  <c r="R24" i="1" s="1"/>
  <c r="V28" i="1"/>
  <c r="Q42" i="1"/>
  <c r="E15" i="2"/>
  <c r="E17" i="2" s="1"/>
  <c r="E30" i="2" s="1"/>
  <c r="E20" i="2"/>
  <c r="E21" i="2" s="1"/>
  <c r="L28" i="1"/>
  <c r="S14" i="1"/>
  <c r="W32" i="1" s="1"/>
  <c r="G20" i="2"/>
  <c r="J31" i="1"/>
  <c r="Q31" i="1"/>
  <c r="I10" i="1"/>
  <c r="I24" i="1" s="1"/>
  <c r="G28" i="1"/>
  <c r="O31" i="1"/>
  <c r="K28" i="1"/>
  <c r="R14" i="1"/>
  <c r="K15" i="1"/>
  <c r="K25" i="1" s="1"/>
  <c r="D36" i="2"/>
  <c r="W28" i="1"/>
  <c r="Q28" i="1"/>
  <c r="H31" i="1"/>
  <c r="R31" i="1"/>
  <c r="U15" i="1"/>
  <c r="U17" i="1" s="1"/>
  <c r="U20" i="1" s="1"/>
  <c r="Y32" i="1"/>
  <c r="D49" i="2"/>
  <c r="F35" i="2"/>
  <c r="F40" i="2"/>
  <c r="F57" i="2"/>
  <c r="C40" i="2"/>
  <c r="F58" i="2"/>
  <c r="E49" i="2"/>
  <c r="D57" i="2"/>
  <c r="F36" i="2"/>
  <c r="W15" i="1"/>
  <c r="W24" i="1"/>
  <c r="P15" i="1"/>
  <c r="P17" i="1" s="1"/>
  <c r="P24" i="1"/>
  <c r="D40" i="2"/>
  <c r="F56" i="2"/>
  <c r="P31" i="1"/>
  <c r="L31" i="1"/>
  <c r="E58" i="2"/>
  <c r="N28" i="1"/>
  <c r="F49" i="2"/>
  <c r="F48" i="2"/>
  <c r="P42" i="1"/>
  <c r="N15" i="1"/>
  <c r="N25" i="1" s="1"/>
  <c r="E56" i="2"/>
  <c r="C20" i="2"/>
  <c r="C21" i="2" s="1"/>
  <c r="S34" i="1"/>
  <c r="E36" i="2"/>
  <c r="N42" i="1"/>
  <c r="E40" i="2"/>
  <c r="J42" i="1"/>
  <c r="E57" i="2"/>
  <c r="K24" i="1"/>
  <c r="C49" i="2"/>
  <c r="O28" i="1"/>
  <c r="D58" i="2"/>
  <c r="R34" i="1"/>
  <c r="Q32" i="1"/>
  <c r="F34" i="1"/>
  <c r="E35" i="2"/>
  <c r="F24" i="1"/>
  <c r="F15" i="1"/>
  <c r="E24" i="1"/>
  <c r="E15" i="1"/>
  <c r="O32" i="1"/>
  <c r="U31" i="1"/>
  <c r="G24" i="1"/>
  <c r="E48" i="2"/>
  <c r="D17" i="1"/>
  <c r="D25" i="1"/>
  <c r="Q15" i="1"/>
  <c r="G31" i="1"/>
  <c r="R28" i="1"/>
  <c r="D56" i="2"/>
  <c r="C15" i="1"/>
  <c r="C48" i="2"/>
  <c r="D44" i="2"/>
  <c r="F15" i="2"/>
  <c r="D24" i="1"/>
  <c r="M10" i="1"/>
  <c r="O15" i="1"/>
  <c r="L14" i="1"/>
  <c r="L32" i="1" s="1"/>
  <c r="H10" i="1"/>
  <c r="N34" i="1"/>
  <c r="T28" i="1"/>
  <c r="T14" i="1"/>
  <c r="F42" i="1"/>
  <c r="D20" i="2"/>
  <c r="F20" i="2"/>
  <c r="I28" i="1"/>
  <c r="D17" i="2"/>
  <c r="S31" i="1"/>
  <c r="D7" i="2"/>
  <c r="D8" i="2" s="1"/>
  <c r="L10" i="1"/>
  <c r="S24" i="1"/>
  <c r="G14" i="1"/>
  <c r="K32" i="1" s="1"/>
  <c r="T31" i="1"/>
  <c r="J10" i="1"/>
  <c r="I31" i="1"/>
  <c r="P28" i="1"/>
  <c r="D35" i="2"/>
  <c r="U32" i="1"/>
  <c r="W36" i="2" l="1"/>
  <c r="V36" i="2"/>
  <c r="F37" i="2"/>
  <c r="D34" i="2"/>
  <c r="K17" i="1"/>
  <c r="K26" i="1" s="1"/>
  <c r="R15" i="1"/>
  <c r="R25" i="1" s="1"/>
  <c r="P25" i="1"/>
  <c r="G21" i="2"/>
  <c r="G22" i="2" s="1"/>
  <c r="G24" i="2" s="1"/>
  <c r="U21" i="1"/>
  <c r="I15" i="1"/>
  <c r="I17" i="1" s="1"/>
  <c r="S15" i="1"/>
  <c r="S17" i="1" s="1"/>
  <c r="S26" i="1" s="1"/>
  <c r="V32" i="1"/>
  <c r="R32" i="1"/>
  <c r="S32" i="1"/>
  <c r="C22" i="2"/>
  <c r="C31" i="2" s="1"/>
  <c r="T32" i="1"/>
  <c r="X32" i="1"/>
  <c r="E34" i="2"/>
  <c r="D48" i="2"/>
  <c r="D37" i="2"/>
  <c r="W25" i="1"/>
  <c r="W17" i="1"/>
  <c r="I57" i="2"/>
  <c r="G15" i="1"/>
  <c r="G17" i="1" s="1"/>
  <c r="P32" i="1"/>
  <c r="N17" i="1"/>
  <c r="N26" i="1" s="1"/>
  <c r="P20" i="1"/>
  <c r="P26" i="1"/>
  <c r="U28" i="1"/>
  <c r="J24" i="1"/>
  <c r="J15" i="1"/>
  <c r="I25" i="1"/>
  <c r="L15" i="1"/>
  <c r="L24" i="1"/>
  <c r="E22" i="2"/>
  <c r="E17" i="1"/>
  <c r="E25" i="1"/>
  <c r="F25" i="1"/>
  <c r="F17" i="1"/>
  <c r="D20" i="1"/>
  <c r="D21" i="1" s="1"/>
  <c r="D26" i="1"/>
  <c r="O25" i="1"/>
  <c r="O17" i="1"/>
  <c r="M24" i="1"/>
  <c r="M15" i="1"/>
  <c r="D30" i="2"/>
  <c r="C25" i="1"/>
  <c r="C17" i="1"/>
  <c r="G36" i="2"/>
  <c r="H15" i="1"/>
  <c r="H24" i="1"/>
  <c r="Q17" i="1"/>
  <c r="Q25" i="1"/>
  <c r="F34" i="2"/>
  <c r="F17" i="2"/>
  <c r="E37" i="2"/>
  <c r="T15" i="1"/>
  <c r="F21" i="2"/>
  <c r="F38" i="2" s="1"/>
  <c r="D21" i="2"/>
  <c r="D38" i="2" s="1"/>
  <c r="H58" i="2"/>
  <c r="N20" i="1" l="1"/>
  <c r="R17" i="1"/>
  <c r="S20" i="1"/>
  <c r="K20" i="1"/>
  <c r="G25" i="1"/>
  <c r="O21" i="2"/>
  <c r="C24" i="2"/>
  <c r="S21" i="1"/>
  <c r="S25" i="1"/>
  <c r="J57" i="2"/>
  <c r="W20" i="1"/>
  <c r="Z45" i="1" s="1"/>
  <c r="W26" i="1"/>
  <c r="G35" i="2"/>
  <c r="C26" i="2"/>
  <c r="C32" i="2"/>
  <c r="J25" i="1"/>
  <c r="J17" i="1"/>
  <c r="G26" i="1"/>
  <c r="G20" i="1"/>
  <c r="I20" i="1"/>
  <c r="I21" i="1" s="1"/>
  <c r="I26" i="1"/>
  <c r="T17" i="1"/>
  <c r="T25" i="1"/>
  <c r="E20" i="1"/>
  <c r="E21" i="1" s="1"/>
  <c r="E26" i="1"/>
  <c r="H25" i="1"/>
  <c r="H17" i="1"/>
  <c r="H36" i="2"/>
  <c r="D22" i="2"/>
  <c r="E31" i="2"/>
  <c r="E24" i="2"/>
  <c r="C26" i="1"/>
  <c r="C20" i="1"/>
  <c r="Q20" i="1"/>
  <c r="Q26" i="1"/>
  <c r="E38" i="2"/>
  <c r="U24" i="1"/>
  <c r="I58" i="2"/>
  <c r="M25" i="1"/>
  <c r="M17" i="1"/>
  <c r="N21" i="1"/>
  <c r="K21" i="1"/>
  <c r="G37" i="2"/>
  <c r="F22" i="2"/>
  <c r="F30" i="2"/>
  <c r="O26" i="1"/>
  <c r="O20" i="1"/>
  <c r="R26" i="1"/>
  <c r="R20" i="1"/>
  <c r="F26" i="1"/>
  <c r="F20" i="1"/>
  <c r="L25" i="1"/>
  <c r="L17" i="1"/>
  <c r="P21" i="1"/>
  <c r="G38" i="2"/>
  <c r="Z49" i="1" l="1"/>
  <c r="Z46" i="1"/>
  <c r="Z48" i="1"/>
  <c r="Z47" i="1"/>
  <c r="P21" i="2"/>
  <c r="R21" i="1"/>
  <c r="Y45" i="1"/>
  <c r="X45" i="1"/>
  <c r="K57" i="2"/>
  <c r="W21" i="1"/>
  <c r="U25" i="1"/>
  <c r="H37" i="2"/>
  <c r="I21" i="2"/>
  <c r="H56" i="2"/>
  <c r="T26" i="1"/>
  <c r="T20" i="1"/>
  <c r="F45" i="1"/>
  <c r="C21" i="1"/>
  <c r="F21" i="1"/>
  <c r="F49" i="1"/>
  <c r="F48" i="1"/>
  <c r="F47" i="1"/>
  <c r="F46" i="1"/>
  <c r="J20" i="1"/>
  <c r="J21" i="1" s="1"/>
  <c r="J26" i="1"/>
  <c r="E26" i="2"/>
  <c r="E32" i="2"/>
  <c r="D31" i="2"/>
  <c r="D24" i="2"/>
  <c r="I36" i="2"/>
  <c r="G34" i="2"/>
  <c r="Q21" i="1"/>
  <c r="L20" i="1"/>
  <c r="L26" i="1"/>
  <c r="M26" i="1"/>
  <c r="M20" i="1"/>
  <c r="O21" i="1"/>
  <c r="R45" i="1"/>
  <c r="F31" i="2"/>
  <c r="F24" i="2"/>
  <c r="S45" i="1"/>
  <c r="Q45" i="1"/>
  <c r="G21" i="1"/>
  <c r="H38" i="2"/>
  <c r="J58" i="2"/>
  <c r="H20" i="1"/>
  <c r="H21" i="1" s="1"/>
  <c r="H26" i="1"/>
  <c r="C51" i="2"/>
  <c r="C27" i="2"/>
  <c r="C52" i="2"/>
  <c r="C54" i="2"/>
  <c r="C53" i="2"/>
  <c r="Q21" i="2" l="1"/>
  <c r="T21" i="1"/>
  <c r="V45" i="1"/>
  <c r="X49" i="1"/>
  <c r="X46" i="1"/>
  <c r="X48" i="1"/>
  <c r="X47" i="1"/>
  <c r="J45" i="1"/>
  <c r="J49" i="1" s="1"/>
  <c r="Y49" i="1"/>
  <c r="Y47" i="1"/>
  <c r="Y48" i="1"/>
  <c r="Y46" i="1"/>
  <c r="U45" i="1"/>
  <c r="K58" i="2"/>
  <c r="L58" i="2"/>
  <c r="L57" i="2"/>
  <c r="I38" i="2"/>
  <c r="I35" i="2"/>
  <c r="G30" i="2"/>
  <c r="E54" i="2"/>
  <c r="E51" i="2"/>
  <c r="E53" i="2"/>
  <c r="E27" i="2"/>
  <c r="E52" i="2"/>
  <c r="I56" i="2"/>
  <c r="I15" i="2"/>
  <c r="I37" i="2"/>
  <c r="Q49" i="1"/>
  <c r="Q46" i="1"/>
  <c r="Q48" i="1"/>
  <c r="Q47" i="1"/>
  <c r="J36" i="2"/>
  <c r="D32" i="2"/>
  <c r="D26" i="2"/>
  <c r="H34" i="2"/>
  <c r="S48" i="1"/>
  <c r="S47" i="1"/>
  <c r="S46" i="1"/>
  <c r="S49" i="1"/>
  <c r="F32" i="2"/>
  <c r="F26" i="2"/>
  <c r="R49" i="1"/>
  <c r="R48" i="1"/>
  <c r="R47" i="1"/>
  <c r="R46" i="1"/>
  <c r="M21" i="1"/>
  <c r="P45" i="1"/>
  <c r="O45" i="1"/>
  <c r="L21" i="1"/>
  <c r="N45" i="1"/>
  <c r="T45" i="1"/>
  <c r="R21" i="2" l="1"/>
  <c r="R37" i="2"/>
  <c r="S20" i="2"/>
  <c r="J48" i="1"/>
  <c r="J47" i="1"/>
  <c r="U48" i="1"/>
  <c r="U46" i="1"/>
  <c r="U49" i="1"/>
  <c r="U47" i="1"/>
  <c r="V49" i="1"/>
  <c r="V47" i="1"/>
  <c r="V48" i="1"/>
  <c r="V46" i="1"/>
  <c r="J46" i="1"/>
  <c r="D52" i="2"/>
  <c r="D51" i="2"/>
  <c r="D53" i="2"/>
  <c r="J21" i="2"/>
  <c r="J38" i="2" s="1"/>
  <c r="F54" i="2"/>
  <c r="F53" i="2"/>
  <c r="F51" i="2"/>
  <c r="J35" i="2"/>
  <c r="N49" i="1"/>
  <c r="N48" i="1"/>
  <c r="N47" i="1"/>
  <c r="N46" i="1"/>
  <c r="I34" i="2"/>
  <c r="P49" i="1"/>
  <c r="P48" i="1"/>
  <c r="P47" i="1"/>
  <c r="P46" i="1"/>
  <c r="J56" i="2"/>
  <c r="J15" i="2"/>
  <c r="U26" i="1"/>
  <c r="F27" i="2"/>
  <c r="F52" i="2"/>
  <c r="K36" i="2"/>
  <c r="T48" i="1"/>
  <c r="T47" i="1"/>
  <c r="T46" i="1"/>
  <c r="T49" i="1"/>
  <c r="D54" i="2"/>
  <c r="D27" i="2"/>
  <c r="G31" i="2"/>
  <c r="J37" i="2"/>
  <c r="O49" i="1"/>
  <c r="O48" i="1"/>
  <c r="O47" i="1"/>
  <c r="O46" i="1"/>
  <c r="S37" i="2" l="1"/>
  <c r="T20" i="2"/>
  <c r="S21" i="2"/>
  <c r="S38" i="2" s="1"/>
  <c r="H31" i="2"/>
  <c r="H30" i="2"/>
  <c r="I17" i="2" s="1"/>
  <c r="I16" i="2" s="1"/>
  <c r="K21" i="2"/>
  <c r="K38" i="2" s="1"/>
  <c r="L56" i="2"/>
  <c r="L15" i="2"/>
  <c r="N15" i="2" s="1"/>
  <c r="O15" i="2" s="1"/>
  <c r="P15" i="2" s="1"/>
  <c r="Q15" i="2" s="1"/>
  <c r="K35" i="2"/>
  <c r="G32" i="2"/>
  <c r="J34" i="2"/>
  <c r="L36" i="2"/>
  <c r="K37" i="2"/>
  <c r="K15" i="2"/>
  <c r="K56" i="2"/>
  <c r="R15" i="2" l="1"/>
  <c r="S15" i="2" s="1"/>
  <c r="T15" i="2" s="1"/>
  <c r="U15" i="2" s="1"/>
  <c r="V15" i="2" s="1"/>
  <c r="W15" i="2" s="1"/>
  <c r="W34" i="2" s="1"/>
  <c r="T37" i="2"/>
  <c r="T21" i="2"/>
  <c r="T38" i="2" s="1"/>
  <c r="U20" i="2"/>
  <c r="I30" i="2"/>
  <c r="J17" i="2" s="1"/>
  <c r="J16" i="2" s="1"/>
  <c r="I22" i="2"/>
  <c r="I31" i="2" s="1"/>
  <c r="G26" i="2"/>
  <c r="W45" i="1"/>
  <c r="L35" i="2"/>
  <c r="K34" i="2"/>
  <c r="L37" i="2"/>
  <c r="L21" i="2"/>
  <c r="L38" i="2" s="1"/>
  <c r="M36" i="2"/>
  <c r="U37" i="2" l="1"/>
  <c r="V20" i="2"/>
  <c r="U21" i="2"/>
  <c r="U38" i="2" s="1"/>
  <c r="J30" i="2"/>
  <c r="K17" i="2" s="1"/>
  <c r="K22" i="2" s="1"/>
  <c r="J22" i="2"/>
  <c r="J31" i="2" s="1"/>
  <c r="W48" i="1"/>
  <c r="W49" i="1"/>
  <c r="G27" i="2"/>
  <c r="G51" i="2"/>
  <c r="G53" i="2"/>
  <c r="G52" i="2"/>
  <c r="G54" i="2"/>
  <c r="W47" i="1"/>
  <c r="W46" i="1"/>
  <c r="M35" i="2"/>
  <c r="N21" i="2"/>
  <c r="M37" i="2"/>
  <c r="L34" i="2"/>
  <c r="M21" i="2"/>
  <c r="M38" i="2" s="1"/>
  <c r="N36" i="2"/>
  <c r="K16" i="2" l="1"/>
  <c r="K30" i="2"/>
  <c r="L17" i="2" s="1"/>
  <c r="L16" i="2" s="1"/>
  <c r="W20" i="2"/>
  <c r="V37" i="2"/>
  <c r="V21" i="2"/>
  <c r="V38" i="2" s="1"/>
  <c r="N35" i="2"/>
  <c r="K31" i="2"/>
  <c r="H32" i="2"/>
  <c r="L22" i="2"/>
  <c r="L30" i="2"/>
  <c r="M17" i="2" s="1"/>
  <c r="M34" i="2"/>
  <c r="N38" i="2"/>
  <c r="O36" i="2"/>
  <c r="N37" i="2"/>
  <c r="W37" i="2" l="1"/>
  <c r="W21" i="2"/>
  <c r="W38" i="2" s="1"/>
  <c r="H26" i="2"/>
  <c r="O35" i="2"/>
  <c r="N34" i="2"/>
  <c r="P36" i="2"/>
  <c r="M22" i="2"/>
  <c r="M30" i="2"/>
  <c r="N17" i="2" s="1"/>
  <c r="L31" i="2"/>
  <c r="M16" i="2"/>
  <c r="O37" i="2"/>
  <c r="O38" i="2"/>
  <c r="H54" i="2" l="1"/>
  <c r="H53" i="2"/>
  <c r="H52" i="2"/>
  <c r="H51" i="2"/>
  <c r="H27" i="2"/>
  <c r="P35" i="2"/>
  <c r="N22" i="2"/>
  <c r="N30" i="2"/>
  <c r="O17" i="2" s="1"/>
  <c r="N16" i="2"/>
  <c r="P37" i="2"/>
  <c r="M31" i="2"/>
  <c r="P38" i="2"/>
  <c r="Q36" i="2"/>
  <c r="R38" i="2"/>
  <c r="O34" i="2"/>
  <c r="Q35" i="2" l="1"/>
  <c r="O30" i="2"/>
  <c r="P17" i="2" s="1"/>
  <c r="P16" i="2" s="1"/>
  <c r="O22" i="2"/>
  <c r="O16" i="2"/>
  <c r="P34" i="2"/>
  <c r="Q38" i="2"/>
  <c r="I23" i="2"/>
  <c r="I24" i="2" s="1"/>
  <c r="Q37" i="2"/>
  <c r="N31" i="2"/>
  <c r="R34" i="2" l="1"/>
  <c r="I25" i="2"/>
  <c r="I32" i="2" s="1"/>
  <c r="O31" i="2"/>
  <c r="Q34" i="2"/>
  <c r="P22" i="2"/>
  <c r="P30" i="2"/>
  <c r="Q17" i="2" s="1"/>
  <c r="S34" i="2" l="1"/>
  <c r="I26" i="2"/>
  <c r="Q22" i="2"/>
  <c r="Q30" i="2"/>
  <c r="R17" i="2" s="1"/>
  <c r="Q16" i="2"/>
  <c r="P31" i="2"/>
  <c r="R22" i="2" l="1"/>
  <c r="R30" i="2"/>
  <c r="S17" i="2" s="1"/>
  <c r="R16" i="2"/>
  <c r="T34" i="2"/>
  <c r="I27" i="2"/>
  <c r="I40" i="2"/>
  <c r="J23" i="2" s="1"/>
  <c r="J24" i="2" s="1"/>
  <c r="Q31" i="2"/>
  <c r="U34" i="2" l="1"/>
  <c r="S30" i="2"/>
  <c r="T17" i="2" s="1"/>
  <c r="S22" i="2"/>
  <c r="S16" i="2"/>
  <c r="R31" i="2"/>
  <c r="J25" i="2"/>
  <c r="J32" i="2" s="1"/>
  <c r="S31" i="2" l="1"/>
  <c r="T30" i="2"/>
  <c r="U17" i="2" s="1"/>
  <c r="T22" i="2"/>
  <c r="T16" i="2"/>
  <c r="V34" i="2"/>
  <c r="J26" i="2"/>
  <c r="J40" i="2" l="1"/>
  <c r="T31" i="2"/>
  <c r="U16" i="2"/>
  <c r="U30" i="2"/>
  <c r="V17" i="2" s="1"/>
  <c r="U22" i="2"/>
  <c r="J27" i="2"/>
  <c r="K23" i="2"/>
  <c r="K24" i="2" s="1"/>
  <c r="U31" i="2" l="1"/>
  <c r="V30" i="2"/>
  <c r="W17" i="2" s="1"/>
  <c r="V22" i="2"/>
  <c r="V16" i="2"/>
  <c r="K25" i="2"/>
  <c r="K32" i="2" s="1"/>
  <c r="W22" i="2" l="1"/>
  <c r="W30" i="2"/>
  <c r="W16" i="2"/>
  <c r="V31" i="2"/>
  <c r="K26" i="2"/>
  <c r="W31" i="2" l="1"/>
  <c r="K27" i="2"/>
  <c r="K40" i="2"/>
  <c r="L23" i="2" s="1"/>
  <c r="L24" i="2" s="1"/>
  <c r="L25" i="2" l="1"/>
  <c r="L32" i="2" s="1"/>
  <c r="L26" i="2" l="1"/>
  <c r="L27" i="2"/>
  <c r="L40" i="2"/>
  <c r="M23" i="2" l="1"/>
  <c r="M24" i="2" s="1"/>
  <c r="M25" i="2" l="1"/>
  <c r="M32" i="2" s="1"/>
  <c r="M26" i="2" l="1"/>
  <c r="M27" i="2"/>
  <c r="M40" i="2"/>
  <c r="N23" i="2" l="1"/>
  <c r="N24" i="2" s="1"/>
  <c r="N25" i="2" l="1"/>
  <c r="N32" i="2" s="1"/>
  <c r="N26" i="2" l="1"/>
  <c r="N27" i="2" l="1"/>
  <c r="N40" i="2"/>
  <c r="O23" i="2" l="1"/>
  <c r="O24" i="2" s="1"/>
  <c r="O25" i="2" l="1"/>
  <c r="O32" i="2" s="1"/>
  <c r="O26" i="2" l="1"/>
  <c r="O27" i="2" s="1"/>
  <c r="O40" i="2"/>
  <c r="P23" i="2" l="1"/>
  <c r="P24" i="2" s="1"/>
  <c r="P25" i="2" l="1"/>
  <c r="P32" i="2" s="1"/>
  <c r="P26" i="2" l="1"/>
  <c r="P27" i="2" s="1"/>
  <c r="P40" i="2"/>
  <c r="Q23" i="2" l="1"/>
  <c r="Q24" i="2" s="1"/>
  <c r="Q25" i="2" l="1"/>
  <c r="Q32" i="2" s="1"/>
  <c r="Q26" i="2" l="1"/>
  <c r="Q27" i="2" l="1"/>
  <c r="Q40" i="2"/>
  <c r="R23" i="2" l="1"/>
  <c r="R24" i="2" s="1"/>
  <c r="R25" i="2" l="1"/>
  <c r="R32" i="2" s="1"/>
  <c r="R26" i="2"/>
  <c r="R27" i="2" l="1"/>
  <c r="R40" i="2"/>
  <c r="S23" i="2" l="1"/>
  <c r="S24" i="2" s="1"/>
  <c r="S25" i="2" l="1"/>
  <c r="S32" i="2" s="1"/>
  <c r="S26" i="2"/>
  <c r="S27" i="2" l="1"/>
  <c r="S40" i="2"/>
  <c r="T23" i="2" l="1"/>
  <c r="T24" i="2" s="1"/>
  <c r="T25" i="2" l="1"/>
  <c r="T32" i="2" s="1"/>
  <c r="T26" i="2" l="1"/>
  <c r="T27" i="2" l="1"/>
  <c r="T40" i="2"/>
  <c r="U23" i="2" l="1"/>
  <c r="U24" i="2" s="1"/>
  <c r="U25" i="2" l="1"/>
  <c r="U32" i="2" s="1"/>
  <c r="U26" i="2" l="1"/>
  <c r="U27" i="2" s="1"/>
  <c r="U40" i="2"/>
  <c r="V23" i="2" l="1"/>
  <c r="V24" i="2" s="1"/>
  <c r="V25" i="2" l="1"/>
  <c r="V32" i="2" s="1"/>
  <c r="V26" i="2" l="1"/>
  <c r="V27" i="2" l="1"/>
  <c r="V40" i="2"/>
  <c r="W23" i="2" l="1"/>
  <c r="W24" i="2" s="1"/>
  <c r="W25" i="2" l="1"/>
  <c r="W32" i="2" s="1"/>
  <c r="W26" i="2"/>
  <c r="W27" i="2" l="1"/>
  <c r="X26" i="2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s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S26" i="2" s="1"/>
  <c r="FT26" i="2" s="1"/>
  <c r="FU26" i="2" s="1"/>
  <c r="FV26" i="2" s="1"/>
  <c r="FW26" i="2" s="1"/>
  <c r="FX26" i="2" s="1"/>
  <c r="FY26" i="2" s="1"/>
  <c r="FZ26" i="2" s="1"/>
  <c r="GA26" i="2" s="1"/>
  <c r="GB26" i="2" s="1"/>
  <c r="GC26" i="2" s="1"/>
  <c r="GD26" i="2" s="1"/>
  <c r="GE26" i="2" s="1"/>
  <c r="GF26" i="2" s="1"/>
  <c r="GG26" i="2" s="1"/>
  <c r="GH26" i="2" s="1"/>
  <c r="GI26" i="2" s="1"/>
  <c r="GJ26" i="2" s="1"/>
  <c r="GK26" i="2" s="1"/>
  <c r="GL26" i="2" s="1"/>
  <c r="GM26" i="2" s="1"/>
  <c r="GN26" i="2" s="1"/>
  <c r="GO26" i="2" s="1"/>
  <c r="GP26" i="2" s="1"/>
  <c r="GQ26" i="2" s="1"/>
  <c r="GR26" i="2" s="1"/>
  <c r="GS26" i="2" s="1"/>
  <c r="W40" i="2"/>
  <c r="G7" i="2" l="1"/>
  <c r="G8" i="2" s="1"/>
  <c r="H8" i="2" s="1"/>
</calcChain>
</file>

<file path=xl/sharedStrings.xml><?xml version="1.0" encoding="utf-8"?>
<sst xmlns="http://schemas.openxmlformats.org/spreadsheetml/2006/main" count="164" uniqueCount="119">
  <si>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</si>
  <si>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</si>
  <si>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</si>
  <si>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</si>
  <si>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</si>
  <si>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</si>
  <si>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</si>
  <si>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</si>
  <si>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</si>
  <si>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</si>
  <si>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</si>
  <si>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</si>
  <si>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</si>
  <si>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</si>
  <si>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</si>
  <si>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</si>
  <si>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</si>
  <si>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</si>
  <si>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</si>
  <si>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</si>
  <si>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</si>
  <si>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</si>
  <si>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</si>
  <si>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</si>
  <si>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</si>
  <si>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</si>
  <si>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</si>
  <si>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</si>
  <si>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</si>
  <si>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</si>
  <si>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</si>
  <si>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</si>
  <si>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</si>
  <si>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</si>
  <si>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</si>
  <si>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</si>
  <si>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</si>
  <si>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</si>
  <si>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Q115</t>
  </si>
  <si>
    <t>Q215</t>
  </si>
  <si>
    <t>Q315</t>
  </si>
  <si>
    <t>Q415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</si>
  <si>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</si>
  <si>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</si>
  <si>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</si>
  <si>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</si>
  <si>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</si>
  <si>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</si>
  <si>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</si>
  <si>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</si>
  <si>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</si>
  <si>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</si>
  <si>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</si>
  <si>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</si>
  <si>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</si>
  <si>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</si>
  <si>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</si>
  <si>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</si>
  <si>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</si>
  <si>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</si>
  <si>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</si>
  <si>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</si>
  <si>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</si>
  <si>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</si>
  <si>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</si>
  <si>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Tax anomaly</t>
  </si>
  <si>
    <t>Adobe Inc (ADBE)</t>
  </si>
  <si>
    <t>John Warnock</t>
  </si>
  <si>
    <t>Charles Geschke</t>
  </si>
  <si>
    <t>Shantanu Narayen</t>
  </si>
  <si>
    <t>Subscription</t>
  </si>
  <si>
    <t>Product</t>
  </si>
  <si>
    <t>Servcies and support</t>
  </si>
  <si>
    <t>Subscription y/y</t>
  </si>
  <si>
    <t>Product y/y</t>
  </si>
  <si>
    <t>Servcies and support y/y</t>
  </si>
  <si>
    <t>30/11/2018</t>
  </si>
  <si>
    <t>1/3/2019</t>
  </si>
  <si>
    <t>2/3/2018</t>
  </si>
  <si>
    <t>Operating Expenses y/y</t>
  </si>
  <si>
    <t>1/12/2017</t>
  </si>
  <si>
    <t>31/8/2018</t>
  </si>
  <si>
    <t>1/9/2017</t>
  </si>
  <si>
    <t>1/6/2018</t>
  </si>
  <si>
    <t>2/6/2017</t>
  </si>
  <si>
    <t>3/3/2017</t>
  </si>
  <si>
    <t>2/12/2016</t>
  </si>
  <si>
    <t>27/11/2015</t>
  </si>
  <si>
    <t>2/9/2016</t>
  </si>
  <si>
    <t>28/8/2015</t>
  </si>
  <si>
    <t>3/6/2016</t>
  </si>
  <si>
    <t>29/5/2015</t>
  </si>
  <si>
    <t>4/3/2016</t>
  </si>
  <si>
    <t>27/2/2015</t>
  </si>
  <si>
    <t>31/5/2019</t>
  </si>
  <si>
    <t>Q120</t>
  </si>
  <si>
    <t>Q420</t>
  </si>
  <si>
    <t>30/8/2019</t>
  </si>
  <si>
    <t>29/11/2019</t>
  </si>
  <si>
    <t>Acrobat</t>
  </si>
  <si>
    <t>Allegorithmic</t>
  </si>
  <si>
    <t>Behance</t>
  </si>
  <si>
    <t>Creative Cloud</t>
  </si>
  <si>
    <t>Magento</t>
  </si>
  <si>
    <t>Marketo</t>
  </si>
  <si>
    <t>Reader</t>
  </si>
  <si>
    <t>Q220</t>
  </si>
  <si>
    <t>Q320</t>
  </si>
  <si>
    <t>PRODUCTS</t>
  </si>
  <si>
    <t>Adobe Suite</t>
  </si>
  <si>
    <t>Photoshop, Lightroom, Illustrator, etc.</t>
  </si>
  <si>
    <t>Q121</t>
  </si>
  <si>
    <t>Q221</t>
  </si>
  <si>
    <t>Q321</t>
  </si>
  <si>
    <t>Q421</t>
  </si>
  <si>
    <t>Net Income TTM</t>
  </si>
  <si>
    <t>Revenue TTM</t>
  </si>
  <si>
    <t>Revenue TTM y/y</t>
  </si>
  <si>
    <t>INVESTOR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</si>
</sst>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3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165" fontId="6" fillId="0" borderId="0" xfId="0" applyNumberFormat="1" applyFont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14" fontId="6" fillId="0" borderId="0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/>
    <xf numFmtId="0" fontId="4" fillId="0" borderId="0" xfId="4" applyFont="1" applyBorder="1" applyAlignment="1">
      <alignment horizontal="left"/>
    </xf>
    <xf numFmtId="3" fontId="6" fillId="0" borderId="0" xfId="0" applyNumberFormat="1" applyFont="1" applyBorder="1" applyAlignment="1">
      <alignment horizontal="left"/>
    </xf>
    <xf numFmtId="3" fontId="5" fillId="0" borderId="0" xfId="0" applyNumberFormat="1" applyFont="1" applyBorder="1" applyAlignment="1">
      <alignment horizontal="left"/>
    </xf>
    <xf numFmtId="4" fontId="6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4" fontId="6" fillId="0" borderId="0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9" fontId="5" fillId="0" borderId="0" xfId="0" applyNumberFormat="1" applyFont="1" applyBorder="1"/>
    <xf numFmtId="9" fontId="5" fillId="0" borderId="0" xfId="0" applyNumberFormat="1" applyFont="1" applyBorder="1" applyAlignment="1">
      <alignment horizontal="left"/>
    </xf>
    <xf numFmtId="9" fontId="5" fillId="0" borderId="0" xfId="0" applyNumberFormat="1" applyFont="1" applyBorder="1" applyAlignment="1">
      <alignment horizontal="right"/>
    </xf>
    <xf numFmtId="9" fontId="5" fillId="0" borderId="1" xfId="0" applyNumberFormat="1" applyFont="1" applyBorder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8</xdr:row>
      <xdr:rowOff>152400</xdr:rowOff>
    </xdr:from>
    <xdr:to>
      <xdr:col>8</xdr:col>
      <xdr:colOff>144780</xdr:colOff>
      <xdr:row>59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637020" y="1290320"/>
          <a:ext cx="0" cy="89636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246380</xdr:colOff>
      <xdr:row>1</xdr:row>
      <xdr:rowOff>152400</xdr:rowOff>
    </xdr:from>
    <xdr:to>
      <xdr:col>26</xdr:col>
      <xdr:colOff>246380</xdr:colOff>
      <xdr:row>57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1551900" y="152400"/>
          <a:ext cx="0" cy="846328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Charles_Geschke" TargetMode="External"/><Relationship Id="rId2" Type="http://schemas.openxmlformats.org/officeDocument/2006/relationships/hyperlink" Target="https://en.wikipedia.org/wiki/John_Warnock" TargetMode="External"/><Relationship Id="rId1" Type="http://schemas.openxmlformats.org/officeDocument/2006/relationships/hyperlink" Target="https://www.adobe.com/investor-relations.html?promoid=2XBSC4VN&amp;mv=other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n.wikipedia.org/wiki/Shantanu_Naray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AD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58"/>
  <sheetViews>
    <sheetView tabSelected="1" zoomScale="125" zoomScaleNormal="125" workbookViewId="0">
      <pane xSplit="2" ySplit="10" topLeftCell="C11" activePane="bottomRight" state="frozen"/>
      <selection pane="topRight" activeCell="B1" sqref="B1"/>
      <selection pane="bottomLeft" activeCell="A11" sqref="A11"/>
      <selection pane="bottomRight" activeCell="J18" sqref="J18"/>
    </sheetView>
  </sheetViews>
  <sheetFormatPr baseColWidth="10" defaultRowHeight="13" x14ac:dyDescent="0.15"/>
  <cols>
    <col min="1" max="1" width="9.83203125" style="3" bestFit="1" customWidth="1"/>
    <col min="2" max="2" width="20.33203125" style="3" bestFit="1" customWidth="1"/>
    <col min="3" max="16384" width="10.83203125" style="3"/>
  </cols>
  <sheetData>
    <row r="1" spans="1:118" x14ac:dyDescent="0.15">
      <c r="A1" s="1" t="s">
        <v>118</v>
      </c>
    </row>
    <row r="2" spans="1:118" x14ac:dyDescent="0.15">
      <c r="C2" s="2" t="s">
        <v>66</v>
      </c>
    </row>
    <row r="3" spans="1:118" x14ac:dyDescent="0.15">
      <c r="C3" s="3" t="s">
        <v>48</v>
      </c>
      <c r="D3" s="4">
        <v>459.67</v>
      </c>
      <c r="E3" s="62">
        <v>44253</v>
      </c>
      <c r="F3" s="6" t="s">
        <v>29</v>
      </c>
      <c r="G3" s="7">
        <v>-0.01</v>
      </c>
      <c r="J3" s="16"/>
      <c r="M3" s="2"/>
    </row>
    <row r="4" spans="1:118" x14ac:dyDescent="0.15">
      <c r="B4" s="2" t="s">
        <v>46</v>
      </c>
      <c r="C4" s="3" t="s">
        <v>17</v>
      </c>
      <c r="D4" s="8">
        <f>Reports!Z22</f>
        <v>484</v>
      </c>
      <c r="E4" s="63" t="s">
        <v>96</v>
      </c>
      <c r="F4" s="6" t="s">
        <v>30</v>
      </c>
      <c r="G4" s="7">
        <v>0.02</v>
      </c>
      <c r="H4" s="5"/>
      <c r="J4" s="16"/>
    </row>
    <row r="5" spans="1:118" x14ac:dyDescent="0.15">
      <c r="B5" s="9" t="s">
        <v>69</v>
      </c>
      <c r="C5" s="3" t="s">
        <v>49</v>
      </c>
      <c r="D5" s="10">
        <f>D3*D4</f>
        <v>222480.28</v>
      </c>
      <c r="E5" s="63"/>
      <c r="F5" s="6" t="s">
        <v>31</v>
      </c>
      <c r="G5" s="7">
        <v>0.05</v>
      </c>
      <c r="H5" s="5"/>
      <c r="J5" s="19"/>
      <c r="M5" s="9"/>
    </row>
    <row r="6" spans="1:118" x14ac:dyDescent="0.15">
      <c r="C6" s="3" t="s">
        <v>26</v>
      </c>
      <c r="D6" s="8">
        <f>Reports!Z34</f>
        <v>1875</v>
      </c>
      <c r="E6" s="63" t="s">
        <v>96</v>
      </c>
      <c r="F6" s="6" t="s">
        <v>32</v>
      </c>
      <c r="G6" s="11">
        <f>NPV(G5,I26:GS26)</f>
        <v>365401.30404750502</v>
      </c>
      <c r="H6" s="5"/>
      <c r="J6" s="19"/>
    </row>
    <row r="7" spans="1:118" x14ac:dyDescent="0.15">
      <c r="B7" s="2" t="s">
        <v>47</v>
      </c>
      <c r="C7" s="3" t="s">
        <v>50</v>
      </c>
      <c r="D7" s="10">
        <f>D5-D6</f>
        <v>220605.28</v>
      </c>
      <c r="E7" s="63"/>
      <c r="F7" s="12" t="s">
        <v>33</v>
      </c>
      <c r="G7" s="13">
        <f>G6+D6</f>
        <v>367276.30404750502</v>
      </c>
      <c r="J7" s="19"/>
    </row>
    <row r="8" spans="1:118" x14ac:dyDescent="0.15">
      <c r="B8" s="9" t="s">
        <v>67</v>
      </c>
      <c r="C8" s="5" t="s">
        <v>51</v>
      </c>
      <c r="D8" s="44">
        <f>D7/D4</f>
        <v>455.79603305785122</v>
      </c>
      <c r="E8" s="63"/>
      <c r="F8" s="14" t="s">
        <v>51</v>
      </c>
      <c r="G8" s="43">
        <f>G7/D4</f>
        <v>758.83533894112611</v>
      </c>
      <c r="H8" s="19">
        <f>G8/D3-1</f>
        <v>0.65082632963022613</v>
      </c>
    </row>
    <row r="9" spans="1:118" x14ac:dyDescent="0.15">
      <c r="B9" s="9" t="s">
        <v>68</v>
      </c>
      <c r="F9" s="6"/>
      <c r="G9" s="15"/>
    </row>
    <row r="10" spans="1:118" x14ac:dyDescent="0.15">
      <c r="C10" s="39">
        <v>2015</v>
      </c>
      <c r="D10" s="39">
        <v>2016</v>
      </c>
      <c r="E10" s="39">
        <v>2017</v>
      </c>
      <c r="F10" s="39">
        <f>E10+1</f>
        <v>2018</v>
      </c>
      <c r="G10" s="39">
        <f t="shared" ref="G10:W10" si="0">F10+1</f>
        <v>2019</v>
      </c>
      <c r="H10" s="39">
        <f t="shared" si="0"/>
        <v>2020</v>
      </c>
      <c r="I10" s="39">
        <f t="shared" si="0"/>
        <v>2021</v>
      </c>
      <c r="J10" s="39">
        <f t="shared" si="0"/>
        <v>2022</v>
      </c>
      <c r="K10" s="39">
        <f t="shared" si="0"/>
        <v>2023</v>
      </c>
      <c r="L10" s="39">
        <f t="shared" si="0"/>
        <v>2024</v>
      </c>
      <c r="M10" s="39">
        <f t="shared" si="0"/>
        <v>2025</v>
      </c>
      <c r="N10" s="39">
        <f t="shared" si="0"/>
        <v>2026</v>
      </c>
      <c r="O10" s="39">
        <f t="shared" si="0"/>
        <v>2027</v>
      </c>
      <c r="P10" s="39">
        <f t="shared" si="0"/>
        <v>2028</v>
      </c>
      <c r="Q10" s="39">
        <f t="shared" si="0"/>
        <v>2029</v>
      </c>
      <c r="R10" s="39">
        <f t="shared" si="0"/>
        <v>2030</v>
      </c>
      <c r="S10" s="39">
        <f t="shared" si="0"/>
        <v>2031</v>
      </c>
      <c r="T10" s="39">
        <f t="shared" si="0"/>
        <v>2032</v>
      </c>
      <c r="U10" s="39">
        <f t="shared" si="0"/>
        <v>2033</v>
      </c>
      <c r="V10" s="39">
        <f t="shared" si="0"/>
        <v>2034</v>
      </c>
      <c r="W10" s="39">
        <f t="shared" si="0"/>
        <v>2035</v>
      </c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</row>
    <row r="11" spans="1:118" x14ac:dyDescent="0.15">
      <c r="B11" s="8" t="s">
        <v>70</v>
      </c>
      <c r="C11" s="23">
        <f>SUM(Reports!C4:F4)</f>
        <v>3223.9040000000005</v>
      </c>
      <c r="D11" s="23">
        <f>SUM(Reports!G4:J4)</f>
        <v>4584.8330000000005</v>
      </c>
      <c r="E11" s="38">
        <f>SUM(Reports!K4:N4)</f>
        <v>6133.8690000000006</v>
      </c>
      <c r="F11" s="38">
        <f>SUM(Reports!O4:R4)</f>
        <v>7922.152</v>
      </c>
      <c r="G11" s="38">
        <f>SUM(Reports!S4:V4)</f>
        <v>9994.4639999999999</v>
      </c>
      <c r="H11" s="38">
        <f>SUM(Reports!W4:Z4)</f>
        <v>11814</v>
      </c>
      <c r="I11" s="38">
        <f>H11*1.15</f>
        <v>13586.099999999999</v>
      </c>
      <c r="J11" s="38">
        <f t="shared" ref="J11:M11" si="1">I11*1.15</f>
        <v>15624.014999999998</v>
      </c>
      <c r="K11" s="38">
        <f t="shared" si="1"/>
        <v>17967.617249999996</v>
      </c>
      <c r="L11" s="38">
        <f t="shared" si="1"/>
        <v>20662.759837499994</v>
      </c>
      <c r="M11" s="38">
        <f t="shared" si="1"/>
        <v>23762.173813124991</v>
      </c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</row>
    <row r="12" spans="1:118" x14ac:dyDescent="0.15">
      <c r="B12" s="8" t="s">
        <v>71</v>
      </c>
      <c r="C12" s="23">
        <f>SUM(Reports!C5:F5)</f>
        <v>1125.1460000000002</v>
      </c>
      <c r="D12" s="23">
        <f>SUM(Reports!G5:J5)</f>
        <v>800.49800000000005</v>
      </c>
      <c r="E12" s="38">
        <f>SUM(Reports!K5:N5)</f>
        <v>706.76699999999994</v>
      </c>
      <c r="F12" s="38">
        <f>SUM(Reports!O5:R5)</f>
        <v>622.15300000000002</v>
      </c>
      <c r="G12" s="38">
        <f>SUM(Reports!S5:V5)</f>
        <v>647.78800000000001</v>
      </c>
      <c r="H12" s="38">
        <f>SUM(Reports!W5:Z5)</f>
        <v>507</v>
      </c>
      <c r="I12" s="38">
        <f>H12*0.9</f>
        <v>456.3</v>
      </c>
      <c r="J12" s="38">
        <f t="shared" ref="J12:M12" si="2">I12*0.9</f>
        <v>410.67</v>
      </c>
      <c r="K12" s="38">
        <f t="shared" si="2"/>
        <v>369.60300000000001</v>
      </c>
      <c r="L12" s="38">
        <f t="shared" si="2"/>
        <v>332.64269999999999</v>
      </c>
      <c r="M12" s="38">
        <f t="shared" si="2"/>
        <v>299.37842999999998</v>
      </c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</row>
    <row r="13" spans="1:118" x14ac:dyDescent="0.15">
      <c r="B13" s="8" t="s">
        <v>72</v>
      </c>
      <c r="C13" s="23">
        <f>SUM(Reports!C6:F6)</f>
        <v>446.46100000000001</v>
      </c>
      <c r="D13" s="23">
        <f>SUM(Reports!G6:J6)</f>
        <v>469.09900000000005</v>
      </c>
      <c r="E13" s="38">
        <f>SUM(Reports!K6:N6)</f>
        <v>460.86900000000003</v>
      </c>
      <c r="F13" s="38">
        <f>SUM(Reports!O6:R6)</f>
        <v>485.70299999999997</v>
      </c>
      <c r="G13" s="38">
        <f>SUM(Reports!S6:V6)</f>
        <v>529.04399999999998</v>
      </c>
      <c r="H13" s="38">
        <f>SUM(Reports!W6:Z6)</f>
        <v>547</v>
      </c>
      <c r="I13" s="38">
        <f>H13*1.05</f>
        <v>574.35</v>
      </c>
      <c r="J13" s="38">
        <f t="shared" ref="J13:M13" si="3">I13*1.05</f>
        <v>603.0675</v>
      </c>
      <c r="K13" s="38">
        <f t="shared" si="3"/>
        <v>633.22087499999998</v>
      </c>
      <c r="L13" s="38">
        <f t="shared" si="3"/>
        <v>664.88191874999995</v>
      </c>
      <c r="M13" s="38">
        <f t="shared" si="3"/>
        <v>698.12601468749995</v>
      </c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</row>
    <row r="14" spans="1:118" s="39" customFormat="1" x14ac:dyDescent="0.15">
      <c r="G14" s="38">
        <v>11150</v>
      </c>
      <c r="I14" s="38">
        <v>15150</v>
      </c>
      <c r="J14" s="38"/>
    </row>
    <row r="15" spans="1:118" x14ac:dyDescent="0.15">
      <c r="B15" s="2" t="s">
        <v>4</v>
      </c>
      <c r="C15" s="24">
        <f t="shared" ref="C15:M15" si="4">SUM(C11:C13)</f>
        <v>4795.5110000000013</v>
      </c>
      <c r="D15" s="24">
        <f t="shared" si="4"/>
        <v>5854.43</v>
      </c>
      <c r="E15" s="24">
        <f t="shared" si="4"/>
        <v>7301.5050000000001</v>
      </c>
      <c r="F15" s="24">
        <f t="shared" si="4"/>
        <v>9030.0079999999998</v>
      </c>
      <c r="G15" s="24">
        <f t="shared" si="4"/>
        <v>11171.296</v>
      </c>
      <c r="H15" s="24">
        <f t="shared" si="4"/>
        <v>12868</v>
      </c>
      <c r="I15" s="47">
        <f t="shared" si="4"/>
        <v>14616.749999999998</v>
      </c>
      <c r="J15" s="47">
        <f t="shared" si="4"/>
        <v>16637.752499999999</v>
      </c>
      <c r="K15" s="47">
        <f t="shared" si="4"/>
        <v>18970.441124999994</v>
      </c>
      <c r="L15" s="47">
        <f t="shared" si="4"/>
        <v>21660.284456249996</v>
      </c>
      <c r="M15" s="47">
        <f t="shared" si="4"/>
        <v>24759.678257812491</v>
      </c>
      <c r="N15" s="47">
        <f t="shared" ref="N15:R15" si="5">M15*1.1</f>
        <v>27235.646083593743</v>
      </c>
      <c r="O15" s="47">
        <f t="shared" si="5"/>
        <v>29959.210691953122</v>
      </c>
      <c r="P15" s="47">
        <f t="shared" si="5"/>
        <v>32955.131761148434</v>
      </c>
      <c r="Q15" s="47">
        <f t="shared" si="5"/>
        <v>36250.644937263278</v>
      </c>
      <c r="R15" s="47">
        <f t="shared" si="5"/>
        <v>39875.709430989606</v>
      </c>
      <c r="S15" s="47">
        <f t="shared" ref="S15:W15" si="6">R15*1.05</f>
        <v>41869.494902539089</v>
      </c>
      <c r="T15" s="47">
        <f t="shared" si="6"/>
        <v>43962.969647666047</v>
      </c>
      <c r="U15" s="47">
        <f t="shared" si="6"/>
        <v>46161.118130049348</v>
      </c>
      <c r="V15" s="47">
        <f t="shared" si="6"/>
        <v>48469.17403655182</v>
      </c>
      <c r="W15" s="47">
        <f t="shared" si="6"/>
        <v>50892.632738379412</v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</row>
    <row r="16" spans="1:118" x14ac:dyDescent="0.15">
      <c r="B16" s="3" t="s">
        <v>5</v>
      </c>
      <c r="C16" s="23">
        <f>SUM(Reports!C9:F9)</f>
        <v>744.31700000000001</v>
      </c>
      <c r="D16" s="23">
        <f>SUM(Reports!G9:J9)</f>
        <v>819.90800000000002</v>
      </c>
      <c r="E16" s="38">
        <f>SUM(Reports!K9:N9)</f>
        <v>1010.491</v>
      </c>
      <c r="F16" s="38">
        <f>SUM(Reports!O9:R9)</f>
        <v>1194.999</v>
      </c>
      <c r="G16" s="38">
        <f>SUM(Reports!S9:V9)</f>
        <v>1672.72</v>
      </c>
      <c r="H16" s="38">
        <f>SUM(Reports!W9:Z9)</f>
        <v>1722</v>
      </c>
      <c r="I16" s="23">
        <f t="shared" ref="I16" si="7">I15-I17</f>
        <v>1956.0183012123089</v>
      </c>
      <c r="J16" s="23">
        <f t="shared" ref="J16:Q16" si="8">J15-J17</f>
        <v>2226.4695216816908</v>
      </c>
      <c r="K16" s="23">
        <f t="shared" si="8"/>
        <v>2538.630682099003</v>
      </c>
      <c r="L16" s="23">
        <f>L15-L17</f>
        <v>2898.5864029889999</v>
      </c>
      <c r="M16" s="23">
        <f t="shared" si="8"/>
        <v>3313.3483027629045</v>
      </c>
      <c r="N16" s="23">
        <f t="shared" si="8"/>
        <v>3644.6831330391979</v>
      </c>
      <c r="O16" s="23">
        <f t="shared" si="8"/>
        <v>4009.1514463431158</v>
      </c>
      <c r="P16" s="23">
        <f t="shared" si="8"/>
        <v>4410.0665909774289</v>
      </c>
      <c r="Q16" s="23">
        <f t="shared" si="8"/>
        <v>4851.0732500751728</v>
      </c>
      <c r="R16" s="23">
        <f t="shared" ref="R16:V16" si="9">R15-R17</f>
        <v>5336.1805750826898</v>
      </c>
      <c r="S16" s="23">
        <f t="shared" si="9"/>
        <v>5602.9896038368242</v>
      </c>
      <c r="T16" s="23">
        <f t="shared" si="9"/>
        <v>5883.1390840286622</v>
      </c>
      <c r="U16" s="23">
        <f t="shared" si="9"/>
        <v>6177.2960382300953</v>
      </c>
      <c r="V16" s="23">
        <f t="shared" si="9"/>
        <v>6486.1608401416015</v>
      </c>
      <c r="W16" s="23">
        <f t="shared" ref="W16" si="10">W15-W17</f>
        <v>6810.4688821486852</v>
      </c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</row>
    <row r="17" spans="2:201" x14ac:dyDescent="0.15">
      <c r="B17" s="3" t="s">
        <v>6</v>
      </c>
      <c r="C17" s="27">
        <f t="shared" ref="C17:H17" si="11">C15-C16</f>
        <v>4051.1940000000013</v>
      </c>
      <c r="D17" s="27">
        <f t="shared" si="11"/>
        <v>5034.5219999999999</v>
      </c>
      <c r="E17" s="27">
        <f t="shared" si="11"/>
        <v>6291.0140000000001</v>
      </c>
      <c r="F17" s="27">
        <f t="shared" si="11"/>
        <v>7835.009</v>
      </c>
      <c r="G17" s="27">
        <f t="shared" si="11"/>
        <v>9498.5760000000009</v>
      </c>
      <c r="H17" s="27">
        <f t="shared" si="11"/>
        <v>11146</v>
      </c>
      <c r="I17" s="23">
        <f t="shared" ref="I17:W17" si="12">I15*H30</f>
        <v>12660.731698787689</v>
      </c>
      <c r="J17" s="23">
        <f t="shared" si="12"/>
        <v>14411.282978318308</v>
      </c>
      <c r="K17" s="23">
        <f t="shared" si="12"/>
        <v>16431.810442900991</v>
      </c>
      <c r="L17" s="23">
        <f>L15*K30</f>
        <v>18761.698053260996</v>
      </c>
      <c r="M17" s="23">
        <f t="shared" si="12"/>
        <v>21446.329955049587</v>
      </c>
      <c r="N17" s="23">
        <f t="shared" si="12"/>
        <v>23590.962950554545</v>
      </c>
      <c r="O17" s="23">
        <f t="shared" si="12"/>
        <v>25950.059245610006</v>
      </c>
      <c r="P17" s="23">
        <f t="shared" si="12"/>
        <v>28545.065170171005</v>
      </c>
      <c r="Q17" s="23">
        <f t="shared" si="12"/>
        <v>31399.571687188105</v>
      </c>
      <c r="R17" s="23">
        <f t="shared" si="12"/>
        <v>34539.528855906916</v>
      </c>
      <c r="S17" s="23">
        <f t="shared" si="12"/>
        <v>36266.505298702265</v>
      </c>
      <c r="T17" s="23">
        <f t="shared" si="12"/>
        <v>38079.830563637384</v>
      </c>
      <c r="U17" s="23">
        <f t="shared" si="12"/>
        <v>39983.822091819253</v>
      </c>
      <c r="V17" s="23">
        <f t="shared" si="12"/>
        <v>41983.013196410218</v>
      </c>
      <c r="W17" s="23">
        <f t="shared" si="12"/>
        <v>44082.163856230727</v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</row>
    <row r="18" spans="2:201" x14ac:dyDescent="0.15">
      <c r="B18" s="3" t="s">
        <v>7</v>
      </c>
      <c r="C18" s="23">
        <f>SUM(Reports!C11:F11)</f>
        <v>862.73</v>
      </c>
      <c r="D18" s="23">
        <f>SUM(Reports!G11:J11)</f>
        <v>975.98699999999985</v>
      </c>
      <c r="E18" s="38">
        <f>SUM(Reports!K11:N11)</f>
        <v>1224.0590000000002</v>
      </c>
      <c r="F18" s="38">
        <f>SUM(Reports!O11:R11)</f>
        <v>1537.8119999999999</v>
      </c>
      <c r="G18" s="38">
        <f>SUM(Reports!S11:V11)</f>
        <v>1930.2280000000001</v>
      </c>
      <c r="H18" s="38">
        <f>SUM(Reports!W11:Z11)</f>
        <v>2188</v>
      </c>
      <c r="I18" s="23">
        <f>H18*1.15</f>
        <v>2516.1999999999998</v>
      </c>
      <c r="J18" s="23">
        <f t="shared" ref="J18:M18" si="13">I18*1.15</f>
        <v>2893.6299999999997</v>
      </c>
      <c r="K18" s="23">
        <f t="shared" si="13"/>
        <v>3327.6744999999992</v>
      </c>
      <c r="L18" s="23">
        <f t="shared" si="13"/>
        <v>3826.8256749999987</v>
      </c>
      <c r="M18" s="23">
        <f t="shared" si="13"/>
        <v>4400.8495262499982</v>
      </c>
      <c r="N18" s="23">
        <f t="shared" ref="N18" si="14">M18*1.1</f>
        <v>4840.9344788749986</v>
      </c>
      <c r="O18" s="23">
        <f t="shared" ref="O18" si="15">N18*1.1</f>
        <v>5325.0279267624992</v>
      </c>
      <c r="P18" s="23">
        <f t="shared" ref="P18" si="16">O18*1.1</f>
        <v>5857.5307194387497</v>
      </c>
      <c r="Q18" s="23">
        <f t="shared" ref="Q18" si="17">P18*1.1</f>
        <v>6443.2837913826252</v>
      </c>
      <c r="R18" s="23">
        <f t="shared" ref="R18" si="18">Q18*1.1</f>
        <v>7087.612170520888</v>
      </c>
      <c r="S18" s="23">
        <f>R18*1.05</f>
        <v>7441.9927790469328</v>
      </c>
      <c r="T18" s="23">
        <f t="shared" ref="T18:W18" si="19">S18*1.05</f>
        <v>7814.0924179992799</v>
      </c>
      <c r="U18" s="23">
        <f t="shared" si="19"/>
        <v>8204.7970388992435</v>
      </c>
      <c r="V18" s="23">
        <f t="shared" si="19"/>
        <v>8615.0368908442069</v>
      </c>
      <c r="W18" s="23">
        <f t="shared" si="19"/>
        <v>9045.7887353864171</v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</row>
    <row r="19" spans="2:201" x14ac:dyDescent="0.15">
      <c r="B19" s="3" t="s">
        <v>8</v>
      </c>
      <c r="C19" s="23">
        <f>SUM(Reports!C12:F12)</f>
        <v>1683.242</v>
      </c>
      <c r="D19" s="23">
        <f>SUM(Reports!G12:J12)</f>
        <v>1910.1970000000001</v>
      </c>
      <c r="E19" s="38">
        <f>SUM(Reports!K12:N12)</f>
        <v>2197.5919999999996</v>
      </c>
      <c r="F19" s="38">
        <f>SUM(Reports!O12:R12)</f>
        <v>2620.8289999999997</v>
      </c>
      <c r="G19" s="38">
        <f>SUM(Reports!S12:V12)</f>
        <v>3244.3469999999998</v>
      </c>
      <c r="H19" s="38">
        <f>SUM(Reports!W12:Z12)</f>
        <v>3591</v>
      </c>
      <c r="I19" s="23">
        <f>H19*1.1</f>
        <v>3950.1000000000004</v>
      </c>
      <c r="J19" s="23">
        <f t="shared" ref="J19:M19" si="20">I19*1.1</f>
        <v>4345.1100000000006</v>
      </c>
      <c r="K19" s="23">
        <f t="shared" si="20"/>
        <v>4779.621000000001</v>
      </c>
      <c r="L19" s="23">
        <f t="shared" si="20"/>
        <v>5257.5831000000017</v>
      </c>
      <c r="M19" s="23">
        <f t="shared" si="20"/>
        <v>5783.3414100000027</v>
      </c>
      <c r="N19" s="23">
        <f t="shared" ref="N19" si="21">M19*1.05</f>
        <v>6072.5084805000033</v>
      </c>
      <c r="O19" s="23">
        <f t="shared" ref="O19:O20" si="22">N19*1.05</f>
        <v>6376.1339045250033</v>
      </c>
      <c r="P19" s="23">
        <f t="shared" ref="P19:P20" si="23">O19*1.05</f>
        <v>6694.940599751254</v>
      </c>
      <c r="Q19" s="23">
        <f t="shared" ref="Q19:Q20" si="24">P19*1.05</f>
        <v>7029.6876297388171</v>
      </c>
      <c r="R19" s="23">
        <f t="shared" ref="R19:R20" si="25">Q19*1.05</f>
        <v>7381.1720112257581</v>
      </c>
      <c r="S19" s="23">
        <f>R19*0.95</f>
        <v>7012.1134106644695</v>
      </c>
      <c r="T19" s="23">
        <f t="shared" ref="T19:W19" si="26">S19*0.95</f>
        <v>6661.5077401312456</v>
      </c>
      <c r="U19" s="23">
        <f t="shared" si="26"/>
        <v>6328.4323531246828</v>
      </c>
      <c r="V19" s="23">
        <f t="shared" si="26"/>
        <v>6012.0107354684487</v>
      </c>
      <c r="W19" s="23">
        <f t="shared" si="26"/>
        <v>5711.4101986950263</v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</row>
    <row r="20" spans="2:201" x14ac:dyDescent="0.15">
      <c r="B20" s="3" t="s">
        <v>9</v>
      </c>
      <c r="C20" s="23">
        <f>SUM(Reports!C13:F13)</f>
        <v>602.12699999999995</v>
      </c>
      <c r="D20" s="23">
        <f>SUM(Reports!G13:J13)</f>
        <v>654.7360000000001</v>
      </c>
      <c r="E20" s="38">
        <f>SUM(Reports!K13:N13)</f>
        <v>701.26799999999992</v>
      </c>
      <c r="F20" s="38">
        <f>SUM(Reports!O13:R13)</f>
        <v>835.99900000000002</v>
      </c>
      <c r="G20" s="38">
        <f>SUM(Reports!S13:V13)</f>
        <v>1055.8810000000001</v>
      </c>
      <c r="H20" s="38">
        <f>SUM(Reports!W13:Z13)</f>
        <v>1130</v>
      </c>
      <c r="I20" s="23">
        <f>H20*1.05</f>
        <v>1186.5</v>
      </c>
      <c r="J20" s="23">
        <f t="shared" ref="J20:M20" si="27">I20*1.05</f>
        <v>1245.825</v>
      </c>
      <c r="K20" s="23">
        <f t="shared" si="27"/>
        <v>1308.11625</v>
      </c>
      <c r="L20" s="23">
        <f t="shared" si="27"/>
        <v>1373.5220625000002</v>
      </c>
      <c r="M20" s="23">
        <f t="shared" si="27"/>
        <v>1442.1981656250002</v>
      </c>
      <c r="N20" s="23">
        <f t="shared" ref="N20" si="28">M20*1.05</f>
        <v>1514.3080739062502</v>
      </c>
      <c r="O20" s="23">
        <f t="shared" si="22"/>
        <v>1590.0234776015627</v>
      </c>
      <c r="P20" s="23">
        <f t="shared" si="23"/>
        <v>1669.5246514816408</v>
      </c>
      <c r="Q20" s="23">
        <f t="shared" si="24"/>
        <v>1753.000884055723</v>
      </c>
      <c r="R20" s="23">
        <f t="shared" si="25"/>
        <v>1840.6509282585091</v>
      </c>
      <c r="S20" s="23">
        <f t="shared" ref="S20:W20" si="29">R20*0.98</f>
        <v>1803.8379096933388</v>
      </c>
      <c r="T20" s="23">
        <f t="shared" si="29"/>
        <v>1767.7611514994719</v>
      </c>
      <c r="U20" s="23">
        <f t="shared" si="29"/>
        <v>1732.4059284694824</v>
      </c>
      <c r="V20" s="23">
        <f t="shared" si="29"/>
        <v>1697.7578099000928</v>
      </c>
      <c r="W20" s="23">
        <f t="shared" si="29"/>
        <v>1663.8026537020908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</row>
    <row r="21" spans="2:201" x14ac:dyDescent="0.15">
      <c r="B21" s="3" t="s">
        <v>10</v>
      </c>
      <c r="C21" s="27">
        <f t="shared" ref="C21:H21" si="30">SUM(C18:C20)</f>
        <v>3148.0989999999997</v>
      </c>
      <c r="D21" s="27">
        <f t="shared" si="30"/>
        <v>3540.92</v>
      </c>
      <c r="E21" s="27">
        <f t="shared" si="30"/>
        <v>4122.9189999999999</v>
      </c>
      <c r="F21" s="27">
        <f t="shared" si="30"/>
        <v>4994.6399999999994</v>
      </c>
      <c r="G21" s="27">
        <f t="shared" si="30"/>
        <v>6230.4560000000001</v>
      </c>
      <c r="H21" s="27">
        <f t="shared" si="30"/>
        <v>6909</v>
      </c>
      <c r="I21" s="23">
        <f t="shared" ref="I21" si="31">SUM(I18:I20)</f>
        <v>7652.8</v>
      </c>
      <c r="J21" s="23">
        <f t="shared" ref="J21:N21" si="32">SUM(J18:J20)</f>
        <v>8484.5650000000005</v>
      </c>
      <c r="K21" s="23">
        <f t="shared" si="32"/>
        <v>9415.4117499999993</v>
      </c>
      <c r="L21" s="23">
        <f t="shared" si="32"/>
        <v>10457.9308375</v>
      </c>
      <c r="M21" s="23">
        <f t="shared" si="32"/>
        <v>11626.389101875002</v>
      </c>
      <c r="N21" s="23">
        <f t="shared" si="32"/>
        <v>12427.751033281253</v>
      </c>
      <c r="O21" s="23">
        <f t="shared" ref="O21:R21" si="33">SUM(O18:O20)</f>
        <v>13291.185308889066</v>
      </c>
      <c r="P21" s="23">
        <f t="shared" si="33"/>
        <v>14221.995970671645</v>
      </c>
      <c r="Q21" s="23">
        <f t="shared" si="33"/>
        <v>15225.972305177165</v>
      </c>
      <c r="R21" s="23">
        <f t="shared" si="33"/>
        <v>16309.435110005155</v>
      </c>
      <c r="S21" s="23">
        <f t="shared" ref="S21:V21" si="34">SUM(S18:S20)</f>
        <v>16257.94409940474</v>
      </c>
      <c r="T21" s="23">
        <f t="shared" si="34"/>
        <v>16243.361309629996</v>
      </c>
      <c r="U21" s="23">
        <f t="shared" si="34"/>
        <v>16265.635320493409</v>
      </c>
      <c r="V21" s="23">
        <f t="shared" si="34"/>
        <v>16324.805436212748</v>
      </c>
      <c r="W21" s="23">
        <f t="shared" ref="W21" si="35">SUM(W18:W20)</f>
        <v>16421.001587783536</v>
      </c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</row>
    <row r="22" spans="2:201" x14ac:dyDescent="0.15">
      <c r="B22" s="3" t="s">
        <v>11</v>
      </c>
      <c r="C22" s="27">
        <f t="shared" ref="C22:H22" si="36">C17-C21</f>
        <v>903.09500000000162</v>
      </c>
      <c r="D22" s="27">
        <f t="shared" si="36"/>
        <v>1493.6019999999999</v>
      </c>
      <c r="E22" s="27">
        <f t="shared" si="36"/>
        <v>2168.0950000000003</v>
      </c>
      <c r="F22" s="27">
        <f t="shared" si="36"/>
        <v>2840.3690000000006</v>
      </c>
      <c r="G22" s="27">
        <f t="shared" si="36"/>
        <v>3268.1200000000008</v>
      </c>
      <c r="H22" s="27">
        <f t="shared" si="36"/>
        <v>4237</v>
      </c>
      <c r="I22" s="23">
        <f t="shared" ref="I22" si="37">I17-I21</f>
        <v>5007.9316987876891</v>
      </c>
      <c r="J22" s="23">
        <f t="shared" ref="J22:Q22" si="38">J17-J21</f>
        <v>5926.7179783183074</v>
      </c>
      <c r="K22" s="23">
        <f t="shared" si="38"/>
        <v>7016.3986929009916</v>
      </c>
      <c r="L22" s="23">
        <f t="shared" si="38"/>
        <v>8303.7672157609959</v>
      </c>
      <c r="M22" s="23">
        <f t="shared" si="38"/>
        <v>9819.9408531745848</v>
      </c>
      <c r="N22" s="23">
        <f t="shared" si="38"/>
        <v>11163.211917273293</v>
      </c>
      <c r="O22" s="23">
        <f t="shared" si="38"/>
        <v>12658.87393672094</v>
      </c>
      <c r="P22" s="23">
        <f t="shared" si="38"/>
        <v>14323.069199499359</v>
      </c>
      <c r="Q22" s="23">
        <f t="shared" si="38"/>
        <v>16173.59938201094</v>
      </c>
      <c r="R22" s="23">
        <f t="shared" ref="R22:V22" si="39">R17-R21</f>
        <v>18230.093745901759</v>
      </c>
      <c r="S22" s="23">
        <f t="shared" si="39"/>
        <v>20008.561199297525</v>
      </c>
      <c r="T22" s="23">
        <f t="shared" si="39"/>
        <v>21836.469254007388</v>
      </c>
      <c r="U22" s="23">
        <f t="shared" si="39"/>
        <v>23718.186771325843</v>
      </c>
      <c r="V22" s="23">
        <f t="shared" si="39"/>
        <v>25658.207760197471</v>
      </c>
      <c r="W22" s="23">
        <f t="shared" ref="W22" si="40">W17-W21</f>
        <v>27661.162268447191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</row>
    <row r="23" spans="2:201" x14ac:dyDescent="0.15">
      <c r="B23" s="3" t="s">
        <v>12</v>
      </c>
      <c r="C23" s="23">
        <f>SUM(Reports!C16:F16)</f>
        <v>-29.314</v>
      </c>
      <c r="D23" s="23">
        <f>SUM(Reports!G16:J16)</f>
        <v>-58.463999999999999</v>
      </c>
      <c r="E23" s="38">
        <f>SUM(Reports!K16:N16)</f>
        <v>-30.454000000000004</v>
      </c>
      <c r="F23" s="23">
        <f>SUM(Reports!O16:R16)</f>
        <v>-46.493000000000002</v>
      </c>
      <c r="G23" s="38">
        <f>SUM(Reports!S16:V16)</f>
        <v>-63.378999999999998</v>
      </c>
      <c r="H23" s="38">
        <f>SUM(Reports!W16:Z16)</f>
        <v>-61</v>
      </c>
      <c r="I23" s="23">
        <f t="shared" ref="I23:W23" si="41">H40*$G$4</f>
        <v>37.5</v>
      </c>
      <c r="J23" s="23">
        <f t="shared" si="41"/>
        <v>128.3177705781784</v>
      </c>
      <c r="K23" s="23">
        <f t="shared" si="41"/>
        <v>237.30841405831515</v>
      </c>
      <c r="L23" s="23">
        <f t="shared" si="41"/>
        <v>367.87514198358264</v>
      </c>
      <c r="M23" s="23">
        <f t="shared" si="41"/>
        <v>523.96470442298505</v>
      </c>
      <c r="N23" s="23">
        <f t="shared" si="41"/>
        <v>710.15500445974135</v>
      </c>
      <c r="O23" s="23">
        <f t="shared" si="41"/>
        <v>923.87560905093596</v>
      </c>
      <c r="P23" s="23">
        <f t="shared" si="41"/>
        <v>1168.3651008748297</v>
      </c>
      <c r="Q23" s="23">
        <f t="shared" si="41"/>
        <v>1447.210918281565</v>
      </c>
      <c r="R23" s="23">
        <f t="shared" si="41"/>
        <v>1764.3855036868301</v>
      </c>
      <c r="S23" s="23">
        <f t="shared" si="41"/>
        <v>2124.2861301794246</v>
      </c>
      <c r="T23" s="23">
        <f t="shared" si="41"/>
        <v>2522.6773821100101</v>
      </c>
      <c r="U23" s="23">
        <f t="shared" si="41"/>
        <v>2961.1420215601229</v>
      </c>
      <c r="V23" s="23">
        <f t="shared" si="41"/>
        <v>3441.3699398320705</v>
      </c>
      <c r="W23" s="23">
        <f t="shared" si="41"/>
        <v>3965.1623384326022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</row>
    <row r="24" spans="2:201" x14ac:dyDescent="0.15">
      <c r="B24" s="3" t="s">
        <v>13</v>
      </c>
      <c r="C24" s="27">
        <f t="shared" ref="C24:H24" si="42">C22+C23</f>
        <v>873.78100000000165</v>
      </c>
      <c r="D24" s="27">
        <f t="shared" si="42"/>
        <v>1435.1379999999999</v>
      </c>
      <c r="E24" s="27">
        <f t="shared" si="42"/>
        <v>2137.6410000000001</v>
      </c>
      <c r="F24" s="27">
        <f t="shared" si="42"/>
        <v>2793.8760000000007</v>
      </c>
      <c r="G24" s="27">
        <f t="shared" si="42"/>
        <v>3204.7410000000009</v>
      </c>
      <c r="H24" s="27">
        <f t="shared" si="42"/>
        <v>4176</v>
      </c>
      <c r="I24" s="23">
        <f t="shared" ref="I24" si="43">I22+I23</f>
        <v>5045.4316987876891</v>
      </c>
      <c r="J24" s="23">
        <f t="shared" ref="J24" si="44">J22+J23</f>
        <v>6055.0357488964855</v>
      </c>
      <c r="K24" s="23">
        <f t="shared" ref="K24" si="45">K22+K23</f>
        <v>7253.7071069593067</v>
      </c>
      <c r="L24" s="23">
        <f t="shared" ref="L24" si="46">L22+L23</f>
        <v>8671.6423577445785</v>
      </c>
      <c r="M24" s="23">
        <f t="shared" ref="M24" si="47">M22+M23</f>
        <v>10343.905557597569</v>
      </c>
      <c r="N24" s="23">
        <f t="shared" ref="N24" si="48">N22+N23</f>
        <v>11873.366921733033</v>
      </c>
      <c r="O24" s="23">
        <f t="shared" ref="O24" si="49">O22+O23</f>
        <v>13582.749545771876</v>
      </c>
      <c r="P24" s="23">
        <f t="shared" ref="P24" si="50">P22+P23</f>
        <v>15491.434300374189</v>
      </c>
      <c r="Q24" s="23">
        <f t="shared" ref="Q24:R24" si="51">Q22+Q23</f>
        <v>17620.810300292505</v>
      </c>
      <c r="R24" s="23">
        <f t="shared" si="51"/>
        <v>19994.479249588589</v>
      </c>
      <c r="S24" s="23">
        <f t="shared" ref="S24:V24" si="52">S22+S23</f>
        <v>22132.84732947695</v>
      </c>
      <c r="T24" s="23">
        <f t="shared" si="52"/>
        <v>24359.146636117399</v>
      </c>
      <c r="U24" s="23">
        <f t="shared" si="52"/>
        <v>26679.328792885965</v>
      </c>
      <c r="V24" s="23">
        <f t="shared" si="52"/>
        <v>29099.577700029542</v>
      </c>
      <c r="W24" s="23">
        <f t="shared" ref="W24" si="53">W22+W23</f>
        <v>31626.324606879793</v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</row>
    <row r="25" spans="2:201" x14ac:dyDescent="0.15">
      <c r="B25" s="3" t="s">
        <v>14</v>
      </c>
      <c r="C25" s="23">
        <f>SUM(Reports!C18:F18)</f>
        <v>244.23000000000002</v>
      </c>
      <c r="D25" s="23">
        <f>SUM(Reports!G18:J18)</f>
        <v>266.35599999999999</v>
      </c>
      <c r="E25" s="38">
        <f>SUM(Reports!K18:N18)</f>
        <v>443.68700000000001</v>
      </c>
      <c r="F25" s="23">
        <f>SUM(Reports!O18:R18)</f>
        <v>203.102</v>
      </c>
      <c r="G25" s="38">
        <f>SUM(Reports!S18:V18)</f>
        <v>253.28300000000002</v>
      </c>
      <c r="H25" s="38">
        <f>SUM(Reports!W18:Z18)</f>
        <v>100.66978739942763</v>
      </c>
      <c r="I25" s="23">
        <f t="shared" ref="I25:Q25" si="54">I24*0.1</f>
        <v>504.54316987876894</v>
      </c>
      <c r="J25" s="23">
        <f t="shared" si="54"/>
        <v>605.50357488964858</v>
      </c>
      <c r="K25" s="23">
        <f t="shared" si="54"/>
        <v>725.37071069593071</v>
      </c>
      <c r="L25" s="23">
        <f t="shared" si="54"/>
        <v>867.16423577445789</v>
      </c>
      <c r="M25" s="23">
        <f t="shared" si="54"/>
        <v>1034.390555759757</v>
      </c>
      <c r="N25" s="23">
        <f t="shared" si="54"/>
        <v>1187.3366921733034</v>
      </c>
      <c r="O25" s="23">
        <f t="shared" si="54"/>
        <v>1358.2749545771876</v>
      </c>
      <c r="P25" s="23">
        <f t="shared" si="54"/>
        <v>1549.143430037419</v>
      </c>
      <c r="Q25" s="23">
        <f t="shared" si="54"/>
        <v>1762.0810300292505</v>
      </c>
      <c r="R25" s="23">
        <f t="shared" ref="R25:V25" si="55">R24*0.1</f>
        <v>1999.4479249588589</v>
      </c>
      <c r="S25" s="23">
        <f t="shared" si="55"/>
        <v>2213.2847329476949</v>
      </c>
      <c r="T25" s="23">
        <f t="shared" si="55"/>
        <v>2435.9146636117398</v>
      </c>
      <c r="U25" s="23">
        <f t="shared" si="55"/>
        <v>2667.9328792885967</v>
      </c>
      <c r="V25" s="23">
        <f t="shared" si="55"/>
        <v>2909.9577700029545</v>
      </c>
      <c r="W25" s="23">
        <f t="shared" ref="W25" si="56">W24*0.1</f>
        <v>3162.6324606879793</v>
      </c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</row>
    <row r="26" spans="2:201" s="2" customFormat="1" x14ac:dyDescent="0.15">
      <c r="B26" s="2" t="s">
        <v>15</v>
      </c>
      <c r="C26" s="24">
        <f>C24-C25</f>
        <v>629.55100000000164</v>
      </c>
      <c r="D26" s="24">
        <f>D24-D25</f>
        <v>1168.7819999999999</v>
      </c>
      <c r="E26" s="24">
        <f>E24-E25</f>
        <v>1693.9540000000002</v>
      </c>
      <c r="F26" s="24">
        <f>F24-F25</f>
        <v>2590.7740000000008</v>
      </c>
      <c r="G26" s="24">
        <f t="shared" ref="G26:I26" si="57">G24-G25</f>
        <v>2951.458000000001</v>
      </c>
      <c r="H26" s="24">
        <f>H24-H25</f>
        <v>4075.3302126005724</v>
      </c>
      <c r="I26" s="24">
        <f t="shared" si="57"/>
        <v>4540.8885289089203</v>
      </c>
      <c r="J26" s="24">
        <f t="shared" ref="J26:Q26" si="58">J24-J25</f>
        <v>5449.5321740068366</v>
      </c>
      <c r="K26" s="24">
        <f t="shared" si="58"/>
        <v>6528.3363962633757</v>
      </c>
      <c r="L26" s="24">
        <f t="shared" si="58"/>
        <v>7804.4781219701208</v>
      </c>
      <c r="M26" s="24">
        <f t="shared" si="58"/>
        <v>9309.5150018378117</v>
      </c>
      <c r="N26" s="24">
        <f t="shared" si="58"/>
        <v>10686.03022955973</v>
      </c>
      <c r="O26" s="24">
        <f t="shared" si="58"/>
        <v>12224.474591194688</v>
      </c>
      <c r="P26" s="24">
        <f t="shared" si="58"/>
        <v>13942.29087033677</v>
      </c>
      <c r="Q26" s="24">
        <f t="shared" si="58"/>
        <v>15858.729270263255</v>
      </c>
      <c r="R26" s="24">
        <f t="shared" ref="R26:V26" si="59">R24-R25</f>
        <v>17995.03132462973</v>
      </c>
      <c r="S26" s="24">
        <f t="shared" si="59"/>
        <v>19919.562596529257</v>
      </c>
      <c r="T26" s="24">
        <f t="shared" si="59"/>
        <v>21923.231972505659</v>
      </c>
      <c r="U26" s="24">
        <f t="shared" si="59"/>
        <v>24011.395913597367</v>
      </c>
      <c r="V26" s="24">
        <f t="shared" si="59"/>
        <v>26189.619930026587</v>
      </c>
      <c r="W26" s="24">
        <f t="shared" ref="W26" si="60">W24-W25</f>
        <v>28463.692146191814</v>
      </c>
      <c r="X26" s="24">
        <f t="shared" ref="X26:BZ26" si="61">W26*($G$3+1)</f>
        <v>28179.055224729895</v>
      </c>
      <c r="Y26" s="24">
        <f t="shared" si="61"/>
        <v>27897.264672482597</v>
      </c>
      <c r="Z26" s="24">
        <f t="shared" si="61"/>
        <v>27618.292025757772</v>
      </c>
      <c r="AA26" s="24">
        <f t="shared" si="61"/>
        <v>27342.109105500193</v>
      </c>
      <c r="AB26" s="24">
        <f t="shared" si="61"/>
        <v>27068.68801444519</v>
      </c>
      <c r="AC26" s="24">
        <f t="shared" si="61"/>
        <v>26798.001134300739</v>
      </c>
      <c r="AD26" s="24">
        <f t="shared" si="61"/>
        <v>26530.021122957733</v>
      </c>
      <c r="AE26" s="24">
        <f t="shared" si="61"/>
        <v>26264.720911728156</v>
      </c>
      <c r="AF26" s="24">
        <f t="shared" si="61"/>
        <v>26002.073702610876</v>
      </c>
      <c r="AG26" s="24">
        <f t="shared" si="61"/>
        <v>25742.052965584768</v>
      </c>
      <c r="AH26" s="24">
        <f t="shared" si="61"/>
        <v>25484.632435928921</v>
      </c>
      <c r="AI26" s="24">
        <f t="shared" si="61"/>
        <v>25229.786111569632</v>
      </c>
      <c r="AJ26" s="24">
        <f t="shared" si="61"/>
        <v>24977.488250453935</v>
      </c>
      <c r="AK26" s="24">
        <f t="shared" si="61"/>
        <v>24727.713367949396</v>
      </c>
      <c r="AL26" s="24">
        <f t="shared" si="61"/>
        <v>24480.436234269902</v>
      </c>
      <c r="AM26" s="24">
        <f t="shared" si="61"/>
        <v>24235.631871927202</v>
      </c>
      <c r="AN26" s="24">
        <f t="shared" si="61"/>
        <v>23993.275553207928</v>
      </c>
      <c r="AO26" s="24">
        <f t="shared" si="61"/>
        <v>23753.34279767585</v>
      </c>
      <c r="AP26" s="24">
        <f t="shared" si="61"/>
        <v>23515.809369699091</v>
      </c>
      <c r="AQ26" s="24">
        <f t="shared" si="61"/>
        <v>23280.6512760021</v>
      </c>
      <c r="AR26" s="24">
        <f t="shared" si="61"/>
        <v>23047.844763242079</v>
      </c>
      <c r="AS26" s="24">
        <f t="shared" si="61"/>
        <v>22817.366315609659</v>
      </c>
      <c r="AT26" s="24">
        <f t="shared" si="61"/>
        <v>22589.192652453563</v>
      </c>
      <c r="AU26" s="24">
        <f t="shared" si="61"/>
        <v>22363.300725929028</v>
      </c>
      <c r="AV26" s="24">
        <f t="shared" si="61"/>
        <v>22139.667718669738</v>
      </c>
      <c r="AW26" s="24">
        <f t="shared" si="61"/>
        <v>21918.27104148304</v>
      </c>
      <c r="AX26" s="24">
        <f t="shared" si="61"/>
        <v>21699.088331068207</v>
      </c>
      <c r="AY26" s="24">
        <f t="shared" si="61"/>
        <v>21482.097447757526</v>
      </c>
      <c r="AZ26" s="24">
        <f t="shared" si="61"/>
        <v>21267.276473279951</v>
      </c>
      <c r="BA26" s="24">
        <f t="shared" si="61"/>
        <v>21054.603708547151</v>
      </c>
      <c r="BB26" s="24">
        <f t="shared" si="61"/>
        <v>20844.05767146168</v>
      </c>
      <c r="BC26" s="24">
        <f t="shared" si="61"/>
        <v>20635.617094747064</v>
      </c>
      <c r="BD26" s="24">
        <f t="shared" si="61"/>
        <v>20429.260923799593</v>
      </c>
      <c r="BE26" s="24">
        <f t="shared" si="61"/>
        <v>20224.968314561596</v>
      </c>
      <c r="BF26" s="24">
        <f t="shared" si="61"/>
        <v>20022.718631415981</v>
      </c>
      <c r="BG26" s="24">
        <f t="shared" si="61"/>
        <v>19822.491445101819</v>
      </c>
      <c r="BH26" s="24">
        <f t="shared" si="61"/>
        <v>19624.266530650802</v>
      </c>
      <c r="BI26" s="24">
        <f t="shared" si="61"/>
        <v>19428.023865344294</v>
      </c>
      <c r="BJ26" s="24">
        <f t="shared" si="61"/>
        <v>19233.743626690852</v>
      </c>
      <c r="BK26" s="24">
        <f t="shared" si="61"/>
        <v>19041.406190423942</v>
      </c>
      <c r="BL26" s="24">
        <f t="shared" si="61"/>
        <v>18850.992128519702</v>
      </c>
      <c r="BM26" s="24">
        <f t="shared" si="61"/>
        <v>18662.482207234505</v>
      </c>
      <c r="BN26" s="24">
        <f t="shared" si="61"/>
        <v>18475.857385162159</v>
      </c>
      <c r="BO26" s="24">
        <f t="shared" si="61"/>
        <v>18291.098811310538</v>
      </c>
      <c r="BP26" s="24">
        <f t="shared" si="61"/>
        <v>18108.187823197433</v>
      </c>
      <c r="BQ26" s="24">
        <f t="shared" si="61"/>
        <v>17927.10594496546</v>
      </c>
      <c r="BR26" s="24">
        <f t="shared" si="61"/>
        <v>17747.834885515807</v>
      </c>
      <c r="BS26" s="24">
        <f t="shared" si="61"/>
        <v>17570.356536660649</v>
      </c>
      <c r="BT26" s="24">
        <f t="shared" si="61"/>
        <v>17394.652971294043</v>
      </c>
      <c r="BU26" s="24">
        <f t="shared" si="61"/>
        <v>17220.706441581104</v>
      </c>
      <c r="BV26" s="24">
        <f t="shared" si="61"/>
        <v>17048.499377165292</v>
      </c>
      <c r="BW26" s="24">
        <f t="shared" si="61"/>
        <v>16878.014383393638</v>
      </c>
      <c r="BX26" s="24">
        <f t="shared" si="61"/>
        <v>16709.234239559701</v>
      </c>
      <c r="BY26" s="24">
        <f t="shared" si="61"/>
        <v>16542.141897164103</v>
      </c>
      <c r="BZ26" s="24">
        <f t="shared" si="61"/>
        <v>16376.720478192463</v>
      </c>
      <c r="CA26" s="24">
        <f t="shared" ref="CA26:DN26" si="62">BZ26*($G$3+1)</f>
        <v>16212.953273410538</v>
      </c>
      <c r="CB26" s="24">
        <f t="shared" si="62"/>
        <v>16050.823740676433</v>
      </c>
      <c r="CC26" s="24">
        <f t="shared" si="62"/>
        <v>15890.315503269669</v>
      </c>
      <c r="CD26" s="24">
        <f t="shared" si="62"/>
        <v>15731.412348236972</v>
      </c>
      <c r="CE26" s="24">
        <f t="shared" si="62"/>
        <v>15574.098224754602</v>
      </c>
      <c r="CF26" s="24">
        <f t="shared" si="62"/>
        <v>15418.357242507056</v>
      </c>
      <c r="CG26" s="24">
        <f t="shared" si="62"/>
        <v>15264.173670081986</v>
      </c>
      <c r="CH26" s="24">
        <f t="shared" si="62"/>
        <v>15111.531933381166</v>
      </c>
      <c r="CI26" s="24">
        <f t="shared" si="62"/>
        <v>14960.416614047354</v>
      </c>
      <c r="CJ26" s="24">
        <f t="shared" si="62"/>
        <v>14810.812447906879</v>
      </c>
      <c r="CK26" s="24">
        <f t="shared" si="62"/>
        <v>14662.70432342781</v>
      </c>
      <c r="CL26" s="24">
        <f t="shared" si="62"/>
        <v>14516.077280193531</v>
      </c>
      <c r="CM26" s="24">
        <f t="shared" si="62"/>
        <v>14370.916507391596</v>
      </c>
      <c r="CN26" s="24">
        <f t="shared" si="62"/>
        <v>14227.207342317679</v>
      </c>
      <c r="CO26" s="24">
        <f t="shared" si="62"/>
        <v>14084.935268894502</v>
      </c>
      <c r="CP26" s="24">
        <f t="shared" si="62"/>
        <v>13944.085916205557</v>
      </c>
      <c r="CQ26" s="24">
        <f t="shared" si="62"/>
        <v>13804.645057043501</v>
      </c>
      <c r="CR26" s="24">
        <f t="shared" si="62"/>
        <v>13666.598606473066</v>
      </c>
      <c r="CS26" s="24">
        <f t="shared" si="62"/>
        <v>13529.932620408335</v>
      </c>
      <c r="CT26" s="24">
        <f t="shared" si="62"/>
        <v>13394.633294204252</v>
      </c>
      <c r="CU26" s="24">
        <f t="shared" si="62"/>
        <v>13260.686961262209</v>
      </c>
      <c r="CV26" s="24">
        <f t="shared" si="62"/>
        <v>13128.080091649586</v>
      </c>
      <c r="CW26" s="24">
        <f t="shared" si="62"/>
        <v>12996.79929073309</v>
      </c>
      <c r="CX26" s="24">
        <f t="shared" si="62"/>
        <v>12866.831297825758</v>
      </c>
      <c r="CY26" s="24">
        <f t="shared" si="62"/>
        <v>12738.1629848475</v>
      </c>
      <c r="CZ26" s="24">
        <f t="shared" si="62"/>
        <v>12610.781354999026</v>
      </c>
      <c r="DA26" s="24">
        <f t="shared" si="62"/>
        <v>12484.673541449036</v>
      </c>
      <c r="DB26" s="24">
        <f t="shared" si="62"/>
        <v>12359.826806034545</v>
      </c>
      <c r="DC26" s="24">
        <f t="shared" si="62"/>
        <v>12236.228537974201</v>
      </c>
      <c r="DD26" s="24">
        <f t="shared" si="62"/>
        <v>12113.866252594458</v>
      </c>
      <c r="DE26" s="24">
        <f t="shared" si="62"/>
        <v>11992.727590068514</v>
      </c>
      <c r="DF26" s="24">
        <f t="shared" si="62"/>
        <v>11872.800314167829</v>
      </c>
      <c r="DG26" s="24">
        <f t="shared" si="62"/>
        <v>11754.072311026152</v>
      </c>
      <c r="DH26" s="24">
        <f t="shared" si="62"/>
        <v>11636.53158791589</v>
      </c>
      <c r="DI26" s="24">
        <f t="shared" si="62"/>
        <v>11520.166272036731</v>
      </c>
      <c r="DJ26" s="24">
        <f t="shared" si="62"/>
        <v>11404.964609316365</v>
      </c>
      <c r="DK26" s="24">
        <f t="shared" si="62"/>
        <v>11290.9149632232</v>
      </c>
      <c r="DL26" s="24">
        <f t="shared" si="62"/>
        <v>11178.005813590968</v>
      </c>
      <c r="DM26" s="24">
        <f t="shared" si="62"/>
        <v>11066.225755455058</v>
      </c>
      <c r="DN26" s="24">
        <f t="shared" si="62"/>
        <v>10955.563497900508</v>
      </c>
      <c r="DO26" s="24">
        <f t="shared" ref="DO26" si="63">DN26*($G$3+1)</f>
        <v>10846.007862921502</v>
      </c>
      <c r="DP26" s="24">
        <f t="shared" ref="DP26" si="64">DO26*($G$3+1)</f>
        <v>10737.547784292286</v>
      </c>
      <c r="DQ26" s="24">
        <f t="shared" ref="DQ26" si="65">DP26*($G$3+1)</f>
        <v>10630.172306449364</v>
      </c>
      <c r="DR26" s="24">
        <f t="shared" ref="DR26" si="66">DQ26*($G$3+1)</f>
        <v>10523.870583384869</v>
      </c>
      <c r="DS26" s="24">
        <f t="shared" ref="DS26" si="67">DR26*($G$3+1)</f>
        <v>10418.631877551021</v>
      </c>
      <c r="DT26" s="24">
        <f t="shared" ref="DT26" si="68">DS26*($G$3+1)</f>
        <v>10314.445558775511</v>
      </c>
      <c r="DU26" s="24">
        <f t="shared" ref="DU26" si="69">DT26*($G$3+1)</f>
        <v>10211.301103187756</v>
      </c>
      <c r="DV26" s="24">
        <f t="shared" ref="DV26" si="70">DU26*($G$3+1)</f>
        <v>10109.188092155879</v>
      </c>
      <c r="DW26" s="24">
        <f t="shared" ref="DW26" si="71">DV26*($G$3+1)</f>
        <v>10008.09621123432</v>
      </c>
      <c r="DX26" s="24">
        <f t="shared" ref="DX26" si="72">DW26*($G$3+1)</f>
        <v>9908.0152491219778</v>
      </c>
      <c r="DY26" s="24">
        <f t="shared" ref="DY26" si="73">DX26*($G$3+1)</f>
        <v>9808.9350966307575</v>
      </c>
      <c r="DZ26" s="24">
        <f t="shared" ref="DZ26" si="74">DY26*($G$3+1)</f>
        <v>9710.8457456644501</v>
      </c>
      <c r="EA26" s="24">
        <f t="shared" ref="EA26" si="75">DZ26*($G$3+1)</f>
        <v>9613.7372882078052</v>
      </c>
      <c r="EB26" s="24">
        <f t="shared" ref="EB26" si="76">EA26*($G$3+1)</f>
        <v>9517.5999153257271</v>
      </c>
      <c r="EC26" s="24">
        <f t="shared" ref="EC26" si="77">EB26*($G$3+1)</f>
        <v>9422.423916172469</v>
      </c>
      <c r="ED26" s="24">
        <f t="shared" ref="ED26" si="78">EC26*($G$3+1)</f>
        <v>9328.1996770107435</v>
      </c>
      <c r="EE26" s="24">
        <f t="shared" ref="EE26" si="79">ED26*($G$3+1)</f>
        <v>9234.9176802406364</v>
      </c>
      <c r="EF26" s="24">
        <f t="shared" ref="EF26" si="80">EE26*($G$3+1)</f>
        <v>9142.5685034382295</v>
      </c>
      <c r="EG26" s="24">
        <f t="shared" ref="EG26" si="81">EF26*($G$3+1)</f>
        <v>9051.1428184038468</v>
      </c>
      <c r="EH26" s="24">
        <f t="shared" ref="EH26" si="82">EG26*($G$3+1)</f>
        <v>8960.631390219809</v>
      </c>
      <c r="EI26" s="24">
        <f t="shared" ref="EI26" si="83">EH26*($G$3+1)</f>
        <v>8871.02507631761</v>
      </c>
      <c r="EJ26" s="24">
        <f t="shared" ref="EJ26" si="84">EI26*($G$3+1)</f>
        <v>8782.3148255544347</v>
      </c>
      <c r="EK26" s="24">
        <f t="shared" ref="EK26" si="85">EJ26*($G$3+1)</f>
        <v>8694.4916772988909</v>
      </c>
      <c r="EL26" s="24">
        <f t="shared" ref="EL26" si="86">EK26*($G$3+1)</f>
        <v>8607.5467605259018</v>
      </c>
      <c r="EM26" s="24">
        <f t="shared" ref="EM26" si="87">EL26*($G$3+1)</f>
        <v>8521.4712929206435</v>
      </c>
      <c r="EN26" s="24">
        <f t="shared" ref="EN26" si="88">EM26*($G$3+1)</f>
        <v>8436.2565799914373</v>
      </c>
      <c r="EO26" s="24">
        <f t="shared" ref="EO26" si="89">EN26*($G$3+1)</f>
        <v>8351.8940141915227</v>
      </c>
      <c r="EP26" s="24">
        <f t="shared" ref="EP26" si="90">EO26*($G$3+1)</f>
        <v>8268.3750740496071</v>
      </c>
      <c r="EQ26" s="24">
        <f t="shared" ref="EQ26" si="91">EP26*($G$3+1)</f>
        <v>8185.6913233091109</v>
      </c>
      <c r="ER26" s="24">
        <f t="shared" ref="ER26" si="92">EQ26*($G$3+1)</f>
        <v>8103.8344100760196</v>
      </c>
      <c r="ES26" s="24">
        <f t="shared" ref="ES26" si="93">ER26*($G$3+1)</f>
        <v>8022.7960659752589</v>
      </c>
      <c r="ET26" s="24">
        <f t="shared" ref="ET26" si="94">ES26*($G$3+1)</f>
        <v>7942.5681053155058</v>
      </c>
      <c r="EU26" s="24">
        <f t="shared" ref="EU26" si="95">ET26*($G$3+1)</f>
        <v>7863.1424242623507</v>
      </c>
      <c r="EV26" s="24">
        <f t="shared" ref="EV26" si="96">EU26*($G$3+1)</f>
        <v>7784.5110000197274</v>
      </c>
      <c r="EW26" s="24">
        <f t="shared" ref="EW26" si="97">EV26*($G$3+1)</f>
        <v>7706.6658900195298</v>
      </c>
      <c r="EX26" s="24">
        <f t="shared" ref="EX26" si="98">EW26*($G$3+1)</f>
        <v>7629.599231119334</v>
      </c>
      <c r="EY26" s="24">
        <f t="shared" ref="EY26" si="99">EX26*($G$3+1)</f>
        <v>7553.303238808141</v>
      </c>
      <c r="EZ26" s="24">
        <f t="shared" ref="EZ26" si="100">EY26*($G$3+1)</f>
        <v>7477.7702064200594</v>
      </c>
      <c r="FA26" s="24">
        <f t="shared" ref="FA26" si="101">EZ26*($G$3+1)</f>
        <v>7402.9925043558587</v>
      </c>
      <c r="FB26" s="24">
        <f t="shared" ref="FB26" si="102">FA26*($G$3+1)</f>
        <v>7328.9625793123005</v>
      </c>
      <c r="FC26" s="24">
        <f t="shared" ref="FC26" si="103">FB26*($G$3+1)</f>
        <v>7255.6729535191771</v>
      </c>
      <c r="FD26" s="24">
        <f t="shared" ref="FD26" si="104">FC26*($G$3+1)</f>
        <v>7183.116223983985</v>
      </c>
      <c r="FE26" s="24">
        <f t="shared" ref="FE26" si="105">FD26*($G$3+1)</f>
        <v>7111.2850617441454</v>
      </c>
      <c r="FF26" s="24">
        <f t="shared" ref="FF26" si="106">FE26*($G$3+1)</f>
        <v>7040.1722111267036</v>
      </c>
      <c r="FG26" s="24">
        <f t="shared" ref="FG26" si="107">FF26*($G$3+1)</f>
        <v>6969.7704890154364</v>
      </c>
      <c r="FH26" s="24">
        <f t="shared" ref="FH26" si="108">FG26*($G$3+1)</f>
        <v>6900.0727841252819</v>
      </c>
      <c r="FI26" s="24">
        <f t="shared" ref="FI26" si="109">FH26*($G$3+1)</f>
        <v>6831.0720562840288</v>
      </c>
      <c r="FJ26" s="24">
        <f t="shared" ref="FJ26" si="110">FI26*($G$3+1)</f>
        <v>6762.7613357211885</v>
      </c>
      <c r="FK26" s="24">
        <f t="shared" ref="FK26" si="111">FJ26*($G$3+1)</f>
        <v>6695.1337223639766</v>
      </c>
      <c r="FL26" s="24">
        <f t="shared" ref="FL26" si="112">FK26*($G$3+1)</f>
        <v>6628.1823851403369</v>
      </c>
      <c r="FM26" s="24">
        <f t="shared" ref="FM26" si="113">FL26*($G$3+1)</f>
        <v>6561.9005612889332</v>
      </c>
      <c r="FN26" s="24">
        <f t="shared" ref="FN26" si="114">FM26*($G$3+1)</f>
        <v>6496.2815556760443</v>
      </c>
      <c r="FO26" s="24">
        <f t="shared" ref="FO26" si="115">FN26*($G$3+1)</f>
        <v>6431.3187401192836</v>
      </c>
      <c r="FP26" s="24">
        <f t="shared" ref="FP26" si="116">FO26*($G$3+1)</f>
        <v>6367.0055527180903</v>
      </c>
      <c r="FQ26" s="24">
        <f t="shared" ref="FQ26" si="117">FP26*($G$3+1)</f>
        <v>6303.3354971909093</v>
      </c>
      <c r="FR26" s="24">
        <f t="shared" ref="FR26" si="118">FQ26*($G$3+1)</f>
        <v>6240.3021422190004</v>
      </c>
      <c r="FS26" s="24">
        <f t="shared" ref="FS26" si="119">FR26*($G$3+1)</f>
        <v>6177.8991207968102</v>
      </c>
      <c r="FT26" s="24">
        <f t="shared" ref="FT26" si="120">FS26*($G$3+1)</f>
        <v>6116.1201295888422</v>
      </c>
      <c r="FU26" s="24">
        <f t="shared" ref="FU26" si="121">FT26*($G$3+1)</f>
        <v>6054.9589282929537</v>
      </c>
      <c r="FV26" s="24">
        <f t="shared" ref="FV26" si="122">FU26*($G$3+1)</f>
        <v>5994.4093390100243</v>
      </c>
      <c r="FW26" s="24">
        <f t="shared" ref="FW26" si="123">FV26*($G$3+1)</f>
        <v>5934.4652456199237</v>
      </c>
      <c r="FX26" s="24">
        <f t="shared" ref="FX26" si="124">FW26*($G$3+1)</f>
        <v>5875.1205931637242</v>
      </c>
      <c r="FY26" s="24">
        <f t="shared" ref="FY26" si="125">FX26*($G$3+1)</f>
        <v>5816.3693872320864</v>
      </c>
      <c r="FZ26" s="24">
        <f t="shared" ref="FZ26" si="126">FY26*($G$3+1)</f>
        <v>5758.2056933597651</v>
      </c>
      <c r="GA26" s="24">
        <f t="shared" ref="GA26" si="127">FZ26*($G$3+1)</f>
        <v>5700.6236364261676</v>
      </c>
      <c r="GB26" s="24">
        <f t="shared" ref="GB26" si="128">GA26*($G$3+1)</f>
        <v>5643.6174000619058</v>
      </c>
      <c r="GC26" s="24">
        <f t="shared" ref="GC26" si="129">GB26*($G$3+1)</f>
        <v>5587.1812260612869</v>
      </c>
      <c r="GD26" s="24">
        <f t="shared" ref="GD26" si="130">GC26*($G$3+1)</f>
        <v>5531.3094138006736</v>
      </c>
      <c r="GE26" s="24">
        <f t="shared" ref="GE26" si="131">GD26*($G$3+1)</f>
        <v>5475.9963196626668</v>
      </c>
      <c r="GF26" s="24">
        <f t="shared" ref="GF26" si="132">GE26*($G$3+1)</f>
        <v>5421.23635646604</v>
      </c>
      <c r="GG26" s="24">
        <f t="shared" ref="GG26" si="133">GF26*($G$3+1)</f>
        <v>5367.0239929013796</v>
      </c>
      <c r="GH26" s="24">
        <f t="shared" ref="GH26" si="134">GG26*($G$3+1)</f>
        <v>5313.3537529723662</v>
      </c>
      <c r="GI26" s="24">
        <f t="shared" ref="GI26" si="135">GH26*($G$3+1)</f>
        <v>5260.2202154426423</v>
      </c>
      <c r="GJ26" s="24">
        <f t="shared" ref="GJ26" si="136">GI26*($G$3+1)</f>
        <v>5207.6180132882155</v>
      </c>
      <c r="GK26" s="24">
        <f t="shared" ref="GK26" si="137">GJ26*($G$3+1)</f>
        <v>5155.5418331553328</v>
      </c>
      <c r="GL26" s="24">
        <f t="shared" ref="GL26" si="138">GK26*($G$3+1)</f>
        <v>5103.9864148237793</v>
      </c>
      <c r="GM26" s="24">
        <f t="shared" ref="GM26" si="139">GL26*($G$3+1)</f>
        <v>5052.9465506755414</v>
      </c>
      <c r="GN26" s="24">
        <f t="shared" ref="GN26" si="140">GM26*($G$3+1)</f>
        <v>5002.4170851687859</v>
      </c>
      <c r="GO26" s="24">
        <f t="shared" ref="GO26" si="141">GN26*($G$3+1)</f>
        <v>4952.3929143170981</v>
      </c>
      <c r="GP26" s="24">
        <f t="shared" ref="GP26" si="142">GO26*($G$3+1)</f>
        <v>4902.8689851739273</v>
      </c>
      <c r="GQ26" s="24">
        <f t="shared" ref="GQ26" si="143">GP26*($G$3+1)</f>
        <v>4853.8402953221876</v>
      </c>
      <c r="GR26" s="24">
        <f t="shared" ref="GR26" si="144">GQ26*($G$3+1)</f>
        <v>4805.301892368966</v>
      </c>
      <c r="GS26" s="24">
        <f t="shared" ref="GS26" si="145">GR26*($G$3+1)</f>
        <v>4757.2488734452763</v>
      </c>
    </row>
    <row r="27" spans="2:201" x14ac:dyDescent="0.15">
      <c r="B27" s="3" t="s">
        <v>16</v>
      </c>
      <c r="C27" s="29">
        <f t="shared" ref="C27:H27" si="146">C26/C28</f>
        <v>1.244142431404792</v>
      </c>
      <c r="D27" s="29">
        <f t="shared" si="146"/>
        <v>2.3320789503088735</v>
      </c>
      <c r="E27" s="29">
        <f t="shared" si="146"/>
        <v>3.3875014998200221</v>
      </c>
      <c r="F27" s="29">
        <f t="shared" si="146"/>
        <v>5.2318998037109159</v>
      </c>
      <c r="G27" s="29">
        <f t="shared" si="146"/>
        <v>6.0375410912527556</v>
      </c>
      <c r="H27" s="29">
        <f t="shared" si="146"/>
        <v>8.4201037450425051</v>
      </c>
      <c r="I27" s="48">
        <f t="shared" ref="I27" si="147">I26/I28</f>
        <v>9.382001092787025</v>
      </c>
      <c r="J27" s="48">
        <f t="shared" ref="J27:Q27" si="148">J26/J28</f>
        <v>11.259363995881893</v>
      </c>
      <c r="K27" s="48">
        <f t="shared" si="148"/>
        <v>13.488298339387139</v>
      </c>
      <c r="L27" s="48">
        <f t="shared" si="148"/>
        <v>16.124954797458926</v>
      </c>
      <c r="M27" s="48">
        <f t="shared" si="148"/>
        <v>19.234535127764072</v>
      </c>
      <c r="N27" s="48">
        <f t="shared" si="148"/>
        <v>22.078574854462254</v>
      </c>
      <c r="O27" s="48">
        <f t="shared" si="148"/>
        <v>25.257178907427043</v>
      </c>
      <c r="P27" s="48">
        <f t="shared" si="148"/>
        <v>28.806386095737128</v>
      </c>
      <c r="Q27" s="48">
        <f t="shared" si="148"/>
        <v>32.765969566659621</v>
      </c>
      <c r="R27" s="48">
        <f t="shared" ref="R27:V27" si="149">R26/R28</f>
        <v>37.179816786425064</v>
      </c>
      <c r="S27" s="48">
        <f t="shared" si="149"/>
        <v>41.156121067209206</v>
      </c>
      <c r="T27" s="48">
        <f t="shared" si="149"/>
        <v>45.295933827491034</v>
      </c>
      <c r="U27" s="48">
        <f t="shared" si="149"/>
        <v>49.610322135531753</v>
      </c>
      <c r="V27" s="48">
        <f t="shared" si="149"/>
        <v>54.110784979393777</v>
      </c>
      <c r="W27" s="48">
        <f t="shared" ref="W27" si="150">W26/W28</f>
        <v>58.809281293784736</v>
      </c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</row>
    <row r="28" spans="2:201" s="16" customFormat="1" x14ac:dyDescent="0.15">
      <c r="B28" s="16" t="s">
        <v>17</v>
      </c>
      <c r="C28" s="23">
        <f>Reports!F22</f>
        <v>506.012</v>
      </c>
      <c r="D28" s="23">
        <f>Reports!J22</f>
        <v>501.17599999999999</v>
      </c>
      <c r="E28" s="23">
        <f>Reports!N22</f>
        <v>500.06</v>
      </c>
      <c r="F28" s="23">
        <f>Reports!R22</f>
        <v>495.18799999999999</v>
      </c>
      <c r="G28" s="23">
        <f>Reports!V22</f>
        <v>488.851</v>
      </c>
      <c r="H28" s="23">
        <f>Reports!Z22</f>
        <v>484</v>
      </c>
      <c r="I28" s="23">
        <f t="shared" ref="I28" si="151">H28</f>
        <v>484</v>
      </c>
      <c r="J28" s="23">
        <f t="shared" ref="J28" si="152">I28</f>
        <v>484</v>
      </c>
      <c r="K28" s="23">
        <f t="shared" ref="K28" si="153">J28</f>
        <v>484</v>
      </c>
      <c r="L28" s="23">
        <f t="shared" ref="L28" si="154">K28</f>
        <v>484</v>
      </c>
      <c r="M28" s="23">
        <f t="shared" ref="M28" si="155">L28</f>
        <v>484</v>
      </c>
      <c r="N28" s="23">
        <f t="shared" ref="N28" si="156">M28</f>
        <v>484</v>
      </c>
      <c r="O28" s="23">
        <f t="shared" ref="O28" si="157">N28</f>
        <v>484</v>
      </c>
      <c r="P28" s="23">
        <f t="shared" ref="P28" si="158">O28</f>
        <v>484</v>
      </c>
      <c r="Q28" s="23">
        <f t="shared" ref="Q28:W28" si="159">P28</f>
        <v>484</v>
      </c>
      <c r="R28" s="23">
        <f t="shared" si="159"/>
        <v>484</v>
      </c>
      <c r="S28" s="23">
        <f t="shared" si="159"/>
        <v>484</v>
      </c>
      <c r="T28" s="23">
        <f t="shared" si="159"/>
        <v>484</v>
      </c>
      <c r="U28" s="23">
        <f t="shared" si="159"/>
        <v>484</v>
      </c>
      <c r="V28" s="23">
        <f t="shared" si="159"/>
        <v>484</v>
      </c>
      <c r="W28" s="23">
        <f t="shared" si="159"/>
        <v>484</v>
      </c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</row>
    <row r="29" spans="2:201" x14ac:dyDescent="0.15"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</row>
    <row r="30" spans="2:201" x14ac:dyDescent="0.15">
      <c r="B30" s="3" t="s">
        <v>19</v>
      </c>
      <c r="C30" s="34">
        <f t="shared" ref="C30:Q30" si="160">IFERROR(C17/C15,0)</f>
        <v>0.84478880352896701</v>
      </c>
      <c r="D30" s="34">
        <f t="shared" si="160"/>
        <v>0.8599508406454599</v>
      </c>
      <c r="E30" s="34">
        <f t="shared" si="160"/>
        <v>0.86160510744017849</v>
      </c>
      <c r="F30" s="34">
        <f>IFERROR(F17/F15,0)</f>
        <v>0.8676635723910765</v>
      </c>
      <c r="G30" s="34">
        <f t="shared" si="160"/>
        <v>0.8502662537990221</v>
      </c>
      <c r="H30" s="34">
        <f t="shared" si="160"/>
        <v>0.86617967050046629</v>
      </c>
      <c r="I30" s="34">
        <f>IFERROR(I17/I15,0)</f>
        <v>0.86617967050046629</v>
      </c>
      <c r="J30" s="34">
        <f t="shared" si="160"/>
        <v>0.86617967050046629</v>
      </c>
      <c r="K30" s="34">
        <f t="shared" si="160"/>
        <v>0.8661796705004664</v>
      </c>
      <c r="L30" s="34">
        <f t="shared" si="160"/>
        <v>0.8661796705004664</v>
      </c>
      <c r="M30" s="34">
        <f t="shared" si="160"/>
        <v>0.8661796705004664</v>
      </c>
      <c r="N30" s="34">
        <f t="shared" si="160"/>
        <v>0.8661796705004664</v>
      </c>
      <c r="O30" s="34">
        <f t="shared" si="160"/>
        <v>0.8661796705004664</v>
      </c>
      <c r="P30" s="34">
        <f t="shared" si="160"/>
        <v>0.8661796705004664</v>
      </c>
      <c r="Q30" s="34">
        <f t="shared" si="160"/>
        <v>0.8661796705004664</v>
      </c>
      <c r="R30" s="34">
        <f t="shared" ref="R30:V30" si="161">IFERROR(R17/R15,0)</f>
        <v>0.8661796705004664</v>
      </c>
      <c r="S30" s="34">
        <f t="shared" si="161"/>
        <v>0.8661796705004664</v>
      </c>
      <c r="T30" s="34">
        <f t="shared" si="161"/>
        <v>0.86617967050046651</v>
      </c>
      <c r="U30" s="34">
        <f t="shared" si="161"/>
        <v>0.86617967050046651</v>
      </c>
      <c r="V30" s="34">
        <f t="shared" si="161"/>
        <v>0.8661796705004664</v>
      </c>
      <c r="W30" s="34">
        <f t="shared" ref="W30" si="162">IFERROR(W17/W15,0)</f>
        <v>0.8661796705004664</v>
      </c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</row>
    <row r="31" spans="2:201" x14ac:dyDescent="0.15">
      <c r="B31" s="3" t="s">
        <v>20</v>
      </c>
      <c r="C31" s="36">
        <f t="shared" ref="C31:Q31" si="163">IFERROR(C22/C15,0)</f>
        <v>0.18832091095193013</v>
      </c>
      <c r="D31" s="36">
        <f t="shared" si="163"/>
        <v>0.25512338519719252</v>
      </c>
      <c r="E31" s="36">
        <f t="shared" si="163"/>
        <v>0.29693809700876739</v>
      </c>
      <c r="F31" s="36">
        <f>IFERROR(F22/F15,0)</f>
        <v>0.3145477833463714</v>
      </c>
      <c r="G31" s="36">
        <f t="shared" si="163"/>
        <v>0.29254618264523657</v>
      </c>
      <c r="H31" s="36">
        <f>IFERROR(H22/H15,0)</f>
        <v>0.32926639726453216</v>
      </c>
      <c r="I31" s="36">
        <f t="shared" si="163"/>
        <v>0.34261595079533341</v>
      </c>
      <c r="J31" s="36">
        <f t="shared" si="163"/>
        <v>0.35622106882034144</v>
      </c>
      <c r="K31" s="36">
        <f t="shared" si="163"/>
        <v>0.36985954341644195</v>
      </c>
      <c r="L31" s="36">
        <f t="shared" si="163"/>
        <v>0.38336371955470672</v>
      </c>
      <c r="M31" s="36">
        <f t="shared" si="163"/>
        <v>0.39661019626036825</v>
      </c>
      <c r="N31" s="36">
        <f t="shared" si="163"/>
        <v>0.40987505429503318</v>
      </c>
      <c r="O31" s="36">
        <f t="shared" si="163"/>
        <v>0.42253696423721349</v>
      </c>
      <c r="P31" s="36">
        <f t="shared" si="163"/>
        <v>0.43462333281838539</v>
      </c>
      <c r="Q31" s="36">
        <f t="shared" si="163"/>
        <v>0.44616032100950415</v>
      </c>
      <c r="R31" s="36">
        <f t="shared" ref="R31:V31" si="164">IFERROR(R22/R15,0)</f>
        <v>0.45717290064648108</v>
      </c>
      <c r="S31" s="36">
        <f t="shared" si="164"/>
        <v>0.47787921124608901</v>
      </c>
      <c r="T31" s="36">
        <f t="shared" si="164"/>
        <v>0.49670141550973834</v>
      </c>
      <c r="U31" s="36">
        <f t="shared" si="164"/>
        <v>0.51381309058642788</v>
      </c>
      <c r="V31" s="36">
        <f t="shared" si="164"/>
        <v>0.52937167323808676</v>
      </c>
      <c r="W31" s="36">
        <f t="shared" ref="W31" si="165">IFERROR(W22/W15,0)</f>
        <v>0.54351997096796323</v>
      </c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</row>
    <row r="32" spans="2:201" x14ac:dyDescent="0.15">
      <c r="B32" s="3" t="s">
        <v>21</v>
      </c>
      <c r="C32" s="36">
        <f t="shared" ref="C32:Q32" si="166">IFERROR(C25/C24,0)</f>
        <v>0.2795093965192646</v>
      </c>
      <c r="D32" s="36">
        <f t="shared" si="166"/>
        <v>0.18559608901722344</v>
      </c>
      <c r="E32" s="36">
        <f t="shared" si="166"/>
        <v>0.20755917387437833</v>
      </c>
      <c r="F32" s="36">
        <f>IFERROR(F25/F24,0)</f>
        <v>7.2695423848445656E-2</v>
      </c>
      <c r="G32" s="36">
        <f t="shared" si="166"/>
        <v>7.903384392061634E-2</v>
      </c>
      <c r="H32" s="36">
        <f t="shared" si="166"/>
        <v>2.410674985618478E-2</v>
      </c>
      <c r="I32" s="36">
        <f t="shared" si="166"/>
        <v>0.1</v>
      </c>
      <c r="J32" s="36">
        <f t="shared" si="166"/>
        <v>0.1</v>
      </c>
      <c r="K32" s="36">
        <f t="shared" si="166"/>
        <v>0.1</v>
      </c>
      <c r="L32" s="36">
        <f t="shared" si="166"/>
        <v>0.1</v>
      </c>
      <c r="M32" s="36">
        <f t="shared" si="166"/>
        <v>0.10000000000000002</v>
      </c>
      <c r="N32" s="36">
        <f t="shared" si="166"/>
        <v>0.1</v>
      </c>
      <c r="O32" s="36">
        <f t="shared" si="166"/>
        <v>0.1</v>
      </c>
      <c r="P32" s="36">
        <f t="shared" si="166"/>
        <v>0.1</v>
      </c>
      <c r="Q32" s="36">
        <f t="shared" si="166"/>
        <v>0.1</v>
      </c>
      <c r="R32" s="36">
        <f t="shared" ref="R32:V32" si="167">IFERROR(R25/R24,0)</f>
        <v>0.1</v>
      </c>
      <c r="S32" s="36">
        <f t="shared" si="167"/>
        <v>9.9999999999999992E-2</v>
      </c>
      <c r="T32" s="36">
        <f t="shared" si="167"/>
        <v>9.9999999999999992E-2</v>
      </c>
      <c r="U32" s="36">
        <f t="shared" si="167"/>
        <v>0.1</v>
      </c>
      <c r="V32" s="36">
        <f t="shared" si="167"/>
        <v>0.1</v>
      </c>
      <c r="W32" s="36">
        <f t="shared" ref="W32" si="168">IFERROR(W25/W24,0)</f>
        <v>0.1</v>
      </c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</row>
    <row r="33" spans="2:118" x14ac:dyDescent="0.15"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</row>
    <row r="34" spans="2:118" x14ac:dyDescent="0.15">
      <c r="B34" s="2" t="s">
        <v>18</v>
      </c>
      <c r="C34" s="26"/>
      <c r="D34" s="49">
        <f t="shared" ref="D34:W34" si="169">D15/C15-1</f>
        <v>0.22081463268460833</v>
      </c>
      <c r="E34" s="49">
        <f t="shared" si="169"/>
        <v>0.24717607008709641</v>
      </c>
      <c r="F34" s="49">
        <f t="shared" si="169"/>
        <v>0.23673242708181386</v>
      </c>
      <c r="G34" s="49">
        <f>G15/F15-1</f>
        <v>0.23713024395991678</v>
      </c>
      <c r="H34" s="49">
        <f t="shared" si="169"/>
        <v>0.15188067704946673</v>
      </c>
      <c r="I34" s="49">
        <f t="shared" si="169"/>
        <v>0.13589912962387296</v>
      </c>
      <c r="J34" s="49">
        <f t="shared" si="169"/>
        <v>0.13826620144697022</v>
      </c>
      <c r="K34" s="49">
        <f t="shared" si="169"/>
        <v>0.1402045513659369</v>
      </c>
      <c r="L34" s="49">
        <f t="shared" si="169"/>
        <v>0.1417912906466483</v>
      </c>
      <c r="M34" s="49">
        <f t="shared" si="169"/>
        <v>0.14309109410925469</v>
      </c>
      <c r="N34" s="49">
        <f t="shared" si="169"/>
        <v>0.10000000000000009</v>
      </c>
      <c r="O34" s="49">
        <f t="shared" si="169"/>
        <v>0.10000000000000009</v>
      </c>
      <c r="P34" s="49">
        <f t="shared" si="169"/>
        <v>0.10000000000000009</v>
      </c>
      <c r="Q34" s="49">
        <f t="shared" si="169"/>
        <v>0.10000000000000009</v>
      </c>
      <c r="R34" s="49">
        <f t="shared" si="169"/>
        <v>0.10000000000000009</v>
      </c>
      <c r="S34" s="49">
        <f t="shared" si="169"/>
        <v>5.0000000000000044E-2</v>
      </c>
      <c r="T34" s="49">
        <f t="shared" si="169"/>
        <v>5.0000000000000044E-2</v>
      </c>
      <c r="U34" s="49">
        <f t="shared" si="169"/>
        <v>5.0000000000000044E-2</v>
      </c>
      <c r="V34" s="49">
        <f t="shared" si="169"/>
        <v>5.0000000000000044E-2</v>
      </c>
      <c r="W34" s="49">
        <f t="shared" si="169"/>
        <v>5.0000000000000044E-2</v>
      </c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</row>
    <row r="35" spans="2:118" x14ac:dyDescent="0.15">
      <c r="B35" s="3" t="s">
        <v>42</v>
      </c>
      <c r="C35" s="20"/>
      <c r="D35" s="36">
        <f t="shared" ref="D35:W35" si="170">D18/C18-1</f>
        <v>0.13127745644639677</v>
      </c>
      <c r="E35" s="36">
        <f t="shared" si="170"/>
        <v>0.25417551668208738</v>
      </c>
      <c r="F35" s="36">
        <f t="shared" si="170"/>
        <v>0.25632179494615825</v>
      </c>
      <c r="G35" s="36">
        <f t="shared" si="170"/>
        <v>0.25517813620910768</v>
      </c>
      <c r="H35" s="36">
        <f t="shared" si="170"/>
        <v>0.13354484547939416</v>
      </c>
      <c r="I35" s="36">
        <f t="shared" si="170"/>
        <v>0.14999999999999991</v>
      </c>
      <c r="J35" s="36">
        <f t="shared" si="170"/>
        <v>0.14999999999999991</v>
      </c>
      <c r="K35" s="36">
        <f t="shared" si="170"/>
        <v>0.14999999999999991</v>
      </c>
      <c r="L35" s="36">
        <f t="shared" si="170"/>
        <v>0.14999999999999991</v>
      </c>
      <c r="M35" s="36">
        <f t="shared" si="170"/>
        <v>0.14999999999999991</v>
      </c>
      <c r="N35" s="36">
        <f t="shared" si="170"/>
        <v>0.10000000000000009</v>
      </c>
      <c r="O35" s="36">
        <f t="shared" si="170"/>
        <v>0.10000000000000009</v>
      </c>
      <c r="P35" s="36">
        <f t="shared" si="170"/>
        <v>0.10000000000000009</v>
      </c>
      <c r="Q35" s="36">
        <f t="shared" si="170"/>
        <v>0.10000000000000009</v>
      </c>
      <c r="R35" s="36">
        <f t="shared" si="170"/>
        <v>0.10000000000000009</v>
      </c>
      <c r="S35" s="36">
        <f t="shared" si="170"/>
        <v>5.0000000000000044E-2</v>
      </c>
      <c r="T35" s="36">
        <f t="shared" si="170"/>
        <v>5.0000000000000044E-2</v>
      </c>
      <c r="U35" s="36">
        <f t="shared" si="170"/>
        <v>5.0000000000000044E-2</v>
      </c>
      <c r="V35" s="36">
        <f t="shared" si="170"/>
        <v>5.0000000000000044E-2</v>
      </c>
      <c r="W35" s="36">
        <f t="shared" si="170"/>
        <v>5.0000000000000044E-2</v>
      </c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</row>
    <row r="36" spans="2:118" x14ac:dyDescent="0.15">
      <c r="B36" s="3" t="s">
        <v>43</v>
      </c>
      <c r="C36" s="20"/>
      <c r="D36" s="36">
        <f t="shared" ref="D36:W36" si="171">D19/C19-1</f>
        <v>0.13483206811617121</v>
      </c>
      <c r="E36" s="36">
        <f t="shared" si="171"/>
        <v>0.15045306845314887</v>
      </c>
      <c r="F36" s="36">
        <f t="shared" si="171"/>
        <v>0.19259125442757341</v>
      </c>
      <c r="G36" s="36">
        <f t="shared" si="171"/>
        <v>0.23790869224966604</v>
      </c>
      <c r="H36" s="36">
        <f t="shared" si="171"/>
        <v>0.10684831184827037</v>
      </c>
      <c r="I36" s="36">
        <f t="shared" si="171"/>
        <v>0.10000000000000009</v>
      </c>
      <c r="J36" s="36">
        <f t="shared" si="171"/>
        <v>0.10000000000000009</v>
      </c>
      <c r="K36" s="36">
        <f t="shared" si="171"/>
        <v>0.10000000000000009</v>
      </c>
      <c r="L36" s="36">
        <f t="shared" si="171"/>
        <v>0.10000000000000009</v>
      </c>
      <c r="M36" s="36">
        <f t="shared" si="171"/>
        <v>0.10000000000000009</v>
      </c>
      <c r="N36" s="36">
        <f t="shared" si="171"/>
        <v>5.0000000000000044E-2</v>
      </c>
      <c r="O36" s="36">
        <f t="shared" si="171"/>
        <v>5.0000000000000044E-2</v>
      </c>
      <c r="P36" s="36">
        <f t="shared" si="171"/>
        <v>5.0000000000000044E-2</v>
      </c>
      <c r="Q36" s="36">
        <f t="shared" si="171"/>
        <v>5.0000000000000044E-2</v>
      </c>
      <c r="R36" s="36">
        <f t="shared" si="171"/>
        <v>5.0000000000000044E-2</v>
      </c>
      <c r="S36" s="36">
        <f t="shared" si="171"/>
        <v>-5.0000000000000044E-2</v>
      </c>
      <c r="T36" s="36">
        <f t="shared" si="171"/>
        <v>-5.0000000000000044E-2</v>
      </c>
      <c r="U36" s="36">
        <f t="shared" si="171"/>
        <v>-5.0000000000000044E-2</v>
      </c>
      <c r="V36" s="36">
        <f t="shared" si="171"/>
        <v>-4.9999999999999933E-2</v>
      </c>
      <c r="W36" s="36">
        <f t="shared" si="171"/>
        <v>-5.0000000000000044E-2</v>
      </c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</row>
    <row r="37" spans="2:118" x14ac:dyDescent="0.15">
      <c r="B37" s="3" t="s">
        <v>44</v>
      </c>
      <c r="C37" s="20"/>
      <c r="D37" s="36">
        <f t="shared" ref="D37:W37" si="172">D20/C20-1</f>
        <v>8.7371933163602034E-2</v>
      </c>
      <c r="E37" s="36">
        <f>E20/D20-1</f>
        <v>7.1069866327801989E-2</v>
      </c>
      <c r="F37" s="36">
        <f t="shared" si="172"/>
        <v>0.19212483672433378</v>
      </c>
      <c r="G37" s="36">
        <f t="shared" si="172"/>
        <v>0.26301706102519273</v>
      </c>
      <c r="H37" s="36">
        <f t="shared" si="172"/>
        <v>7.0196357354664007E-2</v>
      </c>
      <c r="I37" s="36">
        <f t="shared" si="172"/>
        <v>5.0000000000000044E-2</v>
      </c>
      <c r="J37" s="36">
        <f t="shared" si="172"/>
        <v>5.0000000000000044E-2</v>
      </c>
      <c r="K37" s="36">
        <f t="shared" si="172"/>
        <v>5.0000000000000044E-2</v>
      </c>
      <c r="L37" s="36">
        <f t="shared" si="172"/>
        <v>5.0000000000000044E-2</v>
      </c>
      <c r="M37" s="36">
        <f t="shared" si="172"/>
        <v>5.0000000000000044E-2</v>
      </c>
      <c r="N37" s="36">
        <f t="shared" si="172"/>
        <v>5.0000000000000044E-2</v>
      </c>
      <c r="O37" s="36">
        <f t="shared" si="172"/>
        <v>5.0000000000000044E-2</v>
      </c>
      <c r="P37" s="36">
        <f t="shared" si="172"/>
        <v>5.0000000000000044E-2</v>
      </c>
      <c r="Q37" s="36">
        <f t="shared" si="172"/>
        <v>5.0000000000000044E-2</v>
      </c>
      <c r="R37" s="36">
        <f t="shared" si="172"/>
        <v>5.0000000000000044E-2</v>
      </c>
      <c r="S37" s="36">
        <f t="shared" si="172"/>
        <v>-2.0000000000000018E-2</v>
      </c>
      <c r="T37" s="36">
        <f t="shared" si="172"/>
        <v>-2.0000000000000018E-2</v>
      </c>
      <c r="U37" s="36">
        <f t="shared" si="172"/>
        <v>-2.0000000000000018E-2</v>
      </c>
      <c r="V37" s="36">
        <f t="shared" si="172"/>
        <v>-2.0000000000000018E-2</v>
      </c>
      <c r="W37" s="36">
        <f t="shared" si="172"/>
        <v>-2.0000000000000129E-2</v>
      </c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</row>
    <row r="38" spans="2:118" x14ac:dyDescent="0.15">
      <c r="B38" s="6" t="s">
        <v>79</v>
      </c>
      <c r="C38" s="20"/>
      <c r="D38" s="45">
        <f>D21/C21-1</f>
        <v>0.12478038333610231</v>
      </c>
      <c r="E38" s="45">
        <f>E21/D21-1</f>
        <v>0.16436378116421713</v>
      </c>
      <c r="F38" s="45">
        <f>F21/E21-1</f>
        <v>0.21143296775900744</v>
      </c>
      <c r="G38" s="45">
        <f t="shared" ref="G38:W38" si="173">G21/F21-1</f>
        <v>0.24742844329120839</v>
      </c>
      <c r="H38" s="45">
        <f t="shared" si="173"/>
        <v>0.1089075984165524</v>
      </c>
      <c r="I38" s="45">
        <f t="shared" si="173"/>
        <v>0.10765667969315396</v>
      </c>
      <c r="J38" s="45">
        <f t="shared" si="173"/>
        <v>0.10868766987246503</v>
      </c>
      <c r="K38" s="45">
        <f t="shared" si="173"/>
        <v>0.10971060390249798</v>
      </c>
      <c r="L38" s="45">
        <f t="shared" si="173"/>
        <v>0.1107247473802726</v>
      </c>
      <c r="M38" s="45">
        <f>M21/L21-1</f>
        <v>0.11172939298710505</v>
      </c>
      <c r="N38" s="45">
        <f t="shared" si="173"/>
        <v>6.8926123526780403E-2</v>
      </c>
      <c r="O38" s="45">
        <f t="shared" si="173"/>
        <v>6.9476309373719625E-2</v>
      </c>
      <c r="P38" s="45">
        <f t="shared" si="173"/>
        <v>7.0032178481482799E-2</v>
      </c>
      <c r="Q38" s="45">
        <f t="shared" si="173"/>
        <v>7.0593209038724458E-2</v>
      </c>
      <c r="R38" s="45">
        <f t="shared" si="173"/>
        <v>7.1158858239850353E-2</v>
      </c>
      <c r="S38" s="45">
        <f t="shared" si="173"/>
        <v>-3.157130228797933E-3</v>
      </c>
      <c r="T38" s="45">
        <f t="shared" si="173"/>
        <v>-8.9696395101257487E-4</v>
      </c>
      <c r="U38" s="45">
        <f t="shared" si="173"/>
        <v>1.371268571746187E-3</v>
      </c>
      <c r="V38" s="45">
        <f t="shared" si="173"/>
        <v>3.6377377553022949E-3</v>
      </c>
      <c r="W38" s="45">
        <f t="shared" si="173"/>
        <v>5.8926369411667068E-3</v>
      </c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</row>
    <row r="39" spans="2:118" x14ac:dyDescent="0.15">
      <c r="C39" s="20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</row>
    <row r="40" spans="2:118" x14ac:dyDescent="0.15">
      <c r="B40" s="2" t="s">
        <v>26</v>
      </c>
      <c r="C40" s="24">
        <f t="shared" ref="C40:H40" si="174">C41-C42</f>
        <v>2080.8530000000001</v>
      </c>
      <c r="D40" s="24">
        <f t="shared" si="174"/>
        <v>2859.232</v>
      </c>
      <c r="E40" s="24">
        <f t="shared" si="174"/>
        <v>3938.3530000000001</v>
      </c>
      <c r="F40" s="24">
        <f t="shared" si="174"/>
        <v>-895.83800000000019</v>
      </c>
      <c r="G40" s="24">
        <f t="shared" si="174"/>
        <v>38.709000000000742</v>
      </c>
      <c r="H40" s="24">
        <f t="shared" si="174"/>
        <v>1875</v>
      </c>
      <c r="I40" s="50">
        <f>H40+I26</f>
        <v>6415.8885289089203</v>
      </c>
      <c r="J40" s="50">
        <f t="shared" ref="J40:W40" si="175">I40+J26</f>
        <v>11865.420702915757</v>
      </c>
      <c r="K40" s="50">
        <f t="shared" si="175"/>
        <v>18393.757099179133</v>
      </c>
      <c r="L40" s="50">
        <f t="shared" si="175"/>
        <v>26198.235221149254</v>
      </c>
      <c r="M40" s="50">
        <f t="shared" si="175"/>
        <v>35507.750222987066</v>
      </c>
      <c r="N40" s="50">
        <f t="shared" si="175"/>
        <v>46193.780452546795</v>
      </c>
      <c r="O40" s="50">
        <f t="shared" si="175"/>
        <v>58418.255043741483</v>
      </c>
      <c r="P40" s="50">
        <f t="shared" si="175"/>
        <v>72360.545914078248</v>
      </c>
      <c r="Q40" s="50">
        <f t="shared" si="175"/>
        <v>88219.275184341503</v>
      </c>
      <c r="R40" s="50">
        <f t="shared" si="175"/>
        <v>106214.30650897123</v>
      </c>
      <c r="S40" s="50">
        <f t="shared" si="175"/>
        <v>126133.86910550049</v>
      </c>
      <c r="T40" s="50">
        <f t="shared" si="175"/>
        <v>148057.10107800615</v>
      </c>
      <c r="U40" s="50">
        <f t="shared" si="175"/>
        <v>172068.49699160352</v>
      </c>
      <c r="V40" s="50">
        <f t="shared" si="175"/>
        <v>198258.11692163011</v>
      </c>
      <c r="W40" s="50">
        <f t="shared" si="175"/>
        <v>226721.80906782192</v>
      </c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</row>
    <row r="41" spans="2:118" x14ac:dyDescent="0.15">
      <c r="B41" s="3" t="s">
        <v>27</v>
      </c>
      <c r="C41" s="51">
        <f>Reports!F35</f>
        <v>3988.0839999999998</v>
      </c>
      <c r="D41" s="51">
        <f>Reports!J35</f>
        <v>4761.3</v>
      </c>
      <c r="E41" s="51">
        <f>Reports!N35</f>
        <v>5819.7740000000003</v>
      </c>
      <c r="F41" s="51">
        <f>Reports!R35</f>
        <v>3228.962</v>
      </c>
      <c r="G41" s="51">
        <f>Reports!V35</f>
        <v>4176.9760000000006</v>
      </c>
      <c r="H41" s="51">
        <f>Reports!Z35</f>
        <v>5992</v>
      </c>
      <c r="I41" s="51"/>
      <c r="J41" s="51"/>
      <c r="K41" s="51"/>
      <c r="L41" s="51"/>
      <c r="M41" s="51"/>
      <c r="N41" s="51"/>
      <c r="O41" s="51"/>
      <c r="P41" s="51"/>
      <c r="Q41" s="51"/>
      <c r="R41" s="23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</row>
    <row r="42" spans="2:118" x14ac:dyDescent="0.15">
      <c r="B42" s="3" t="s">
        <v>28</v>
      </c>
      <c r="C42" s="51">
        <f>Reports!F36</f>
        <v>1907.231</v>
      </c>
      <c r="D42" s="51">
        <f>Reports!J36</f>
        <v>1902.068</v>
      </c>
      <c r="E42" s="51">
        <f>Reports!N36</f>
        <v>1881.421</v>
      </c>
      <c r="F42" s="51">
        <f>Reports!R36</f>
        <v>4124.8</v>
      </c>
      <c r="G42" s="51">
        <f>Reports!V36</f>
        <v>4138.2669999999998</v>
      </c>
      <c r="H42" s="51">
        <f>Reports!Z36</f>
        <v>4117</v>
      </c>
      <c r="I42" s="51"/>
      <c r="J42" s="51"/>
      <c r="K42" s="51"/>
      <c r="L42" s="51"/>
      <c r="M42" s="51"/>
      <c r="N42" s="51"/>
      <c r="O42" s="51"/>
      <c r="P42" s="51"/>
      <c r="Q42" s="51"/>
      <c r="R42" s="23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</row>
    <row r="43" spans="2:118" x14ac:dyDescent="0.15"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</row>
    <row r="44" spans="2:118" x14ac:dyDescent="0.15">
      <c r="B44" s="3" t="s">
        <v>56</v>
      </c>
      <c r="C44" s="54">
        <f>Reports!F38</f>
        <v>5876.8879999999999</v>
      </c>
      <c r="D44" s="54">
        <f>Reports!J38</f>
        <v>5820.8789999999999</v>
      </c>
      <c r="E44" s="54">
        <f>Reports!N38</f>
        <v>6207.2190000000001</v>
      </c>
      <c r="F44" s="51">
        <f>Reports!R38</f>
        <v>12650.049000000001</v>
      </c>
      <c r="G44" s="51">
        <f>Reports!V38</f>
        <v>12411.764000000001</v>
      </c>
      <c r="H44" s="51">
        <f>Reports!Z38</f>
        <v>12101</v>
      </c>
      <c r="I44" s="54"/>
      <c r="J44" s="54"/>
      <c r="K44" s="54"/>
      <c r="L44" s="54"/>
      <c r="M44" s="54"/>
      <c r="N44" s="54"/>
      <c r="O44" s="54"/>
      <c r="P44" s="54"/>
      <c r="Q44" s="54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</row>
    <row r="45" spans="2:118" x14ac:dyDescent="0.15">
      <c r="B45" s="3" t="s">
        <v>57</v>
      </c>
      <c r="C45" s="54">
        <f>Reports!F39</f>
        <v>11726.472</v>
      </c>
      <c r="D45" s="54">
        <f>Reports!J39</f>
        <v>12707.114</v>
      </c>
      <c r="E45" s="54">
        <f>Reports!N39</f>
        <v>14535.556</v>
      </c>
      <c r="F45" s="51">
        <f>Reports!R39</f>
        <v>18768.682000000001</v>
      </c>
      <c r="G45" s="51">
        <f>Reports!V39</f>
        <v>20762.400000000001</v>
      </c>
      <c r="H45" s="51">
        <f>Reports!Z39</f>
        <v>24284</v>
      </c>
      <c r="I45" s="54"/>
      <c r="J45" s="54"/>
      <c r="K45" s="54"/>
      <c r="L45" s="54"/>
      <c r="M45" s="54"/>
      <c r="N45" s="54"/>
      <c r="O45" s="54"/>
      <c r="P45" s="54"/>
      <c r="Q45" s="54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</row>
    <row r="46" spans="2:118" x14ac:dyDescent="0.15">
      <c r="B46" s="3" t="s">
        <v>58</v>
      </c>
      <c r="C46" s="54">
        <f>Reports!F40</f>
        <v>4724.8919999999998</v>
      </c>
      <c r="D46" s="54">
        <f>Reports!J40</f>
        <v>5282.2790000000005</v>
      </c>
      <c r="E46" s="54">
        <f>Reports!N40</f>
        <v>6075.6869999999999</v>
      </c>
      <c r="F46" s="51">
        <f>Reports!R40</f>
        <v>9406.5679999999993</v>
      </c>
      <c r="G46" s="51">
        <f>Reports!V40</f>
        <v>10232.245000000001</v>
      </c>
      <c r="H46" s="51">
        <f>Reports!Z40</f>
        <v>11020</v>
      </c>
      <c r="I46" s="54"/>
      <c r="J46" s="54"/>
      <c r="K46" s="54"/>
      <c r="L46" s="54"/>
      <c r="M46" s="54"/>
      <c r="N46" s="54"/>
      <c r="O46" s="54"/>
      <c r="P46" s="54"/>
      <c r="Q46" s="54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</row>
    <row r="47" spans="2:118" x14ac:dyDescent="0.15"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</row>
    <row r="48" spans="2:118" x14ac:dyDescent="0.15">
      <c r="B48" s="3" t="s">
        <v>59</v>
      </c>
      <c r="C48" s="55">
        <f t="shared" ref="C48:H48" si="176">C45-C44-C41</f>
        <v>1861.5</v>
      </c>
      <c r="D48" s="55">
        <f t="shared" si="176"/>
        <v>2124.9349999999995</v>
      </c>
      <c r="E48" s="55">
        <f t="shared" si="176"/>
        <v>2508.5629999999992</v>
      </c>
      <c r="F48" s="55">
        <f t="shared" si="176"/>
        <v>2889.6709999999998</v>
      </c>
      <c r="G48" s="55">
        <f t="shared" si="176"/>
        <v>4173.66</v>
      </c>
      <c r="H48" s="55">
        <f t="shared" si="176"/>
        <v>6191</v>
      </c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</row>
    <row r="49" spans="2:118" x14ac:dyDescent="0.15">
      <c r="B49" s="3" t="s">
        <v>60</v>
      </c>
      <c r="C49" s="55">
        <f t="shared" ref="C49:H49" si="177">C45-C46</f>
        <v>7001.58</v>
      </c>
      <c r="D49" s="55">
        <f t="shared" si="177"/>
        <v>7424.8349999999991</v>
      </c>
      <c r="E49" s="55">
        <f t="shared" si="177"/>
        <v>8459.8690000000006</v>
      </c>
      <c r="F49" s="55">
        <f t="shared" si="177"/>
        <v>9362.1140000000014</v>
      </c>
      <c r="G49" s="55">
        <f t="shared" si="177"/>
        <v>10530.155000000001</v>
      </c>
      <c r="H49" s="55">
        <f t="shared" si="177"/>
        <v>13264</v>
      </c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</row>
    <row r="50" spans="2:118" x14ac:dyDescent="0.15"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</row>
    <row r="51" spans="2:118" x14ac:dyDescent="0.15">
      <c r="B51" s="18" t="s">
        <v>61</v>
      </c>
      <c r="C51" s="56">
        <f t="shared" ref="C51:H51" si="178">C26/C49</f>
        <v>8.99155619160249E-2</v>
      </c>
      <c r="D51" s="56">
        <f t="shared" si="178"/>
        <v>0.15741521528761246</v>
      </c>
      <c r="E51" s="56">
        <f t="shared" si="178"/>
        <v>0.2002340698183388</v>
      </c>
      <c r="F51" s="56">
        <f t="shared" si="178"/>
        <v>0.27672959333757319</v>
      </c>
      <c r="G51" s="56">
        <f t="shared" si="178"/>
        <v>0.28028628258558402</v>
      </c>
      <c r="H51" s="56">
        <f t="shared" si="178"/>
        <v>0.30724745269907816</v>
      </c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</row>
    <row r="52" spans="2:118" x14ac:dyDescent="0.15">
      <c r="B52" s="18" t="s">
        <v>62</v>
      </c>
      <c r="C52" s="56">
        <f t="shared" ref="C52:H52" si="179">C26/C45</f>
        <v>5.3686309062094859E-2</v>
      </c>
      <c r="D52" s="56">
        <f t="shared" si="179"/>
        <v>9.1978556263837719E-2</v>
      </c>
      <c r="E52" s="56">
        <f t="shared" si="179"/>
        <v>0.11653864496136233</v>
      </c>
      <c r="F52" s="56">
        <f t="shared" si="179"/>
        <v>0.13803707687092789</v>
      </c>
      <c r="G52" s="56">
        <f t="shared" si="179"/>
        <v>0.142153989904828</v>
      </c>
      <c r="H52" s="56">
        <f t="shared" si="179"/>
        <v>0.16781956072313345</v>
      </c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</row>
    <row r="53" spans="2:118" x14ac:dyDescent="0.15">
      <c r="B53" s="18" t="s">
        <v>63</v>
      </c>
      <c r="C53" s="56">
        <f t="shared" ref="C53:H53" si="180">C26/(C49-C44)</f>
        <v>0.55975413713265643</v>
      </c>
      <c r="D53" s="56">
        <f t="shared" si="180"/>
        <v>0.72868707121641774</v>
      </c>
      <c r="E53" s="56">
        <f t="shared" si="180"/>
        <v>0.75198277584178619</v>
      </c>
      <c r="F53" s="56">
        <f t="shared" si="180"/>
        <v>-0.7879638739816941</v>
      </c>
      <c r="G53" s="56">
        <f t="shared" si="180"/>
        <v>-1.5685819955155405</v>
      </c>
      <c r="H53" s="56">
        <f t="shared" si="180"/>
        <v>3.5041532352541465</v>
      </c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</row>
    <row r="54" spans="2:118" x14ac:dyDescent="0.15">
      <c r="B54" s="18" t="s">
        <v>64</v>
      </c>
      <c r="C54" s="56">
        <f t="shared" ref="C54:H54" si="181">C26/C48</f>
        <v>0.33819554123019158</v>
      </c>
      <c r="D54" s="56">
        <f t="shared" si="181"/>
        <v>0.55003188332819597</v>
      </c>
      <c r="E54" s="56">
        <f t="shared" si="181"/>
        <v>0.67526866975236444</v>
      </c>
      <c r="F54" s="56">
        <f t="shared" si="181"/>
        <v>0.89656365724679421</v>
      </c>
      <c r="G54" s="56">
        <f t="shared" si="181"/>
        <v>0.70716301759127509</v>
      </c>
      <c r="H54" s="56">
        <f t="shared" si="181"/>
        <v>0.65826687330004396</v>
      </c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</row>
    <row r="55" spans="2:118" x14ac:dyDescent="0.15"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</row>
    <row r="56" spans="2:118" x14ac:dyDescent="0.15">
      <c r="B56" s="6" t="s">
        <v>73</v>
      </c>
      <c r="C56" s="39"/>
      <c r="D56" s="56">
        <f>D11/C11-1</f>
        <v>0.42213694948732972</v>
      </c>
      <c r="E56" s="56">
        <f t="shared" ref="E56:G56" si="182">E11/D11-1</f>
        <v>0.3378609428086039</v>
      </c>
      <c r="F56" s="56">
        <f t="shared" si="182"/>
        <v>0.29154241800729674</v>
      </c>
      <c r="G56" s="56">
        <f t="shared" si="182"/>
        <v>0.26158447856087585</v>
      </c>
      <c r="H56" s="56">
        <f t="shared" ref="H56:M58" si="183">H11/G11-1</f>
        <v>0.18205438530770635</v>
      </c>
      <c r="I56" s="56">
        <f t="shared" si="183"/>
        <v>0.14999999999999991</v>
      </c>
      <c r="J56" s="56">
        <f t="shared" si="183"/>
        <v>0.14999999999999991</v>
      </c>
      <c r="K56" s="56">
        <f t="shared" si="183"/>
        <v>0.14999999999999991</v>
      </c>
      <c r="L56" s="56">
        <f t="shared" si="183"/>
        <v>0.14999999999999991</v>
      </c>
      <c r="M56" s="56">
        <f t="shared" si="183"/>
        <v>0.14999999999999991</v>
      </c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</row>
    <row r="57" spans="2:118" x14ac:dyDescent="0.15">
      <c r="B57" s="6" t="s">
        <v>74</v>
      </c>
      <c r="C57" s="39"/>
      <c r="D57" s="56">
        <f t="shared" ref="D57:G57" si="184">D12/C12-1</f>
        <v>-0.28853855410764473</v>
      </c>
      <c r="E57" s="56">
        <f t="shared" si="184"/>
        <v>-0.11709086093906551</v>
      </c>
      <c r="F57" s="56">
        <f t="shared" si="184"/>
        <v>-0.119719794500875</v>
      </c>
      <c r="G57" s="56">
        <f t="shared" si="184"/>
        <v>4.1203691053486757E-2</v>
      </c>
      <c r="H57" s="56">
        <f t="shared" si="183"/>
        <v>-0.21733653602721881</v>
      </c>
      <c r="I57" s="56">
        <f t="shared" si="183"/>
        <v>-9.9999999999999978E-2</v>
      </c>
      <c r="J57" s="56">
        <f t="shared" si="183"/>
        <v>-9.9999999999999978E-2</v>
      </c>
      <c r="K57" s="56">
        <f t="shared" si="183"/>
        <v>-9.9999999999999978E-2</v>
      </c>
      <c r="L57" s="56">
        <f t="shared" si="183"/>
        <v>-0.10000000000000009</v>
      </c>
      <c r="M57" s="56">
        <f t="shared" si="183"/>
        <v>-0.10000000000000009</v>
      </c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</row>
    <row r="58" spans="2:118" x14ac:dyDescent="0.15">
      <c r="B58" s="6" t="s">
        <v>75</v>
      </c>
      <c r="C58" s="39"/>
      <c r="D58" s="56">
        <f t="shared" ref="D58:G58" si="185">D13/C13-1</f>
        <v>5.0705436757074063E-2</v>
      </c>
      <c r="E58" s="56">
        <f t="shared" si="185"/>
        <v>-1.7544271038736015E-2</v>
      </c>
      <c r="F58" s="56">
        <f t="shared" si="185"/>
        <v>5.3885160425196643E-2</v>
      </c>
      <c r="G58" s="56">
        <f t="shared" si="185"/>
        <v>8.9233543955874239E-2</v>
      </c>
      <c r="H58" s="56">
        <f t="shared" si="183"/>
        <v>3.3940466199408714E-2</v>
      </c>
      <c r="I58" s="56">
        <f t="shared" si="183"/>
        <v>5.0000000000000044E-2</v>
      </c>
      <c r="J58" s="56">
        <f t="shared" si="183"/>
        <v>5.0000000000000044E-2</v>
      </c>
      <c r="K58" s="56">
        <f t="shared" si="183"/>
        <v>5.0000000000000044E-2</v>
      </c>
      <c r="L58" s="56">
        <f t="shared" si="183"/>
        <v>5.0000000000000044E-2</v>
      </c>
      <c r="M58" s="56">
        <f t="shared" si="183"/>
        <v>5.0000000000000044E-2</v>
      </c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</row>
  </sheetData>
  <hyperlinks>
    <hyperlink ref="A1" r:id="rId1" display="Investor Relations" xr:uid="{00000000-0004-0000-0000-000000000000}"/>
    <hyperlink ref="B8" r:id="rId2" xr:uid="{00000000-0004-0000-0000-000001000000}"/>
    <hyperlink ref="B9" r:id="rId3" xr:uid="{00000000-0004-0000-0000-000002000000}"/>
    <hyperlink ref="B5" r:id="rId4" xr:uid="{00000000-0004-0000-0000-000003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6"/>
  <sheetViews>
    <sheetView zoomScale="125" zoomScaleNormal="125" workbookViewId="0">
      <pane xSplit="2" ySplit="3" topLeftCell="N4" activePane="bottomRight" state="frozen"/>
      <selection pane="topRight" activeCell="B1" sqref="B1"/>
      <selection pane="bottomLeft" activeCell="A3" sqref="A3"/>
      <selection pane="bottomRight" activeCell="T63" sqref="T63"/>
    </sheetView>
  </sheetViews>
  <sheetFormatPr baseColWidth="10" defaultRowHeight="13" x14ac:dyDescent="0.15"/>
  <cols>
    <col min="1" max="1" width="7.1640625" style="6" bestFit="1" customWidth="1"/>
    <col min="2" max="2" width="20.33203125" style="70" bestFit="1" customWidth="1"/>
    <col min="3" max="6" width="10.83203125" style="20" customWidth="1"/>
    <col min="7" max="7" width="10.83203125" style="21" customWidth="1"/>
    <col min="8" max="9" width="10.83203125" style="20" customWidth="1"/>
    <col min="10" max="10" width="10.83203125" style="20"/>
    <col min="11" max="11" width="10.83203125" style="21"/>
    <col min="12" max="14" width="10.83203125" style="20"/>
    <col min="15" max="15" width="10.83203125" style="21"/>
    <col min="16" max="18" width="10.83203125" style="20"/>
    <col min="19" max="19" width="10.83203125" style="21"/>
    <col min="20" max="22" width="10.83203125" style="20"/>
    <col min="23" max="23" width="10.83203125" style="21"/>
    <col min="24" max="26" width="10.83203125" style="20"/>
    <col min="27" max="27" width="10.83203125" style="21"/>
    <col min="28" max="16384" width="10.83203125" style="20"/>
  </cols>
  <sheetData>
    <row r="1" spans="1:30" x14ac:dyDescent="0.15">
      <c r="A1" s="65" t="s">
        <v>45</v>
      </c>
    </row>
    <row r="2" spans="1:30" x14ac:dyDescent="0.15">
      <c r="A2" s="20"/>
      <c r="B2" s="20"/>
      <c r="C2" s="20" t="s">
        <v>38</v>
      </c>
      <c r="D2" s="20" t="s">
        <v>39</v>
      </c>
      <c r="E2" s="20" t="s">
        <v>40</v>
      </c>
      <c r="F2" s="20" t="s">
        <v>41</v>
      </c>
      <c r="G2" s="21" t="s">
        <v>22</v>
      </c>
      <c r="H2" s="20" t="s">
        <v>23</v>
      </c>
      <c r="I2" s="20" t="s">
        <v>24</v>
      </c>
      <c r="J2" s="20" t="s">
        <v>25</v>
      </c>
      <c r="K2" s="22" t="s">
        <v>0</v>
      </c>
      <c r="L2" s="23" t="s">
        <v>1</v>
      </c>
      <c r="M2" s="23" t="s">
        <v>2</v>
      </c>
      <c r="N2" s="23" t="s">
        <v>3</v>
      </c>
      <c r="O2" s="22" t="s">
        <v>34</v>
      </c>
      <c r="P2" s="23" t="s">
        <v>35</v>
      </c>
      <c r="Q2" s="23" t="s">
        <v>36</v>
      </c>
      <c r="R2" s="23" t="s">
        <v>37</v>
      </c>
      <c r="S2" s="22" t="s">
        <v>52</v>
      </c>
      <c r="T2" s="23" t="s">
        <v>53</v>
      </c>
      <c r="U2" s="23" t="s">
        <v>54</v>
      </c>
      <c r="V2" s="23" t="s">
        <v>55</v>
      </c>
      <c r="W2" s="22" t="s">
        <v>95</v>
      </c>
      <c r="X2" s="23" t="s">
        <v>106</v>
      </c>
      <c r="Y2" s="23" t="s">
        <v>107</v>
      </c>
      <c r="Z2" s="23" t="s">
        <v>96</v>
      </c>
      <c r="AA2" s="21" t="s">
        <v>111</v>
      </c>
      <c r="AB2" s="20" t="s">
        <v>112</v>
      </c>
      <c r="AC2" s="20" t="s">
        <v>113</v>
      </c>
      <c r="AD2" s="20" t="s">
        <v>114</v>
      </c>
    </row>
    <row r="3" spans="1:30" x14ac:dyDescent="0.15">
      <c r="A3" s="20"/>
      <c r="B3" s="65"/>
      <c r="C3" s="20" t="s">
        <v>93</v>
      </c>
      <c r="D3" s="20" t="s">
        <v>91</v>
      </c>
      <c r="E3" s="20" t="s">
        <v>89</v>
      </c>
      <c r="F3" s="20" t="s">
        <v>87</v>
      </c>
      <c r="G3" s="21" t="s">
        <v>92</v>
      </c>
      <c r="H3" s="20" t="s">
        <v>90</v>
      </c>
      <c r="I3" s="20" t="s">
        <v>88</v>
      </c>
      <c r="J3" s="20" t="s">
        <v>86</v>
      </c>
      <c r="K3" s="21" t="s">
        <v>85</v>
      </c>
      <c r="L3" s="20" t="s">
        <v>84</v>
      </c>
      <c r="M3" s="20" t="s">
        <v>82</v>
      </c>
      <c r="N3" s="20" t="s">
        <v>80</v>
      </c>
      <c r="O3" s="21" t="s">
        <v>78</v>
      </c>
      <c r="P3" s="20" t="s">
        <v>83</v>
      </c>
      <c r="Q3" s="20" t="s">
        <v>81</v>
      </c>
      <c r="R3" s="20" t="s">
        <v>76</v>
      </c>
      <c r="S3" s="21" t="s">
        <v>77</v>
      </c>
      <c r="T3" s="20" t="s">
        <v>94</v>
      </c>
      <c r="U3" s="20" t="s">
        <v>97</v>
      </c>
      <c r="V3" s="20" t="s">
        <v>98</v>
      </c>
      <c r="W3" s="59">
        <v>43889</v>
      </c>
      <c r="X3" s="58">
        <v>43980</v>
      </c>
      <c r="Y3" s="58">
        <v>44071</v>
      </c>
      <c r="Z3" s="58">
        <v>44162</v>
      </c>
    </row>
    <row r="4" spans="1:30" s="23" customFormat="1" x14ac:dyDescent="0.15">
      <c r="A4" s="8"/>
      <c r="B4" s="66" t="s">
        <v>70</v>
      </c>
      <c r="C4" s="23">
        <v>713.44200000000001</v>
      </c>
      <c r="D4" s="23">
        <v>773.96299999999997</v>
      </c>
      <c r="E4" s="23">
        <v>829.06500000000005</v>
      </c>
      <c r="F4" s="23">
        <v>907.43399999999997</v>
      </c>
      <c r="G4" s="22">
        <v>1070.25</v>
      </c>
      <c r="H4" s="23">
        <v>1083.7080000000001</v>
      </c>
      <c r="I4" s="23">
        <v>1168.6020000000001</v>
      </c>
      <c r="J4" s="23">
        <v>1262.2729999999999</v>
      </c>
      <c r="K4" s="22">
        <v>1383.856</v>
      </c>
      <c r="L4" s="23">
        <v>1483.69</v>
      </c>
      <c r="M4" s="23">
        <v>1570.336</v>
      </c>
      <c r="N4" s="23">
        <v>1695.9870000000001</v>
      </c>
      <c r="O4" s="22">
        <v>1793.3579999999999</v>
      </c>
      <c r="P4" s="23">
        <v>1923.1310000000001</v>
      </c>
      <c r="Q4" s="23">
        <v>2021.5050000000001</v>
      </c>
      <c r="R4" s="23">
        <v>2184.1579999999999</v>
      </c>
      <c r="S4" s="22">
        <v>2304.9670000000001</v>
      </c>
      <c r="T4" s="23">
        <v>2456.0970000000002</v>
      </c>
      <c r="U4" s="23">
        <v>2546.5709999999999</v>
      </c>
      <c r="V4" s="23">
        <v>2686.8290000000002</v>
      </c>
      <c r="W4" s="22">
        <v>2825</v>
      </c>
      <c r="X4" s="23">
        <v>2874</v>
      </c>
      <c r="Y4" s="23">
        <v>3000</v>
      </c>
      <c r="Z4" s="23">
        <v>3115</v>
      </c>
      <c r="AA4" s="22"/>
    </row>
    <row r="5" spans="1:30" s="23" customFormat="1" x14ac:dyDescent="0.15">
      <c r="A5" s="8"/>
      <c r="B5" s="66" t="s">
        <v>71</v>
      </c>
      <c r="C5" s="23">
        <v>290.774</v>
      </c>
      <c r="D5" s="23">
        <v>274.53800000000001</v>
      </c>
      <c r="E5" s="23">
        <v>275.33800000000002</v>
      </c>
      <c r="F5" s="23">
        <v>284.49599999999998</v>
      </c>
      <c r="G5" s="22">
        <v>201.11199999999999</v>
      </c>
      <c r="H5" s="23">
        <v>196.5</v>
      </c>
      <c r="I5" s="23">
        <v>180.96</v>
      </c>
      <c r="J5" s="23">
        <v>221.92599999999999</v>
      </c>
      <c r="K5" s="22">
        <v>183.38499999999999</v>
      </c>
      <c r="L5" s="23">
        <v>171.54499999999999</v>
      </c>
      <c r="M5" s="23">
        <v>158.96100000000001</v>
      </c>
      <c r="N5" s="23">
        <v>192.876</v>
      </c>
      <c r="O5" s="22">
        <v>171.608</v>
      </c>
      <c r="P5" s="23">
        <v>150.99299999999999</v>
      </c>
      <c r="Q5" s="23">
        <v>149.12700000000001</v>
      </c>
      <c r="R5" s="23">
        <v>150.42500000000001</v>
      </c>
      <c r="S5" s="22">
        <v>170.554</v>
      </c>
      <c r="T5" s="23">
        <v>152.816</v>
      </c>
      <c r="U5" s="23">
        <v>157.321</v>
      </c>
      <c r="V5" s="23">
        <v>167.09700000000001</v>
      </c>
      <c r="W5" s="22">
        <v>143</v>
      </c>
      <c r="X5" s="23">
        <v>128</v>
      </c>
      <c r="Y5" s="23">
        <v>109</v>
      </c>
      <c r="Z5" s="23">
        <v>127</v>
      </c>
      <c r="AA5" s="22"/>
    </row>
    <row r="6" spans="1:30" s="23" customFormat="1" x14ac:dyDescent="0.15">
      <c r="A6" s="8"/>
      <c r="B6" s="66" t="s">
        <v>72</v>
      </c>
      <c r="C6" s="23">
        <v>104.965</v>
      </c>
      <c r="D6" s="23">
        <v>113.657</v>
      </c>
      <c r="E6" s="23">
        <v>113.36499999999999</v>
      </c>
      <c r="F6" s="23">
        <v>114.474</v>
      </c>
      <c r="G6" s="22">
        <v>111.973</v>
      </c>
      <c r="H6" s="23">
        <v>118.501</v>
      </c>
      <c r="I6" s="23">
        <v>114.405</v>
      </c>
      <c r="J6" s="23">
        <v>124.22</v>
      </c>
      <c r="K6" s="22">
        <v>114.405</v>
      </c>
      <c r="L6" s="23">
        <v>116.955</v>
      </c>
      <c r="M6" s="23">
        <v>111.777</v>
      </c>
      <c r="N6" s="23">
        <v>117.732</v>
      </c>
      <c r="O6" s="22">
        <v>113.98099999999999</v>
      </c>
      <c r="P6" s="23">
        <v>121.236</v>
      </c>
      <c r="Q6" s="23">
        <v>120.444</v>
      </c>
      <c r="R6" s="23">
        <v>130.042</v>
      </c>
      <c r="S6" s="22">
        <v>125.425</v>
      </c>
      <c r="T6" s="23">
        <v>135.36699999999999</v>
      </c>
      <c r="U6" s="23">
        <v>130.23400000000001</v>
      </c>
      <c r="V6" s="23">
        <v>138.018</v>
      </c>
      <c r="W6" s="22">
        <v>123</v>
      </c>
      <c r="X6" s="23">
        <v>126</v>
      </c>
      <c r="Y6" s="23">
        <v>116</v>
      </c>
      <c r="Z6" s="23">
        <v>182</v>
      </c>
      <c r="AA6" s="22"/>
    </row>
    <row r="7" spans="1:30" s="23" customFormat="1" x14ac:dyDescent="0.15">
      <c r="B7" s="66"/>
      <c r="G7" s="22"/>
      <c r="K7" s="22"/>
      <c r="O7" s="22"/>
      <c r="S7" s="22"/>
      <c r="W7" s="22"/>
      <c r="X7" s="23">
        <v>3175</v>
      </c>
      <c r="Z7" s="23">
        <v>3350</v>
      </c>
      <c r="AA7" s="22">
        <v>3750</v>
      </c>
    </row>
    <row r="8" spans="1:30" s="47" customFormat="1" x14ac:dyDescent="0.15">
      <c r="A8" s="17"/>
      <c r="B8" s="67" t="s">
        <v>4</v>
      </c>
      <c r="C8" s="24">
        <f t="shared" ref="C8:Z8" si="0">SUM(C4:C6)</f>
        <v>1109.181</v>
      </c>
      <c r="D8" s="24">
        <f t="shared" si="0"/>
        <v>1162.1579999999999</v>
      </c>
      <c r="E8" s="24">
        <f t="shared" si="0"/>
        <v>1217.768</v>
      </c>
      <c r="F8" s="24">
        <f t="shared" si="0"/>
        <v>1306.4039999999998</v>
      </c>
      <c r="G8" s="25">
        <f t="shared" si="0"/>
        <v>1383.335</v>
      </c>
      <c r="H8" s="24">
        <f t="shared" si="0"/>
        <v>1398.7090000000001</v>
      </c>
      <c r="I8" s="24">
        <f t="shared" si="0"/>
        <v>1463.9670000000001</v>
      </c>
      <c r="J8" s="24">
        <f t="shared" si="0"/>
        <v>1608.4189999999999</v>
      </c>
      <c r="K8" s="25">
        <f t="shared" si="0"/>
        <v>1681.646</v>
      </c>
      <c r="L8" s="24">
        <f t="shared" si="0"/>
        <v>1772.19</v>
      </c>
      <c r="M8" s="24">
        <f t="shared" si="0"/>
        <v>1841.0740000000001</v>
      </c>
      <c r="N8" s="24">
        <f t="shared" si="0"/>
        <v>2006.595</v>
      </c>
      <c r="O8" s="25">
        <f t="shared" si="0"/>
        <v>2078.9470000000001</v>
      </c>
      <c r="P8" s="24">
        <f t="shared" si="0"/>
        <v>2195.36</v>
      </c>
      <c r="Q8" s="24">
        <f t="shared" si="0"/>
        <v>2291.076</v>
      </c>
      <c r="R8" s="24">
        <f t="shared" si="0"/>
        <v>2464.625</v>
      </c>
      <c r="S8" s="25">
        <f t="shared" si="0"/>
        <v>2600.9460000000004</v>
      </c>
      <c r="T8" s="24">
        <f t="shared" si="0"/>
        <v>2744.28</v>
      </c>
      <c r="U8" s="24">
        <f t="shared" si="0"/>
        <v>2834.1259999999997</v>
      </c>
      <c r="V8" s="24">
        <f t="shared" si="0"/>
        <v>2991.9440000000004</v>
      </c>
      <c r="W8" s="25">
        <f t="shared" si="0"/>
        <v>3091</v>
      </c>
      <c r="X8" s="24">
        <f t="shared" si="0"/>
        <v>3128</v>
      </c>
      <c r="Y8" s="24">
        <f t="shared" si="0"/>
        <v>3225</v>
      </c>
      <c r="Z8" s="24">
        <f t="shared" si="0"/>
        <v>3424</v>
      </c>
      <c r="AA8" s="76">
        <v>3750</v>
      </c>
    </row>
    <row r="9" spans="1:30" s="23" customFormat="1" x14ac:dyDescent="0.15">
      <c r="A9" s="8"/>
      <c r="B9" s="66" t="s">
        <v>5</v>
      </c>
      <c r="C9" s="23">
        <v>166.798</v>
      </c>
      <c r="D9" s="23">
        <v>185.173</v>
      </c>
      <c r="E9" s="23">
        <v>190.98500000000001</v>
      </c>
      <c r="F9" s="23">
        <v>201.36099999999999</v>
      </c>
      <c r="G9" s="22">
        <v>198.572</v>
      </c>
      <c r="H9" s="23">
        <v>202.07900000000001</v>
      </c>
      <c r="I9" s="23">
        <v>202.70099999999999</v>
      </c>
      <c r="J9" s="23">
        <v>216.55600000000001</v>
      </c>
      <c r="K9" s="22">
        <v>237.33699999999999</v>
      </c>
      <c r="L9" s="23">
        <v>239.36</v>
      </c>
      <c r="M9" s="23">
        <v>262.92200000000003</v>
      </c>
      <c r="N9" s="23">
        <v>270.87200000000001</v>
      </c>
      <c r="O9" s="22">
        <v>258.90199999999999</v>
      </c>
      <c r="P9" s="23">
        <v>281.34399999999999</v>
      </c>
      <c r="Q9" s="23">
        <v>295.49200000000002</v>
      </c>
      <c r="R9" s="23">
        <v>359.26100000000002</v>
      </c>
      <c r="S9" s="22">
        <v>397.286</v>
      </c>
      <c r="T9" s="23">
        <v>407.488</v>
      </c>
      <c r="U9" s="51">
        <v>415.96300000000002</v>
      </c>
      <c r="V9" s="51">
        <v>451.983</v>
      </c>
      <c r="W9" s="22">
        <v>452</v>
      </c>
      <c r="X9" s="51">
        <v>415</v>
      </c>
      <c r="Y9" s="51">
        <v>427</v>
      </c>
      <c r="Z9" s="51">
        <v>428</v>
      </c>
      <c r="AA9" s="22"/>
    </row>
    <row r="10" spans="1:30" s="23" customFormat="1" x14ac:dyDescent="0.15">
      <c r="A10" s="8"/>
      <c r="B10" s="66" t="s">
        <v>6</v>
      </c>
      <c r="C10" s="27">
        <f>C8-C9</f>
        <v>942.38300000000004</v>
      </c>
      <c r="D10" s="27">
        <f>D8-D9</f>
        <v>976.9849999999999</v>
      </c>
      <c r="E10" s="27">
        <f>E8-E9</f>
        <v>1026.7829999999999</v>
      </c>
      <c r="F10" s="27">
        <f>F8-F9</f>
        <v>1105.0429999999997</v>
      </c>
      <c r="G10" s="28">
        <f>G8-G9</f>
        <v>1184.7629999999999</v>
      </c>
      <c r="H10" s="27">
        <f t="shared" ref="H10:M10" si="1">H8-H9</f>
        <v>1196.6300000000001</v>
      </c>
      <c r="I10" s="27">
        <f t="shared" si="1"/>
        <v>1261.2660000000001</v>
      </c>
      <c r="J10" s="27">
        <f t="shared" si="1"/>
        <v>1391.8629999999998</v>
      </c>
      <c r="K10" s="28">
        <f t="shared" si="1"/>
        <v>1444.309</v>
      </c>
      <c r="L10" s="27">
        <f t="shared" si="1"/>
        <v>1532.83</v>
      </c>
      <c r="M10" s="27">
        <f t="shared" si="1"/>
        <v>1578.152</v>
      </c>
      <c r="N10" s="27">
        <f t="shared" ref="N10" si="2">N8-N9</f>
        <v>1735.723</v>
      </c>
      <c r="O10" s="28">
        <f>O8-O9</f>
        <v>1820.0450000000001</v>
      </c>
      <c r="P10" s="27">
        <f>P8-P9</f>
        <v>1914.0160000000001</v>
      </c>
      <c r="Q10" s="27">
        <f t="shared" ref="Q10:S10" si="3">Q8-Q9</f>
        <v>1995.5840000000001</v>
      </c>
      <c r="R10" s="27">
        <f t="shared" si="3"/>
        <v>2105.364</v>
      </c>
      <c r="S10" s="28">
        <f t="shared" si="3"/>
        <v>2203.6600000000003</v>
      </c>
      <c r="T10" s="27">
        <f t="shared" ref="T10:Z10" si="4">T8-T9</f>
        <v>2336.7920000000004</v>
      </c>
      <c r="U10" s="27">
        <f t="shared" si="4"/>
        <v>2418.1629999999996</v>
      </c>
      <c r="V10" s="27">
        <f t="shared" si="4"/>
        <v>2539.9610000000002</v>
      </c>
      <c r="W10" s="28">
        <f t="shared" ref="W10" si="5">W8-W9</f>
        <v>2639</v>
      </c>
      <c r="X10" s="27">
        <f t="shared" si="4"/>
        <v>2713</v>
      </c>
      <c r="Y10" s="27">
        <f t="shared" si="4"/>
        <v>2798</v>
      </c>
      <c r="Z10" s="27">
        <f t="shared" si="4"/>
        <v>2996</v>
      </c>
      <c r="AA10" s="22"/>
    </row>
    <row r="11" spans="1:30" s="23" customFormat="1" x14ac:dyDescent="0.15">
      <c r="A11" s="8"/>
      <c r="B11" s="66" t="s">
        <v>7</v>
      </c>
      <c r="C11" s="23">
        <v>215.50899999999999</v>
      </c>
      <c r="D11" s="23">
        <v>208.047</v>
      </c>
      <c r="E11" s="23">
        <v>218.66</v>
      </c>
      <c r="F11" s="23">
        <v>220.51400000000001</v>
      </c>
      <c r="G11" s="22">
        <v>237.20400000000001</v>
      </c>
      <c r="H11" s="23">
        <v>232.48400000000001</v>
      </c>
      <c r="I11" s="23">
        <v>248.45</v>
      </c>
      <c r="J11" s="23">
        <v>257.84899999999999</v>
      </c>
      <c r="K11" s="22">
        <v>285.077</v>
      </c>
      <c r="L11" s="23">
        <v>299.40100000000001</v>
      </c>
      <c r="M11" s="23">
        <v>315.55500000000001</v>
      </c>
      <c r="N11" s="23">
        <v>324.02600000000001</v>
      </c>
      <c r="O11" s="22">
        <v>348.76900000000001</v>
      </c>
      <c r="P11" s="23">
        <v>374.12799999999999</v>
      </c>
      <c r="Q11" s="23">
        <v>398.95699999999999</v>
      </c>
      <c r="R11" s="23">
        <v>415.95800000000003</v>
      </c>
      <c r="S11" s="22">
        <v>464.637</v>
      </c>
      <c r="T11" s="23">
        <v>475.95800000000003</v>
      </c>
      <c r="U11" s="51">
        <v>489.827</v>
      </c>
      <c r="V11" s="51">
        <v>499.80599999999998</v>
      </c>
      <c r="W11" s="22">
        <v>532</v>
      </c>
      <c r="X11" s="51">
        <v>532</v>
      </c>
      <c r="Y11" s="51">
        <v>566</v>
      </c>
      <c r="Z11" s="51">
        <v>558</v>
      </c>
      <c r="AA11" s="22"/>
    </row>
    <row r="12" spans="1:30" s="23" customFormat="1" x14ac:dyDescent="0.15">
      <c r="A12" s="8"/>
      <c r="B12" s="66" t="s">
        <v>8</v>
      </c>
      <c r="C12" s="23">
        <v>392.74099999999999</v>
      </c>
      <c r="D12" s="23">
        <v>426.99799999999999</v>
      </c>
      <c r="E12" s="23">
        <v>422.03100000000001</v>
      </c>
      <c r="F12" s="23">
        <v>441.47199999999998</v>
      </c>
      <c r="G12" s="22">
        <v>474.89100000000002</v>
      </c>
      <c r="H12" s="23">
        <v>462.78899999999999</v>
      </c>
      <c r="I12" s="23">
        <v>477.47500000000002</v>
      </c>
      <c r="J12" s="23">
        <v>495.04199999999997</v>
      </c>
      <c r="K12" s="22">
        <v>520.29700000000003</v>
      </c>
      <c r="L12" s="23">
        <v>553.09799999999996</v>
      </c>
      <c r="M12" s="23">
        <v>550.09299999999996</v>
      </c>
      <c r="N12" s="23">
        <v>574.10400000000004</v>
      </c>
      <c r="O12" s="22">
        <v>580.95699999999999</v>
      </c>
      <c r="P12" s="23">
        <v>646.21500000000003</v>
      </c>
      <c r="Q12" s="23">
        <v>670.08399999999995</v>
      </c>
      <c r="R12" s="23">
        <v>723.57299999999998</v>
      </c>
      <c r="S12" s="22">
        <v>781.51800000000003</v>
      </c>
      <c r="T12" s="23">
        <v>848.92700000000002</v>
      </c>
      <c r="U12" s="51">
        <v>812.31399999999996</v>
      </c>
      <c r="V12" s="51">
        <v>801.58799999999997</v>
      </c>
      <c r="W12" s="22">
        <v>857</v>
      </c>
      <c r="X12" s="51">
        <v>901</v>
      </c>
      <c r="Y12" s="51">
        <v>892</v>
      </c>
      <c r="Z12" s="51">
        <v>941</v>
      </c>
      <c r="AA12" s="22"/>
    </row>
    <row r="13" spans="1:30" s="23" customFormat="1" x14ac:dyDescent="0.15">
      <c r="A13" s="8"/>
      <c r="B13" s="66" t="s">
        <v>9</v>
      </c>
      <c r="C13" s="23">
        <f>145.081+1.755+14.272</f>
        <v>161.10799999999998</v>
      </c>
      <c r="D13" s="23">
        <f>130.208+0.034+18.081</f>
        <v>148.32299999999998</v>
      </c>
      <c r="E13" s="23">
        <f>122.578-0.751+18.246</f>
        <v>140.07300000000001</v>
      </c>
      <c r="F13" s="23">
        <f>134.052+0.521+18.05</f>
        <v>152.62299999999999</v>
      </c>
      <c r="G13" s="22">
        <f>146.935-0.419+18.394</f>
        <v>164.91</v>
      </c>
      <c r="H13" s="23">
        <f>138.596-0.466+18.988</f>
        <v>157.11799999999999</v>
      </c>
      <c r="I13" s="23">
        <f>143.702-0.338+22.652</f>
        <v>166.01600000000002</v>
      </c>
      <c r="J13" s="23">
        <f>148.477-0.285+18.5</f>
        <v>166.69200000000001</v>
      </c>
      <c r="K13" s="22">
        <f>150.808+19.128</f>
        <v>169.93599999999998</v>
      </c>
      <c r="L13" s="23">
        <f>156.929+19.32</f>
        <v>176.249</v>
      </c>
      <c r="M13" s="23">
        <f>147.402+19.428</f>
        <v>166.82999999999998</v>
      </c>
      <c r="N13" s="23">
        <f>169.567+18.686</f>
        <v>188.25300000000001</v>
      </c>
      <c r="O13" s="22">
        <f>170.44+17.146</f>
        <v>187.58600000000001</v>
      </c>
      <c r="P13" s="23">
        <f>178.04+17.149</f>
        <v>195.18899999999999</v>
      </c>
      <c r="Q13" s="23">
        <f>184.063+23.874</f>
        <v>207.93699999999998</v>
      </c>
      <c r="R13" s="23">
        <f>212.355+32.932</f>
        <v>245.28699999999998</v>
      </c>
      <c r="S13" s="22">
        <f>216.109+46.566</f>
        <v>262.67500000000001</v>
      </c>
      <c r="T13" s="23">
        <f>219.334+43.026</f>
        <v>262.36</v>
      </c>
      <c r="U13" s="51">
        <f>219.256+42.954</f>
        <v>262.20999999999998</v>
      </c>
      <c r="V13" s="51">
        <f>225.938+42.698</f>
        <v>268.63599999999997</v>
      </c>
      <c r="W13" s="22">
        <f>271+42</f>
        <v>313</v>
      </c>
      <c r="X13" s="51">
        <f>224+40</f>
        <v>264</v>
      </c>
      <c r="Y13" s="51">
        <f>230+41</f>
        <v>271</v>
      </c>
      <c r="Z13" s="51">
        <f>243+39</f>
        <v>282</v>
      </c>
      <c r="AA13" s="22"/>
    </row>
    <row r="14" spans="1:30" s="23" customFormat="1" x14ac:dyDescent="0.15">
      <c r="A14" s="8"/>
      <c r="B14" s="66" t="s">
        <v>10</v>
      </c>
      <c r="C14" s="27">
        <f>SUM(C11:C13)</f>
        <v>769.35799999999995</v>
      </c>
      <c r="D14" s="27">
        <f>SUM(D11:D13)</f>
        <v>783.36799999999994</v>
      </c>
      <c r="E14" s="27">
        <f>SUM(E11:E13)</f>
        <v>780.76400000000001</v>
      </c>
      <c r="F14" s="27">
        <f>SUM(F11:F13)</f>
        <v>814.60899999999992</v>
      </c>
      <c r="G14" s="28">
        <f>SUM(G11:G13)</f>
        <v>877.005</v>
      </c>
      <c r="H14" s="27">
        <f t="shared" ref="H14:M14" si="6">SUM(H11:H13)</f>
        <v>852.39100000000008</v>
      </c>
      <c r="I14" s="27">
        <f t="shared" si="6"/>
        <v>891.94100000000003</v>
      </c>
      <c r="J14" s="27">
        <f t="shared" si="6"/>
        <v>919.58299999999997</v>
      </c>
      <c r="K14" s="28">
        <f t="shared" si="6"/>
        <v>975.31</v>
      </c>
      <c r="L14" s="27">
        <f t="shared" si="6"/>
        <v>1028.748</v>
      </c>
      <c r="M14" s="27">
        <f t="shared" si="6"/>
        <v>1032.4779999999998</v>
      </c>
      <c r="N14" s="27">
        <f t="shared" ref="N14:O14" si="7">SUM(N11:N13)</f>
        <v>1086.383</v>
      </c>
      <c r="O14" s="28">
        <f t="shared" si="7"/>
        <v>1117.3119999999999</v>
      </c>
      <c r="P14" s="27">
        <f t="shared" ref="P14:Q14" si="8">SUM(P11:P13)</f>
        <v>1215.5320000000002</v>
      </c>
      <c r="Q14" s="27">
        <f t="shared" si="8"/>
        <v>1276.9779999999998</v>
      </c>
      <c r="R14" s="27">
        <f t="shared" ref="R14:T14" si="9">SUM(R11:R13)</f>
        <v>1384.818</v>
      </c>
      <c r="S14" s="28">
        <f t="shared" si="9"/>
        <v>1508.83</v>
      </c>
      <c r="T14" s="27">
        <f t="shared" si="9"/>
        <v>1587.2449999999999</v>
      </c>
      <c r="U14" s="27">
        <f t="shared" ref="U14:V14" si="10">SUM(U11:U13)</f>
        <v>1564.3510000000001</v>
      </c>
      <c r="V14" s="27">
        <f t="shared" si="10"/>
        <v>1570.03</v>
      </c>
      <c r="W14" s="28">
        <f t="shared" ref="W14:Y14" si="11">SUM(W11:W13)</f>
        <v>1702</v>
      </c>
      <c r="X14" s="27">
        <f t="shared" si="11"/>
        <v>1697</v>
      </c>
      <c r="Y14" s="27">
        <f t="shared" si="11"/>
        <v>1729</v>
      </c>
      <c r="Z14" s="27">
        <f t="shared" ref="Z14" si="12">SUM(Z11:Z13)</f>
        <v>1781</v>
      </c>
      <c r="AA14" s="22"/>
    </row>
    <row r="15" spans="1:30" s="23" customFormat="1" x14ac:dyDescent="0.15">
      <c r="A15" s="8"/>
      <c r="B15" s="66" t="s">
        <v>11</v>
      </c>
      <c r="C15" s="27">
        <f>C10-C14</f>
        <v>173.02500000000009</v>
      </c>
      <c r="D15" s="27">
        <f>D10-D14</f>
        <v>193.61699999999996</v>
      </c>
      <c r="E15" s="27">
        <f>E10-E14</f>
        <v>246.01899999999989</v>
      </c>
      <c r="F15" s="27">
        <f>F10-F14</f>
        <v>290.43399999999974</v>
      </c>
      <c r="G15" s="28">
        <f>G10-G14</f>
        <v>307.75799999999992</v>
      </c>
      <c r="H15" s="27">
        <f t="shared" ref="H15:I15" si="13">H10-H14</f>
        <v>344.23900000000003</v>
      </c>
      <c r="I15" s="27">
        <f t="shared" si="13"/>
        <v>369.32500000000005</v>
      </c>
      <c r="J15" s="27">
        <f t="shared" ref="J15:Q15" si="14">J10-J14</f>
        <v>472.27999999999986</v>
      </c>
      <c r="K15" s="28">
        <f t="shared" si="14"/>
        <v>468.99900000000002</v>
      </c>
      <c r="L15" s="27">
        <f t="shared" si="14"/>
        <v>504.08199999999988</v>
      </c>
      <c r="M15" s="27">
        <f t="shared" si="14"/>
        <v>545.67400000000021</v>
      </c>
      <c r="N15" s="27">
        <f t="shared" si="14"/>
        <v>649.33999999999992</v>
      </c>
      <c r="O15" s="28">
        <f t="shared" si="14"/>
        <v>702.73300000000017</v>
      </c>
      <c r="P15" s="27">
        <f t="shared" si="14"/>
        <v>698.48399999999992</v>
      </c>
      <c r="Q15" s="27">
        <f t="shared" si="14"/>
        <v>718.60600000000022</v>
      </c>
      <c r="R15" s="27">
        <f t="shared" ref="R15:T15" si="15">R10-R14</f>
        <v>720.54600000000005</v>
      </c>
      <c r="S15" s="28">
        <f t="shared" si="15"/>
        <v>694.83000000000038</v>
      </c>
      <c r="T15" s="27">
        <f t="shared" si="15"/>
        <v>749.54700000000048</v>
      </c>
      <c r="U15" s="27">
        <f t="shared" ref="U15:V15" si="16">U10-U14</f>
        <v>853.81199999999944</v>
      </c>
      <c r="V15" s="27">
        <f t="shared" si="16"/>
        <v>969.93100000000027</v>
      </c>
      <c r="W15" s="28">
        <f t="shared" ref="W15:Y15" si="17">W10-W14</f>
        <v>937</v>
      </c>
      <c r="X15" s="27">
        <f t="shared" si="17"/>
        <v>1016</v>
      </c>
      <c r="Y15" s="27">
        <f t="shared" si="17"/>
        <v>1069</v>
      </c>
      <c r="Z15" s="27">
        <f t="shared" ref="Z15" si="18">Z10-Z14</f>
        <v>1215</v>
      </c>
      <c r="AA15" s="22"/>
    </row>
    <row r="16" spans="1:30" s="23" customFormat="1" x14ac:dyDescent="0.15">
      <c r="A16" s="8"/>
      <c r="B16" s="66" t="s">
        <v>12</v>
      </c>
      <c r="C16" s="23">
        <v>-9.7769999999999992</v>
      </c>
      <c r="D16" s="23">
        <v>-12.643000000000001</v>
      </c>
      <c r="E16" s="23">
        <v>-13.4</v>
      </c>
      <c r="F16" s="23">
        <v>6.5060000000000002</v>
      </c>
      <c r="G16" s="22">
        <v>-15.451000000000001</v>
      </c>
      <c r="H16" s="23">
        <v>-14.409000000000001</v>
      </c>
      <c r="I16" s="23">
        <v>-13.023999999999999</v>
      </c>
      <c r="J16" s="23">
        <v>-15.58</v>
      </c>
      <c r="K16" s="22">
        <v>-8.3670000000000009</v>
      </c>
      <c r="L16" s="23">
        <v>-11.464</v>
      </c>
      <c r="M16" s="23">
        <v>-4.2949999999999999</v>
      </c>
      <c r="N16" s="23">
        <v>-6.3280000000000003</v>
      </c>
      <c r="O16" s="22">
        <v>-0.23100000000000001</v>
      </c>
      <c r="P16" s="23">
        <v>-7.6849999999999996</v>
      </c>
      <c r="Q16" s="23">
        <v>-17.248000000000001</v>
      </c>
      <c r="R16" s="23">
        <v>-21.329000000000001</v>
      </c>
      <c r="S16" s="22">
        <v>7.5039999999999996</v>
      </c>
      <c r="T16" s="23">
        <v>-38.774999999999999</v>
      </c>
      <c r="U16" s="51">
        <v>-19.324000000000002</v>
      </c>
      <c r="V16" s="51">
        <v>-12.784000000000001</v>
      </c>
      <c r="W16" s="22">
        <v>-18</v>
      </c>
      <c r="X16" s="51">
        <f>-28+12</f>
        <v>-16</v>
      </c>
      <c r="Y16" s="51">
        <v>-9</v>
      </c>
      <c r="Z16" s="51">
        <f>-27+6+3</f>
        <v>-18</v>
      </c>
      <c r="AA16" s="22"/>
    </row>
    <row r="17" spans="1:27" s="23" customFormat="1" x14ac:dyDescent="0.15">
      <c r="A17" s="8"/>
      <c r="B17" s="66" t="s">
        <v>13</v>
      </c>
      <c r="C17" s="27">
        <f>C15+C16</f>
        <v>163.2480000000001</v>
      </c>
      <c r="D17" s="27">
        <f>D15+D16</f>
        <v>180.97399999999996</v>
      </c>
      <c r="E17" s="27">
        <f>E15+E16</f>
        <v>232.61899999999989</v>
      </c>
      <c r="F17" s="27">
        <f>F15+F16</f>
        <v>296.93999999999971</v>
      </c>
      <c r="G17" s="28">
        <f>G15+G16</f>
        <v>292.3069999999999</v>
      </c>
      <c r="H17" s="27">
        <f t="shared" ref="H17:J17" si="19">H15+H16</f>
        <v>329.83000000000004</v>
      </c>
      <c r="I17" s="27">
        <f t="shared" si="19"/>
        <v>356.30100000000004</v>
      </c>
      <c r="J17" s="27">
        <f t="shared" si="19"/>
        <v>456.69999999999987</v>
      </c>
      <c r="K17" s="28">
        <f t="shared" ref="K17:L17" si="20">K15+K16</f>
        <v>460.63200000000001</v>
      </c>
      <c r="L17" s="27">
        <f t="shared" si="20"/>
        <v>492.61799999999988</v>
      </c>
      <c r="M17" s="27">
        <f t="shared" ref="M17:O17" si="21">M15+M16</f>
        <v>541.37900000000025</v>
      </c>
      <c r="N17" s="27">
        <f>N15+N16</f>
        <v>643.01199999999994</v>
      </c>
      <c r="O17" s="28">
        <f t="shared" si="21"/>
        <v>702.50200000000018</v>
      </c>
      <c r="P17" s="27">
        <f t="shared" ref="P17" si="22">P15+P16</f>
        <v>690.79899999999998</v>
      </c>
      <c r="Q17" s="27">
        <f t="shared" ref="Q17:U17" si="23">Q15+Q16</f>
        <v>701.35800000000017</v>
      </c>
      <c r="R17" s="27">
        <f t="shared" si="23"/>
        <v>699.2170000000001</v>
      </c>
      <c r="S17" s="28">
        <f t="shared" si="23"/>
        <v>702.3340000000004</v>
      </c>
      <c r="T17" s="27">
        <f t="shared" si="23"/>
        <v>710.7720000000005</v>
      </c>
      <c r="U17" s="27">
        <f t="shared" si="23"/>
        <v>834.48799999999949</v>
      </c>
      <c r="V17" s="27">
        <f t="shared" ref="V17" si="24">V15+V16</f>
        <v>957.14700000000028</v>
      </c>
      <c r="W17" s="28">
        <f t="shared" ref="W17:Z17" si="25">W15+W16</f>
        <v>919</v>
      </c>
      <c r="X17" s="27">
        <f t="shared" si="25"/>
        <v>1000</v>
      </c>
      <c r="Y17" s="27">
        <f t="shared" si="25"/>
        <v>1060</v>
      </c>
      <c r="Z17" s="27">
        <f t="shared" si="25"/>
        <v>1197</v>
      </c>
      <c r="AA17" s="22"/>
    </row>
    <row r="18" spans="1:27" s="23" customFormat="1" x14ac:dyDescent="0.15">
      <c r="A18" s="8"/>
      <c r="B18" s="66" t="s">
        <v>14</v>
      </c>
      <c r="C18" s="23">
        <v>78.36</v>
      </c>
      <c r="D18" s="23">
        <v>33.481000000000002</v>
      </c>
      <c r="E18" s="23">
        <v>58.154000000000003</v>
      </c>
      <c r="F18" s="23">
        <v>74.234999999999999</v>
      </c>
      <c r="G18" s="22">
        <v>38</v>
      </c>
      <c r="H18" s="23">
        <v>85.756</v>
      </c>
      <c r="I18" s="23">
        <v>85.513000000000005</v>
      </c>
      <c r="J18" s="23">
        <v>57.087000000000003</v>
      </c>
      <c r="K18" s="22">
        <v>62.186</v>
      </c>
      <c r="L18" s="23">
        <v>118.22799999999999</v>
      </c>
      <c r="M18" s="23">
        <v>121.81</v>
      </c>
      <c r="N18" s="23">
        <v>141.46299999999999</v>
      </c>
      <c r="O18" s="22">
        <v>119.426</v>
      </c>
      <c r="P18" s="23">
        <v>27.632000000000001</v>
      </c>
      <c r="Q18" s="23">
        <v>35.067</v>
      </c>
      <c r="R18" s="23">
        <v>20.977</v>
      </c>
      <c r="S18" s="22">
        <v>28.093</v>
      </c>
      <c r="T18" s="23">
        <v>78.179000000000002</v>
      </c>
      <c r="U18" s="23">
        <v>41.725000000000001</v>
      </c>
      <c r="V18" s="23">
        <v>105.286</v>
      </c>
      <c r="W18" s="22">
        <v>-36</v>
      </c>
      <c r="X18" s="23">
        <v>-100</v>
      </c>
      <c r="Y18" s="23">
        <v>105</v>
      </c>
      <c r="Z18" s="23">
        <f>Z17*V26</f>
        <v>131.66978739942763</v>
      </c>
      <c r="AA18" s="22"/>
    </row>
    <row r="19" spans="1:27" s="23" customFormat="1" x14ac:dyDescent="0.15">
      <c r="A19" s="8"/>
      <c r="B19" s="66" t="s">
        <v>65</v>
      </c>
      <c r="G19" s="22"/>
      <c r="K19" s="22"/>
      <c r="O19" s="22"/>
      <c r="S19" s="22"/>
      <c r="W19" s="22"/>
      <c r="Z19" s="23">
        <f>-1053-Z18</f>
        <v>-1184.6697873994276</v>
      </c>
      <c r="AA19" s="22"/>
    </row>
    <row r="20" spans="1:27" s="47" customFormat="1" x14ac:dyDescent="0.15">
      <c r="A20" s="17"/>
      <c r="B20" s="67" t="s">
        <v>15</v>
      </c>
      <c r="C20" s="24">
        <f>C17-C18</f>
        <v>84.888000000000105</v>
      </c>
      <c r="D20" s="24">
        <f>D17-D18</f>
        <v>147.49299999999997</v>
      </c>
      <c r="E20" s="24">
        <f>E17-E18</f>
        <v>174.46499999999989</v>
      </c>
      <c r="F20" s="24">
        <f>F17-F18</f>
        <v>222.7049999999997</v>
      </c>
      <c r="G20" s="25">
        <f>G17-G18</f>
        <v>254.3069999999999</v>
      </c>
      <c r="H20" s="24">
        <f t="shared" ref="H20:I20" si="26">H17-H18</f>
        <v>244.07400000000004</v>
      </c>
      <c r="I20" s="24">
        <f t="shared" si="26"/>
        <v>270.78800000000001</v>
      </c>
      <c r="J20" s="24">
        <f t="shared" ref="J20:P20" si="27">J17-J18</f>
        <v>399.61299999999989</v>
      </c>
      <c r="K20" s="25">
        <f t="shared" si="27"/>
        <v>398.44600000000003</v>
      </c>
      <c r="L20" s="24">
        <f t="shared" si="27"/>
        <v>374.38999999999987</v>
      </c>
      <c r="M20" s="24">
        <f t="shared" si="27"/>
        <v>419.56900000000024</v>
      </c>
      <c r="N20" s="24">
        <f t="shared" si="27"/>
        <v>501.54899999999998</v>
      </c>
      <c r="O20" s="25">
        <f t="shared" si="27"/>
        <v>583.07600000000014</v>
      </c>
      <c r="P20" s="24">
        <f t="shared" si="27"/>
        <v>663.16700000000003</v>
      </c>
      <c r="Q20" s="24">
        <f t="shared" ref="Q20:T20" si="28">Q17-Q18</f>
        <v>666.29100000000017</v>
      </c>
      <c r="R20" s="24">
        <f t="shared" si="28"/>
        <v>678.24000000000012</v>
      </c>
      <c r="S20" s="25">
        <f t="shared" si="28"/>
        <v>674.24100000000044</v>
      </c>
      <c r="T20" s="24">
        <f t="shared" si="28"/>
        <v>632.59300000000053</v>
      </c>
      <c r="U20" s="24">
        <f t="shared" ref="U20:V20" si="29">U17-U18</f>
        <v>792.76299999999947</v>
      </c>
      <c r="V20" s="24">
        <f t="shared" si="29"/>
        <v>851.86100000000033</v>
      </c>
      <c r="W20" s="25">
        <f t="shared" ref="W20:Z20" si="30">W17-W18</f>
        <v>955</v>
      </c>
      <c r="X20" s="24">
        <f t="shared" si="30"/>
        <v>1100</v>
      </c>
      <c r="Y20" s="24">
        <f t="shared" si="30"/>
        <v>955</v>
      </c>
      <c r="Z20" s="24">
        <f t="shared" si="30"/>
        <v>1065.3302126005724</v>
      </c>
      <c r="AA20" s="76"/>
    </row>
    <row r="21" spans="1:27" s="75" customFormat="1" x14ac:dyDescent="0.15">
      <c r="A21" s="4"/>
      <c r="B21" s="68" t="s">
        <v>16</v>
      </c>
      <c r="C21" s="60">
        <f t="shared" ref="C21:I21" si="31">IFERROR(C20/C22,0)</f>
        <v>0.1672584261692999</v>
      </c>
      <c r="D21" s="60">
        <f t="shared" si="31"/>
        <v>0.29172913592651634</v>
      </c>
      <c r="E21" s="60">
        <f t="shared" si="31"/>
        <v>0.34492268820839461</v>
      </c>
      <c r="F21" s="60">
        <f>IFERROR(F20/F22,0)</f>
        <v>0.44011802091649943</v>
      </c>
      <c r="G21" s="61">
        <f t="shared" si="31"/>
        <v>0.50290502218812028</v>
      </c>
      <c r="H21" s="60">
        <f t="shared" si="31"/>
        <v>0.48357818614096792</v>
      </c>
      <c r="I21" s="60">
        <f t="shared" si="31"/>
        <v>0.53763086471472343</v>
      </c>
      <c r="J21" s="60">
        <f t="shared" ref="J21:M21" si="32">IFERROR(J20/J22,0)</f>
        <v>0.79735063131514661</v>
      </c>
      <c r="K21" s="61">
        <f t="shared" si="32"/>
        <v>0.79552211092498726</v>
      </c>
      <c r="L21" s="60">
        <f t="shared" si="32"/>
        <v>0.74825472518292135</v>
      </c>
      <c r="M21" s="60">
        <f t="shared" si="32"/>
        <v>0.83847057742037379</v>
      </c>
      <c r="N21" s="60">
        <f t="shared" ref="N21" si="33">IFERROR(N20/N22,0)</f>
        <v>1.002977642682878</v>
      </c>
      <c r="O21" s="61">
        <f t="shared" ref="O21:T21" si="34">IFERROR(O20/O22,0)</f>
        <v>1.1674759176906615</v>
      </c>
      <c r="P21" s="60">
        <f t="shared" si="34"/>
        <v>1.330987131010011</v>
      </c>
      <c r="Q21" s="60">
        <f t="shared" si="34"/>
        <v>1.3409873084493609</v>
      </c>
      <c r="R21" s="60">
        <f t="shared" si="34"/>
        <v>1.3696616234642198</v>
      </c>
      <c r="S21" s="61">
        <f t="shared" si="34"/>
        <v>1.3643411009575312</v>
      </c>
      <c r="T21" s="60">
        <f t="shared" si="34"/>
        <v>1.2852043428441415</v>
      </c>
      <c r="U21" s="60">
        <f t="shared" ref="U21:V21" si="35">IFERROR(U20/U22,0)</f>
        <v>1.6144504950696672</v>
      </c>
      <c r="V21" s="60">
        <f t="shared" si="35"/>
        <v>1.7425780043407917</v>
      </c>
      <c r="W21" s="61">
        <f t="shared" ref="W21:Z21" si="36">IFERROR(W20/W22,0)</f>
        <v>1.9569672131147542</v>
      </c>
      <c r="X21" s="60">
        <f t="shared" si="36"/>
        <v>2.268041237113402</v>
      </c>
      <c r="Y21" s="60">
        <f t="shared" si="36"/>
        <v>1.9690721649484537</v>
      </c>
      <c r="Z21" s="60">
        <f t="shared" si="36"/>
        <v>2.2010954805796952</v>
      </c>
      <c r="AA21" s="77"/>
    </row>
    <row r="22" spans="1:27" s="23" customFormat="1" x14ac:dyDescent="0.15">
      <c r="A22" s="8"/>
      <c r="B22" s="66" t="s">
        <v>17</v>
      </c>
      <c r="C22" s="23">
        <v>507.52600000000001</v>
      </c>
      <c r="D22" s="23">
        <v>505.58199999999999</v>
      </c>
      <c r="E22" s="23">
        <v>505.80900000000003</v>
      </c>
      <c r="F22" s="23">
        <v>506.012</v>
      </c>
      <c r="G22" s="22">
        <v>505.67599999999999</v>
      </c>
      <c r="H22" s="23">
        <v>504.72500000000002</v>
      </c>
      <c r="I22" s="23">
        <v>503.66899999999998</v>
      </c>
      <c r="J22" s="23">
        <v>501.17599999999999</v>
      </c>
      <c r="K22" s="22">
        <v>500.86099999999999</v>
      </c>
      <c r="L22" s="23">
        <v>500.351</v>
      </c>
      <c r="M22" s="23">
        <v>500.39800000000002</v>
      </c>
      <c r="N22" s="23">
        <v>500.06</v>
      </c>
      <c r="O22" s="22">
        <v>499.43299999999999</v>
      </c>
      <c r="P22" s="23">
        <v>498.25200000000001</v>
      </c>
      <c r="Q22" s="23">
        <v>496.86599999999999</v>
      </c>
      <c r="R22" s="23">
        <v>495.18799999999999</v>
      </c>
      <c r="S22" s="22">
        <v>494.18799999999999</v>
      </c>
      <c r="T22" s="23">
        <v>492.21199999999999</v>
      </c>
      <c r="U22" s="51">
        <v>491.04199999999997</v>
      </c>
      <c r="V22" s="51">
        <v>488.851</v>
      </c>
      <c r="W22" s="22">
        <v>488</v>
      </c>
      <c r="X22" s="51">
        <v>485</v>
      </c>
      <c r="Y22" s="51">
        <v>485</v>
      </c>
      <c r="Z22" s="51">
        <v>484</v>
      </c>
      <c r="AA22" s="22"/>
    </row>
    <row r="23" spans="1:27" s="42" customFormat="1" x14ac:dyDescent="0.15">
      <c r="B23" s="69"/>
      <c r="C23" s="40"/>
      <c r="D23" s="40"/>
      <c r="E23" s="40"/>
      <c r="F23" s="40"/>
      <c r="G23" s="41"/>
      <c r="H23" s="40"/>
      <c r="I23" s="40"/>
      <c r="J23" s="40"/>
      <c r="K23" s="41"/>
      <c r="L23" s="40"/>
      <c r="M23" s="40"/>
      <c r="N23" s="40"/>
      <c r="O23" s="57"/>
      <c r="R23" s="40"/>
      <c r="S23" s="57"/>
      <c r="W23" s="57"/>
      <c r="AA23" s="57"/>
    </row>
    <row r="24" spans="1:27" x14ac:dyDescent="0.15">
      <c r="B24" s="70" t="s">
        <v>19</v>
      </c>
      <c r="C24" s="34">
        <f t="shared" ref="C24:R24" si="37">IFERROR(C10/C8,0)</f>
        <v>0.84962057590240003</v>
      </c>
      <c r="D24" s="34">
        <f t="shared" si="37"/>
        <v>0.8406645223799174</v>
      </c>
      <c r="E24" s="34">
        <f t="shared" si="37"/>
        <v>0.84316799258972142</v>
      </c>
      <c r="F24" s="34">
        <f t="shared" si="37"/>
        <v>0.84586620984014127</v>
      </c>
      <c r="G24" s="35">
        <f t="shared" si="37"/>
        <v>0.85645414885042304</v>
      </c>
      <c r="H24" s="34">
        <f t="shared" si="37"/>
        <v>0.85552463021257463</v>
      </c>
      <c r="I24" s="34">
        <f t="shared" si="37"/>
        <v>0.86153991176030609</v>
      </c>
      <c r="J24" s="34">
        <f t="shared" si="37"/>
        <v>0.86536095383106015</v>
      </c>
      <c r="K24" s="35">
        <f t="shared" si="37"/>
        <v>0.8588662536586178</v>
      </c>
      <c r="L24" s="34">
        <f t="shared" si="37"/>
        <v>0.86493547531585202</v>
      </c>
      <c r="M24" s="34">
        <f t="shared" si="37"/>
        <v>0.85719096570805953</v>
      </c>
      <c r="N24" s="34">
        <f t="shared" si="37"/>
        <v>0.86500913238595722</v>
      </c>
      <c r="O24" s="35">
        <f t="shared" si="37"/>
        <v>0.87546483868997138</v>
      </c>
      <c r="P24" s="34">
        <f t="shared" si="37"/>
        <v>0.87184607535893888</v>
      </c>
      <c r="Q24" s="34">
        <f t="shared" si="37"/>
        <v>0.87102479359043528</v>
      </c>
      <c r="R24" s="34">
        <f t="shared" si="37"/>
        <v>0.85423299690622312</v>
      </c>
      <c r="S24" s="35">
        <f t="shared" ref="S24:T24" si="38">IFERROR(S10/S8,0)</f>
        <v>0.8472532686184181</v>
      </c>
      <c r="T24" s="34">
        <f t="shared" si="38"/>
        <v>0.85151369393793641</v>
      </c>
      <c r="U24" s="34">
        <f t="shared" ref="U24:W24" si="39">IFERROR(U10/U8,0)</f>
        <v>0.85323059031249837</v>
      </c>
      <c r="V24" s="34">
        <f t="shared" ref="V24" si="40">IFERROR(V10/V8,0)</f>
        <v>0.8489333356506672</v>
      </c>
      <c r="W24" s="35">
        <f t="shared" si="39"/>
        <v>0.85376900679391787</v>
      </c>
      <c r="X24" s="34">
        <f t="shared" ref="X24:Y24" si="41">IFERROR(X10/X8,0)</f>
        <v>0.86732736572890023</v>
      </c>
      <c r="Y24" s="34">
        <f t="shared" si="41"/>
        <v>0.86759689922480621</v>
      </c>
      <c r="Z24" s="34">
        <f t="shared" ref="Z24" si="42">IFERROR(Z10/Z8,0)</f>
        <v>0.875</v>
      </c>
    </row>
    <row r="25" spans="1:27" x14ac:dyDescent="0.15">
      <c r="B25" s="70" t="s">
        <v>20</v>
      </c>
      <c r="C25" s="36">
        <f t="shared" ref="C25:R25" si="43">IFERROR(C15/C8,0)</f>
        <v>0.15599347626762455</v>
      </c>
      <c r="D25" s="36">
        <f t="shared" si="43"/>
        <v>0.16660127108362199</v>
      </c>
      <c r="E25" s="36">
        <f t="shared" si="43"/>
        <v>0.2020245235545686</v>
      </c>
      <c r="F25" s="36">
        <f t="shared" si="43"/>
        <v>0.22231560834167668</v>
      </c>
      <c r="G25" s="37">
        <f t="shared" si="43"/>
        <v>0.22247539460795823</v>
      </c>
      <c r="H25" s="36">
        <f t="shared" si="43"/>
        <v>0.24611195037709774</v>
      </c>
      <c r="I25" s="36">
        <f t="shared" si="43"/>
        <v>0.25227686143198585</v>
      </c>
      <c r="J25" s="36">
        <f t="shared" si="43"/>
        <v>0.29362995587592527</v>
      </c>
      <c r="K25" s="37">
        <f t="shared" si="43"/>
        <v>0.27889282286521661</v>
      </c>
      <c r="L25" s="36">
        <f t="shared" si="43"/>
        <v>0.2844401559652181</v>
      </c>
      <c r="M25" s="36">
        <f t="shared" si="43"/>
        <v>0.29638895557701656</v>
      </c>
      <c r="N25" s="36">
        <f t="shared" si="43"/>
        <v>0.32360291937336627</v>
      </c>
      <c r="O25" s="37">
        <f t="shared" si="43"/>
        <v>0.33802352825733417</v>
      </c>
      <c r="P25" s="36">
        <f t="shared" si="43"/>
        <v>0.31816376357408349</v>
      </c>
      <c r="Q25" s="36">
        <f t="shared" si="43"/>
        <v>0.31365437026096044</v>
      </c>
      <c r="R25" s="36">
        <f t="shared" si="43"/>
        <v>0.29235522645432876</v>
      </c>
      <c r="S25" s="37">
        <f t="shared" ref="S25:T25" si="44">IFERROR(S15/S8,0)</f>
        <v>0.26714510797225327</v>
      </c>
      <c r="T25" s="36">
        <f t="shared" si="44"/>
        <v>0.27313065722156649</v>
      </c>
      <c r="U25" s="36">
        <f t="shared" ref="U25:W25" si="45">IFERROR(U15/U8,0)</f>
        <v>0.301261129533408</v>
      </c>
      <c r="V25" s="36">
        <f t="shared" ref="V25" si="46">IFERROR(V15/V8,0)</f>
        <v>0.32418086702157534</v>
      </c>
      <c r="W25" s="37">
        <f t="shared" si="45"/>
        <v>0.30313814299579422</v>
      </c>
      <c r="X25" s="36">
        <f t="shared" ref="X25:Y25" si="47">IFERROR(X15/X8,0)</f>
        <v>0.32480818414322249</v>
      </c>
      <c r="Y25" s="36">
        <f t="shared" si="47"/>
        <v>0.33147286821705424</v>
      </c>
      <c r="Z25" s="36">
        <f t="shared" ref="Z25" si="48">IFERROR(Z15/Z8,0)</f>
        <v>0.35484813084112149</v>
      </c>
    </row>
    <row r="26" spans="1:27" x14ac:dyDescent="0.15">
      <c r="B26" s="70" t="s">
        <v>21</v>
      </c>
      <c r="C26" s="36">
        <f t="shared" ref="C26:R26" si="49">IFERROR(C18/C17,0)</f>
        <v>0.48000588062334576</v>
      </c>
      <c r="D26" s="36">
        <f t="shared" si="49"/>
        <v>0.18500447578105148</v>
      </c>
      <c r="E26" s="36">
        <f t="shared" si="49"/>
        <v>0.24999677584376181</v>
      </c>
      <c r="F26" s="36">
        <f t="shared" si="49"/>
        <v>0.25000000000000022</v>
      </c>
      <c r="G26" s="37">
        <f t="shared" si="49"/>
        <v>0.1300003078954661</v>
      </c>
      <c r="H26" s="36">
        <f t="shared" si="49"/>
        <v>0.26000060637298</v>
      </c>
      <c r="I26" s="36">
        <f t="shared" si="49"/>
        <v>0.24000213302797352</v>
      </c>
      <c r="J26" s="36">
        <f t="shared" si="49"/>
        <v>0.12499890518940228</v>
      </c>
      <c r="K26" s="37">
        <f t="shared" si="49"/>
        <v>0.13500147623265427</v>
      </c>
      <c r="L26" s="36">
        <f t="shared" si="49"/>
        <v>0.23999935040944509</v>
      </c>
      <c r="M26" s="36">
        <f t="shared" si="49"/>
        <v>0.22499949203792527</v>
      </c>
      <c r="N26" s="36">
        <f t="shared" si="49"/>
        <v>0.22000055986513473</v>
      </c>
      <c r="O26" s="37">
        <f t="shared" si="49"/>
        <v>0.17000093949910458</v>
      </c>
      <c r="P26" s="36">
        <f t="shared" si="49"/>
        <v>4.0000057903963382E-2</v>
      </c>
      <c r="Q26" s="36">
        <f t="shared" si="49"/>
        <v>4.999871677517044E-2</v>
      </c>
      <c r="R26" s="36">
        <f t="shared" si="49"/>
        <v>3.0000700783876819E-2</v>
      </c>
      <c r="S26" s="37">
        <f t="shared" ref="S26:T26" si="50">IFERROR(S18/S17,0)</f>
        <v>3.9999487423362651E-2</v>
      </c>
      <c r="T26" s="36">
        <f t="shared" si="50"/>
        <v>0.10999167102812146</v>
      </c>
      <c r="U26" s="36">
        <f t="shared" ref="U26:W26" si="51">IFERROR(U18/U17,0)</f>
        <v>5.0000719003748438E-2</v>
      </c>
      <c r="V26" s="36">
        <f t="shared" ref="V26" si="52">IFERROR(V18/V17,0)</f>
        <v>0.10999982238882844</v>
      </c>
      <c r="W26" s="37">
        <f t="shared" si="51"/>
        <v>-3.9173014145810661E-2</v>
      </c>
      <c r="X26" s="36">
        <f t="shared" ref="X26:Y26" si="53">IFERROR(X18/X17,0)</f>
        <v>-0.1</v>
      </c>
      <c r="Y26" s="36">
        <f t="shared" si="53"/>
        <v>9.9056603773584911E-2</v>
      </c>
      <c r="Z26" s="36">
        <f t="shared" ref="Z26" si="54">IFERROR(Z18/Z17,0)</f>
        <v>0.10999982238882844</v>
      </c>
    </row>
    <row r="27" spans="1:27" s="42" customFormat="1" x14ac:dyDescent="0.15">
      <c r="B27" s="69"/>
      <c r="C27" s="40"/>
      <c r="D27" s="40"/>
      <c r="E27" s="40"/>
      <c r="F27" s="40"/>
      <c r="G27" s="41"/>
      <c r="H27" s="40"/>
      <c r="I27" s="40"/>
      <c r="J27" s="40"/>
      <c r="K27" s="41"/>
      <c r="L27" s="40"/>
      <c r="M27" s="40"/>
      <c r="N27" s="40"/>
      <c r="O27" s="57"/>
      <c r="R27" s="40"/>
      <c r="S27" s="57"/>
      <c r="W27" s="57"/>
      <c r="AA27" s="57"/>
    </row>
    <row r="28" spans="1:27" s="26" customFormat="1" x14ac:dyDescent="0.15">
      <c r="A28" s="12"/>
      <c r="B28" s="71" t="s">
        <v>18</v>
      </c>
      <c r="C28" s="30"/>
      <c r="D28" s="30"/>
      <c r="E28" s="30"/>
      <c r="F28" s="30"/>
      <c r="G28" s="31">
        <f t="shared" ref="G28:AA28" si="55">IFERROR((G8/C8)-1,0)</f>
        <v>0.24716795545542158</v>
      </c>
      <c r="H28" s="30">
        <f t="shared" si="55"/>
        <v>0.20354461269465962</v>
      </c>
      <c r="I28" s="30">
        <f t="shared" si="55"/>
        <v>0.20217233496035369</v>
      </c>
      <c r="J28" s="30">
        <f t="shared" si="55"/>
        <v>0.23118040054990652</v>
      </c>
      <c r="K28" s="31">
        <f t="shared" si="55"/>
        <v>0.21564624620934181</v>
      </c>
      <c r="L28" s="30">
        <f t="shared" si="55"/>
        <v>0.26701837194155464</v>
      </c>
      <c r="M28" s="30">
        <f t="shared" si="55"/>
        <v>0.2575925550234397</v>
      </c>
      <c r="N28" s="30">
        <f t="shared" si="55"/>
        <v>0.24755738399011706</v>
      </c>
      <c r="O28" s="31">
        <f t="shared" si="55"/>
        <v>0.2362572146575439</v>
      </c>
      <c r="P28" s="30">
        <f t="shared" si="55"/>
        <v>0.23878365186577066</v>
      </c>
      <c r="Q28" s="30">
        <f t="shared" si="55"/>
        <v>0.24442363533459277</v>
      </c>
      <c r="R28" s="30">
        <f t="shared" si="55"/>
        <v>0.22826230504910061</v>
      </c>
      <c r="S28" s="31">
        <f t="shared" si="55"/>
        <v>0.25108817107891657</v>
      </c>
      <c r="T28" s="30">
        <f t="shared" si="55"/>
        <v>0.25003644049267537</v>
      </c>
      <c r="U28" s="30">
        <f t="shared" si="55"/>
        <v>0.23702836571113295</v>
      </c>
      <c r="V28" s="30">
        <f t="shared" si="55"/>
        <v>0.21395506415783361</v>
      </c>
      <c r="W28" s="31">
        <f t="shared" ref="W28" si="56">IFERROR((W8/S8)-1,0)</f>
        <v>0.18841375407255656</v>
      </c>
      <c r="X28" s="30">
        <f t="shared" si="55"/>
        <v>0.13982538224962449</v>
      </c>
      <c r="Y28" s="30">
        <f t="shared" si="55"/>
        <v>0.13791694511817765</v>
      </c>
      <c r="Z28" s="30">
        <f t="shared" si="55"/>
        <v>0.14440644610995368</v>
      </c>
      <c r="AA28" s="31">
        <f t="shared" si="55"/>
        <v>0.21319961177612434</v>
      </c>
    </row>
    <row r="29" spans="1:27" s="26" customFormat="1" x14ac:dyDescent="0.15">
      <c r="A29" s="12"/>
      <c r="B29" s="70" t="s">
        <v>42</v>
      </c>
      <c r="C29" s="32"/>
      <c r="D29" s="32"/>
      <c r="E29" s="32"/>
      <c r="F29" s="32"/>
      <c r="G29" s="33">
        <f t="shared" ref="G29:Z32" si="57">G11/C11-1</f>
        <v>0.10066864956915955</v>
      </c>
      <c r="H29" s="32">
        <f t="shared" si="57"/>
        <v>0.11745903569866423</v>
      </c>
      <c r="I29" s="32">
        <f t="shared" si="57"/>
        <v>0.13623890972285735</v>
      </c>
      <c r="J29" s="32">
        <f t="shared" si="57"/>
        <v>0.16930897811476808</v>
      </c>
      <c r="K29" s="33">
        <f t="shared" si="57"/>
        <v>0.20182206033625061</v>
      </c>
      <c r="L29" s="32">
        <f t="shared" si="57"/>
        <v>0.28783486175392725</v>
      </c>
      <c r="M29" s="32">
        <f t="shared" si="57"/>
        <v>0.27009458643590278</v>
      </c>
      <c r="N29" s="32">
        <f t="shared" si="57"/>
        <v>0.25665021000663191</v>
      </c>
      <c r="O29" s="33">
        <f t="shared" si="57"/>
        <v>0.22342033906628744</v>
      </c>
      <c r="P29" s="32">
        <f t="shared" si="57"/>
        <v>0.24958834472830738</v>
      </c>
      <c r="Q29" s="32">
        <f t="shared" si="57"/>
        <v>0.26430257799749635</v>
      </c>
      <c r="R29" s="32">
        <f t="shared" si="57"/>
        <v>0.28371797324906023</v>
      </c>
      <c r="S29" s="33">
        <f t="shared" si="57"/>
        <v>0.33221989339648883</v>
      </c>
      <c r="T29" s="32">
        <f t="shared" si="57"/>
        <v>0.27217957490484546</v>
      </c>
      <c r="U29" s="32">
        <f t="shared" si="57"/>
        <v>0.22776890742611355</v>
      </c>
      <c r="V29" s="32">
        <f t="shared" si="57"/>
        <v>0.20157804393712819</v>
      </c>
      <c r="W29" s="33">
        <f t="shared" ref="W29:W31" si="58">W11/S11-1</f>
        <v>0.14497984448074508</v>
      </c>
      <c r="X29" s="32">
        <f t="shared" si="57"/>
        <v>0.11774568344265668</v>
      </c>
      <c r="Y29" s="32">
        <f t="shared" si="57"/>
        <v>0.15551000659416481</v>
      </c>
      <c r="Z29" s="32">
        <f t="shared" si="57"/>
        <v>0.11643317607231607</v>
      </c>
      <c r="AA29" s="78"/>
    </row>
    <row r="30" spans="1:27" s="26" customFormat="1" x14ac:dyDescent="0.15">
      <c r="A30" s="12"/>
      <c r="B30" s="70" t="s">
        <v>43</v>
      </c>
      <c r="C30" s="32"/>
      <c r="D30" s="32"/>
      <c r="E30" s="32"/>
      <c r="F30" s="32"/>
      <c r="G30" s="33">
        <f t="shared" si="57"/>
        <v>0.20917092944204962</v>
      </c>
      <c r="H30" s="32">
        <f t="shared" si="57"/>
        <v>8.3820064730982358E-2</v>
      </c>
      <c r="I30" s="32">
        <f t="shared" si="57"/>
        <v>0.13137423554193894</v>
      </c>
      <c r="J30" s="32">
        <f t="shared" si="57"/>
        <v>0.12134404899970996</v>
      </c>
      <c r="K30" s="33">
        <f t="shared" si="57"/>
        <v>9.5613519734002228E-2</v>
      </c>
      <c r="L30" s="32">
        <f t="shared" si="57"/>
        <v>0.19514076609426745</v>
      </c>
      <c r="M30" s="32">
        <f t="shared" si="57"/>
        <v>0.15208754385046319</v>
      </c>
      <c r="N30" s="32">
        <f t="shared" si="57"/>
        <v>0.15970766116814339</v>
      </c>
      <c r="O30" s="33">
        <f t="shared" si="57"/>
        <v>0.11658725689365879</v>
      </c>
      <c r="P30" s="32">
        <f t="shared" si="57"/>
        <v>0.16835533666728164</v>
      </c>
      <c r="Q30" s="32">
        <f t="shared" si="57"/>
        <v>0.21812857098708771</v>
      </c>
      <c r="R30" s="32">
        <f t="shared" si="57"/>
        <v>0.2603517829522175</v>
      </c>
      <c r="S30" s="33">
        <f t="shared" si="57"/>
        <v>0.34522520599631301</v>
      </c>
      <c r="T30" s="32">
        <f t="shared" si="57"/>
        <v>0.31369126374349099</v>
      </c>
      <c r="U30" s="32">
        <f t="shared" si="57"/>
        <v>0.21225697076784411</v>
      </c>
      <c r="V30" s="32">
        <f t="shared" si="57"/>
        <v>0.10781911431189384</v>
      </c>
      <c r="W30" s="33">
        <f t="shared" si="58"/>
        <v>9.6583827883682805E-2</v>
      </c>
      <c r="X30" s="32">
        <f t="shared" si="57"/>
        <v>6.1339785399686875E-2</v>
      </c>
      <c r="Y30" s="32">
        <f t="shared" si="57"/>
        <v>9.8097533712332874E-2</v>
      </c>
      <c r="Z30" s="32">
        <f t="shared" si="57"/>
        <v>0.17391976925802277</v>
      </c>
      <c r="AA30" s="78"/>
    </row>
    <row r="31" spans="1:27" s="26" customFormat="1" x14ac:dyDescent="0.15">
      <c r="A31" s="12"/>
      <c r="B31" s="70" t="s">
        <v>44</v>
      </c>
      <c r="C31" s="32"/>
      <c r="D31" s="32"/>
      <c r="E31" s="32"/>
      <c r="F31" s="32"/>
      <c r="G31" s="33">
        <f t="shared" si="57"/>
        <v>2.3599076395958152E-2</v>
      </c>
      <c r="H31" s="32">
        <f t="shared" si="57"/>
        <v>5.9296265582546415E-2</v>
      </c>
      <c r="I31" s="32">
        <f t="shared" si="57"/>
        <v>0.18521056877485309</v>
      </c>
      <c r="J31" s="32">
        <f t="shared" si="57"/>
        <v>9.218138812629828E-2</v>
      </c>
      <c r="K31" s="33">
        <f t="shared" si="57"/>
        <v>3.0477230004244626E-2</v>
      </c>
      <c r="L31" s="32">
        <f t="shared" si="57"/>
        <v>0.12176198780534375</v>
      </c>
      <c r="M31" s="32">
        <f t="shared" si="57"/>
        <v>4.9031418658440629E-3</v>
      </c>
      <c r="N31" s="32">
        <f t="shared" si="57"/>
        <v>0.12934633935641782</v>
      </c>
      <c r="O31" s="33">
        <f t="shared" si="57"/>
        <v>0.10386263063741663</v>
      </c>
      <c r="P31" s="32">
        <f t="shared" si="57"/>
        <v>0.10746160261902205</v>
      </c>
      <c r="Q31" s="32">
        <f t="shared" si="57"/>
        <v>0.24640052748306651</v>
      </c>
      <c r="R31" s="32">
        <f t="shared" si="57"/>
        <v>0.30296462738973595</v>
      </c>
      <c r="S31" s="33">
        <f t="shared" si="57"/>
        <v>0.40029106649749968</v>
      </c>
      <c r="T31" s="32">
        <f t="shared" si="57"/>
        <v>0.34413312225586501</v>
      </c>
      <c r="U31" s="32">
        <f t="shared" si="57"/>
        <v>0.26100693960189858</v>
      </c>
      <c r="V31" s="32">
        <f t="shared" si="57"/>
        <v>9.5190531907520581E-2</v>
      </c>
      <c r="W31" s="33">
        <f t="shared" si="58"/>
        <v>0.19158656134005891</v>
      </c>
      <c r="X31" s="32">
        <f t="shared" si="57"/>
        <v>6.2509528891598887E-3</v>
      </c>
      <c r="Y31" s="32">
        <f t="shared" si="57"/>
        <v>3.3522748941688052E-2</v>
      </c>
      <c r="Z31" s="32">
        <f t="shared" si="57"/>
        <v>4.9747613871558682E-2</v>
      </c>
      <c r="AA31" s="78"/>
    </row>
    <row r="32" spans="1:27" x14ac:dyDescent="0.15">
      <c r="B32" s="70" t="s">
        <v>79</v>
      </c>
      <c r="K32" s="35">
        <f t="shared" ref="K32:Q32" si="59">K14/G14-1</f>
        <v>0.11209172125586497</v>
      </c>
      <c r="L32" s="34">
        <f t="shared" si="59"/>
        <v>0.20689683490323096</v>
      </c>
      <c r="M32" s="34">
        <f t="shared" si="59"/>
        <v>0.15756311235832832</v>
      </c>
      <c r="N32" s="34">
        <f t="shared" si="59"/>
        <v>0.18138656325747649</v>
      </c>
      <c r="O32" s="35">
        <f t="shared" si="59"/>
        <v>0.14559678461207204</v>
      </c>
      <c r="P32" s="34">
        <f t="shared" si="59"/>
        <v>0.18156438700245348</v>
      </c>
      <c r="Q32" s="34">
        <f t="shared" si="59"/>
        <v>0.23680891989950403</v>
      </c>
      <c r="R32" s="34">
        <f>R14/N14-1</f>
        <v>0.27470514542293079</v>
      </c>
      <c r="S32" s="35">
        <f>S14/O14-1</f>
        <v>0.35041062836521952</v>
      </c>
      <c r="T32" s="34">
        <f t="shared" si="57"/>
        <v>0.30580272670731801</v>
      </c>
      <c r="U32" s="34">
        <f t="shared" si="57"/>
        <v>0.22504146508397183</v>
      </c>
      <c r="V32" s="34">
        <f t="shared" si="57"/>
        <v>0.13374465092163734</v>
      </c>
      <c r="W32" s="35">
        <f>W14/S14-1</f>
        <v>0.12802635154391151</v>
      </c>
      <c r="X32" s="34">
        <f t="shared" si="57"/>
        <v>6.9148115130304388E-2</v>
      </c>
      <c r="Y32" s="34">
        <f t="shared" si="57"/>
        <v>0.10525067583937364</v>
      </c>
      <c r="Z32" s="34">
        <f t="shared" si="57"/>
        <v>0.13437322853703426</v>
      </c>
    </row>
    <row r="33" spans="1:27" x14ac:dyDescent="0.15">
      <c r="K33" s="46"/>
      <c r="L33" s="45"/>
      <c r="M33" s="45"/>
      <c r="N33" s="45"/>
      <c r="O33" s="46"/>
      <c r="P33" s="45"/>
      <c r="Q33" s="45"/>
      <c r="R33" s="45"/>
      <c r="T33" s="45"/>
    </row>
    <row r="34" spans="1:27" s="47" customFormat="1" x14ac:dyDescent="0.15">
      <c r="A34" s="17"/>
      <c r="B34" s="67" t="s">
        <v>26</v>
      </c>
      <c r="C34" s="23"/>
      <c r="D34" s="23"/>
      <c r="E34" s="23"/>
      <c r="F34" s="24">
        <f>F35-F36</f>
        <v>2080.8530000000001</v>
      </c>
      <c r="G34" s="22"/>
      <c r="H34" s="23"/>
      <c r="I34" s="23"/>
      <c r="J34" s="24">
        <f t="shared" ref="J34" si="60">J35-J36</f>
        <v>2859.232</v>
      </c>
      <c r="K34" s="22"/>
      <c r="L34" s="23"/>
      <c r="M34" s="23"/>
      <c r="N34" s="24">
        <f t="shared" ref="N34:Q34" si="61">N35-N36</f>
        <v>3938.3530000000001</v>
      </c>
      <c r="O34" s="25">
        <f t="shared" si="61"/>
        <v>4273.1760000000004</v>
      </c>
      <c r="P34" s="24">
        <f t="shared" si="61"/>
        <v>4460.0070000000005</v>
      </c>
      <c r="Q34" s="24">
        <f t="shared" si="61"/>
        <v>3069.8160000000003</v>
      </c>
      <c r="R34" s="24">
        <f t="shared" ref="R34:T34" si="62">R35-R36</f>
        <v>-895.83800000000019</v>
      </c>
      <c r="S34" s="25">
        <f t="shared" si="62"/>
        <v>-903.33000000000038</v>
      </c>
      <c r="T34" s="24">
        <f t="shared" si="62"/>
        <v>-654.62699999999995</v>
      </c>
      <c r="U34" s="24">
        <f t="shared" ref="U34" si="63">U35-U36</f>
        <v>-486.22799999999961</v>
      </c>
      <c r="V34" s="24">
        <f t="shared" ref="V34" si="64">V35-V36</f>
        <v>38.709000000000742</v>
      </c>
      <c r="W34" s="25">
        <f t="shared" ref="W34:Z34" si="65">W35-W36</f>
        <v>58</v>
      </c>
      <c r="X34" s="24">
        <f t="shared" si="65"/>
        <v>237</v>
      </c>
      <c r="Y34" s="24">
        <f t="shared" si="65"/>
        <v>1148</v>
      </c>
      <c r="Z34" s="24">
        <f t="shared" si="65"/>
        <v>1875</v>
      </c>
      <c r="AA34" s="76"/>
    </row>
    <row r="35" spans="1:27" s="23" customFormat="1" x14ac:dyDescent="0.15">
      <c r="A35" s="8"/>
      <c r="B35" s="66" t="s">
        <v>27</v>
      </c>
      <c r="F35" s="23">
        <f>876.56+3111.524</f>
        <v>3988.0839999999998</v>
      </c>
      <c r="G35" s="22"/>
      <c r="J35" s="23">
        <f>1011.315+3749.985</f>
        <v>4761.3</v>
      </c>
      <c r="K35" s="22"/>
      <c r="N35" s="23">
        <f>2306.072+3513.702</f>
        <v>5819.7740000000003</v>
      </c>
      <c r="O35" s="22">
        <f>2666.981+3480.989</f>
        <v>6147.97</v>
      </c>
      <c r="P35" s="23">
        <f>2987.986+3346.078</f>
        <v>6334.0640000000003</v>
      </c>
      <c r="Q35" s="23">
        <f>1747.144+3197.326</f>
        <v>4944.47</v>
      </c>
      <c r="R35" s="23">
        <f>1642.775+1586.187</f>
        <v>3228.962</v>
      </c>
      <c r="S35" s="22">
        <f>1738.846+1487.411</f>
        <v>3226.2570000000001</v>
      </c>
      <c r="T35" s="23">
        <f>2082.91+1396.069</f>
        <v>3478.9789999999998</v>
      </c>
      <c r="U35" s="23">
        <f>2209.047+1441.741</f>
        <v>3650.788</v>
      </c>
      <c r="V35" s="23">
        <f>2650.221+1526.755</f>
        <v>4176.9760000000006</v>
      </c>
      <c r="W35" s="22">
        <f>2688+1483</f>
        <v>4171</v>
      </c>
      <c r="X35" s="23">
        <f>3044+1307</f>
        <v>4351</v>
      </c>
      <c r="Y35" s="23">
        <f>3767+1497</f>
        <v>5264</v>
      </c>
      <c r="Z35" s="23">
        <f>4478+1514</f>
        <v>5992</v>
      </c>
      <c r="AA35" s="22"/>
    </row>
    <row r="36" spans="1:27" s="23" customFormat="1" x14ac:dyDescent="0.15">
      <c r="A36" s="8"/>
      <c r="B36" s="66" t="s">
        <v>28</v>
      </c>
      <c r="F36" s="23">
        <v>1907.231</v>
      </c>
      <c r="G36" s="22"/>
      <c r="J36" s="23">
        <v>1902.068</v>
      </c>
      <c r="K36" s="22"/>
      <c r="N36" s="23">
        <v>1881.421</v>
      </c>
      <c r="O36" s="22">
        <v>1874.7940000000001</v>
      </c>
      <c r="P36" s="23">
        <v>1874.057</v>
      </c>
      <c r="Q36" s="23">
        <v>1874.654</v>
      </c>
      <c r="R36" s="23">
        <v>4124.8</v>
      </c>
      <c r="S36" s="22">
        <f>892.754+3236.833</f>
        <v>4129.5870000000004</v>
      </c>
      <c r="T36" s="23">
        <f>3145.668+987.938</f>
        <v>4133.6059999999998</v>
      </c>
      <c r="U36" s="23">
        <f>3148.587+988.429</f>
        <v>4137.0159999999996</v>
      </c>
      <c r="V36" s="23">
        <f>3149.343+988.924</f>
        <v>4138.2669999999998</v>
      </c>
      <c r="W36" s="22">
        <v>4113</v>
      </c>
      <c r="X36" s="23">
        <v>4114</v>
      </c>
      <c r="Y36" s="23">
        <v>4116</v>
      </c>
      <c r="Z36" s="23">
        <v>4117</v>
      </c>
      <c r="AA36" s="22"/>
    </row>
    <row r="37" spans="1:27" s="23" customFormat="1" x14ac:dyDescent="0.15">
      <c r="A37" s="8"/>
      <c r="B37" s="66"/>
      <c r="G37" s="22"/>
      <c r="K37" s="22"/>
      <c r="O37" s="22"/>
      <c r="S37" s="22"/>
      <c r="W37" s="22"/>
      <c r="AA37" s="22"/>
    </row>
    <row r="38" spans="1:27" s="23" customFormat="1" x14ac:dyDescent="0.15">
      <c r="A38" s="8"/>
      <c r="B38" s="72" t="s">
        <v>56</v>
      </c>
      <c r="F38" s="38">
        <f>5366.881+510.007</f>
        <v>5876.8879999999999</v>
      </c>
      <c r="G38" s="22"/>
      <c r="J38" s="38">
        <f>5406.474+414.405</f>
        <v>5820.8789999999999</v>
      </c>
      <c r="K38" s="22"/>
      <c r="N38" s="38">
        <f>5821.561+385.658</f>
        <v>6207.2190000000001</v>
      </c>
      <c r="O38" s="22">
        <f>5843.899+353.74</f>
        <v>6197.6390000000001</v>
      </c>
      <c r="P38" s="23">
        <f>5823.792+320.478</f>
        <v>6144.27</v>
      </c>
      <c r="Q38" s="23">
        <f>7136.853+669.476</f>
        <v>7806.3289999999997</v>
      </c>
      <c r="R38" s="23">
        <f>10581.048+2069.001</f>
        <v>12650.049000000001</v>
      </c>
      <c r="S38" s="22">
        <f>10707.715+2017.103</f>
        <v>12724.817999999999</v>
      </c>
      <c r="T38" s="23">
        <f>10697.874+1917.149</f>
        <v>12615.022999999999</v>
      </c>
      <c r="U38" s="23">
        <f>10688.068+1815.625</f>
        <v>12503.692999999999</v>
      </c>
      <c r="V38" s="23">
        <f>10691.199+1720.565</f>
        <v>12411.764000000001</v>
      </c>
      <c r="W38" s="22">
        <f>10691+1626</f>
        <v>12317</v>
      </c>
      <c r="X38" s="23">
        <f>10695+1535</f>
        <v>12230</v>
      </c>
      <c r="Y38" s="23">
        <f>10739+1445</f>
        <v>12184</v>
      </c>
      <c r="Z38" s="23">
        <f>10742+1359</f>
        <v>12101</v>
      </c>
      <c r="AA38" s="22"/>
    </row>
    <row r="39" spans="1:27" s="23" customFormat="1" x14ac:dyDescent="0.15">
      <c r="A39" s="8"/>
      <c r="B39" s="72" t="s">
        <v>57</v>
      </c>
      <c r="F39" s="38">
        <v>11726.472</v>
      </c>
      <c r="G39" s="22"/>
      <c r="J39" s="38">
        <v>12707.114</v>
      </c>
      <c r="K39" s="22"/>
      <c r="N39" s="38">
        <v>14535.556</v>
      </c>
      <c r="O39" s="22">
        <v>14973.485000000001</v>
      </c>
      <c r="P39" s="23">
        <v>15163.404</v>
      </c>
      <c r="Q39" s="23">
        <v>15395.62</v>
      </c>
      <c r="R39" s="23">
        <v>18768.682000000001</v>
      </c>
      <c r="S39" s="22">
        <v>19505.536</v>
      </c>
      <c r="T39" s="23">
        <v>19665.909</v>
      </c>
      <c r="U39" s="23">
        <v>20054.88</v>
      </c>
      <c r="V39" s="23">
        <v>20762.400000000001</v>
      </c>
      <c r="W39" s="22">
        <v>21214</v>
      </c>
      <c r="X39" s="23">
        <v>21603</v>
      </c>
      <c r="Y39" s="23">
        <v>22414</v>
      </c>
      <c r="Z39" s="23">
        <v>24284</v>
      </c>
      <c r="AA39" s="22"/>
    </row>
    <row r="40" spans="1:27" s="23" customFormat="1" x14ac:dyDescent="0.15">
      <c r="A40" s="8"/>
      <c r="B40" s="72" t="s">
        <v>58</v>
      </c>
      <c r="F40" s="38">
        <v>4724.8919999999998</v>
      </c>
      <c r="G40" s="22"/>
      <c r="J40" s="38">
        <v>5282.2790000000005</v>
      </c>
      <c r="K40" s="22"/>
      <c r="N40" s="38">
        <v>6075.6869999999999</v>
      </c>
      <c r="O40" s="22">
        <v>6339.4570000000003</v>
      </c>
      <c r="P40" s="23">
        <v>6457.8209999999999</v>
      </c>
      <c r="Q40" s="23">
        <v>6533.6949999999997</v>
      </c>
      <c r="R40" s="23">
        <v>9406.5679999999993</v>
      </c>
      <c r="S40" s="22">
        <v>9634.0509999999995</v>
      </c>
      <c r="T40" s="23">
        <v>9734.2160000000003</v>
      </c>
      <c r="U40" s="23">
        <v>9812.107</v>
      </c>
      <c r="V40" s="23">
        <v>10232.245000000001</v>
      </c>
      <c r="W40" s="22">
        <v>10749</v>
      </c>
      <c r="X40" s="23">
        <v>10722</v>
      </c>
      <c r="Y40" s="23">
        <v>10701</v>
      </c>
      <c r="Z40" s="23">
        <v>11020</v>
      </c>
      <c r="AA40" s="22"/>
    </row>
    <row r="41" spans="1:27" s="23" customFormat="1" x14ac:dyDescent="0.15">
      <c r="A41" s="8"/>
      <c r="B41" s="66"/>
      <c r="F41" s="38"/>
      <c r="G41" s="22"/>
      <c r="J41" s="38"/>
      <c r="K41" s="22"/>
      <c r="N41" s="38"/>
      <c r="O41" s="22"/>
      <c r="S41" s="22"/>
      <c r="W41" s="22"/>
      <c r="AA41" s="22"/>
    </row>
    <row r="42" spans="1:27" s="23" customFormat="1" x14ac:dyDescent="0.15">
      <c r="A42" s="8"/>
      <c r="B42" s="72" t="s">
        <v>59</v>
      </c>
      <c r="F42" s="27">
        <f>F39-F35-F38</f>
        <v>1861.5</v>
      </c>
      <c r="G42" s="22"/>
      <c r="J42" s="27">
        <f t="shared" ref="J42:P42" si="66">J39-J35-J38</f>
        <v>2124.9349999999995</v>
      </c>
      <c r="K42" s="22"/>
      <c r="N42" s="27">
        <f t="shared" si="66"/>
        <v>2508.5629999999992</v>
      </c>
      <c r="O42" s="28">
        <f t="shared" si="66"/>
        <v>2627.8759999999993</v>
      </c>
      <c r="P42" s="27">
        <f t="shared" si="66"/>
        <v>2685.0699999999997</v>
      </c>
      <c r="Q42" s="27">
        <f t="shared" ref="Q42:W42" si="67">Q39-Q35-Q38</f>
        <v>2644.8210000000017</v>
      </c>
      <c r="R42" s="27">
        <f t="shared" si="67"/>
        <v>2889.6710000000003</v>
      </c>
      <c r="S42" s="28">
        <f t="shared" si="67"/>
        <v>3554.4610000000011</v>
      </c>
      <c r="T42" s="27">
        <f t="shared" si="67"/>
        <v>3571.9070000000011</v>
      </c>
      <c r="U42" s="27">
        <f t="shared" si="67"/>
        <v>3900.3990000000013</v>
      </c>
      <c r="V42" s="27">
        <f t="shared" si="67"/>
        <v>4173.659999999998</v>
      </c>
      <c r="W42" s="28">
        <f t="shared" si="67"/>
        <v>4726</v>
      </c>
      <c r="X42" s="27">
        <f t="shared" ref="X42:Y42" si="68">X39-X35-X38</f>
        <v>5022</v>
      </c>
      <c r="Y42" s="27">
        <f t="shared" si="68"/>
        <v>4966</v>
      </c>
      <c r="Z42" s="27">
        <f t="shared" ref="Z42" si="69">Z39-Z35-Z38</f>
        <v>6191</v>
      </c>
      <c r="AA42" s="22"/>
    </row>
    <row r="43" spans="1:27" s="23" customFormat="1" x14ac:dyDescent="0.15">
      <c r="A43" s="8"/>
      <c r="B43" s="72" t="s">
        <v>60</v>
      </c>
      <c r="F43" s="27">
        <f>F39-F40</f>
        <v>7001.58</v>
      </c>
      <c r="G43" s="22"/>
      <c r="J43" s="27">
        <f>J39-J40</f>
        <v>7424.8349999999991</v>
      </c>
      <c r="K43" s="22"/>
      <c r="N43" s="27">
        <f t="shared" ref="N43:Q43" si="70">N39-N40</f>
        <v>8459.8690000000006</v>
      </c>
      <c r="O43" s="28">
        <f t="shared" si="70"/>
        <v>8634.0280000000002</v>
      </c>
      <c r="P43" s="27">
        <f t="shared" si="70"/>
        <v>8705.5830000000005</v>
      </c>
      <c r="Q43" s="27">
        <f t="shared" si="70"/>
        <v>8861.9250000000011</v>
      </c>
      <c r="R43" s="27">
        <f t="shared" ref="R43:T43" si="71">R39-R40</f>
        <v>9362.1140000000014</v>
      </c>
      <c r="S43" s="28">
        <f t="shared" si="71"/>
        <v>9871.4850000000006</v>
      </c>
      <c r="T43" s="27">
        <f t="shared" si="71"/>
        <v>9931.6929999999993</v>
      </c>
      <c r="U43" s="27">
        <f>U39-U40</f>
        <v>10242.773000000001</v>
      </c>
      <c r="V43" s="27">
        <f>V39-V40</f>
        <v>10530.155000000001</v>
      </c>
      <c r="W43" s="28">
        <f t="shared" ref="W43" si="72">W39-W40</f>
        <v>10465</v>
      </c>
      <c r="X43" s="27">
        <f>X39-X40</f>
        <v>10881</v>
      </c>
      <c r="Y43" s="27">
        <f>Y39-Y40</f>
        <v>11713</v>
      </c>
      <c r="Z43" s="27">
        <f>Z39-Z40</f>
        <v>13264</v>
      </c>
      <c r="AA43" s="22"/>
    </row>
    <row r="44" spans="1:27" s="23" customFormat="1" x14ac:dyDescent="0.15">
      <c r="A44" s="8"/>
      <c r="B44" s="66"/>
      <c r="F44" s="38"/>
      <c r="G44" s="22"/>
      <c r="J44" s="38"/>
      <c r="K44" s="22"/>
      <c r="N44" s="38"/>
      <c r="O44" s="22"/>
      <c r="S44" s="22"/>
      <c r="W44" s="22"/>
      <c r="AA44" s="22"/>
    </row>
    <row r="45" spans="1:27" s="47" customFormat="1" x14ac:dyDescent="0.15">
      <c r="A45" s="17"/>
      <c r="B45" s="73" t="s">
        <v>115</v>
      </c>
      <c r="F45" s="24">
        <f>SUM(C20:F20)</f>
        <v>629.5509999999997</v>
      </c>
      <c r="G45" s="22"/>
      <c r="H45" s="23"/>
      <c r="I45" s="23"/>
      <c r="J45" s="24">
        <f>SUM(G20:J20)</f>
        <v>1168.7819999999999</v>
      </c>
      <c r="K45" s="22"/>
      <c r="L45" s="23"/>
      <c r="M45" s="23"/>
      <c r="N45" s="24">
        <f t="shared" ref="N45:V45" si="73">SUM(K20:N20)</f>
        <v>1693.9540000000002</v>
      </c>
      <c r="O45" s="25">
        <f t="shared" si="73"/>
        <v>1878.5840000000003</v>
      </c>
      <c r="P45" s="24">
        <f t="shared" si="73"/>
        <v>2167.3610000000003</v>
      </c>
      <c r="Q45" s="24">
        <f t="shared" si="73"/>
        <v>2414.0830000000001</v>
      </c>
      <c r="R45" s="24">
        <f t="shared" si="73"/>
        <v>2590.7740000000003</v>
      </c>
      <c r="S45" s="25">
        <f t="shared" si="73"/>
        <v>2681.9390000000008</v>
      </c>
      <c r="T45" s="24">
        <f t="shared" si="73"/>
        <v>2651.3650000000016</v>
      </c>
      <c r="U45" s="24">
        <f t="shared" si="73"/>
        <v>2777.8370000000004</v>
      </c>
      <c r="V45" s="24">
        <f t="shared" si="73"/>
        <v>2951.458000000001</v>
      </c>
      <c r="W45" s="25">
        <f t="shared" ref="W45" si="74">SUM(T20:W20)</f>
        <v>3232.2170000000006</v>
      </c>
      <c r="X45" s="24">
        <f>SUM(U20:X20)</f>
        <v>3699.6239999999998</v>
      </c>
      <c r="Y45" s="24">
        <f>SUM(V20:Y20)</f>
        <v>3861.8610000000003</v>
      </c>
      <c r="Z45" s="24">
        <f>SUM(W20:Z20)</f>
        <v>4075.3302126005724</v>
      </c>
      <c r="AA45" s="76"/>
    </row>
    <row r="46" spans="1:27" x14ac:dyDescent="0.15">
      <c r="B46" s="74" t="s">
        <v>61</v>
      </c>
      <c r="F46" s="34">
        <f>F20/F43</f>
        <v>3.1807820520511045E-2</v>
      </c>
      <c r="J46" s="34">
        <f t="shared" ref="J46:P46" si="75">J45/J43</f>
        <v>0.15741521528761246</v>
      </c>
      <c r="K46" s="22"/>
      <c r="L46" s="23"/>
      <c r="M46" s="23"/>
      <c r="N46" s="34">
        <f t="shared" si="75"/>
        <v>0.2002340698183388</v>
      </c>
      <c r="O46" s="35">
        <f t="shared" si="75"/>
        <v>0.21757909518014074</v>
      </c>
      <c r="P46" s="34">
        <f t="shared" si="75"/>
        <v>0.2489621889768899</v>
      </c>
      <c r="Q46" s="34">
        <f t="shared" ref="Q46:W46" si="76">Q45/Q43</f>
        <v>0.27241067826685511</v>
      </c>
      <c r="R46" s="34">
        <f t="shared" si="76"/>
        <v>0.27672959333757313</v>
      </c>
      <c r="S46" s="35">
        <f t="shared" si="76"/>
        <v>0.27168546576325653</v>
      </c>
      <c r="T46" s="34">
        <f t="shared" si="76"/>
        <v>0.2669600238348086</v>
      </c>
      <c r="U46" s="34">
        <f t="shared" si="76"/>
        <v>0.2711997034396838</v>
      </c>
      <c r="V46" s="34">
        <f t="shared" si="76"/>
        <v>0.28028628258558402</v>
      </c>
      <c r="W46" s="35">
        <f t="shared" si="76"/>
        <v>0.30885972288580987</v>
      </c>
      <c r="X46" s="34">
        <f t="shared" ref="X46:Y46" si="77">X45/X43</f>
        <v>0.34000771987868761</v>
      </c>
      <c r="Y46" s="34">
        <f t="shared" si="77"/>
        <v>0.32970724835652698</v>
      </c>
      <c r="Z46" s="34">
        <f t="shared" ref="Z46" si="78">Z45/Z43</f>
        <v>0.30724745269907816</v>
      </c>
    </row>
    <row r="47" spans="1:27" x14ac:dyDescent="0.15">
      <c r="B47" s="74" t="s">
        <v>62</v>
      </c>
      <c r="F47" s="34">
        <f>F20/F39</f>
        <v>1.899164556910209E-2</v>
      </c>
      <c r="J47" s="34">
        <f t="shared" ref="J47:P47" si="79">J45/J39</f>
        <v>9.1978556263837719E-2</v>
      </c>
      <c r="K47" s="22"/>
      <c r="L47" s="23"/>
      <c r="M47" s="23"/>
      <c r="N47" s="34">
        <f t="shared" si="79"/>
        <v>0.11653864496136233</v>
      </c>
      <c r="O47" s="35">
        <f t="shared" si="79"/>
        <v>0.12546070604137916</v>
      </c>
      <c r="P47" s="34">
        <f t="shared" si="79"/>
        <v>0.14293367109390478</v>
      </c>
      <c r="Q47" s="34">
        <f t="shared" ref="Q47:W47" si="80">Q45/Q39</f>
        <v>0.15680323364697232</v>
      </c>
      <c r="R47" s="34">
        <f t="shared" si="80"/>
        <v>0.13803707687092787</v>
      </c>
      <c r="S47" s="35">
        <f t="shared" si="80"/>
        <v>0.1374962984867476</v>
      </c>
      <c r="T47" s="34">
        <f t="shared" si="80"/>
        <v>0.13482036350315674</v>
      </c>
      <c r="U47" s="34">
        <f t="shared" si="80"/>
        <v>0.13851177369298645</v>
      </c>
      <c r="V47" s="34">
        <f t="shared" si="80"/>
        <v>0.142153989904828</v>
      </c>
      <c r="W47" s="35">
        <f t="shared" si="80"/>
        <v>0.15236244932591686</v>
      </c>
      <c r="X47" s="34">
        <f t="shared" ref="X47:Y47" si="81">X45/X39</f>
        <v>0.17125510345785305</v>
      </c>
      <c r="Y47" s="34">
        <f t="shared" si="81"/>
        <v>0.17229682341393773</v>
      </c>
      <c r="Z47" s="34">
        <f t="shared" ref="Z47" si="82">Z45/Z39</f>
        <v>0.16781956072313345</v>
      </c>
    </row>
    <row r="48" spans="1:27" x14ac:dyDescent="0.15">
      <c r="B48" s="74" t="s">
        <v>63</v>
      </c>
      <c r="F48" s="34">
        <f>F20/(F43-F38)</f>
        <v>0.19801421189089963</v>
      </c>
      <c r="J48" s="34">
        <f t="shared" ref="J48:P48" si="83">J45/(J43-J38)</f>
        <v>0.72868707121641774</v>
      </c>
      <c r="K48" s="22"/>
      <c r="L48" s="23"/>
      <c r="M48" s="23"/>
      <c r="N48" s="34">
        <f t="shared" si="83"/>
        <v>0.75198277584178619</v>
      </c>
      <c r="O48" s="35">
        <f t="shared" si="83"/>
        <v>0.77105257001242422</v>
      </c>
      <c r="P48" s="34">
        <f t="shared" si="83"/>
        <v>0.84619138699565433</v>
      </c>
      <c r="Q48" s="34">
        <f t="shared" ref="Q48:W48" si="84">Q45/(Q43-Q38)</f>
        <v>2.2869383741507137</v>
      </c>
      <c r="R48" s="34">
        <f t="shared" si="84"/>
        <v>-0.78796387398169387</v>
      </c>
      <c r="S48" s="35">
        <f t="shared" si="84"/>
        <v>-0.9399320023285056</v>
      </c>
      <c r="T48" s="34">
        <f t="shared" si="84"/>
        <v>-0.98808756284169363</v>
      </c>
      <c r="U48" s="34">
        <f t="shared" si="84"/>
        <v>-1.2286312651487017</v>
      </c>
      <c r="V48" s="34">
        <f t="shared" si="84"/>
        <v>-1.5685819955155405</v>
      </c>
      <c r="W48" s="35">
        <f t="shared" si="84"/>
        <v>-1.7452575593952486</v>
      </c>
      <c r="X48" s="34">
        <f t="shared" ref="X48:Y48" si="85">X45/(X43-X38)</f>
        <v>-2.7424936990363231</v>
      </c>
      <c r="Y48" s="34">
        <f t="shared" si="85"/>
        <v>-8.1992802547770705</v>
      </c>
      <c r="Z48" s="34">
        <f t="shared" ref="Z48" si="86">Z45/(Z43-Z38)</f>
        <v>3.5041532352541465</v>
      </c>
    </row>
    <row r="49" spans="1:27" x14ac:dyDescent="0.15">
      <c r="B49" s="74" t="s">
        <v>64</v>
      </c>
      <c r="F49" s="34">
        <f>F20/F42</f>
        <v>0.11963738920225608</v>
      </c>
      <c r="J49" s="34">
        <f t="shared" ref="J49:P49" si="87">J45/J42</f>
        <v>0.55003188332819597</v>
      </c>
      <c r="K49" s="22"/>
      <c r="L49" s="23"/>
      <c r="M49" s="23"/>
      <c r="N49" s="34">
        <f t="shared" si="87"/>
        <v>0.67526866975236444</v>
      </c>
      <c r="O49" s="35">
        <f t="shared" si="87"/>
        <v>0.71486782481365208</v>
      </c>
      <c r="P49" s="34">
        <f t="shared" si="87"/>
        <v>0.80718975669163207</v>
      </c>
      <c r="Q49" s="34">
        <f t="shared" ref="Q49:W49" si="88">Q45/Q42</f>
        <v>0.91275855719536347</v>
      </c>
      <c r="R49" s="34">
        <f t="shared" si="88"/>
        <v>0.89656365724679388</v>
      </c>
      <c r="S49" s="35">
        <f t="shared" si="88"/>
        <v>0.75452762036213084</v>
      </c>
      <c r="T49" s="34">
        <f t="shared" si="88"/>
        <v>0.74228276380096148</v>
      </c>
      <c r="U49" s="34">
        <f t="shared" si="88"/>
        <v>0.71219303461004879</v>
      </c>
      <c r="V49" s="34">
        <f t="shared" si="88"/>
        <v>0.70716301759127542</v>
      </c>
      <c r="W49" s="35">
        <f t="shared" si="88"/>
        <v>0.68392234447735945</v>
      </c>
      <c r="X49" s="34">
        <f t="shared" ref="X49:Y49" si="89">X45/X42</f>
        <v>0.7366833930704898</v>
      </c>
      <c r="Y49" s="34">
        <f t="shared" si="89"/>
        <v>0.77766028997180836</v>
      </c>
      <c r="Z49" s="34">
        <f t="shared" ref="Z49" si="90">Z45/Z42</f>
        <v>0.65826687330004396</v>
      </c>
    </row>
    <row r="51" spans="1:27" s="47" customFormat="1" x14ac:dyDescent="0.15">
      <c r="A51" s="17"/>
      <c r="B51" s="67" t="s">
        <v>116</v>
      </c>
      <c r="F51" s="24">
        <f>SUM(C8:F8)</f>
        <v>4795.5109999999995</v>
      </c>
      <c r="G51" s="25">
        <f>SUM(D8:G8)</f>
        <v>5069.665</v>
      </c>
      <c r="H51" s="24">
        <f>SUM(E8:H8)</f>
        <v>5306.2159999999994</v>
      </c>
      <c r="I51" s="24">
        <f>SUM(F8:I8)</f>
        <v>5552.4149999999991</v>
      </c>
      <c r="J51" s="24">
        <f>SUM(G8:J8)</f>
        <v>5854.43</v>
      </c>
      <c r="K51" s="25">
        <f>SUM(H8:K8)</f>
        <v>6152.741</v>
      </c>
      <c r="L51" s="24">
        <f>SUM(I8:L8)</f>
        <v>6526.2219999999998</v>
      </c>
      <c r="M51" s="24">
        <f>SUM(J8:M8)</f>
        <v>6903.3289999999997</v>
      </c>
      <c r="N51" s="24">
        <f>SUM(K8:N8)</f>
        <v>7301.5050000000001</v>
      </c>
      <c r="O51" s="25">
        <f>SUM(L8:O8)</f>
        <v>7698.8060000000005</v>
      </c>
      <c r="P51" s="24">
        <f>SUM(M8:P8)</f>
        <v>8121.9760000000006</v>
      </c>
      <c r="Q51" s="24">
        <f>SUM(N8:Q8)</f>
        <v>8571.9779999999992</v>
      </c>
      <c r="R51" s="24">
        <f>SUM(O8:R8)</f>
        <v>9030.0080000000016</v>
      </c>
      <c r="S51" s="25">
        <f>SUM(P8:S8)</f>
        <v>9552.0069999999996</v>
      </c>
      <c r="T51" s="24">
        <f>SUM(Q8:T8)</f>
        <v>10100.927000000001</v>
      </c>
      <c r="U51" s="24">
        <f>SUM(R8:U8)</f>
        <v>10643.977000000001</v>
      </c>
      <c r="V51" s="24">
        <f>SUM(S8:V8)</f>
        <v>11171.296000000002</v>
      </c>
      <c r="W51" s="25">
        <f>SUM(T8:W8)</f>
        <v>11661.35</v>
      </c>
      <c r="X51" s="24">
        <f>SUM(U8:X8)</f>
        <v>12045.07</v>
      </c>
      <c r="Y51" s="24">
        <f>SUM(V8:Y8)</f>
        <v>12435.944</v>
      </c>
      <c r="Z51" s="24">
        <f>SUM(W8:Z8)</f>
        <v>12868</v>
      </c>
      <c r="AA51" s="22"/>
    </row>
    <row r="52" spans="1:27" s="81" customFormat="1" x14ac:dyDescent="0.15">
      <c r="A52" s="79"/>
      <c r="B52" s="80" t="s">
        <v>117</v>
      </c>
      <c r="G52" s="82"/>
      <c r="J52" s="81">
        <f>J51/F51-1</f>
        <v>0.22081463268460877</v>
      </c>
      <c r="K52" s="82">
        <f>K51/G51-1</f>
        <v>0.21363857375191464</v>
      </c>
      <c r="L52" s="81">
        <f>L51/H51-1</f>
        <v>0.2299201540231306</v>
      </c>
      <c r="M52" s="81">
        <f>M51/I51-1</f>
        <v>0.24330205865375709</v>
      </c>
      <c r="N52" s="81">
        <f>N51/J51-1</f>
        <v>0.24717607008709641</v>
      </c>
      <c r="O52" s="82">
        <f>O51/K51-1</f>
        <v>0.25128068937080239</v>
      </c>
      <c r="P52" s="81">
        <f>P51/L51-1</f>
        <v>0.24451420745417507</v>
      </c>
      <c r="Q52" s="81">
        <f>Q51/M51-1</f>
        <v>0.24171656891914028</v>
      </c>
      <c r="R52" s="81">
        <f>R51/N51-1</f>
        <v>0.23673242708181408</v>
      </c>
      <c r="S52" s="82">
        <f>S51/O51-1</f>
        <v>0.24071278065715629</v>
      </c>
      <c r="T52" s="81">
        <f>T51/P51-1</f>
        <v>0.24365388422718826</v>
      </c>
      <c r="U52" s="81">
        <f>U51/Q51-1</f>
        <v>0.24171772256065083</v>
      </c>
      <c r="V52" s="81">
        <f>V51/R51-1</f>
        <v>0.23713024395991678</v>
      </c>
      <c r="W52" s="82">
        <f>W51/S51-1</f>
        <v>0.22082720416766866</v>
      </c>
      <c r="X52" s="81">
        <f>X51/T51-1</f>
        <v>0.1924717404650087</v>
      </c>
      <c r="Y52" s="81">
        <f>Y51/U51-1</f>
        <v>0.16835502369086286</v>
      </c>
      <c r="Z52" s="81">
        <f>Z51/V51-1</f>
        <v>0.15188067704946651</v>
      </c>
      <c r="AA52" s="35"/>
    </row>
    <row r="54" spans="1:27" x14ac:dyDescent="0.15">
      <c r="B54" s="70" t="s">
        <v>73</v>
      </c>
      <c r="G54" s="35">
        <f t="shared" ref="G54:Z56" si="91">G4/C4-1</f>
        <v>0.50012194404030041</v>
      </c>
      <c r="H54" s="34">
        <f t="shared" si="91"/>
        <v>0.40020646981832475</v>
      </c>
      <c r="I54" s="34">
        <f t="shared" si="91"/>
        <v>0.40954207450561775</v>
      </c>
      <c r="J54" s="34">
        <f t="shared" si="91"/>
        <v>0.39103560148727068</v>
      </c>
      <c r="K54" s="35">
        <f t="shared" si="91"/>
        <v>0.29302125671572066</v>
      </c>
      <c r="L54" s="34">
        <f t="shared" si="91"/>
        <v>0.36908650669737608</v>
      </c>
      <c r="M54" s="34">
        <f t="shared" si="91"/>
        <v>0.34377315801273656</v>
      </c>
      <c r="N54" s="34">
        <f t="shared" si="91"/>
        <v>0.34359762111682679</v>
      </c>
      <c r="O54" s="35">
        <f t="shared" si="91"/>
        <v>0.29591373668936649</v>
      </c>
      <c r="P54" s="34">
        <f t="shared" si="91"/>
        <v>0.29618114296113074</v>
      </c>
      <c r="Q54" s="34">
        <f t="shared" si="91"/>
        <v>0.28730730238624091</v>
      </c>
      <c r="R54" s="34">
        <f t="shared" si="91"/>
        <v>0.28783888084047793</v>
      </c>
      <c r="S54" s="35">
        <f t="shared" si="91"/>
        <v>0.28527990507193768</v>
      </c>
      <c r="T54" s="34">
        <f t="shared" si="91"/>
        <v>0.2771345269771015</v>
      </c>
      <c r="U54" s="34">
        <f t="shared" si="91"/>
        <v>0.25974014410055868</v>
      </c>
      <c r="V54" s="34">
        <f t="shared" si="91"/>
        <v>0.23014406466931425</v>
      </c>
      <c r="W54" s="35">
        <f t="shared" ref="W54:W56" si="92">W4/S4-1</f>
        <v>0.22561407603666339</v>
      </c>
      <c r="X54" s="34">
        <f t="shared" si="91"/>
        <v>0.17014922456238479</v>
      </c>
      <c r="Y54" s="34">
        <f t="shared" si="91"/>
        <v>0.17805472535421174</v>
      </c>
      <c r="Z54" s="34">
        <f t="shared" si="91"/>
        <v>0.15935922978351047</v>
      </c>
    </row>
    <row r="55" spans="1:27" x14ac:dyDescent="0.15">
      <c r="B55" s="70" t="s">
        <v>74</v>
      </c>
      <c r="G55" s="35">
        <f t="shared" si="91"/>
        <v>-0.30835631796515506</v>
      </c>
      <c r="H55" s="34">
        <f t="shared" si="91"/>
        <v>-0.284252088964005</v>
      </c>
      <c r="I55" s="34">
        <f t="shared" si="91"/>
        <v>-0.34277143002418853</v>
      </c>
      <c r="J55" s="34">
        <f t="shared" si="91"/>
        <v>-0.21993279343119054</v>
      </c>
      <c r="K55" s="35">
        <f t="shared" si="91"/>
        <v>-8.8144914276621966E-2</v>
      </c>
      <c r="L55" s="34">
        <f t="shared" si="91"/>
        <v>-0.12699745547073793</v>
      </c>
      <c r="M55" s="34">
        <f t="shared" si="91"/>
        <v>-0.1215683023872679</v>
      </c>
      <c r="N55" s="34">
        <f t="shared" si="91"/>
        <v>-0.13089948901886206</v>
      </c>
      <c r="O55" s="35">
        <f t="shared" si="91"/>
        <v>-6.4220083431033026E-2</v>
      </c>
      <c r="P55" s="34">
        <f t="shared" si="91"/>
        <v>-0.11980529890116287</v>
      </c>
      <c r="Q55" s="34">
        <f t="shared" si="91"/>
        <v>-6.1864230849076218E-2</v>
      </c>
      <c r="R55" s="34">
        <f t="shared" si="91"/>
        <v>-0.22009477591820648</v>
      </c>
      <c r="S55" s="35">
        <f t="shared" si="91"/>
        <v>-6.1419048063027226E-3</v>
      </c>
      <c r="T55" s="34">
        <f t="shared" si="91"/>
        <v>1.2073407376500978E-2</v>
      </c>
      <c r="U55" s="34">
        <f t="shared" si="91"/>
        <v>5.4946455034970088E-2</v>
      </c>
      <c r="V55" s="34">
        <f t="shared" si="91"/>
        <v>0.11083264085092237</v>
      </c>
      <c r="W55" s="35">
        <f t="shared" si="92"/>
        <v>-0.16155587086787759</v>
      </c>
      <c r="X55" s="34">
        <f t="shared" si="91"/>
        <v>-0.16239137263113812</v>
      </c>
      <c r="Y55" s="34">
        <f t="shared" si="91"/>
        <v>-0.30714907736411545</v>
      </c>
      <c r="Z55" s="34">
        <f t="shared" si="91"/>
        <v>-0.23996241703920485</v>
      </c>
    </row>
    <row r="56" spans="1:27" x14ac:dyDescent="0.15">
      <c r="B56" s="70" t="s">
        <v>75</v>
      </c>
      <c r="G56" s="35">
        <f t="shared" si="91"/>
        <v>6.6765112180250608E-2</v>
      </c>
      <c r="H56" s="34">
        <f t="shared" si="91"/>
        <v>4.2619460306008605E-2</v>
      </c>
      <c r="I56" s="34">
        <f t="shared" si="91"/>
        <v>9.1739072906100727E-3</v>
      </c>
      <c r="J56" s="34">
        <f t="shared" si="91"/>
        <v>8.5137236403026062E-2</v>
      </c>
      <c r="K56" s="35">
        <f t="shared" si="91"/>
        <v>2.1719521670402697E-2</v>
      </c>
      <c r="L56" s="34">
        <f t="shared" si="91"/>
        <v>-1.3046303406722415E-2</v>
      </c>
      <c r="M56" s="34">
        <f t="shared" si="91"/>
        <v>-2.2971023993706541E-2</v>
      </c>
      <c r="N56" s="34">
        <f t="shared" si="91"/>
        <v>-5.2229914667525357E-2</v>
      </c>
      <c r="O56" s="35">
        <f t="shared" si="91"/>
        <v>-3.7061317250121073E-3</v>
      </c>
      <c r="P56" s="34">
        <f t="shared" si="91"/>
        <v>3.6603821982813978E-2</v>
      </c>
      <c r="Q56" s="34">
        <f t="shared" si="91"/>
        <v>7.7538312890845118E-2</v>
      </c>
      <c r="R56" s="34">
        <f t="shared" si="91"/>
        <v>0.10455950803519865</v>
      </c>
      <c r="S56" s="35">
        <f t="shared" si="91"/>
        <v>0.10040269869539653</v>
      </c>
      <c r="T56" s="34">
        <f t="shared" si="91"/>
        <v>0.11655778811574113</v>
      </c>
      <c r="U56" s="34">
        <f t="shared" si="91"/>
        <v>8.1282587758626512E-2</v>
      </c>
      <c r="V56" s="34">
        <f t="shared" si="91"/>
        <v>6.1334030543978013E-2</v>
      </c>
      <c r="W56" s="35">
        <f t="shared" si="92"/>
        <v>-1.9334263504086069E-2</v>
      </c>
      <c r="X56" s="34">
        <f t="shared" si="91"/>
        <v>-6.9197071664438115E-2</v>
      </c>
      <c r="Y56" s="34">
        <f t="shared" si="91"/>
        <v>-0.10929557565612669</v>
      </c>
      <c r="Z56" s="34">
        <f t="shared" si="91"/>
        <v>0.31866857946065008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C13"/>
  <sheetViews>
    <sheetView zoomScale="130" zoomScaleNormal="130" workbookViewId="0">
      <selection activeCell="C16" sqref="C16"/>
    </sheetView>
  </sheetViews>
  <sheetFormatPr baseColWidth="10" defaultRowHeight="13" x14ac:dyDescent="0.15"/>
  <cols>
    <col min="1" max="1" width="10.83203125" style="3"/>
    <col min="2" max="2" width="12.5" style="3" bestFit="1" customWidth="1"/>
    <col min="3" max="3" width="30.6640625" style="3" bestFit="1" customWidth="1"/>
    <col min="4" max="16384" width="10.83203125" style="3"/>
  </cols>
  <sheetData>
    <row r="4" spans="2:3" x14ac:dyDescent="0.15">
      <c r="B4" s="64" t="s">
        <v>108</v>
      </c>
    </row>
    <row r="6" spans="2:3" x14ac:dyDescent="0.15">
      <c r="B6" s="3" t="s">
        <v>109</v>
      </c>
      <c r="C6" s="3" t="s">
        <v>110</v>
      </c>
    </row>
    <row r="7" spans="2:3" x14ac:dyDescent="0.15">
      <c r="B7" s="3" t="s">
        <v>99</v>
      </c>
    </row>
    <row r="8" spans="2:3" x14ac:dyDescent="0.15">
      <c r="B8" s="3" t="s">
        <v>100</v>
      </c>
    </row>
    <row r="9" spans="2:3" x14ac:dyDescent="0.15">
      <c r="B9" s="3" t="s">
        <v>101</v>
      </c>
    </row>
    <row r="10" spans="2:3" x14ac:dyDescent="0.15">
      <c r="B10" s="3" t="s">
        <v>102</v>
      </c>
    </row>
    <row r="11" spans="2:3" x14ac:dyDescent="0.15">
      <c r="B11" s="3" t="s">
        <v>103</v>
      </c>
    </row>
    <row r="12" spans="2:3" x14ac:dyDescent="0.15">
      <c r="B12" s="3" t="s">
        <v>104</v>
      </c>
    </row>
    <row r="13" spans="2:3" x14ac:dyDescent="0.15">
      <c r="B13" s="3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2021-02-28T11:53:52Z</dcterms:modified>
</cp:coreProperties>
</file>