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24C62B39-3C8F-EE44-AB0F-C6F6796E4163}" xr6:coauthVersionLast="46" xr6:coauthVersionMax="46" xr10:uidLastSave="{00000000-0000-0000-0000-000000000000}"/>
  <bookViews>
    <workbookView xWindow="0" yWindow="460" windowWidth="22560" windowHeight="20320" tabRatio="500" xr2:uid="{00000000-000D-0000-FFFF-FFFF00000000}"/>
  </bookViews>
  <sheets>
    <sheet name="Main" sheetId="2" r:id="rId1"/>
    <sheet name="Reports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5" i="2" l="1"/>
  <c r="F52" i="2"/>
  <c r="F56" i="2" s="1"/>
  <c r="F51" i="2"/>
  <c r="F57" i="2" s="1"/>
  <c r="F49" i="2"/>
  <c r="F48" i="2"/>
  <c r="F47" i="2"/>
  <c r="F43" i="2"/>
  <c r="F45" i="2"/>
  <c r="F44" i="2"/>
  <c r="M24" i="2"/>
  <c r="N24" i="2" s="1"/>
  <c r="O24" i="2" s="1"/>
  <c r="P24" i="2" s="1"/>
  <c r="Q24" i="2" s="1"/>
  <c r="R24" i="2" s="1"/>
  <c r="S24" i="2" s="1"/>
  <c r="T24" i="2" s="1"/>
  <c r="U24" i="2" s="1"/>
  <c r="V24" i="2" s="1"/>
  <c r="M23" i="2"/>
  <c r="N23" i="2" s="1"/>
  <c r="O23" i="2" s="1"/>
  <c r="P23" i="2" s="1"/>
  <c r="Q23" i="2" s="1"/>
  <c r="R23" i="2" s="1"/>
  <c r="S23" i="2" s="1"/>
  <c r="T23" i="2" s="1"/>
  <c r="U23" i="2" s="1"/>
  <c r="V23" i="2" s="1"/>
  <c r="M22" i="2"/>
  <c r="N22" i="2" s="1"/>
  <c r="O22" i="2" s="1"/>
  <c r="P22" i="2" s="1"/>
  <c r="Q22" i="2" s="1"/>
  <c r="R22" i="2" s="1"/>
  <c r="S22" i="2" s="1"/>
  <c r="T22" i="2" s="1"/>
  <c r="U22" i="2" s="1"/>
  <c r="V22" i="2" s="1"/>
  <c r="L22" i="2"/>
  <c r="K24" i="2"/>
  <c r="K23" i="2"/>
  <c r="K22" i="2"/>
  <c r="F4" i="2"/>
  <c r="R32" i="2"/>
  <c r="S32" i="2" s="1"/>
  <c r="T32" i="2" s="1"/>
  <c r="U32" i="2" s="1"/>
  <c r="V32" i="2" s="1"/>
  <c r="R19" i="2"/>
  <c r="R21" i="2" s="1"/>
  <c r="R12" i="2"/>
  <c r="S12" i="2" s="1"/>
  <c r="T12" i="2" s="1"/>
  <c r="U12" i="2" s="1"/>
  <c r="V12" i="2" s="1"/>
  <c r="M19" i="2"/>
  <c r="N19" i="2" s="1"/>
  <c r="O19" i="2" s="1"/>
  <c r="P19" i="2" s="1"/>
  <c r="Q19" i="2" s="1"/>
  <c r="L19" i="2"/>
  <c r="K19" i="2"/>
  <c r="J19" i="2"/>
  <c r="I19" i="2"/>
  <c r="H19" i="2"/>
  <c r="J68" i="2"/>
  <c r="I68" i="2"/>
  <c r="H68" i="2"/>
  <c r="K66" i="2"/>
  <c r="J66" i="2"/>
  <c r="I66" i="2"/>
  <c r="H66" i="2"/>
  <c r="K63" i="2"/>
  <c r="J63" i="2"/>
  <c r="I63" i="2"/>
  <c r="H63" i="2"/>
  <c r="G68" i="2"/>
  <c r="G19" i="2"/>
  <c r="G38" i="2"/>
  <c r="Y54" i="1"/>
  <c r="G63" i="2" s="1"/>
  <c r="F68" i="2"/>
  <c r="E68" i="2"/>
  <c r="D68" i="2"/>
  <c r="C68" i="2"/>
  <c r="F66" i="2"/>
  <c r="E66" i="2"/>
  <c r="D66" i="2"/>
  <c r="C66" i="2"/>
  <c r="F65" i="2"/>
  <c r="E65" i="2"/>
  <c r="D65" i="2"/>
  <c r="C65" i="2"/>
  <c r="F63" i="2"/>
  <c r="F62" i="2"/>
  <c r="E63" i="2"/>
  <c r="E62" i="2"/>
  <c r="D63" i="2"/>
  <c r="D62" i="2"/>
  <c r="C63" i="2"/>
  <c r="C62" i="2"/>
  <c r="B63" i="2"/>
  <c r="B62" i="2"/>
  <c r="F17" i="2"/>
  <c r="F19" i="2" s="1"/>
  <c r="F21" i="2" s="1"/>
  <c r="F25" i="2"/>
  <c r="F24" i="2"/>
  <c r="F27" i="2"/>
  <c r="F32" i="2"/>
  <c r="F29" i="2"/>
  <c r="F23" i="2"/>
  <c r="F22" i="2"/>
  <c r="F20" i="2"/>
  <c r="F14" i="2"/>
  <c r="F13" i="2"/>
  <c r="C5" i="2"/>
  <c r="C3" i="2"/>
  <c r="Y9" i="1"/>
  <c r="Y28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J57" i="1"/>
  <c r="J56" i="1"/>
  <c r="N57" i="1"/>
  <c r="N56" i="1"/>
  <c r="X57" i="1"/>
  <c r="W57" i="1"/>
  <c r="V57" i="1"/>
  <c r="U57" i="1"/>
  <c r="T57" i="1"/>
  <c r="S57" i="1"/>
  <c r="R57" i="1"/>
  <c r="Q57" i="1"/>
  <c r="P57" i="1"/>
  <c r="O57" i="1"/>
  <c r="M57" i="1"/>
  <c r="L57" i="1"/>
  <c r="K57" i="1"/>
  <c r="I57" i="1"/>
  <c r="H57" i="1"/>
  <c r="X56" i="1"/>
  <c r="W56" i="1"/>
  <c r="V56" i="1"/>
  <c r="U56" i="1"/>
  <c r="T56" i="1"/>
  <c r="S56" i="1"/>
  <c r="R56" i="1"/>
  <c r="Q56" i="1"/>
  <c r="P56" i="1"/>
  <c r="O56" i="1"/>
  <c r="M56" i="1"/>
  <c r="L56" i="1"/>
  <c r="K56" i="1"/>
  <c r="I56" i="1"/>
  <c r="H56" i="1"/>
  <c r="G57" i="1"/>
  <c r="G56" i="1"/>
  <c r="F56" i="1"/>
  <c r="F57" i="1"/>
  <c r="R31" i="1"/>
  <c r="R30" i="1"/>
  <c r="R29" i="1"/>
  <c r="R28" i="1"/>
  <c r="R26" i="1"/>
  <c r="R25" i="1"/>
  <c r="R24" i="1"/>
  <c r="R20" i="1"/>
  <c r="R21" i="1" s="1"/>
  <c r="R18" i="1"/>
  <c r="R15" i="1"/>
  <c r="R16" i="1" s="1"/>
  <c r="R14" i="1"/>
  <c r="V31" i="1" s="1"/>
  <c r="R13" i="1"/>
  <c r="V30" i="1" s="1"/>
  <c r="R11" i="1"/>
  <c r="R10" i="1"/>
  <c r="U31" i="1"/>
  <c r="U30" i="1"/>
  <c r="U29" i="1"/>
  <c r="U28" i="1"/>
  <c r="U26" i="1"/>
  <c r="U25" i="1"/>
  <c r="U24" i="1"/>
  <c r="U20" i="1"/>
  <c r="U21" i="1" s="1"/>
  <c r="U18" i="1"/>
  <c r="U15" i="1"/>
  <c r="U16" i="1" s="1"/>
  <c r="U13" i="1"/>
  <c r="U11" i="1"/>
  <c r="U10" i="1"/>
  <c r="V51" i="1"/>
  <c r="V50" i="1"/>
  <c r="V44" i="1"/>
  <c r="V48" i="1" s="1"/>
  <c r="V42" i="1"/>
  <c r="V41" i="1"/>
  <c r="V37" i="1"/>
  <c r="V34" i="1"/>
  <c r="V33" i="1"/>
  <c r="V29" i="1"/>
  <c r="V28" i="1"/>
  <c r="V26" i="1"/>
  <c r="V25" i="1"/>
  <c r="V24" i="1"/>
  <c r="V20" i="1"/>
  <c r="V21" i="1" s="1"/>
  <c r="V18" i="1"/>
  <c r="V15" i="1"/>
  <c r="V16" i="1" s="1"/>
  <c r="V14" i="1"/>
  <c r="V13" i="1"/>
  <c r="V11" i="1"/>
  <c r="V10" i="1"/>
  <c r="R9" i="1"/>
  <c r="R7" i="1"/>
  <c r="W51" i="1"/>
  <c r="W50" i="1"/>
  <c r="W44" i="1"/>
  <c r="W48" i="1" s="1"/>
  <c r="W42" i="1"/>
  <c r="W41" i="1"/>
  <c r="W37" i="1"/>
  <c r="W34" i="1"/>
  <c r="W33" i="1" s="1"/>
  <c r="W29" i="1"/>
  <c r="W14" i="1"/>
  <c r="W31" i="1" s="1"/>
  <c r="W13" i="1"/>
  <c r="W30" i="1" s="1"/>
  <c r="W10" i="1"/>
  <c r="S29" i="1"/>
  <c r="S14" i="1"/>
  <c r="S31" i="1" s="1"/>
  <c r="S13" i="1"/>
  <c r="S30" i="1" s="1"/>
  <c r="S10" i="1"/>
  <c r="S7" i="1"/>
  <c r="S9" i="1" s="1"/>
  <c r="S28" i="1" s="1"/>
  <c r="X50" i="1"/>
  <c r="X42" i="1"/>
  <c r="X37" i="1"/>
  <c r="X41" i="1" s="1"/>
  <c r="X34" i="1"/>
  <c r="X33" i="1"/>
  <c r="U51" i="1"/>
  <c r="U50" i="1"/>
  <c r="U42" i="1"/>
  <c r="U37" i="1"/>
  <c r="U34" i="1"/>
  <c r="U41" i="1" s="1"/>
  <c r="T29" i="1"/>
  <c r="T13" i="1"/>
  <c r="X30" i="1" s="1"/>
  <c r="T10" i="1"/>
  <c r="X31" i="1"/>
  <c r="X29" i="1"/>
  <c r="X14" i="1"/>
  <c r="X13" i="1"/>
  <c r="X15" i="1" s="1"/>
  <c r="X10" i="1"/>
  <c r="X9" i="1"/>
  <c r="X11" i="1" s="1"/>
  <c r="W9" i="1"/>
  <c r="W28" i="1" s="1"/>
  <c r="V9" i="1"/>
  <c r="U9" i="1"/>
  <c r="X7" i="1"/>
  <c r="X51" i="1" s="1"/>
  <c r="W7" i="1"/>
  <c r="V7" i="1"/>
  <c r="U7" i="1"/>
  <c r="T7" i="1"/>
  <c r="T9" i="1" s="1"/>
  <c r="E49" i="2"/>
  <c r="E48" i="2"/>
  <c r="E52" i="2" s="1"/>
  <c r="E45" i="2"/>
  <c r="E29" i="2"/>
  <c r="E27" i="2"/>
  <c r="E22" i="2"/>
  <c r="E16" i="2"/>
  <c r="F16" i="2" s="1"/>
  <c r="E14" i="2"/>
  <c r="E13" i="2"/>
  <c r="Q37" i="1"/>
  <c r="E47" i="2" s="1"/>
  <c r="Q34" i="1"/>
  <c r="E44" i="2" s="1"/>
  <c r="Q42" i="1"/>
  <c r="Q14" i="1"/>
  <c r="Q13" i="1"/>
  <c r="Q15" i="1" s="1"/>
  <c r="Q10" i="1"/>
  <c r="Q7" i="1"/>
  <c r="Q9" i="1" s="1"/>
  <c r="Q11" i="1" s="1"/>
  <c r="C4" i="2"/>
  <c r="D16" i="2"/>
  <c r="D13" i="2"/>
  <c r="D14" i="2"/>
  <c r="E32" i="2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D22" i="2"/>
  <c r="D39" i="2" s="1"/>
  <c r="D27" i="2"/>
  <c r="D29" i="2"/>
  <c r="D48" i="2"/>
  <c r="C13" i="2"/>
  <c r="C14" i="2"/>
  <c r="C16" i="2"/>
  <c r="D49" i="2"/>
  <c r="D45" i="2"/>
  <c r="D32" i="2"/>
  <c r="B16" i="2"/>
  <c r="B13" i="2"/>
  <c r="B14" i="2"/>
  <c r="C22" i="2"/>
  <c r="C39" i="2" s="1"/>
  <c r="C27" i="2"/>
  <c r="C29" i="2"/>
  <c r="C48" i="2"/>
  <c r="C49" i="2"/>
  <c r="C45" i="2"/>
  <c r="C32" i="2"/>
  <c r="B32" i="2"/>
  <c r="B29" i="2"/>
  <c r="B27" i="2"/>
  <c r="B22" i="2"/>
  <c r="Q29" i="1"/>
  <c r="P29" i="1"/>
  <c r="O29" i="1"/>
  <c r="N29" i="1"/>
  <c r="M29" i="1"/>
  <c r="L29" i="1"/>
  <c r="K29" i="1"/>
  <c r="J29" i="1"/>
  <c r="I29" i="1"/>
  <c r="H29" i="1"/>
  <c r="G29" i="1"/>
  <c r="F29" i="1"/>
  <c r="Q50" i="1"/>
  <c r="F14" i="1"/>
  <c r="B14" i="1"/>
  <c r="B24" i="2" s="1"/>
  <c r="I34" i="1"/>
  <c r="C44" i="2" s="1"/>
  <c r="J37" i="1"/>
  <c r="J34" i="1"/>
  <c r="J33" i="1" s="1"/>
  <c r="G7" i="1"/>
  <c r="G9" i="1" s="1"/>
  <c r="G10" i="1"/>
  <c r="G13" i="1"/>
  <c r="G30" i="1" s="1"/>
  <c r="G14" i="1"/>
  <c r="G31" i="1" s="1"/>
  <c r="G15" i="1"/>
  <c r="H7" i="1"/>
  <c r="H10" i="1"/>
  <c r="H13" i="1"/>
  <c r="H14" i="1"/>
  <c r="I7" i="1"/>
  <c r="I9" i="1" s="1"/>
  <c r="I10" i="1"/>
  <c r="I13" i="1"/>
  <c r="I14" i="1"/>
  <c r="I15" i="1"/>
  <c r="J7" i="1"/>
  <c r="N51" i="1" s="1"/>
  <c r="J9" i="1"/>
  <c r="J10" i="1"/>
  <c r="J13" i="1"/>
  <c r="J14" i="1"/>
  <c r="J31" i="1" s="1"/>
  <c r="J41" i="1"/>
  <c r="J42" i="1"/>
  <c r="K37" i="1"/>
  <c r="K41" i="1" s="1"/>
  <c r="K34" i="1"/>
  <c r="K33" i="1" s="1"/>
  <c r="K7" i="1"/>
  <c r="K9" i="1"/>
  <c r="K10" i="1"/>
  <c r="K13" i="1"/>
  <c r="K14" i="1"/>
  <c r="K15" i="1"/>
  <c r="K42" i="1"/>
  <c r="F7" i="1"/>
  <c r="F9" i="1" s="1"/>
  <c r="F10" i="1"/>
  <c r="F13" i="1"/>
  <c r="I37" i="1"/>
  <c r="C47" i="2" s="1"/>
  <c r="I41" i="1"/>
  <c r="I42" i="1"/>
  <c r="L37" i="1"/>
  <c r="L34" i="1"/>
  <c r="L33" i="1" s="1"/>
  <c r="L7" i="1"/>
  <c r="L9" i="1" s="1"/>
  <c r="L10" i="1"/>
  <c r="L13" i="1"/>
  <c r="L30" i="1" s="1"/>
  <c r="L14" i="1"/>
  <c r="L31" i="1" s="1"/>
  <c r="L42" i="1"/>
  <c r="N7" i="1"/>
  <c r="N9" i="1" s="1"/>
  <c r="M7" i="1"/>
  <c r="M9" i="1" s="1"/>
  <c r="J51" i="1"/>
  <c r="E7" i="1"/>
  <c r="I51" i="1" s="1"/>
  <c r="D7" i="1"/>
  <c r="D9" i="1" s="1"/>
  <c r="D11" i="1" s="1"/>
  <c r="C7" i="1"/>
  <c r="C9" i="1" s="1"/>
  <c r="B7" i="1"/>
  <c r="B9" i="1" s="1"/>
  <c r="B11" i="1" s="1"/>
  <c r="N50" i="1"/>
  <c r="M50" i="1"/>
  <c r="L50" i="1"/>
  <c r="K50" i="1"/>
  <c r="J50" i="1"/>
  <c r="I50" i="1"/>
  <c r="H50" i="1"/>
  <c r="G50" i="1"/>
  <c r="F50" i="1"/>
  <c r="M10" i="1"/>
  <c r="M14" i="1"/>
  <c r="M13" i="1"/>
  <c r="Q30" i="1" s="1"/>
  <c r="N37" i="1"/>
  <c r="N41" i="1" s="1"/>
  <c r="N34" i="1"/>
  <c r="N33" i="1" s="1"/>
  <c r="N14" i="1"/>
  <c r="N31" i="1" s="1"/>
  <c r="N13" i="1"/>
  <c r="N10" i="1"/>
  <c r="N42" i="1"/>
  <c r="O50" i="1"/>
  <c r="O7" i="1"/>
  <c r="O9" i="1" s="1"/>
  <c r="O51" i="1"/>
  <c r="O37" i="1"/>
  <c r="O34" i="1"/>
  <c r="O33" i="1" s="1"/>
  <c r="O14" i="1"/>
  <c r="O13" i="1"/>
  <c r="O30" i="1" s="1"/>
  <c r="O10" i="1"/>
  <c r="O42" i="1"/>
  <c r="M37" i="1"/>
  <c r="D47" i="2" s="1"/>
  <c r="M34" i="1"/>
  <c r="D44" i="2" s="1"/>
  <c r="M42" i="1"/>
  <c r="P7" i="1"/>
  <c r="P9" i="1" s="1"/>
  <c r="P10" i="1"/>
  <c r="P13" i="1"/>
  <c r="P30" i="1" s="1"/>
  <c r="P14" i="1"/>
  <c r="T31" i="1" s="1"/>
  <c r="P37" i="1"/>
  <c r="P34" i="1"/>
  <c r="P33" i="1" s="1"/>
  <c r="P42" i="1"/>
  <c r="P50" i="1"/>
  <c r="E13" i="1"/>
  <c r="E14" i="1"/>
  <c r="E15" i="1" s="1"/>
  <c r="D13" i="1"/>
  <c r="H30" i="1" s="1"/>
  <c r="D14" i="1"/>
  <c r="C13" i="1"/>
  <c r="C14" i="1"/>
  <c r="B13" i="1"/>
  <c r="D10" i="1"/>
  <c r="B10" i="1"/>
  <c r="C10" i="1"/>
  <c r="E10" i="1"/>
  <c r="E12" i="2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F54" i="2" l="1"/>
  <c r="R34" i="2"/>
  <c r="S19" i="2"/>
  <c r="R20" i="2"/>
  <c r="R38" i="2"/>
  <c r="G66" i="2"/>
  <c r="F26" i="2"/>
  <c r="F28" i="2" s="1"/>
  <c r="V45" i="1"/>
  <c r="V46" i="1"/>
  <c r="V47" i="1"/>
  <c r="W46" i="1"/>
  <c r="W45" i="1"/>
  <c r="W47" i="1"/>
  <c r="X24" i="1"/>
  <c r="X16" i="1"/>
  <c r="T11" i="1"/>
  <c r="T24" i="1" s="1"/>
  <c r="X28" i="1"/>
  <c r="T28" i="1"/>
  <c r="W11" i="1"/>
  <c r="S11" i="1"/>
  <c r="S24" i="1" s="1"/>
  <c r="W15" i="1"/>
  <c r="D17" i="2"/>
  <c r="U33" i="1"/>
  <c r="L41" i="1"/>
  <c r="M15" i="1"/>
  <c r="S15" i="1"/>
  <c r="S16" i="1" s="1"/>
  <c r="P41" i="1"/>
  <c r="Q31" i="1"/>
  <c r="K51" i="1"/>
  <c r="B23" i="2"/>
  <c r="B25" i="2" s="1"/>
  <c r="C15" i="1"/>
  <c r="M33" i="1"/>
  <c r="L11" i="1"/>
  <c r="L24" i="1" s="1"/>
  <c r="D23" i="2"/>
  <c r="T15" i="1"/>
  <c r="T16" i="1" s="1"/>
  <c r="I31" i="1"/>
  <c r="M30" i="1"/>
  <c r="N15" i="1"/>
  <c r="D15" i="1"/>
  <c r="M41" i="1"/>
  <c r="T30" i="1"/>
  <c r="D19" i="2"/>
  <c r="C17" i="2"/>
  <c r="D60" i="2" s="1"/>
  <c r="D43" i="2"/>
  <c r="E43" i="2"/>
  <c r="E39" i="2"/>
  <c r="F59" i="2"/>
  <c r="E20" i="2"/>
  <c r="B15" i="1"/>
  <c r="K30" i="1"/>
  <c r="O41" i="1"/>
  <c r="E17" i="2"/>
  <c r="E19" i="2" s="1"/>
  <c r="D59" i="2"/>
  <c r="D52" i="2"/>
  <c r="D24" i="2"/>
  <c r="D25" i="2" s="1"/>
  <c r="F31" i="1"/>
  <c r="I30" i="1"/>
  <c r="K31" i="1"/>
  <c r="C23" i="2"/>
  <c r="D20" i="2"/>
  <c r="C43" i="2"/>
  <c r="N30" i="1"/>
  <c r="C11" i="1"/>
  <c r="C24" i="1" s="1"/>
  <c r="B17" i="2"/>
  <c r="B19" i="2" s="1"/>
  <c r="E59" i="2"/>
  <c r="Q33" i="1"/>
  <c r="C6" i="2" s="1"/>
  <c r="C7" i="2" s="1"/>
  <c r="H51" i="1"/>
  <c r="L51" i="1"/>
  <c r="C20" i="2"/>
  <c r="E23" i="2"/>
  <c r="F40" i="2" s="1"/>
  <c r="J30" i="1"/>
  <c r="J11" i="1"/>
  <c r="J24" i="1" s="1"/>
  <c r="P31" i="1"/>
  <c r="B20" i="2"/>
  <c r="G51" i="1"/>
  <c r="K11" i="1"/>
  <c r="K24" i="1" s="1"/>
  <c r="H31" i="1"/>
  <c r="O15" i="1"/>
  <c r="Q41" i="1"/>
  <c r="E51" i="2"/>
  <c r="P11" i="1"/>
  <c r="P28" i="1"/>
  <c r="G28" i="1"/>
  <c r="K28" i="1"/>
  <c r="G11" i="1"/>
  <c r="F28" i="1"/>
  <c r="J28" i="1"/>
  <c r="F11" i="1"/>
  <c r="Q16" i="1"/>
  <c r="Q24" i="1"/>
  <c r="C51" i="2"/>
  <c r="C16" i="1"/>
  <c r="I11" i="1"/>
  <c r="D24" i="1"/>
  <c r="D16" i="1"/>
  <c r="G22" i="2"/>
  <c r="F39" i="2"/>
  <c r="B16" i="1"/>
  <c r="L28" i="1"/>
  <c r="O28" i="1"/>
  <c r="O11" i="1"/>
  <c r="M28" i="1"/>
  <c r="M11" i="1"/>
  <c r="N28" i="1"/>
  <c r="N11" i="1"/>
  <c r="L15" i="1"/>
  <c r="L16" i="1" s="1"/>
  <c r="H9" i="1"/>
  <c r="M31" i="1"/>
  <c r="E24" i="2"/>
  <c r="D51" i="2"/>
  <c r="M51" i="1"/>
  <c r="Q51" i="1"/>
  <c r="O31" i="1"/>
  <c r="Q28" i="1"/>
  <c r="F30" i="1"/>
  <c r="C24" i="2"/>
  <c r="C41" i="2" s="1"/>
  <c r="F15" i="1"/>
  <c r="P51" i="1"/>
  <c r="B24" i="1"/>
  <c r="I33" i="1"/>
  <c r="F51" i="1"/>
  <c r="J15" i="1"/>
  <c r="P15" i="1"/>
  <c r="C52" i="2"/>
  <c r="C59" i="2"/>
  <c r="H15" i="1"/>
  <c r="E9" i="1"/>
  <c r="E11" i="1" s="1"/>
  <c r="S21" i="2" l="1"/>
  <c r="S38" i="2"/>
  <c r="T19" i="2"/>
  <c r="C19" i="2"/>
  <c r="C21" i="2" s="1"/>
  <c r="S18" i="1"/>
  <c r="S25" i="1"/>
  <c r="T25" i="1"/>
  <c r="T18" i="1"/>
  <c r="C60" i="2"/>
  <c r="W24" i="1"/>
  <c r="W16" i="1"/>
  <c r="K16" i="1"/>
  <c r="K25" i="1" s="1"/>
  <c r="D21" i="2"/>
  <c r="D34" i="2" s="1"/>
  <c r="C40" i="2"/>
  <c r="X25" i="1"/>
  <c r="X18" i="1"/>
  <c r="C25" i="2"/>
  <c r="D40" i="2"/>
  <c r="B21" i="2"/>
  <c r="B26" i="2" s="1"/>
  <c r="B35" i="2" s="1"/>
  <c r="E25" i="2"/>
  <c r="J16" i="1"/>
  <c r="D41" i="2"/>
  <c r="G23" i="2"/>
  <c r="E60" i="2"/>
  <c r="E40" i="2"/>
  <c r="J25" i="1"/>
  <c r="J18" i="1"/>
  <c r="E16" i="1"/>
  <c r="E24" i="1"/>
  <c r="G16" i="1"/>
  <c r="G24" i="1"/>
  <c r="Q18" i="1"/>
  <c r="Q25" i="1"/>
  <c r="F24" i="1"/>
  <c r="F16" i="1"/>
  <c r="B18" i="1"/>
  <c r="B25" i="1"/>
  <c r="L25" i="1"/>
  <c r="L18" i="1"/>
  <c r="H22" i="2"/>
  <c r="G39" i="2"/>
  <c r="C25" i="1"/>
  <c r="C18" i="1"/>
  <c r="P16" i="1"/>
  <c r="P24" i="1"/>
  <c r="E38" i="2"/>
  <c r="E21" i="2"/>
  <c r="E41" i="2"/>
  <c r="K18" i="1"/>
  <c r="H11" i="1"/>
  <c r="H28" i="1"/>
  <c r="I28" i="1"/>
  <c r="G40" i="2"/>
  <c r="H23" i="2"/>
  <c r="D18" i="1"/>
  <c r="D25" i="1"/>
  <c r="I24" i="1"/>
  <c r="I16" i="1"/>
  <c r="N16" i="1"/>
  <c r="N24" i="1"/>
  <c r="M24" i="1"/>
  <c r="M16" i="1"/>
  <c r="O24" i="1"/>
  <c r="O16" i="1"/>
  <c r="F60" i="2"/>
  <c r="S34" i="2" l="1"/>
  <c r="T21" i="2"/>
  <c r="T38" i="2"/>
  <c r="T20" i="2"/>
  <c r="U19" i="2"/>
  <c r="S20" i="2"/>
  <c r="D38" i="2"/>
  <c r="C38" i="2"/>
  <c r="W25" i="1"/>
  <c r="W18" i="1"/>
  <c r="X26" i="1"/>
  <c r="X20" i="1"/>
  <c r="X21" i="1" s="1"/>
  <c r="T26" i="1"/>
  <c r="T20" i="1"/>
  <c r="T21" i="1" s="1"/>
  <c r="B34" i="2"/>
  <c r="D26" i="2"/>
  <c r="S20" i="1"/>
  <c r="S21" i="1" s="1"/>
  <c r="S26" i="1"/>
  <c r="B20" i="1"/>
  <c r="B21" i="1" s="1"/>
  <c r="B26" i="1"/>
  <c r="Q20" i="1"/>
  <c r="Q26" i="1"/>
  <c r="I22" i="2"/>
  <c r="H39" i="2"/>
  <c r="I18" i="1"/>
  <c r="I25" i="1"/>
  <c r="D20" i="1"/>
  <c r="D21" i="1" s="1"/>
  <c r="D26" i="1"/>
  <c r="N25" i="1"/>
  <c r="N18" i="1"/>
  <c r="F41" i="2"/>
  <c r="G24" i="2"/>
  <c r="L20" i="1"/>
  <c r="L26" i="1"/>
  <c r="G25" i="1"/>
  <c r="G18" i="1"/>
  <c r="P25" i="1"/>
  <c r="P18" i="1"/>
  <c r="E18" i="1"/>
  <c r="E25" i="1"/>
  <c r="H16" i="1"/>
  <c r="H24" i="1"/>
  <c r="J26" i="1"/>
  <c r="J20" i="1"/>
  <c r="F25" i="1"/>
  <c r="F18" i="1"/>
  <c r="E26" i="2"/>
  <c r="E34" i="2"/>
  <c r="C34" i="2"/>
  <c r="C26" i="2"/>
  <c r="F38" i="2"/>
  <c r="I23" i="2"/>
  <c r="H40" i="2"/>
  <c r="O25" i="1"/>
  <c r="O18" i="1"/>
  <c r="C26" i="1"/>
  <c r="C20" i="1"/>
  <c r="C21" i="1" s="1"/>
  <c r="M25" i="1"/>
  <c r="M18" i="1"/>
  <c r="K26" i="1"/>
  <c r="K20" i="1"/>
  <c r="U38" i="2" l="1"/>
  <c r="V19" i="2"/>
  <c r="T34" i="2"/>
  <c r="U21" i="2" s="1"/>
  <c r="Q21" i="1"/>
  <c r="U44" i="1"/>
  <c r="D28" i="2"/>
  <c r="D35" i="2"/>
  <c r="W26" i="1"/>
  <c r="W20" i="1"/>
  <c r="J21" i="1"/>
  <c r="G41" i="2"/>
  <c r="H24" i="2"/>
  <c r="G25" i="2"/>
  <c r="J23" i="2"/>
  <c r="I40" i="2"/>
  <c r="N26" i="1"/>
  <c r="N20" i="1"/>
  <c r="H18" i="1"/>
  <c r="H25" i="1"/>
  <c r="C35" i="2"/>
  <c r="C28" i="2"/>
  <c r="E26" i="1"/>
  <c r="E20" i="1"/>
  <c r="E21" i="1" s="1"/>
  <c r="P26" i="1"/>
  <c r="P20" i="1"/>
  <c r="P21" i="1" s="1"/>
  <c r="I20" i="1"/>
  <c r="I26" i="1"/>
  <c r="K21" i="1"/>
  <c r="E28" i="2"/>
  <c r="E35" i="2"/>
  <c r="F26" i="1"/>
  <c r="F20" i="1"/>
  <c r="M20" i="1"/>
  <c r="M26" i="1"/>
  <c r="I39" i="2"/>
  <c r="J22" i="2"/>
  <c r="G26" i="1"/>
  <c r="G20" i="1"/>
  <c r="O26" i="1"/>
  <c r="O20" i="1"/>
  <c r="O21" i="1" s="1"/>
  <c r="L21" i="1"/>
  <c r="B28" i="2"/>
  <c r="U34" i="2" l="1"/>
  <c r="V21" i="2" s="1"/>
  <c r="U20" i="2"/>
  <c r="V38" i="2"/>
  <c r="U48" i="1"/>
  <c r="U45" i="1"/>
  <c r="U46" i="1"/>
  <c r="U47" i="1"/>
  <c r="W21" i="1"/>
  <c r="X44" i="1"/>
  <c r="D36" i="2"/>
  <c r="D30" i="2"/>
  <c r="F34" i="2"/>
  <c r="M21" i="1"/>
  <c r="P44" i="1"/>
  <c r="C30" i="2"/>
  <c r="C36" i="2"/>
  <c r="F35" i="2"/>
  <c r="G21" i="1"/>
  <c r="E30" i="2"/>
  <c r="E36" i="2"/>
  <c r="N44" i="1"/>
  <c r="N21" i="1"/>
  <c r="Q44" i="1"/>
  <c r="J39" i="2"/>
  <c r="J40" i="2"/>
  <c r="B30" i="2"/>
  <c r="B31" i="2" s="1"/>
  <c r="B36" i="2"/>
  <c r="L44" i="1"/>
  <c r="I21" i="1"/>
  <c r="I24" i="2"/>
  <c r="H41" i="2"/>
  <c r="H25" i="2"/>
  <c r="O44" i="1"/>
  <c r="H20" i="1"/>
  <c r="H26" i="1"/>
  <c r="M44" i="1"/>
  <c r="F21" i="1"/>
  <c r="V34" i="2" l="1"/>
  <c r="V20" i="2"/>
  <c r="D55" i="2"/>
  <c r="D31" i="2"/>
  <c r="D57" i="2"/>
  <c r="D54" i="2"/>
  <c r="D56" i="2"/>
  <c r="X45" i="1"/>
  <c r="X46" i="1"/>
  <c r="X47" i="1"/>
  <c r="X48" i="1"/>
  <c r="M48" i="1"/>
  <c r="M47" i="1"/>
  <c r="M46" i="1"/>
  <c r="M45" i="1"/>
  <c r="K39" i="2"/>
  <c r="H21" i="1"/>
  <c r="K44" i="1"/>
  <c r="O48" i="1"/>
  <c r="O45" i="1"/>
  <c r="O47" i="1"/>
  <c r="O46" i="1"/>
  <c r="J44" i="1"/>
  <c r="J24" i="2"/>
  <c r="I41" i="2"/>
  <c r="I25" i="2"/>
  <c r="F36" i="2"/>
  <c r="P46" i="1"/>
  <c r="P45" i="1"/>
  <c r="P47" i="1"/>
  <c r="P48" i="1"/>
  <c r="Q48" i="1"/>
  <c r="Q45" i="1"/>
  <c r="Q47" i="1"/>
  <c r="Q46" i="1"/>
  <c r="N47" i="1"/>
  <c r="N46" i="1"/>
  <c r="N48" i="1"/>
  <c r="N45" i="1"/>
  <c r="E54" i="2"/>
  <c r="E55" i="2"/>
  <c r="E56" i="2"/>
  <c r="E31" i="2"/>
  <c r="E57" i="2"/>
  <c r="I38" i="2"/>
  <c r="L48" i="1"/>
  <c r="L47" i="1"/>
  <c r="L46" i="1"/>
  <c r="L45" i="1"/>
  <c r="C57" i="2"/>
  <c r="C31" i="2"/>
  <c r="C56" i="2"/>
  <c r="C55" i="2"/>
  <c r="C54" i="2"/>
  <c r="I44" i="1"/>
  <c r="L23" i="2"/>
  <c r="K40" i="2"/>
  <c r="F30" i="2" l="1"/>
  <c r="L40" i="2"/>
  <c r="I48" i="1"/>
  <c r="I47" i="1"/>
  <c r="I46" i="1"/>
  <c r="I45" i="1"/>
  <c r="K47" i="1"/>
  <c r="K46" i="1"/>
  <c r="K45" i="1"/>
  <c r="K48" i="1"/>
  <c r="J38" i="2"/>
  <c r="K68" i="2"/>
  <c r="L39" i="2"/>
  <c r="J41" i="2"/>
  <c r="J25" i="2"/>
  <c r="J45" i="1"/>
  <c r="J47" i="1"/>
  <c r="J46" i="1"/>
  <c r="J48" i="1"/>
  <c r="G27" i="2" l="1"/>
  <c r="F31" i="2"/>
  <c r="M39" i="2"/>
  <c r="K38" i="2"/>
  <c r="L24" i="2"/>
  <c r="K41" i="2"/>
  <c r="K25" i="2"/>
  <c r="M40" i="2"/>
  <c r="L41" i="2" l="1"/>
  <c r="L25" i="2"/>
  <c r="L38" i="2"/>
  <c r="N39" i="2"/>
  <c r="N40" i="2"/>
  <c r="O40" i="2" l="1"/>
  <c r="O39" i="2"/>
  <c r="M38" i="2"/>
  <c r="M41" i="2"/>
  <c r="M25" i="2"/>
  <c r="N41" i="2" l="1"/>
  <c r="N25" i="2"/>
  <c r="N38" i="2"/>
  <c r="P39" i="2"/>
  <c r="P40" i="2"/>
  <c r="Q40" i="2" l="1"/>
  <c r="R39" i="2"/>
  <c r="Q39" i="2"/>
  <c r="O38" i="2"/>
  <c r="O41" i="2"/>
  <c r="O25" i="2"/>
  <c r="S39" i="2" l="1"/>
  <c r="R40" i="2"/>
  <c r="P38" i="2"/>
  <c r="P41" i="2"/>
  <c r="P25" i="2"/>
  <c r="R41" i="2" l="1"/>
  <c r="R25" i="2"/>
  <c r="R26" i="2" s="1"/>
  <c r="S40" i="2"/>
  <c r="S25" i="2"/>
  <c r="S26" i="2" s="1"/>
  <c r="S35" i="2" s="1"/>
  <c r="T39" i="2"/>
  <c r="Q41" i="2"/>
  <c r="Q25" i="2"/>
  <c r="Q38" i="2"/>
  <c r="U39" i="2" l="1"/>
  <c r="T40" i="2"/>
  <c r="R35" i="2"/>
  <c r="S41" i="2"/>
  <c r="T41" i="2" l="1"/>
  <c r="T25" i="2"/>
  <c r="T26" i="2" s="1"/>
  <c r="T35" i="2" s="1"/>
  <c r="V40" i="2"/>
  <c r="U40" i="2"/>
  <c r="U25" i="2"/>
  <c r="U26" i="2" s="1"/>
  <c r="U35" i="2" s="1"/>
  <c r="V39" i="2"/>
  <c r="U41" i="2" l="1"/>
  <c r="V41" i="2" l="1"/>
  <c r="V25" i="2"/>
  <c r="V26" i="2" s="1"/>
  <c r="V35" i="2" s="1"/>
  <c r="H38" i="2" l="1"/>
  <c r="G21" i="2"/>
  <c r="G34" i="2" s="1"/>
  <c r="H21" i="2" s="1"/>
  <c r="G26" i="2" l="1"/>
  <c r="H26" i="2"/>
  <c r="H20" i="2"/>
  <c r="H34" i="2"/>
  <c r="I21" i="2" s="1"/>
  <c r="G20" i="2"/>
  <c r="G35" i="2" l="1"/>
  <c r="G28" i="2"/>
  <c r="I26" i="2"/>
  <c r="I34" i="2"/>
  <c r="J21" i="2" s="1"/>
  <c r="I20" i="2"/>
  <c r="H35" i="2"/>
  <c r="G29" i="2" l="1"/>
  <c r="G36" i="2" s="1"/>
  <c r="G30" i="2"/>
  <c r="J34" i="2"/>
  <c r="K21" i="2" s="1"/>
  <c r="J26" i="2"/>
  <c r="J20" i="2"/>
  <c r="I35" i="2"/>
  <c r="G31" i="2" l="1"/>
  <c r="G43" i="2"/>
  <c r="H27" i="2" s="1"/>
  <c r="H28" i="2" s="1"/>
  <c r="K26" i="2"/>
  <c r="K20" i="2"/>
  <c r="K34" i="2"/>
  <c r="L21" i="2" s="1"/>
  <c r="J35" i="2"/>
  <c r="H29" i="2"/>
  <c r="H36" i="2" s="1"/>
  <c r="H30" i="2" l="1"/>
  <c r="H31" i="2"/>
  <c r="H43" i="2"/>
  <c r="L34" i="2"/>
  <c r="M21" i="2" s="1"/>
  <c r="L26" i="2"/>
  <c r="L20" i="2"/>
  <c r="K35" i="2"/>
  <c r="L35" i="2" l="1"/>
  <c r="M20" i="2"/>
  <c r="M26" i="2"/>
  <c r="M34" i="2"/>
  <c r="N21" i="2" s="1"/>
  <c r="I27" i="2"/>
  <c r="I28" i="2" s="1"/>
  <c r="I29" i="2" l="1"/>
  <c r="I36" i="2" s="1"/>
  <c r="N34" i="2"/>
  <c r="O21" i="2" s="1"/>
  <c r="N20" i="2"/>
  <c r="N26" i="2"/>
  <c r="M35" i="2"/>
  <c r="O20" i="2" l="1"/>
  <c r="O26" i="2"/>
  <c r="O34" i="2"/>
  <c r="P21" i="2" s="1"/>
  <c r="N35" i="2"/>
  <c r="I30" i="2"/>
  <c r="I31" i="2" l="1"/>
  <c r="I43" i="2"/>
  <c r="P26" i="2"/>
  <c r="P20" i="2"/>
  <c r="P34" i="2"/>
  <c r="Q21" i="2" s="1"/>
  <c r="O35" i="2"/>
  <c r="Q26" i="2" l="1"/>
  <c r="Q34" i="2"/>
  <c r="Q20" i="2"/>
  <c r="J27" i="2"/>
  <c r="J28" i="2" s="1"/>
  <c r="P35" i="2"/>
  <c r="J29" i="2" l="1"/>
  <c r="J36" i="2" s="1"/>
  <c r="Q35" i="2"/>
  <c r="J30" i="2" l="1"/>
  <c r="J31" i="2" l="1"/>
  <c r="J43" i="2"/>
  <c r="K27" i="2" l="1"/>
  <c r="K28" i="2" s="1"/>
  <c r="K29" i="2" l="1"/>
  <c r="K36" i="2" s="1"/>
  <c r="K30" i="2" l="1"/>
  <c r="K31" i="2" l="1"/>
  <c r="K43" i="2"/>
  <c r="L27" i="2" l="1"/>
  <c r="L28" i="2" s="1"/>
  <c r="L29" i="2" l="1"/>
  <c r="L36" i="2" s="1"/>
  <c r="L30" i="2"/>
  <c r="L31" i="2" l="1"/>
  <c r="L43" i="2"/>
  <c r="M27" i="2" l="1"/>
  <c r="M28" i="2" s="1"/>
  <c r="M29" i="2" l="1"/>
  <c r="M36" i="2" s="1"/>
  <c r="M30" i="2"/>
  <c r="M31" i="2" l="1"/>
  <c r="M43" i="2"/>
  <c r="N27" i="2" l="1"/>
  <c r="N28" i="2" s="1"/>
  <c r="N29" i="2" l="1"/>
  <c r="N36" i="2" s="1"/>
  <c r="N30" i="2"/>
  <c r="N31" i="2" l="1"/>
  <c r="N43" i="2"/>
  <c r="O27" i="2" l="1"/>
  <c r="O28" i="2" s="1"/>
  <c r="O29" i="2" l="1"/>
  <c r="O36" i="2" s="1"/>
  <c r="O30" i="2" l="1"/>
  <c r="O31" i="2" l="1"/>
  <c r="O43" i="2"/>
  <c r="P27" i="2" l="1"/>
  <c r="P28" i="2" s="1"/>
  <c r="P29" i="2" l="1"/>
  <c r="P36" i="2" s="1"/>
  <c r="P30" i="2" l="1"/>
  <c r="P31" i="2" l="1"/>
  <c r="P43" i="2"/>
  <c r="Q27" i="2" l="1"/>
  <c r="Q28" i="2" s="1"/>
  <c r="Q29" i="2" l="1"/>
  <c r="Q36" i="2" s="1"/>
  <c r="Q30" i="2" l="1"/>
  <c r="Q31" i="2" l="1"/>
  <c r="Q43" i="2"/>
  <c r="R27" i="2" l="1"/>
  <c r="R28" i="2" s="1"/>
  <c r="R29" i="2" l="1"/>
  <c r="R36" i="2" s="1"/>
  <c r="R30" i="2"/>
  <c r="R31" i="2" l="1"/>
  <c r="R43" i="2"/>
  <c r="S27" i="2" l="1"/>
  <c r="S28" i="2" s="1"/>
  <c r="S29" i="2" l="1"/>
  <c r="S36" i="2" s="1"/>
  <c r="S30" i="2"/>
  <c r="S31" i="2" l="1"/>
  <c r="S43" i="2"/>
  <c r="T27" i="2" l="1"/>
  <c r="T28" i="2" s="1"/>
  <c r="T29" i="2" l="1"/>
  <c r="T36" i="2" s="1"/>
  <c r="T30" i="2"/>
  <c r="T31" i="2" l="1"/>
  <c r="T43" i="2"/>
  <c r="U27" i="2" l="1"/>
  <c r="U28" i="2" s="1"/>
  <c r="U29" i="2" l="1"/>
  <c r="U36" i="2" s="1"/>
  <c r="U30" i="2"/>
  <c r="U31" i="2" l="1"/>
  <c r="U43" i="2"/>
  <c r="V27" i="2" l="1"/>
  <c r="V28" i="2" s="1"/>
  <c r="V29" i="2" l="1"/>
  <c r="V36" i="2" s="1"/>
  <c r="V30" i="2"/>
  <c r="V31" i="2" l="1"/>
  <c r="W30" i="2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BP30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CG30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X30" i="2" s="1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DI30" i="2" s="1"/>
  <c r="DJ30" i="2" s="1"/>
  <c r="DK30" i="2" s="1"/>
  <c r="DL30" i="2" s="1"/>
  <c r="DM30" i="2" s="1"/>
  <c r="DN30" i="2" s="1"/>
  <c r="DO30" i="2" s="1"/>
  <c r="DP30" i="2" s="1"/>
  <c r="DQ30" i="2" s="1"/>
  <c r="DR30" i="2" s="1"/>
  <c r="V43" i="2"/>
  <c r="F5" i="2" l="1"/>
  <c r="F6" i="2" s="1"/>
  <c r="F7" i="2" s="1"/>
  <c r="G7" i="2" s="1"/>
</calcChain>
</file>

<file path=xl/sharedStrings.xml><?xml version="1.0" encoding="utf-8"?>
<sst xmlns="http://schemas.openxmlformats.org/spreadsheetml/2006/main" count="157" uniqueCount="108">
  <si>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</si>
  <si>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</si>
  <si>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</si>
  <si>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</si>
  <si>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</si>
  <si>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</si>
  <si>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</si>
  <si>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</si>
  <si>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</si>
  <si>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</si>
  <si>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</si>
  <si>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</si>
  <si>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</si>
  <si>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</si>
  <si>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</si>
  <si>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</si>
  <si>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</si>
  <si>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</si>
  <si>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</si>
  <si>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</si>
  <si>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</si>
  <si>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</si>
  <si>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</si>
  <si>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</si>
  <si>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</si>
  <si>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</si>
  <si>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30/9/2017</t>
  </si>
  <si>
    <t>30/9/2016</t>
  </si>
  <si>
    <t>30/6/2016</t>
  </si>
  <si>
    <t>31/3/2016</t>
  </si>
  <si>
    <t>30/6/2017</t>
  </si>
  <si>
    <t>31/3/2017</t>
  </si>
  <si>
    <t>31/12/2016</t>
  </si>
  <si>
    <t>Net Cash</t>
  </si>
  <si>
    <t>Cash</t>
  </si>
  <si>
    <t>Debt</t>
  </si>
  <si>
    <t>31/12/2017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</si>
  <si>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</si>
  <si>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</si>
  <si>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</si>
  <si>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</si>
  <si>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</si>
  <si>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</si>
  <si>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</si>
  <si>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</si>
  <si>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</si>
  <si>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31/3/2018</t>
  </si>
  <si>
    <t>30/6/2018</t>
  </si>
  <si>
    <t>30/9/2018</t>
  </si>
  <si>
    <t>31/12/2018</t>
  </si>
  <si>
    <t>Q115</t>
  </si>
  <si>
    <t>Q215</t>
  </si>
  <si>
    <t>Q315</t>
  </si>
  <si>
    <t>Q415</t>
  </si>
  <si>
    <t>31/3/2015</t>
  </si>
  <si>
    <t>30/6/2015</t>
  </si>
  <si>
    <t>30/9/2015</t>
  </si>
  <si>
    <t>31/12/2015</t>
  </si>
  <si>
    <t>Transactions</t>
  </si>
  <si>
    <t>Active accounts</t>
  </si>
  <si>
    <t>TPV</t>
  </si>
  <si>
    <t>Transaction fees</t>
  </si>
  <si>
    <t>Other services</t>
  </si>
  <si>
    <t>Investor Relations</t>
  </si>
  <si>
    <t>Price</t>
  </si>
  <si>
    <t>CEO</t>
  </si>
  <si>
    <t>Expected return on invested capital (innovation grade)</t>
  </si>
  <si>
    <t>Market Cap</t>
  </si>
  <si>
    <t>Founder</t>
  </si>
  <si>
    <t>EV</t>
  </si>
  <si>
    <t>per share</t>
  </si>
  <si>
    <t>PayPal Holdings Inc (PYPL)</t>
  </si>
  <si>
    <t>Elon Musk</t>
  </si>
  <si>
    <t>Peter Thiel</t>
  </si>
  <si>
    <t>Max Levchin</t>
  </si>
  <si>
    <t>Ken Howery</t>
  </si>
  <si>
    <t>Luke Nosek</t>
  </si>
  <si>
    <t>Dan Schulman</t>
  </si>
  <si>
    <t>ARPU</t>
  </si>
  <si>
    <t>R&amp;D y/y</t>
  </si>
  <si>
    <t>S&amp;M y/y</t>
  </si>
  <si>
    <t>G&amp;A y/y</t>
  </si>
  <si>
    <t>Intangibles</t>
  </si>
  <si>
    <t>Total assets</t>
  </si>
  <si>
    <t>Total liabilities</t>
  </si>
  <si>
    <t>TWC</t>
  </si>
  <si>
    <t>Equity</t>
  </si>
  <si>
    <t>ROE</t>
  </si>
  <si>
    <t>ROA</t>
  </si>
  <si>
    <t>ROTB</t>
  </si>
  <si>
    <t>ROTWC</t>
  </si>
  <si>
    <t>ARPU y/y</t>
  </si>
  <si>
    <t>NI 12M</t>
  </si>
  <si>
    <t>EDGAR</t>
  </si>
  <si>
    <t>Active accounts y/y</t>
  </si>
  <si>
    <t>Q119</t>
  </si>
  <si>
    <t>Q219</t>
  </si>
  <si>
    <t>Q319</t>
  </si>
  <si>
    <t>Q419</t>
  </si>
  <si>
    <t>Q120</t>
  </si>
  <si>
    <t>Q220</t>
  </si>
  <si>
    <t>Q320</t>
  </si>
  <si>
    <t>Q420</t>
  </si>
  <si>
    <t>Transactions y/y</t>
  </si>
  <si>
    <t>TPV y/y</t>
  </si>
  <si>
    <t>R/TPV</t>
  </si>
  <si>
    <t>Risk-free rate + market premium (opportunity cost)</t>
  </si>
  <si>
    <t>Net present value of net income (terminal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</si>
</sst>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6">
    <xf numFmtId="0" fontId="0" fillId="0" borderId="0" xfId="0"/>
    <xf numFmtId="0" fontId="5" fillId="0" borderId="0" xfId="4" applyFont="1" applyBorder="1"/>
    <xf numFmtId="0" fontId="6" fillId="0" borderId="0" xfId="0" applyFont="1"/>
    <xf numFmtId="0" fontId="7" fillId="0" borderId="0" xfId="0" applyFont="1"/>
    <xf numFmtId="4" fontId="7" fillId="0" borderId="0" xfId="0" applyNumberFormat="1" applyFont="1" applyBorder="1"/>
    <xf numFmtId="0" fontId="7" fillId="0" borderId="0" xfId="0" applyFont="1" applyBorder="1"/>
    <xf numFmtId="10" fontId="7" fillId="0" borderId="0" xfId="0" applyNumberFormat="1" applyFont="1"/>
    <xf numFmtId="3" fontId="7" fillId="0" borderId="0" xfId="0" applyNumberFormat="1" applyFont="1" applyBorder="1"/>
    <xf numFmtId="0" fontId="8" fillId="0" borderId="0" xfId="0" applyFont="1"/>
    <xf numFmtId="0" fontId="5" fillId="0" borderId="0" xfId="4" applyFont="1"/>
    <xf numFmtId="3" fontId="7" fillId="2" borderId="0" xfId="0" applyNumberFormat="1" applyFont="1" applyFill="1" applyBorder="1"/>
    <xf numFmtId="164" fontId="7" fillId="2" borderId="0" xfId="0" applyNumberFormat="1" applyFont="1" applyFill="1"/>
    <xf numFmtId="0" fontId="6" fillId="0" borderId="0" xfId="0" applyFont="1" applyBorder="1"/>
    <xf numFmtId="164" fontId="6" fillId="2" borderId="0" xfId="0" applyNumberFormat="1" applyFont="1" applyFill="1"/>
    <xf numFmtId="4" fontId="7" fillId="2" borderId="0" xfId="0" applyNumberFormat="1" applyFont="1" applyFill="1" applyBorder="1"/>
    <xf numFmtId="0" fontId="8" fillId="0" borderId="0" xfId="0" applyFont="1" applyBorder="1"/>
    <xf numFmtId="4" fontId="7" fillId="2" borderId="0" xfId="0" applyNumberFormat="1" applyFont="1" applyFill="1"/>
    <xf numFmtId="9" fontId="7" fillId="0" borderId="0" xfId="0" applyNumberFormat="1" applyFont="1"/>
    <xf numFmtId="164" fontId="7" fillId="0" borderId="0" xfId="0" applyNumberFormat="1" applyFont="1"/>
    <xf numFmtId="3" fontId="6" fillId="0" borderId="0" xfId="0" applyNumberFormat="1" applyFont="1" applyBorder="1"/>
    <xf numFmtId="2" fontId="7" fillId="0" borderId="0" xfId="0" applyNumberFormat="1" applyFont="1" applyBorder="1"/>
    <xf numFmtId="9" fontId="6" fillId="0" borderId="0" xfId="1" applyFont="1" applyBorder="1"/>
    <xf numFmtId="9" fontId="7" fillId="0" borderId="0" xfId="0" applyNumberFormat="1" applyFont="1" applyBorder="1"/>
    <xf numFmtId="9" fontId="7" fillId="0" borderId="0" xfId="1" applyFont="1" applyBorder="1"/>
    <xf numFmtId="3" fontId="6" fillId="2" borderId="0" xfId="0" applyNumberFormat="1" applyFont="1" applyFill="1" applyBorder="1"/>
    <xf numFmtId="2" fontId="7" fillId="2" borderId="0" xfId="0" applyNumberFormat="1" applyFont="1" applyFill="1" applyBorder="1"/>
    <xf numFmtId="0" fontId="7" fillId="0" borderId="0" xfId="0" applyFont="1" applyFill="1" applyBorder="1"/>
    <xf numFmtId="3" fontId="7" fillId="0" borderId="0" xfId="0" applyNumberFormat="1" applyFont="1"/>
    <xf numFmtId="3" fontId="7" fillId="0" borderId="1" xfId="0" applyNumberFormat="1" applyFont="1" applyBorder="1"/>
    <xf numFmtId="0" fontId="7" fillId="0" borderId="1" xfId="0" applyFont="1" applyBorder="1"/>
    <xf numFmtId="3" fontId="7" fillId="2" borderId="0" xfId="0" applyNumberFormat="1" applyFont="1" applyFill="1"/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3" fontId="7" fillId="0" borderId="1" xfId="0" applyNumberFormat="1" applyFont="1" applyBorder="1" applyAlignment="1">
      <alignment horizontal="right"/>
    </xf>
    <xf numFmtId="3" fontId="7" fillId="0" borderId="0" xfId="0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7" fillId="2" borderId="0" xfId="0" applyNumberFormat="1" applyFont="1" applyFill="1" applyBorder="1" applyAlignment="1">
      <alignment horizontal="right"/>
    </xf>
    <xf numFmtId="3" fontId="7" fillId="2" borderId="1" xfId="0" applyNumberFormat="1" applyFont="1" applyFill="1" applyBorder="1" applyAlignment="1">
      <alignment horizontal="right"/>
    </xf>
    <xf numFmtId="3" fontId="7" fillId="2" borderId="0" xfId="0" applyNumberFormat="1" applyFont="1" applyFill="1" applyAlignment="1">
      <alignment horizontal="right"/>
    </xf>
    <xf numFmtId="2" fontId="7" fillId="2" borderId="0" xfId="0" applyNumberFormat="1" applyFont="1" applyFill="1" applyBorder="1" applyAlignment="1">
      <alignment horizontal="right"/>
    </xf>
    <xf numFmtId="2" fontId="7" fillId="2" borderId="1" xfId="0" applyNumberFormat="1" applyFont="1" applyFill="1" applyBorder="1" applyAlignment="1">
      <alignment horizontal="right"/>
    </xf>
    <xf numFmtId="2" fontId="7" fillId="2" borderId="0" xfId="0" applyNumberFormat="1" applyFont="1" applyFill="1" applyAlignment="1">
      <alignment horizontal="right"/>
    </xf>
    <xf numFmtId="9" fontId="7" fillId="0" borderId="0" xfId="0" applyNumberFormat="1" applyFont="1" applyBorder="1" applyAlignment="1">
      <alignment horizontal="right"/>
    </xf>
    <xf numFmtId="9" fontId="7" fillId="0" borderId="1" xfId="0" applyNumberFormat="1" applyFont="1" applyBorder="1" applyAlignment="1">
      <alignment horizontal="right"/>
    </xf>
    <xf numFmtId="9" fontId="7" fillId="0" borderId="0" xfId="0" applyNumberFormat="1" applyFont="1" applyAlignment="1">
      <alignment horizontal="right"/>
    </xf>
    <xf numFmtId="9" fontId="7" fillId="0" borderId="0" xfId="1" applyFont="1" applyBorder="1" applyAlignment="1">
      <alignment horizontal="right"/>
    </xf>
    <xf numFmtId="9" fontId="7" fillId="0" borderId="1" xfId="1" applyFont="1" applyBorder="1" applyAlignment="1">
      <alignment horizontal="right"/>
    </xf>
    <xf numFmtId="9" fontId="7" fillId="0" borderId="0" xfId="1" applyFont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7" fillId="0" borderId="0" xfId="1" applyNumberFormat="1" applyFont="1" applyBorder="1" applyAlignment="1">
      <alignment horizontal="right"/>
    </xf>
    <xf numFmtId="9" fontId="7" fillId="0" borderId="1" xfId="1" applyNumberFormat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4" fontId="7" fillId="0" borderId="0" xfId="0" applyNumberFormat="1" applyFont="1"/>
    <xf numFmtId="4" fontId="7" fillId="2" borderId="0" xfId="0" applyNumberFormat="1" applyFont="1" applyFill="1" applyBorder="1" applyAlignment="1">
      <alignment horizontal="right"/>
    </xf>
    <xf numFmtId="4" fontId="7" fillId="2" borderId="1" xfId="0" applyNumberFormat="1" applyFont="1" applyFill="1" applyBorder="1" applyAlignment="1">
      <alignment horizontal="right"/>
    </xf>
    <xf numFmtId="3" fontId="7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3" fontId="7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9" fontId="6" fillId="0" borderId="0" xfId="1" applyNumberFormat="1" applyFont="1" applyFill="1" applyBorder="1" applyAlignment="1">
      <alignment horizontal="right"/>
    </xf>
    <xf numFmtId="9" fontId="7" fillId="0" borderId="0" xfId="1" applyNumberFormat="1" applyFont="1" applyFill="1" applyBorder="1" applyAlignment="1">
      <alignment horizontal="right"/>
    </xf>
    <xf numFmtId="9" fontId="7" fillId="0" borderId="0" xfId="0" applyNumberFormat="1" applyFont="1" applyFill="1" applyAlignment="1">
      <alignment horizontal="right"/>
    </xf>
    <xf numFmtId="3" fontId="6" fillId="0" borderId="0" xfId="0" applyNumberFormat="1" applyFont="1"/>
    <xf numFmtId="0" fontId="5" fillId="0" borderId="0" xfId="4" applyFont="1" applyAlignment="1">
      <alignment horizontal="left"/>
    </xf>
    <xf numFmtId="0" fontId="7" fillId="0" borderId="0" xfId="0" applyFont="1" applyAlignment="1">
      <alignment horizontal="left"/>
    </xf>
    <xf numFmtId="4" fontId="7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Border="1" applyAlignment="1">
      <alignment horizontal="left"/>
    </xf>
    <xf numFmtId="9" fontId="7" fillId="0" borderId="0" xfId="0" applyNumberFormat="1" applyFont="1" applyFill="1" applyBorder="1" applyAlignment="1">
      <alignment horizontal="left"/>
    </xf>
    <xf numFmtId="3" fontId="7" fillId="0" borderId="0" xfId="0" applyNumberFormat="1" applyFont="1" applyAlignment="1">
      <alignment horizontal="left"/>
    </xf>
    <xf numFmtId="14" fontId="7" fillId="0" borderId="0" xfId="0" applyNumberFormat="1" applyFont="1" applyAlignment="1">
      <alignment horizontal="right"/>
    </xf>
    <xf numFmtId="14" fontId="7" fillId="0" borderId="1" xfId="0" applyNumberFormat="1" applyFont="1" applyBorder="1" applyAlignment="1">
      <alignment horizontal="right"/>
    </xf>
    <xf numFmtId="3" fontId="6" fillId="0" borderId="0" xfId="0" applyNumberFormat="1" applyFont="1" applyAlignment="1">
      <alignment horizontal="left"/>
    </xf>
    <xf numFmtId="3" fontId="7" fillId="0" borderId="0" xfId="0" applyNumberFormat="1" applyFont="1" applyFill="1" applyBorder="1" applyAlignment="1">
      <alignment horizontal="left"/>
    </xf>
    <xf numFmtId="3" fontId="7" fillId="0" borderId="0" xfId="0" applyNumberFormat="1" applyFont="1" applyBorder="1" applyAlignment="1">
      <alignment horizontal="left"/>
    </xf>
    <xf numFmtId="3" fontId="6" fillId="0" borderId="0" xfId="0" applyNumberFormat="1" applyFont="1" applyFill="1" applyBorder="1" applyAlignment="1">
      <alignment horizontal="left"/>
    </xf>
    <xf numFmtId="9" fontId="7" fillId="0" borderId="0" xfId="0" applyNumberFormat="1" applyFont="1" applyAlignment="1">
      <alignment horizontal="left"/>
    </xf>
    <xf numFmtId="14" fontId="7" fillId="0" borderId="0" xfId="0" applyNumberFormat="1" applyFont="1" applyAlignment="1">
      <alignment horizontal="left"/>
    </xf>
  </cellXfs>
  <cellStyles count="5">
    <cellStyle name="Followed Hyperlink" xfId="3" builtinId="9" hidden="1"/>
    <cellStyle name="Hyperlink" xfId="2" builtinId="8" hidden="1"/>
    <cellStyle name="Hyperlink" xfId="4" builtinId="8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201083</xdr:colOff>
      <xdr:row>11</xdr:row>
      <xdr:rowOff>0</xdr:rowOff>
    </xdr:from>
    <xdr:to>
      <xdr:col>6</xdr:col>
      <xdr:colOff>201083</xdr:colOff>
      <xdr:row>69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693833" y="1862667"/>
          <a:ext cx="0" cy="9821333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207433</xdr:colOff>
      <xdr:row>1</xdr:row>
      <xdr:rowOff>0</xdr:rowOff>
    </xdr:from>
    <xdr:to>
      <xdr:col>24</xdr:col>
      <xdr:colOff>207433</xdr:colOff>
      <xdr:row>60</xdr:row>
      <xdr:rowOff>10583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20506266" y="169333"/>
          <a:ext cx="0" cy="1000125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en.wikipedia.org/wiki/Elon_Musk" TargetMode="External"/><Relationship Id="rId7" Type="http://schemas.openxmlformats.org/officeDocument/2006/relationships/hyperlink" Target="https://en.wikipedia.org/wiki/Ken_Howery" TargetMode="External"/><Relationship Id="rId2" Type="http://schemas.openxmlformats.org/officeDocument/2006/relationships/hyperlink" Target="https://en.wikipedia.org/wiki/Dan_Schulman" TargetMode="External"/><Relationship Id="rId1" Type="http://schemas.openxmlformats.org/officeDocument/2006/relationships/hyperlink" Target="https://investor.paypal-corp.com/investor-relations" TargetMode="External"/><Relationship Id="rId6" Type="http://schemas.openxmlformats.org/officeDocument/2006/relationships/hyperlink" Target="https://en.wikipedia.org/wiki/Luke_Nosek" TargetMode="External"/><Relationship Id="rId5" Type="http://schemas.openxmlformats.org/officeDocument/2006/relationships/hyperlink" Target="https://en.wikipedia.org/wiki/Max_Levchin" TargetMode="External"/><Relationship Id="rId4" Type="http://schemas.openxmlformats.org/officeDocument/2006/relationships/hyperlink" Target="https://en.wikipedia.org/wiki/Peter_Thie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action=getcompany&amp;CIK=0001633917&amp;owner=exclude&amp;count=40&amp;hidefilings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68"/>
  <sheetViews>
    <sheetView tabSelected="1" zoomScale="120" zoomScaleNormal="120" workbookViewId="0">
      <pane xSplit="1" ySplit="12" topLeftCell="E14" activePane="bottomRight" state="frozen"/>
      <selection pane="topRight" activeCell="B1" sqref="B1"/>
      <selection pane="bottomLeft" activeCell="A11" sqref="A11"/>
      <selection pane="bottomRight" activeCell="H16" sqref="H16"/>
    </sheetView>
  </sheetViews>
  <sheetFormatPr baseColWidth="10" defaultRowHeight="13" x14ac:dyDescent="0.15"/>
  <cols>
    <col min="1" max="1" width="17.1640625" style="3" bestFit="1" customWidth="1"/>
    <col min="2" max="22" width="11" style="3" bestFit="1" customWidth="1"/>
    <col min="23" max="122" width="11" style="3" customWidth="1"/>
    <col min="123" max="16384" width="10.83203125" style="3"/>
  </cols>
  <sheetData>
    <row r="1" spans="1:22" x14ac:dyDescent="0.15">
      <c r="A1" s="1" t="s">
        <v>63</v>
      </c>
      <c r="B1" s="2" t="s">
        <v>71</v>
      </c>
    </row>
    <row r="2" spans="1:22" x14ac:dyDescent="0.15">
      <c r="B2" s="3" t="s">
        <v>64</v>
      </c>
      <c r="C2" s="4">
        <v>234.42</v>
      </c>
      <c r="D2" s="85">
        <v>44201</v>
      </c>
      <c r="E2" s="5" t="s">
        <v>37</v>
      </c>
      <c r="F2" s="6">
        <v>-0.01</v>
      </c>
      <c r="I2" s="27"/>
    </row>
    <row r="3" spans="1:22" x14ac:dyDescent="0.15">
      <c r="A3" s="2" t="s">
        <v>65</v>
      </c>
      <c r="B3" s="3" t="s">
        <v>17</v>
      </c>
      <c r="C3" s="7">
        <f>Reports!X22</f>
        <v>1190</v>
      </c>
      <c r="D3" s="3" t="s">
        <v>101</v>
      </c>
      <c r="E3" s="5" t="s">
        <v>38</v>
      </c>
      <c r="F3" s="6">
        <v>0.02</v>
      </c>
      <c r="G3" s="8" t="s">
        <v>66</v>
      </c>
      <c r="I3" s="27"/>
    </row>
    <row r="4" spans="1:22" x14ac:dyDescent="0.15">
      <c r="A4" s="9" t="s">
        <v>77</v>
      </c>
      <c r="B4" s="3" t="s">
        <v>67</v>
      </c>
      <c r="C4" s="10">
        <f>C2*C3</f>
        <v>278959.8</v>
      </c>
      <c r="E4" s="5" t="s">
        <v>39</v>
      </c>
      <c r="F4" s="6">
        <f>6%</f>
        <v>0.06</v>
      </c>
      <c r="G4" s="8" t="s">
        <v>106</v>
      </c>
      <c r="I4" s="17"/>
    </row>
    <row r="5" spans="1:22" x14ac:dyDescent="0.15">
      <c r="B5" s="3" t="s">
        <v>33</v>
      </c>
      <c r="C5" s="7">
        <f>Reports!X33</f>
        <v>8660</v>
      </c>
      <c r="D5" s="3" t="s">
        <v>101</v>
      </c>
      <c r="E5" s="5" t="s">
        <v>40</v>
      </c>
      <c r="F5" s="11">
        <f>NPV(F4,G30:DR30)</f>
        <v>641462.63104864501</v>
      </c>
      <c r="G5" s="8" t="s">
        <v>107</v>
      </c>
      <c r="I5" s="17"/>
    </row>
    <row r="6" spans="1:22" x14ac:dyDescent="0.15">
      <c r="A6" s="2" t="s">
        <v>68</v>
      </c>
      <c r="B6" s="3" t="s">
        <v>69</v>
      </c>
      <c r="C6" s="10">
        <f>C4-C5</f>
        <v>270299.8</v>
      </c>
      <c r="E6" s="12" t="s">
        <v>41</v>
      </c>
      <c r="F6" s="13">
        <f>F5+C5</f>
        <v>650122.63104864501</v>
      </c>
      <c r="I6" s="17"/>
    </row>
    <row r="7" spans="1:22" x14ac:dyDescent="0.15">
      <c r="A7" s="9" t="s">
        <v>72</v>
      </c>
      <c r="B7" s="8" t="s">
        <v>70</v>
      </c>
      <c r="C7" s="14">
        <f>C6/C3</f>
        <v>227.14268907563024</v>
      </c>
      <c r="E7" s="15" t="s">
        <v>70</v>
      </c>
      <c r="F7" s="16">
        <f>F6/C3</f>
        <v>546.32153869634033</v>
      </c>
      <c r="G7" s="17">
        <f>F7/C2-1</f>
        <v>1.3305244377456718</v>
      </c>
    </row>
    <row r="8" spans="1:22" x14ac:dyDescent="0.15">
      <c r="A8" s="9" t="s">
        <v>73</v>
      </c>
      <c r="E8" s="5"/>
      <c r="F8" s="18"/>
    </row>
    <row r="9" spans="1:22" x14ac:dyDescent="0.15">
      <c r="A9" s="9" t="s">
        <v>74</v>
      </c>
      <c r="E9" s="5"/>
      <c r="F9" s="18"/>
    </row>
    <row r="10" spans="1:22" x14ac:dyDescent="0.15">
      <c r="A10" s="9" t="s">
        <v>75</v>
      </c>
      <c r="E10" s="5"/>
      <c r="F10" s="18"/>
    </row>
    <row r="11" spans="1:22" x14ac:dyDescent="0.15">
      <c r="A11" s="9" t="s">
        <v>76</v>
      </c>
      <c r="E11" s="5"/>
      <c r="F11" s="18"/>
    </row>
    <row r="12" spans="1:22" x14ac:dyDescent="0.15">
      <c r="B12" s="3">
        <v>2015</v>
      </c>
      <c r="C12" s="3">
        <v>2016</v>
      </c>
      <c r="D12" s="3">
        <v>2017</v>
      </c>
      <c r="E12" s="3">
        <f>D12+1</f>
        <v>2018</v>
      </c>
      <c r="F12" s="3">
        <f t="shared" ref="F12:Q12" si="0">E12+1</f>
        <v>2019</v>
      </c>
      <c r="G12" s="3">
        <f t="shared" si="0"/>
        <v>2020</v>
      </c>
      <c r="H12" s="3">
        <f t="shared" si="0"/>
        <v>2021</v>
      </c>
      <c r="I12" s="3">
        <f t="shared" si="0"/>
        <v>2022</v>
      </c>
      <c r="J12" s="3">
        <f t="shared" si="0"/>
        <v>2023</v>
      </c>
      <c r="K12" s="3">
        <f t="shared" si="0"/>
        <v>2024</v>
      </c>
      <c r="L12" s="3">
        <f t="shared" si="0"/>
        <v>2025</v>
      </c>
      <c r="M12" s="3">
        <f t="shared" si="0"/>
        <v>2026</v>
      </c>
      <c r="N12" s="3">
        <f t="shared" si="0"/>
        <v>2027</v>
      </c>
      <c r="O12" s="3">
        <f t="shared" si="0"/>
        <v>2028</v>
      </c>
      <c r="P12" s="3">
        <f t="shared" si="0"/>
        <v>2029</v>
      </c>
      <c r="Q12" s="3">
        <f t="shared" si="0"/>
        <v>2030</v>
      </c>
      <c r="R12" s="3">
        <f t="shared" ref="R12" si="1">Q12+1</f>
        <v>2031</v>
      </c>
      <c r="S12" s="3">
        <f t="shared" ref="S12" si="2">R12+1</f>
        <v>2032</v>
      </c>
      <c r="T12" s="3">
        <f t="shared" ref="T12" si="3">S12+1</f>
        <v>2033</v>
      </c>
      <c r="U12" s="3">
        <f t="shared" ref="U12" si="4">T12+1</f>
        <v>2034</v>
      </c>
      <c r="V12" s="3">
        <f t="shared" ref="V12" si="5">U12+1</f>
        <v>2035</v>
      </c>
    </row>
    <row r="13" spans="1:22" s="27" customFormat="1" x14ac:dyDescent="0.15">
      <c r="A13" s="27" t="s">
        <v>61</v>
      </c>
      <c r="B13" s="7">
        <f>SUM(Reports!B3:E3)</f>
        <v>8128</v>
      </c>
      <c r="C13" s="7">
        <f>SUM(Reports!F3:I3)</f>
        <v>9490</v>
      </c>
      <c r="D13" s="27">
        <f>SUM(Reports!J3:M3)</f>
        <v>11478</v>
      </c>
      <c r="E13" s="27">
        <f>SUM(Reports!N3:Q3)</f>
        <v>13709</v>
      </c>
      <c r="F13" s="27">
        <f>SUM(Reports!R3:U3)</f>
        <v>16099</v>
      </c>
    </row>
    <row r="14" spans="1:22" s="27" customFormat="1" x14ac:dyDescent="0.15">
      <c r="A14" s="27" t="s">
        <v>62</v>
      </c>
      <c r="B14" s="7">
        <f>SUM(Reports!B4:E4)</f>
        <v>1120</v>
      </c>
      <c r="C14" s="7">
        <f>SUM(Reports!F4:I4)</f>
        <v>1352</v>
      </c>
      <c r="D14" s="27">
        <f>SUM(Reports!J4:M4)</f>
        <v>1616</v>
      </c>
      <c r="E14" s="27">
        <f>SUM(Reports!N4:Q4)</f>
        <v>1742</v>
      </c>
      <c r="F14" s="27">
        <f>SUM(Reports!R4:U4)</f>
        <v>1673</v>
      </c>
    </row>
    <row r="15" spans="1:22" s="27" customFormat="1" x14ac:dyDescent="0.15">
      <c r="B15" s="7"/>
      <c r="C15" s="7"/>
    </row>
    <row r="16" spans="1:22" s="27" customFormat="1" x14ac:dyDescent="0.15">
      <c r="A16" s="27" t="s">
        <v>59</v>
      </c>
      <c r="B16" s="7">
        <f>Reports!E6</f>
        <v>179</v>
      </c>
      <c r="C16" s="7">
        <f>Reports!I6</f>
        <v>197</v>
      </c>
      <c r="D16" s="27">
        <f>Reports!M6</f>
        <v>227</v>
      </c>
      <c r="E16" s="27">
        <f>Reports!Q6</f>
        <v>267</v>
      </c>
      <c r="F16" s="27">
        <f>E16*1.2</f>
        <v>320.39999999999998</v>
      </c>
    </row>
    <row r="17" spans="1:122" s="27" customFormat="1" x14ac:dyDescent="0.15">
      <c r="A17" s="27" t="s">
        <v>78</v>
      </c>
      <c r="B17" s="10">
        <f>SUM(B13:B14)/B16</f>
        <v>51.66480446927374</v>
      </c>
      <c r="C17" s="10">
        <f>SUM(C13:C14)/C16</f>
        <v>55.035532994923855</v>
      </c>
      <c r="D17" s="10">
        <f>SUM(D13:D14)/D16</f>
        <v>57.682819383259911</v>
      </c>
      <c r="E17" s="10">
        <f>SUM(E13:E14)/E16</f>
        <v>57.868913857677903</v>
      </c>
      <c r="F17" s="10">
        <f>SUM(F13:F14)/F16</f>
        <v>55.468164794007492</v>
      </c>
    </row>
    <row r="18" spans="1:122" s="27" customFormat="1" x14ac:dyDescent="0.15">
      <c r="F18" s="32">
        <v>17850</v>
      </c>
    </row>
    <row r="19" spans="1:122" s="27" customFormat="1" x14ac:dyDescent="0.15">
      <c r="A19" s="70" t="s">
        <v>4</v>
      </c>
      <c r="B19" s="24">
        <f>B16*B17</f>
        <v>9248</v>
      </c>
      <c r="C19" s="24">
        <f>C16*C17</f>
        <v>10842</v>
      </c>
      <c r="D19" s="24">
        <f>D16*D17</f>
        <v>13094</v>
      </c>
      <c r="E19" s="24">
        <f>E16*E17</f>
        <v>15451</v>
      </c>
      <c r="F19" s="24">
        <f>F16*F17</f>
        <v>17772</v>
      </c>
      <c r="G19" s="19">
        <f>G63*F68</f>
        <v>23021.215605801171</v>
      </c>
      <c r="H19" s="19">
        <f>H63*G68</f>
        <v>28776.519507251465</v>
      </c>
      <c r="I19" s="19">
        <f>I63*H68</f>
        <v>35970.649384064331</v>
      </c>
      <c r="J19" s="19">
        <f>J63*I68</f>
        <v>44963.311730080415</v>
      </c>
      <c r="K19" s="19">
        <f>K63*J68</f>
        <v>56204.139662600523</v>
      </c>
      <c r="L19" s="19">
        <f>K19*1.1</f>
        <v>61824.55362886058</v>
      </c>
      <c r="M19" s="19">
        <f t="shared" ref="M19:Q19" si="6">L19*1.1</f>
        <v>68007.008991746639</v>
      </c>
      <c r="N19" s="19">
        <f t="shared" si="6"/>
        <v>74807.709890921309</v>
      </c>
      <c r="O19" s="19">
        <f t="shared" si="6"/>
        <v>82288.480880013449</v>
      </c>
      <c r="P19" s="19">
        <f t="shared" si="6"/>
        <v>90517.328968014801</v>
      </c>
      <c r="Q19" s="19">
        <f t="shared" si="6"/>
        <v>99569.061864816293</v>
      </c>
      <c r="R19" s="19">
        <f t="shared" ref="R19:V19" si="7">Q19*1.1</f>
        <v>109525.96805129792</v>
      </c>
      <c r="S19" s="19">
        <f t="shared" si="7"/>
        <v>120478.56485642772</v>
      </c>
      <c r="T19" s="19">
        <f t="shared" si="7"/>
        <v>132526.42134207051</v>
      </c>
      <c r="U19" s="19">
        <f t="shared" si="7"/>
        <v>145779.06347627757</v>
      </c>
      <c r="V19" s="19">
        <f t="shared" si="7"/>
        <v>160356.96982390535</v>
      </c>
    </row>
    <row r="20" spans="1:122" s="27" customFormat="1" x14ac:dyDescent="0.15">
      <c r="A20" s="27" t="s">
        <v>5</v>
      </c>
      <c r="B20" s="7">
        <f>SUM(Reports!B10:E10)</f>
        <v>3419</v>
      </c>
      <c r="C20" s="7">
        <f>SUM(Reports!F10:I10)</f>
        <v>4434</v>
      </c>
      <c r="D20" s="27">
        <f>SUM(Reports!J10:M10)</f>
        <v>5430</v>
      </c>
      <c r="E20" s="27">
        <f>SUM(Reports!N10:Q10)</f>
        <v>6855</v>
      </c>
      <c r="F20" s="27">
        <f>SUM(Reports!R10:U10)</f>
        <v>8170</v>
      </c>
      <c r="G20" s="7">
        <f>G19-G21</f>
        <v>10583.126913087755</v>
      </c>
      <c r="H20" s="7">
        <f t="shared" ref="H20" si="8">H19-H21</f>
        <v>13228.908641359694</v>
      </c>
      <c r="I20" s="7">
        <f t="shared" ref="I20" si="9">I19-I21</f>
        <v>16536.135801699616</v>
      </c>
      <c r="J20" s="7">
        <f t="shared" ref="J20" si="10">J19-J21</f>
        <v>20670.169752124522</v>
      </c>
      <c r="K20" s="7">
        <f t="shared" ref="K20" si="11">K19-K21</f>
        <v>25837.712190155657</v>
      </c>
      <c r="L20" s="7">
        <f t="shared" ref="L20" si="12">L19-L21</f>
        <v>28421.483409171226</v>
      </c>
      <c r="M20" s="7">
        <f t="shared" ref="M20" si="13">M19-M21</f>
        <v>31263.631750088345</v>
      </c>
      <c r="N20" s="7">
        <f t="shared" ref="N20" si="14">N19-N21</f>
        <v>34389.994925097184</v>
      </c>
      <c r="O20" s="7">
        <f t="shared" ref="O20" si="15">O19-O21</f>
        <v>37828.994417606904</v>
      </c>
      <c r="P20" s="7">
        <f t="shared" ref="P20" si="16">P19-P21</f>
        <v>41611.893859367599</v>
      </c>
      <c r="Q20" s="7">
        <f t="shared" ref="Q20:U20" si="17">Q19-Q21</f>
        <v>45773.083245304369</v>
      </c>
      <c r="R20" s="7">
        <f t="shared" si="17"/>
        <v>50350.391569834806</v>
      </c>
      <c r="S20" s="7">
        <f t="shared" si="17"/>
        <v>55385.430726818289</v>
      </c>
      <c r="T20" s="7">
        <f t="shared" si="17"/>
        <v>60923.97379950012</v>
      </c>
      <c r="U20" s="7">
        <f t="shared" si="17"/>
        <v>67016.371179450143</v>
      </c>
      <c r="V20" s="7">
        <f t="shared" ref="V20" si="18">V19-V21</f>
        <v>73718.008297395165</v>
      </c>
    </row>
    <row r="21" spans="1:122" s="27" customFormat="1" x14ac:dyDescent="0.15">
      <c r="A21" s="27" t="s">
        <v>6</v>
      </c>
      <c r="B21" s="10">
        <f>B19-B20</f>
        <v>5829</v>
      </c>
      <c r="C21" s="10">
        <f>C19-C20</f>
        <v>6408</v>
      </c>
      <c r="D21" s="10">
        <f>D19-D20</f>
        <v>7664</v>
      </c>
      <c r="E21" s="10">
        <f>E19-E20</f>
        <v>8596</v>
      </c>
      <c r="F21" s="10">
        <f>F19-F20</f>
        <v>9602</v>
      </c>
      <c r="G21" s="7">
        <f t="shared" ref="F21:Q21" si="19">G19*F34</f>
        <v>12438.088692713416</v>
      </c>
      <c r="H21" s="7">
        <f t="shared" si="19"/>
        <v>15547.610865891771</v>
      </c>
      <c r="I21" s="7">
        <f t="shared" si="19"/>
        <v>19434.513582364714</v>
      </c>
      <c r="J21" s="7">
        <f t="shared" si="19"/>
        <v>24293.141977955893</v>
      </c>
      <c r="K21" s="7">
        <f t="shared" si="19"/>
        <v>30366.427472444866</v>
      </c>
      <c r="L21" s="7">
        <f t="shared" si="19"/>
        <v>33403.070219689354</v>
      </c>
      <c r="M21" s="7">
        <f t="shared" si="19"/>
        <v>36743.377241658294</v>
      </c>
      <c r="N21" s="7">
        <f t="shared" si="19"/>
        <v>40417.714965824125</v>
      </c>
      <c r="O21" s="7">
        <f t="shared" si="19"/>
        <v>44459.486462406545</v>
      </c>
      <c r="P21" s="7">
        <f t="shared" si="19"/>
        <v>48905.435108647202</v>
      </c>
      <c r="Q21" s="7">
        <f t="shared" si="19"/>
        <v>53795.978619511923</v>
      </c>
      <c r="R21" s="7">
        <f t="shared" ref="R21" si="20">R19*Q34</f>
        <v>59175.576481463118</v>
      </c>
      <c r="S21" s="7">
        <f t="shared" ref="S21" si="21">S19*R34</f>
        <v>65093.134129609432</v>
      </c>
      <c r="T21" s="7">
        <f t="shared" ref="T21" si="22">T19*S34</f>
        <v>71602.447542570386</v>
      </c>
      <c r="U21" s="7">
        <f t="shared" ref="U21" si="23">U19*T34</f>
        <v>78762.69229682743</v>
      </c>
      <c r="V21" s="7">
        <f t="shared" ref="V21" si="24">V19*U34</f>
        <v>86638.961526510189</v>
      </c>
    </row>
    <row r="22" spans="1:122" s="27" customFormat="1" x14ac:dyDescent="0.15">
      <c r="A22" s="27" t="s">
        <v>7</v>
      </c>
      <c r="B22" s="7">
        <f>SUM(Reports!B12:E12)</f>
        <v>825</v>
      </c>
      <c r="C22" s="7">
        <f>SUM(Reports!F12:I12)</f>
        <v>834</v>
      </c>
      <c r="D22" s="27">
        <f>SUM(Reports!J12:M12)</f>
        <v>953</v>
      </c>
      <c r="E22" s="27">
        <f>SUM(Reports!N12:Q12)</f>
        <v>1071</v>
      </c>
      <c r="F22" s="27">
        <f>SUM(Reports!R12:U12)</f>
        <v>2085</v>
      </c>
      <c r="G22" s="7">
        <f t="shared" ref="G22:K22" si="25">F22*1.1</f>
        <v>2293.5</v>
      </c>
      <c r="H22" s="7">
        <f t="shared" si="25"/>
        <v>2522.8500000000004</v>
      </c>
      <c r="I22" s="7">
        <f t="shared" si="25"/>
        <v>2775.1350000000007</v>
      </c>
      <c r="J22" s="7">
        <f t="shared" si="25"/>
        <v>3052.6485000000011</v>
      </c>
      <c r="K22" s="7">
        <f t="shared" si="25"/>
        <v>3357.9133500000016</v>
      </c>
      <c r="L22" s="7">
        <f t="shared" ref="K22:M23" si="26">K22*1.02</f>
        <v>3425.0716170000019</v>
      </c>
      <c r="M22" s="7">
        <f t="shared" ref="M22:M23" si="27">L22*1.02</f>
        <v>3493.5730493400019</v>
      </c>
      <c r="N22" s="7">
        <f t="shared" ref="N22:N23" si="28">M22*1.02</f>
        <v>3563.4445103268022</v>
      </c>
      <c r="O22" s="7">
        <f t="shared" ref="O22:O23" si="29">N22*1.02</f>
        <v>3634.7134005333382</v>
      </c>
      <c r="P22" s="7">
        <f t="shared" ref="P22:P23" si="30">O22*1.02</f>
        <v>3707.407668544005</v>
      </c>
      <c r="Q22" s="7">
        <f t="shared" ref="Q22:Q23" si="31">P22*1.02</f>
        <v>3781.5558219148852</v>
      </c>
      <c r="R22" s="7">
        <f t="shared" ref="R22:R23" si="32">Q22*1.02</f>
        <v>3857.186938353183</v>
      </c>
      <c r="S22" s="7">
        <f t="shared" ref="S22:S23" si="33">R22*1.02</f>
        <v>3934.3306771202469</v>
      </c>
      <c r="T22" s="7">
        <f t="shared" ref="T22:T23" si="34">S22*1.02</f>
        <v>4013.0172906626522</v>
      </c>
      <c r="U22" s="7">
        <f t="shared" ref="U22:U23" si="35">T22*1.02</f>
        <v>4093.2776364759052</v>
      </c>
      <c r="V22" s="7">
        <f t="shared" ref="V22:V23" si="36">U22*1.02</f>
        <v>4175.1431892054234</v>
      </c>
    </row>
    <row r="23" spans="1:122" s="27" customFormat="1" x14ac:dyDescent="0.15">
      <c r="A23" s="27" t="s">
        <v>8</v>
      </c>
      <c r="B23" s="7">
        <f>SUM(Reports!B13:E13)</f>
        <v>2089</v>
      </c>
      <c r="C23" s="7">
        <f>SUM(Reports!F13:I13)</f>
        <v>2236</v>
      </c>
      <c r="D23" s="27">
        <f>SUM(Reports!J13:M13)</f>
        <v>2492</v>
      </c>
      <c r="E23" s="27">
        <f>SUM(Reports!N13:Q13)</f>
        <v>2795</v>
      </c>
      <c r="F23" s="27">
        <f>SUM(Reports!R13:U13)</f>
        <v>3016</v>
      </c>
      <c r="G23" s="7">
        <f t="shared" ref="G23" si="37">F23*1.1</f>
        <v>3317.6000000000004</v>
      </c>
      <c r="H23" s="7">
        <f t="shared" ref="H23" si="38">G23*1.1</f>
        <v>3649.3600000000006</v>
      </c>
      <c r="I23" s="7">
        <f t="shared" ref="I23:K23" si="39">H23*1.1</f>
        <v>4014.2960000000012</v>
      </c>
      <c r="J23" s="7">
        <f t="shared" si="39"/>
        <v>4415.7256000000016</v>
      </c>
      <c r="K23" s="7">
        <f t="shared" si="39"/>
        <v>4857.2981600000021</v>
      </c>
      <c r="L23" s="7">
        <f t="shared" si="26"/>
        <v>4954.4441232000027</v>
      </c>
      <c r="M23" s="7">
        <f t="shared" si="27"/>
        <v>5053.5330056640032</v>
      </c>
      <c r="N23" s="7">
        <f t="shared" si="28"/>
        <v>5154.6036657772829</v>
      </c>
      <c r="O23" s="7">
        <f t="shared" si="29"/>
        <v>5257.6957390928283</v>
      </c>
      <c r="P23" s="7">
        <f t="shared" si="30"/>
        <v>5362.8496538746849</v>
      </c>
      <c r="Q23" s="7">
        <f t="shared" si="31"/>
        <v>5470.1066469521784</v>
      </c>
      <c r="R23" s="7">
        <f t="shared" si="32"/>
        <v>5579.5087798912218</v>
      </c>
      <c r="S23" s="7">
        <f t="shared" si="33"/>
        <v>5691.0989554890466</v>
      </c>
      <c r="T23" s="7">
        <f t="shared" si="34"/>
        <v>5804.9209345988274</v>
      </c>
      <c r="U23" s="7">
        <f t="shared" si="35"/>
        <v>5921.0193532908042</v>
      </c>
      <c r="V23" s="7">
        <f t="shared" si="36"/>
        <v>6039.4397403566209</v>
      </c>
    </row>
    <row r="24" spans="1:122" s="27" customFormat="1" x14ac:dyDescent="0.15">
      <c r="A24" s="27" t="s">
        <v>9</v>
      </c>
      <c r="B24" s="7">
        <f>SUM(Reports!B14:E14)</f>
        <v>1454</v>
      </c>
      <c r="C24" s="7">
        <f>SUM(Reports!F14:I14)</f>
        <v>1752</v>
      </c>
      <c r="D24" s="27">
        <f>SUM(Reports!J14:M14)</f>
        <v>2092</v>
      </c>
      <c r="E24" s="27">
        <f>SUM(Reports!N14:Q14)</f>
        <v>2536</v>
      </c>
      <c r="F24" s="27">
        <f>SUM(Reports!R14:U14)</f>
        <v>1782</v>
      </c>
      <c r="G24" s="7">
        <f t="shared" ref="G24:K24" si="40">F24*1.2</f>
        <v>2138.4</v>
      </c>
      <c r="H24" s="7">
        <f t="shared" si="40"/>
        <v>2566.08</v>
      </c>
      <c r="I24" s="7">
        <f t="shared" si="40"/>
        <v>3079.2959999999998</v>
      </c>
      <c r="J24" s="7">
        <f t="shared" si="40"/>
        <v>3695.1551999999997</v>
      </c>
      <c r="K24" s="7">
        <f t="shared" si="40"/>
        <v>4434.1862399999991</v>
      </c>
      <c r="L24" s="7">
        <f t="shared" ref="K24:Q24" si="41">K24*0.98</f>
        <v>4345.5025151999989</v>
      </c>
      <c r="M24" s="7">
        <f t="shared" ref="M24" si="42">L24*0.98</f>
        <v>4258.592464895999</v>
      </c>
      <c r="N24" s="7">
        <f t="shared" ref="N24" si="43">M24*0.98</f>
        <v>4173.4206155980792</v>
      </c>
      <c r="O24" s="7">
        <f t="shared" ref="O24" si="44">N24*0.98</f>
        <v>4089.9522032861173</v>
      </c>
      <c r="P24" s="7">
        <f t="shared" ref="P24" si="45">O24*0.98</f>
        <v>4008.1531592203951</v>
      </c>
      <c r="Q24" s="7">
        <f t="shared" ref="Q24" si="46">P24*0.98</f>
        <v>3927.9900960359873</v>
      </c>
      <c r="R24" s="7">
        <f t="shared" ref="R24" si="47">Q24*0.98</f>
        <v>3849.4302941152673</v>
      </c>
      <c r="S24" s="7">
        <f t="shared" ref="S24" si="48">R24*0.98</f>
        <v>3772.441688232962</v>
      </c>
      <c r="T24" s="7">
        <f t="shared" ref="T24" si="49">S24*0.98</f>
        <v>3696.9928544683025</v>
      </c>
      <c r="U24" s="7">
        <f t="shared" ref="U24" si="50">T24*0.98</f>
        <v>3623.0529973789362</v>
      </c>
      <c r="V24" s="7">
        <f t="shared" ref="V24" si="51">U24*0.98</f>
        <v>3550.5919374313576</v>
      </c>
    </row>
    <row r="25" spans="1:122" s="27" customFormat="1" x14ac:dyDescent="0.15">
      <c r="A25" s="27" t="s">
        <v>10</v>
      </c>
      <c r="B25" s="10">
        <f>SUM(B22:B24)</f>
        <v>4368</v>
      </c>
      <c r="C25" s="10">
        <f>SUM(C22:C24)</f>
        <v>4822</v>
      </c>
      <c r="D25" s="10">
        <f>SUM(D22:D24)</f>
        <v>5537</v>
      </c>
      <c r="E25" s="10">
        <f>SUM(E22:E24)</f>
        <v>6402</v>
      </c>
      <c r="F25" s="10">
        <f>SUM(F22:F24)</f>
        <v>6883</v>
      </c>
      <c r="G25" s="7">
        <f t="shared" ref="F25:G25" si="52">SUM(G22:G24)</f>
        <v>7749.5</v>
      </c>
      <c r="H25" s="7">
        <f t="shared" ref="H25" si="53">SUM(H22:H24)</f>
        <v>8738.2900000000009</v>
      </c>
      <c r="I25" s="7">
        <f t="shared" ref="I25" si="54">SUM(I22:I24)</f>
        <v>9868.7270000000026</v>
      </c>
      <c r="J25" s="7">
        <f t="shared" ref="J25" si="55">SUM(J22:J24)</f>
        <v>11163.529300000002</v>
      </c>
      <c r="K25" s="7">
        <f t="shared" ref="K25" si="56">SUM(K22:K24)</f>
        <v>12649.397750000004</v>
      </c>
      <c r="L25" s="7">
        <f t="shared" ref="L25" si="57">SUM(L22:L24)</f>
        <v>12725.018255400002</v>
      </c>
      <c r="M25" s="7">
        <f t="shared" ref="M25" si="58">SUM(M22:M24)</f>
        <v>12805.698519900005</v>
      </c>
      <c r="N25" s="7">
        <f t="shared" ref="N25" si="59">SUM(N22:N24)</f>
        <v>12891.468791702164</v>
      </c>
      <c r="O25" s="7">
        <f t="shared" ref="O25" si="60">SUM(O22:O24)</f>
        <v>12982.361342912283</v>
      </c>
      <c r="P25" s="7">
        <f t="shared" ref="P25" si="61">SUM(P22:P24)</f>
        <v>13078.410481639085</v>
      </c>
      <c r="Q25" s="7">
        <f t="shared" ref="Q25:U25" si="62">SUM(Q22:Q24)</f>
        <v>13179.652564903052</v>
      </c>
      <c r="R25" s="7">
        <f t="shared" si="62"/>
        <v>13286.126012359673</v>
      </c>
      <c r="S25" s="7">
        <f t="shared" si="62"/>
        <v>13397.871320842256</v>
      </c>
      <c r="T25" s="7">
        <f t="shared" si="62"/>
        <v>13514.931079729782</v>
      </c>
      <c r="U25" s="7">
        <f t="shared" si="62"/>
        <v>13637.349987145646</v>
      </c>
      <c r="V25" s="7">
        <f t="shared" ref="V25" si="63">SUM(V22:V24)</f>
        <v>13765.174866993402</v>
      </c>
    </row>
    <row r="26" spans="1:122" s="27" customFormat="1" x14ac:dyDescent="0.15">
      <c r="A26" s="27" t="s">
        <v>11</v>
      </c>
      <c r="B26" s="10">
        <f>B21-B25</f>
        <v>1461</v>
      </c>
      <c r="C26" s="10">
        <f>C21-C25</f>
        <v>1586</v>
      </c>
      <c r="D26" s="10">
        <f>D21-D25</f>
        <v>2127</v>
      </c>
      <c r="E26" s="10">
        <f>E21-E25</f>
        <v>2194</v>
      </c>
      <c r="F26" s="10">
        <f>F21-F25</f>
        <v>2719</v>
      </c>
      <c r="G26" s="7">
        <f t="shared" ref="F26:G26" si="64">G21-G25</f>
        <v>4688.5886927134161</v>
      </c>
      <c r="H26" s="7">
        <f t="shared" ref="H26" si="65">H21-H25</f>
        <v>6809.3208658917702</v>
      </c>
      <c r="I26" s="7">
        <f t="shared" ref="I26" si="66">I21-I25</f>
        <v>9565.7865823647116</v>
      </c>
      <c r="J26" s="7">
        <f t="shared" ref="J26" si="67">J21-J25</f>
        <v>13129.612677955891</v>
      </c>
      <c r="K26" s="7">
        <f t="shared" ref="K26" si="68">K21-K25</f>
        <v>17717.029722444862</v>
      </c>
      <c r="L26" s="7">
        <f t="shared" ref="L26" si="69">L21-L25</f>
        <v>20678.051964289352</v>
      </c>
      <c r="M26" s="7">
        <f t="shared" ref="M26" si="70">M21-M25</f>
        <v>23937.67872175829</v>
      </c>
      <c r="N26" s="7">
        <f t="shared" ref="N26" si="71">N21-N25</f>
        <v>27526.246174121959</v>
      </c>
      <c r="O26" s="7">
        <f t="shared" ref="O26" si="72">O21-O25</f>
        <v>31477.12511949426</v>
      </c>
      <c r="P26" s="7">
        <f t="shared" ref="P26" si="73">P21-P25</f>
        <v>35827.024627008119</v>
      </c>
      <c r="Q26" s="7">
        <f t="shared" ref="Q26:U26" si="74">Q21-Q25</f>
        <v>40616.326054608871</v>
      </c>
      <c r="R26" s="7">
        <f t="shared" si="74"/>
        <v>45889.450469103445</v>
      </c>
      <c r="S26" s="7">
        <f t="shared" si="74"/>
        <v>51695.262808767176</v>
      </c>
      <c r="T26" s="7">
        <f t="shared" si="74"/>
        <v>58087.516462840606</v>
      </c>
      <c r="U26" s="7">
        <f t="shared" si="74"/>
        <v>65125.342309681786</v>
      </c>
      <c r="V26" s="7">
        <f t="shared" ref="V26" si="75">V21-V25</f>
        <v>72873.786659516787</v>
      </c>
    </row>
    <row r="27" spans="1:122" s="27" customFormat="1" x14ac:dyDescent="0.15">
      <c r="A27" s="27" t="s">
        <v>12</v>
      </c>
      <c r="B27" s="7">
        <f>SUM(Reports!B17:E17)</f>
        <v>27</v>
      </c>
      <c r="C27" s="7">
        <f>SUM(Reports!F17:I17)</f>
        <v>45</v>
      </c>
      <c r="D27" s="27">
        <f>SUM(Reports!J17:M17)</f>
        <v>73</v>
      </c>
      <c r="E27" s="27">
        <f>SUM(Reports!N17:Q17)</f>
        <v>182</v>
      </c>
      <c r="F27" s="27">
        <f>SUM(Reports!R17:U17)</f>
        <v>279</v>
      </c>
      <c r="G27" s="7">
        <f t="shared" ref="G27:Q27" si="76">F43*$F$3</f>
        <v>173.18</v>
      </c>
      <c r="H27" s="7">
        <f t="shared" si="76"/>
        <v>255.83006777612806</v>
      </c>
      <c r="I27" s="7">
        <f t="shared" si="76"/>
        <v>375.93763364848229</v>
      </c>
      <c r="J27" s="7">
        <f t="shared" si="76"/>
        <v>544.94694532070662</v>
      </c>
      <c r="K27" s="7">
        <f t="shared" si="76"/>
        <v>777.41445891640876</v>
      </c>
      <c r="L27" s="7">
        <f t="shared" si="76"/>
        <v>1091.8200099995504</v>
      </c>
      <c r="M27" s="7">
        <f t="shared" si="76"/>
        <v>1461.907833562462</v>
      </c>
      <c r="N27" s="7">
        <f t="shared" si="76"/>
        <v>1893.7008050029146</v>
      </c>
      <c r="O27" s="7">
        <f t="shared" si="76"/>
        <v>2393.8399036480378</v>
      </c>
      <c r="P27" s="7">
        <f t="shared" si="76"/>
        <v>2969.6463090414568</v>
      </c>
      <c r="Q27" s="7">
        <f t="shared" si="76"/>
        <v>3629.1897149542992</v>
      </c>
      <c r="R27" s="7">
        <f t="shared" ref="R27" si="77">Q43*$F$3</f>
        <v>4381.3634830368728</v>
      </c>
      <c r="S27" s="7">
        <f t="shared" ref="S27" si="78">R43*$F$3</f>
        <v>5235.9673202232589</v>
      </c>
      <c r="T27" s="7">
        <f t="shared" ref="T27" si="79">S43*$F$3</f>
        <v>6203.7982324160967</v>
      </c>
      <c r="U27" s="7">
        <f t="shared" ref="U27" si="80">T43*$F$3</f>
        <v>7296.7505822354606</v>
      </c>
      <c r="V27" s="7">
        <f t="shared" ref="V27" si="81">U43*$F$3</f>
        <v>8527.9261613980525</v>
      </c>
    </row>
    <row r="28" spans="1:122" s="27" customFormat="1" x14ac:dyDescent="0.15">
      <c r="A28" s="27" t="s">
        <v>13</v>
      </c>
      <c r="B28" s="10">
        <f>SUM(Reports!B18:E18)</f>
        <v>1488</v>
      </c>
      <c r="C28" s="10">
        <f>C26+C27</f>
        <v>1631</v>
      </c>
      <c r="D28" s="10">
        <f>D26+D27</f>
        <v>2200</v>
      </c>
      <c r="E28" s="10">
        <f>E26+E27</f>
        <v>2376</v>
      </c>
      <c r="F28" s="10">
        <f>F26+F27</f>
        <v>2998</v>
      </c>
      <c r="G28" s="7">
        <f t="shared" ref="F28:G28" si="82">G26+G27</f>
        <v>4861.7686927134164</v>
      </c>
      <c r="H28" s="7">
        <f t="shared" ref="H28" si="83">H26+H27</f>
        <v>7065.1509336678982</v>
      </c>
      <c r="I28" s="7">
        <f t="shared" ref="I28" si="84">I26+I27</f>
        <v>9941.7242160131937</v>
      </c>
      <c r="J28" s="7">
        <f t="shared" ref="J28" si="85">J26+J27</f>
        <v>13674.559623276597</v>
      </c>
      <c r="K28" s="7">
        <f t="shared" ref="K28" si="86">K26+K27</f>
        <v>18494.444181361272</v>
      </c>
      <c r="L28" s="7">
        <f t="shared" ref="L28" si="87">L26+L27</f>
        <v>21769.871974288904</v>
      </c>
      <c r="M28" s="7">
        <f t="shared" ref="M28" si="88">M26+M27</f>
        <v>25399.586555320751</v>
      </c>
      <c r="N28" s="7">
        <f t="shared" ref="N28" si="89">N26+N27</f>
        <v>29419.946979124874</v>
      </c>
      <c r="O28" s="7">
        <f t="shared" ref="O28" si="90">O26+O27</f>
        <v>33870.9650231423</v>
      </c>
      <c r="P28" s="7">
        <f t="shared" ref="P28" si="91">P26+P27</f>
        <v>38796.670936049573</v>
      </c>
      <c r="Q28" s="7">
        <f t="shared" ref="Q28:U28" si="92">Q26+Q27</f>
        <v>44245.515769563171</v>
      </c>
      <c r="R28" s="7">
        <f t="shared" si="92"/>
        <v>50270.813952140321</v>
      </c>
      <c r="S28" s="7">
        <f t="shared" si="92"/>
        <v>56931.230128990435</v>
      </c>
      <c r="T28" s="7">
        <f t="shared" si="92"/>
        <v>64291.314695256704</v>
      </c>
      <c r="U28" s="7">
        <f t="shared" si="92"/>
        <v>72422.092891917244</v>
      </c>
      <c r="V28" s="7">
        <f t="shared" ref="V28" si="93">V26+V27</f>
        <v>81401.712820914836</v>
      </c>
    </row>
    <row r="29" spans="1:122" s="27" customFormat="1" x14ac:dyDescent="0.15">
      <c r="A29" s="27" t="s">
        <v>14</v>
      </c>
      <c r="B29" s="7">
        <f>SUM(Reports!B19:E19)</f>
        <v>260</v>
      </c>
      <c r="C29" s="7">
        <f>SUM(Reports!F19:I19)</f>
        <v>230</v>
      </c>
      <c r="D29" s="27">
        <f>SUM(Reports!J19:M19)</f>
        <v>405</v>
      </c>
      <c r="E29" s="27">
        <f>SUM(Reports!N19:Q19)</f>
        <v>319</v>
      </c>
      <c r="F29" s="27">
        <f>SUM(Reports!R19:U19)</f>
        <v>539</v>
      </c>
      <c r="G29" s="7">
        <f t="shared" ref="G29:Q29" si="94">G28*0.15</f>
        <v>729.26530390701248</v>
      </c>
      <c r="H29" s="7">
        <f t="shared" si="94"/>
        <v>1059.7726400501847</v>
      </c>
      <c r="I29" s="7">
        <f t="shared" si="94"/>
        <v>1491.258632401979</v>
      </c>
      <c r="J29" s="7">
        <f t="shared" si="94"/>
        <v>2051.1839434914896</v>
      </c>
      <c r="K29" s="7">
        <f t="shared" si="94"/>
        <v>2774.1666272041907</v>
      </c>
      <c r="L29" s="7">
        <f t="shared" si="94"/>
        <v>3265.4807961433357</v>
      </c>
      <c r="M29" s="7">
        <f t="shared" si="94"/>
        <v>3809.9379832981126</v>
      </c>
      <c r="N29" s="7">
        <f t="shared" si="94"/>
        <v>4412.9920468687305</v>
      </c>
      <c r="O29" s="7">
        <f t="shared" si="94"/>
        <v>5080.6447534713452</v>
      </c>
      <c r="P29" s="7">
        <f t="shared" si="94"/>
        <v>5819.5006404074356</v>
      </c>
      <c r="Q29" s="7">
        <f t="shared" si="94"/>
        <v>6636.8273654344757</v>
      </c>
      <c r="R29" s="7">
        <f t="shared" ref="R29:V29" si="95">R28*0.15</f>
        <v>7540.6220928210478</v>
      </c>
      <c r="S29" s="7">
        <f t="shared" si="95"/>
        <v>8539.6845193485642</v>
      </c>
      <c r="T29" s="7">
        <f t="shared" si="95"/>
        <v>9643.6972042885045</v>
      </c>
      <c r="U29" s="7">
        <f t="shared" si="95"/>
        <v>10863.313933787585</v>
      </c>
      <c r="V29" s="7">
        <f t="shared" si="95"/>
        <v>12210.256923137225</v>
      </c>
    </row>
    <row r="30" spans="1:122" s="70" customFormat="1" x14ac:dyDescent="0.15">
      <c r="A30" s="70" t="s">
        <v>15</v>
      </c>
      <c r="B30" s="24">
        <f>B28-B29</f>
        <v>1228</v>
      </c>
      <c r="C30" s="24">
        <f>C28-C29</f>
        <v>1401</v>
      </c>
      <c r="D30" s="24">
        <f>D28-D29</f>
        <v>1795</v>
      </c>
      <c r="E30" s="24">
        <f t="shared" ref="E30:G30" si="96">E28-E29</f>
        <v>2057</v>
      </c>
      <c r="F30" s="24">
        <f t="shared" si="96"/>
        <v>2459</v>
      </c>
      <c r="G30" s="24">
        <f t="shared" si="96"/>
        <v>4132.5033888064036</v>
      </c>
      <c r="H30" s="24">
        <f t="shared" ref="H30" si="97">H28-H29</f>
        <v>6005.378293617714</v>
      </c>
      <c r="I30" s="24">
        <f t="shared" ref="I30" si="98">I28-I29</f>
        <v>8450.4655836112142</v>
      </c>
      <c r="J30" s="24">
        <f t="shared" ref="J30" si="99">J28-J29</f>
        <v>11623.375679785107</v>
      </c>
      <c r="K30" s="24">
        <f t="shared" ref="K30" si="100">K28-K29</f>
        <v>15720.277554157081</v>
      </c>
      <c r="L30" s="24">
        <f t="shared" ref="L30" si="101">L28-L29</f>
        <v>18504.391178145568</v>
      </c>
      <c r="M30" s="24">
        <f t="shared" ref="M30" si="102">M28-M29</f>
        <v>21589.648572022637</v>
      </c>
      <c r="N30" s="24">
        <f t="shared" ref="N30" si="103">N28-N29</f>
        <v>25006.954932256143</v>
      </c>
      <c r="O30" s="24">
        <f t="shared" ref="O30" si="104">O28-O29</f>
        <v>28790.320269670956</v>
      </c>
      <c r="P30" s="24">
        <f t="shared" ref="P30" si="105">P28-P29</f>
        <v>32977.170295642136</v>
      </c>
      <c r="Q30" s="24">
        <f t="shared" ref="Q30:U30" si="106">Q28-Q29</f>
        <v>37608.688404128698</v>
      </c>
      <c r="R30" s="24">
        <f t="shared" si="106"/>
        <v>42730.191859319275</v>
      </c>
      <c r="S30" s="24">
        <f t="shared" si="106"/>
        <v>48391.545609641871</v>
      </c>
      <c r="T30" s="24">
        <f t="shared" si="106"/>
        <v>54647.617490968201</v>
      </c>
      <c r="U30" s="24">
        <f t="shared" si="106"/>
        <v>61558.77895812966</v>
      </c>
      <c r="V30" s="24">
        <f t="shared" ref="V30" si="107">V28-V29</f>
        <v>69191.455897777603</v>
      </c>
      <c r="W30" s="24">
        <f t="shared" ref="S30:CD30" si="108">V30*($F$2+1)</f>
        <v>68499.541338799827</v>
      </c>
      <c r="X30" s="24">
        <f t="shared" si="108"/>
        <v>67814.545925411832</v>
      </c>
      <c r="Y30" s="24">
        <f t="shared" si="108"/>
        <v>67136.40046615772</v>
      </c>
      <c r="Z30" s="24">
        <f t="shared" si="108"/>
        <v>66465.036461496144</v>
      </c>
      <c r="AA30" s="24">
        <f t="shared" si="108"/>
        <v>65800.386096881179</v>
      </c>
      <c r="AB30" s="24">
        <f t="shared" si="108"/>
        <v>65142.382235912366</v>
      </c>
      <c r="AC30" s="24">
        <f t="shared" si="108"/>
        <v>64490.958413553242</v>
      </c>
      <c r="AD30" s="24">
        <f t="shared" si="108"/>
        <v>63846.048829417712</v>
      </c>
      <c r="AE30" s="24">
        <f t="shared" si="108"/>
        <v>63207.588341123534</v>
      </c>
      <c r="AF30" s="24">
        <f t="shared" si="108"/>
        <v>62575.512457712299</v>
      </c>
      <c r="AG30" s="24">
        <f t="shared" si="108"/>
        <v>61949.757333135174</v>
      </c>
      <c r="AH30" s="24">
        <f t="shared" si="108"/>
        <v>61330.259759803819</v>
      </c>
      <c r="AI30" s="24">
        <f t="shared" si="108"/>
        <v>60716.957162205777</v>
      </c>
      <c r="AJ30" s="24">
        <f t="shared" si="108"/>
        <v>60109.787590583721</v>
      </c>
      <c r="AK30" s="24">
        <f t="shared" si="108"/>
        <v>59508.689714677887</v>
      </c>
      <c r="AL30" s="24">
        <f t="shared" si="108"/>
        <v>58913.602817531108</v>
      </c>
      <c r="AM30" s="24">
        <f t="shared" si="108"/>
        <v>58324.466789355793</v>
      </c>
      <c r="AN30" s="24">
        <f t="shared" si="108"/>
        <v>57741.222121462233</v>
      </c>
      <c r="AO30" s="24">
        <f t="shared" si="108"/>
        <v>57163.809900247608</v>
      </c>
      <c r="AP30" s="24">
        <f t="shared" si="108"/>
        <v>56592.171801245131</v>
      </c>
      <c r="AQ30" s="24">
        <f t="shared" si="108"/>
        <v>56026.250083232677</v>
      </c>
      <c r="AR30" s="24">
        <f t="shared" si="108"/>
        <v>55465.987582400347</v>
      </c>
      <c r="AS30" s="24">
        <f t="shared" si="108"/>
        <v>54911.32770657634</v>
      </c>
      <c r="AT30" s="24">
        <f t="shared" si="108"/>
        <v>54362.214429510575</v>
      </c>
      <c r="AU30" s="24">
        <f t="shared" si="108"/>
        <v>53818.592285215469</v>
      </c>
      <c r="AV30" s="24">
        <f t="shared" si="108"/>
        <v>53280.406362363312</v>
      </c>
      <c r="AW30" s="24">
        <f t="shared" si="108"/>
        <v>52747.602298739679</v>
      </c>
      <c r="AX30" s="24">
        <f t="shared" si="108"/>
        <v>52220.126275752285</v>
      </c>
      <c r="AY30" s="24">
        <f t="shared" si="108"/>
        <v>51697.925012994761</v>
      </c>
      <c r="AZ30" s="24">
        <f t="shared" si="108"/>
        <v>51180.945762864816</v>
      </c>
      <c r="BA30" s="24">
        <f t="shared" si="108"/>
        <v>50669.13630523617</v>
      </c>
      <c r="BB30" s="24">
        <f t="shared" si="108"/>
        <v>50162.444942183807</v>
      </c>
      <c r="BC30" s="24">
        <f t="shared" si="108"/>
        <v>49660.820492761966</v>
      </c>
      <c r="BD30" s="24">
        <f t="shared" si="108"/>
        <v>49164.212287834343</v>
      </c>
      <c r="BE30" s="24">
        <f t="shared" si="108"/>
        <v>48672.570164956</v>
      </c>
      <c r="BF30" s="24">
        <f t="shared" si="108"/>
        <v>48185.844463306443</v>
      </c>
      <c r="BG30" s="24">
        <f t="shared" si="108"/>
        <v>47703.986018673379</v>
      </c>
      <c r="BH30" s="24">
        <f t="shared" si="108"/>
        <v>47226.946158486644</v>
      </c>
      <c r="BI30" s="24">
        <f t="shared" si="108"/>
        <v>46754.676696901777</v>
      </c>
      <c r="BJ30" s="24">
        <f t="shared" si="108"/>
        <v>46287.129929932758</v>
      </c>
      <c r="BK30" s="24">
        <f t="shared" si="108"/>
        <v>45824.258630633427</v>
      </c>
      <c r="BL30" s="24">
        <f t="shared" si="108"/>
        <v>45366.016044327094</v>
      </c>
      <c r="BM30" s="24">
        <f t="shared" si="108"/>
        <v>44912.355883883822</v>
      </c>
      <c r="BN30" s="24">
        <f t="shared" si="108"/>
        <v>44463.232325044984</v>
      </c>
      <c r="BO30" s="24">
        <f t="shared" si="108"/>
        <v>44018.600001794533</v>
      </c>
      <c r="BP30" s="24">
        <f t="shared" si="108"/>
        <v>43578.414001776589</v>
      </c>
      <c r="BQ30" s="24">
        <f t="shared" si="108"/>
        <v>43142.629861758825</v>
      </c>
      <c r="BR30" s="24">
        <f t="shared" si="108"/>
        <v>42711.203563141236</v>
      </c>
      <c r="BS30" s="24">
        <f t="shared" si="108"/>
        <v>42284.091527509823</v>
      </c>
      <c r="BT30" s="24">
        <f t="shared" si="108"/>
        <v>41861.250612234726</v>
      </c>
      <c r="BU30" s="24">
        <f t="shared" si="108"/>
        <v>41442.638106112376</v>
      </c>
      <c r="BV30" s="24">
        <f t="shared" si="108"/>
        <v>41028.211725051253</v>
      </c>
      <c r="BW30" s="24">
        <f t="shared" si="108"/>
        <v>40617.929607800739</v>
      </c>
      <c r="BX30" s="24">
        <f t="shared" si="108"/>
        <v>40211.750311722732</v>
      </c>
      <c r="BY30" s="24">
        <f t="shared" si="108"/>
        <v>39809.632808605507</v>
      </c>
      <c r="BZ30" s="24">
        <f t="shared" si="108"/>
        <v>39411.536480519455</v>
      </c>
      <c r="CA30" s="24">
        <f t="shared" si="108"/>
        <v>39017.421115714264</v>
      </c>
      <c r="CB30" s="24">
        <f t="shared" si="108"/>
        <v>38627.24690455712</v>
      </c>
      <c r="CC30" s="24">
        <f t="shared" si="108"/>
        <v>38240.974435511547</v>
      </c>
      <c r="CD30" s="24">
        <f t="shared" si="108"/>
        <v>37858.564691156433</v>
      </c>
      <c r="CE30" s="24">
        <f t="shared" ref="CE30:DR30" si="109">CD30*($F$2+1)</f>
        <v>37479.979044244865</v>
      </c>
      <c r="CF30" s="24">
        <f t="shared" si="109"/>
        <v>37105.179253802416</v>
      </c>
      <c r="CG30" s="24">
        <f t="shared" si="109"/>
        <v>36734.12746126439</v>
      </c>
      <c r="CH30" s="24">
        <f t="shared" si="109"/>
        <v>36366.786186651749</v>
      </c>
      <c r="CI30" s="24">
        <f t="shared" si="109"/>
        <v>36003.118324785231</v>
      </c>
      <c r="CJ30" s="24">
        <f t="shared" si="109"/>
        <v>35643.087141537377</v>
      </c>
      <c r="CK30" s="24">
        <f t="shared" si="109"/>
        <v>35286.656270122003</v>
      </c>
      <c r="CL30" s="24">
        <f t="shared" si="109"/>
        <v>34933.789707420779</v>
      </c>
      <c r="CM30" s="24">
        <f t="shared" si="109"/>
        <v>34584.451810346574</v>
      </c>
      <c r="CN30" s="24">
        <f t="shared" si="109"/>
        <v>34238.607292243105</v>
      </c>
      <c r="CO30" s="24">
        <f t="shared" si="109"/>
        <v>33896.221219320672</v>
      </c>
      <c r="CP30" s="24">
        <f t="shared" si="109"/>
        <v>33557.259007127468</v>
      </c>
      <c r="CQ30" s="24">
        <f t="shared" si="109"/>
        <v>33221.686417056197</v>
      </c>
      <c r="CR30" s="24">
        <f t="shared" si="109"/>
        <v>32889.469552885632</v>
      </c>
      <c r="CS30" s="24">
        <f t="shared" si="109"/>
        <v>32560.574857356776</v>
      </c>
      <c r="CT30" s="24">
        <f t="shared" si="109"/>
        <v>32234.969108783207</v>
      </c>
      <c r="CU30" s="24">
        <f t="shared" si="109"/>
        <v>31912.619417695376</v>
      </c>
      <c r="CV30" s="24">
        <f t="shared" si="109"/>
        <v>31593.493223518421</v>
      </c>
      <c r="CW30" s="24">
        <f t="shared" si="109"/>
        <v>31277.558291283236</v>
      </c>
      <c r="CX30" s="24">
        <f t="shared" si="109"/>
        <v>30964.782708370403</v>
      </c>
      <c r="CY30" s="24">
        <f t="shared" si="109"/>
        <v>30655.1348812867</v>
      </c>
      <c r="CZ30" s="24">
        <f t="shared" si="109"/>
        <v>30348.583532473833</v>
      </c>
      <c r="DA30" s="24">
        <f t="shared" si="109"/>
        <v>30045.097697149093</v>
      </c>
      <c r="DB30" s="24">
        <f t="shared" si="109"/>
        <v>29744.646720177603</v>
      </c>
      <c r="DC30" s="24">
        <f t="shared" si="109"/>
        <v>29447.200252975828</v>
      </c>
      <c r="DD30" s="24">
        <f t="shared" si="109"/>
        <v>29152.728250446071</v>
      </c>
      <c r="DE30" s="24">
        <f t="shared" si="109"/>
        <v>28861.200967941611</v>
      </c>
      <c r="DF30" s="24">
        <f t="shared" si="109"/>
        <v>28572.588958262197</v>
      </c>
      <c r="DG30" s="24">
        <f t="shared" si="109"/>
        <v>28286.863068679573</v>
      </c>
      <c r="DH30" s="24">
        <f t="shared" si="109"/>
        <v>28003.994437992777</v>
      </c>
      <c r="DI30" s="24">
        <f t="shared" si="109"/>
        <v>27723.954493612848</v>
      </c>
      <c r="DJ30" s="24">
        <f t="shared" si="109"/>
        <v>27446.714948676719</v>
      </c>
      <c r="DK30" s="24">
        <f t="shared" si="109"/>
        <v>27172.24779918995</v>
      </c>
      <c r="DL30" s="24">
        <f t="shared" si="109"/>
        <v>26900.525321198049</v>
      </c>
      <c r="DM30" s="24">
        <f t="shared" si="109"/>
        <v>26631.520067986068</v>
      </c>
      <c r="DN30" s="24">
        <f t="shared" si="109"/>
        <v>26365.204867306209</v>
      </c>
      <c r="DO30" s="24">
        <f t="shared" si="109"/>
        <v>26101.552818633147</v>
      </c>
      <c r="DP30" s="24">
        <f t="shared" si="109"/>
        <v>25840.537290446817</v>
      </c>
      <c r="DQ30" s="24">
        <f t="shared" si="109"/>
        <v>25582.131917542349</v>
      </c>
      <c r="DR30" s="24">
        <f t="shared" si="109"/>
        <v>25326.310598366927</v>
      </c>
    </row>
    <row r="31" spans="1:122" x14ac:dyDescent="0.15">
      <c r="A31" s="3" t="s">
        <v>16</v>
      </c>
      <c r="B31" s="25">
        <f>B30/B32</f>
        <v>0.99837398373983743</v>
      </c>
      <c r="C31" s="25">
        <f>C30/C32</f>
        <v>1.1521381578947369</v>
      </c>
      <c r="D31" s="25">
        <f>D30/D32</f>
        <v>1.4617263843648209</v>
      </c>
      <c r="E31" s="25">
        <f>E30/E32</f>
        <v>1.7198996655518395</v>
      </c>
      <c r="F31" s="25">
        <f>F30/F32</f>
        <v>2.0716090985678179</v>
      </c>
      <c r="G31" s="20">
        <f t="shared" ref="F31:G31" si="110">G30/G32</f>
        <v>3.481468735304468</v>
      </c>
      <c r="H31" s="20">
        <f t="shared" ref="H31" si="111">H30/H32</f>
        <v>5.0592908960553613</v>
      </c>
      <c r="I31" s="20">
        <f t="shared" ref="I31" si="112">I30/I32</f>
        <v>7.1191790931855214</v>
      </c>
      <c r="J31" s="20">
        <f t="shared" ref="J31" si="113">J30/J32</f>
        <v>9.7922288793471832</v>
      </c>
      <c r="K31" s="20">
        <f t="shared" ref="K31" si="114">K30/K32</f>
        <v>13.243704763401078</v>
      </c>
      <c r="L31" s="20">
        <f t="shared" ref="L31" si="115">L30/L32</f>
        <v>15.589209080156333</v>
      </c>
      <c r="M31" s="20">
        <f t="shared" ref="M31" si="116">M30/M32</f>
        <v>18.188414972217892</v>
      </c>
      <c r="N31" s="20">
        <f t="shared" ref="N31" si="117">N30/N32</f>
        <v>21.067358830881332</v>
      </c>
      <c r="O31" s="20">
        <f t="shared" ref="O31" si="118">O30/O32</f>
        <v>24.25469272929314</v>
      </c>
      <c r="P31" s="20">
        <f t="shared" ref="P31" si="119">P30/P32</f>
        <v>27.781946331627747</v>
      </c>
      <c r="Q31" s="20">
        <f t="shared" ref="Q31:U31" si="120">Q30/Q32</f>
        <v>31.683814999265962</v>
      </c>
      <c r="R31" s="20">
        <f t="shared" si="120"/>
        <v>35.998476713832581</v>
      </c>
      <c r="S31" s="20">
        <f t="shared" si="120"/>
        <v>40.767940698940073</v>
      </c>
      <c r="T31" s="20">
        <f t="shared" si="120"/>
        <v>46.038430910672453</v>
      </c>
      <c r="U31" s="20">
        <f t="shared" si="120"/>
        <v>51.860807883849759</v>
      </c>
      <c r="V31" s="20">
        <f t="shared" ref="V31" si="121">V30/V32</f>
        <v>58.291032769821065</v>
      </c>
    </row>
    <row r="32" spans="1:122" x14ac:dyDescent="0.15">
      <c r="A32" s="3" t="s">
        <v>17</v>
      </c>
      <c r="B32" s="7">
        <f>Reports!E22</f>
        <v>1230</v>
      </c>
      <c r="C32" s="7">
        <f>Reports!I22</f>
        <v>1216</v>
      </c>
      <c r="D32" s="7">
        <f>Reports!M22</f>
        <v>1228</v>
      </c>
      <c r="E32" s="7">
        <f>Reports!Q22</f>
        <v>1196</v>
      </c>
      <c r="F32" s="7">
        <f>Reports!U22</f>
        <v>1187</v>
      </c>
      <c r="G32" s="7">
        <f t="shared" ref="F32:G32" si="122">F32</f>
        <v>1187</v>
      </c>
      <c r="H32" s="7">
        <f t="shared" ref="H32" si="123">G32</f>
        <v>1187</v>
      </c>
      <c r="I32" s="7">
        <f t="shared" ref="I32:M32" si="124">H32</f>
        <v>1187</v>
      </c>
      <c r="J32" s="7">
        <f t="shared" si="124"/>
        <v>1187</v>
      </c>
      <c r="K32" s="7">
        <f t="shared" si="124"/>
        <v>1187</v>
      </c>
      <c r="L32" s="7">
        <f t="shared" si="124"/>
        <v>1187</v>
      </c>
      <c r="M32" s="7">
        <f t="shared" si="124"/>
        <v>1187</v>
      </c>
      <c r="N32" s="7">
        <f t="shared" ref="N32:Q32" si="125">M32</f>
        <v>1187</v>
      </c>
      <c r="O32" s="7">
        <f t="shared" si="125"/>
        <v>1187</v>
      </c>
      <c r="P32" s="7">
        <f t="shared" si="125"/>
        <v>1187</v>
      </c>
      <c r="Q32" s="7">
        <f t="shared" si="125"/>
        <v>1187</v>
      </c>
      <c r="R32" s="7">
        <f t="shared" ref="R32" si="126">Q32</f>
        <v>1187</v>
      </c>
      <c r="S32" s="7">
        <f t="shared" ref="S32" si="127">R32</f>
        <v>1187</v>
      </c>
      <c r="T32" s="7">
        <f t="shared" ref="T32" si="128">S32</f>
        <v>1187</v>
      </c>
      <c r="U32" s="7">
        <f t="shared" ref="U32" si="129">T32</f>
        <v>1187</v>
      </c>
      <c r="V32" s="7">
        <f t="shared" ref="V32" si="130">U32</f>
        <v>1187</v>
      </c>
    </row>
    <row r="33" spans="1:22" x14ac:dyDescent="0.1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x14ac:dyDescent="0.15">
      <c r="A34" s="3" t="s">
        <v>19</v>
      </c>
      <c r="B34" s="22">
        <f t="shared" ref="B34:Q34" si="131">IFERROR(B21/B19,0)</f>
        <v>0.63029844290657444</v>
      </c>
      <c r="C34" s="22">
        <f t="shared" si="131"/>
        <v>0.59103486441615938</v>
      </c>
      <c r="D34" s="22">
        <f t="shared" si="131"/>
        <v>0.58530624713609292</v>
      </c>
      <c r="E34" s="22">
        <f t="shared" si="131"/>
        <v>0.5563393955083813</v>
      </c>
      <c r="F34" s="22">
        <f t="shared" si="131"/>
        <v>0.54028809363042984</v>
      </c>
      <c r="G34" s="22">
        <f t="shared" si="131"/>
        <v>0.54028809363042984</v>
      </c>
      <c r="H34" s="22">
        <f t="shared" si="131"/>
        <v>0.54028809363042984</v>
      </c>
      <c r="I34" s="22">
        <f t="shared" si="131"/>
        <v>0.54028809363042984</v>
      </c>
      <c r="J34" s="22">
        <f t="shared" si="131"/>
        <v>0.54028809363042984</v>
      </c>
      <c r="K34" s="22">
        <f t="shared" si="131"/>
        <v>0.54028809363042984</v>
      </c>
      <c r="L34" s="22">
        <f t="shared" si="131"/>
        <v>0.54028809363042984</v>
      </c>
      <c r="M34" s="22">
        <f t="shared" si="131"/>
        <v>0.54028809363042984</v>
      </c>
      <c r="N34" s="22">
        <f t="shared" si="131"/>
        <v>0.54028809363042984</v>
      </c>
      <c r="O34" s="22">
        <f t="shared" si="131"/>
        <v>0.54028809363042984</v>
      </c>
      <c r="P34" s="22">
        <f t="shared" si="131"/>
        <v>0.54028809363042984</v>
      </c>
      <c r="Q34" s="22">
        <f t="shared" si="131"/>
        <v>0.54028809363042984</v>
      </c>
      <c r="R34" s="22">
        <f t="shared" ref="R34:V34" si="132">IFERROR(R21/R19,0)</f>
        <v>0.54028809363042984</v>
      </c>
      <c r="S34" s="22">
        <f t="shared" si="132"/>
        <v>0.54028809363042984</v>
      </c>
      <c r="T34" s="22">
        <f t="shared" si="132"/>
        <v>0.54028809363042984</v>
      </c>
      <c r="U34" s="22">
        <f t="shared" si="132"/>
        <v>0.54028809363042984</v>
      </c>
      <c r="V34" s="22">
        <f t="shared" si="132"/>
        <v>0.54028809363042984</v>
      </c>
    </row>
    <row r="35" spans="1:22" x14ac:dyDescent="0.15">
      <c r="A35" s="3" t="s">
        <v>20</v>
      </c>
      <c r="B35" s="23">
        <f t="shared" ref="B35:Q35" si="133">IFERROR(B26/B19,0)</f>
        <v>0.15798010380622837</v>
      </c>
      <c r="C35" s="23">
        <f t="shared" si="133"/>
        <v>0.14628297362110312</v>
      </c>
      <c r="D35" s="23">
        <f t="shared" si="133"/>
        <v>0.16244081258591722</v>
      </c>
      <c r="E35" s="23">
        <f t="shared" si="133"/>
        <v>0.1419972817293379</v>
      </c>
      <c r="F35" s="23">
        <f t="shared" si="133"/>
        <v>0.15299347287868556</v>
      </c>
      <c r="G35" s="23">
        <f t="shared" si="133"/>
        <v>0.20366381919171667</v>
      </c>
      <c r="H35" s="23">
        <f t="shared" si="133"/>
        <v>0.23662767362035819</v>
      </c>
      <c r="I35" s="23">
        <f t="shared" si="133"/>
        <v>0.26593310785772284</v>
      </c>
      <c r="J35" s="23">
        <f t="shared" si="133"/>
        <v>0.29200724263315753</v>
      </c>
      <c r="K35" s="23">
        <f t="shared" si="133"/>
        <v>0.31522641977623161</v>
      </c>
      <c r="L35" s="23">
        <f t="shared" si="133"/>
        <v>0.33446342513723454</v>
      </c>
      <c r="M35" s="23">
        <f t="shared" si="133"/>
        <v>0.35198840644003881</v>
      </c>
      <c r="N35" s="23">
        <f t="shared" si="133"/>
        <v>0.36796001661137007</v>
      </c>
      <c r="O35" s="23">
        <f t="shared" si="133"/>
        <v>0.38252164559206914</v>
      </c>
      <c r="P35" s="23">
        <f t="shared" si="133"/>
        <v>0.39580293669146993</v>
      </c>
      <c r="Q35" s="23">
        <f t="shared" si="133"/>
        <v>0.40792114833574672</v>
      </c>
      <c r="R35" s="23">
        <f t="shared" ref="R35:V35" si="134">IFERROR(R26/R19,0)</f>
        <v>0.41898237728983612</v>
      </c>
      <c r="S35" s="23">
        <f t="shared" si="134"/>
        <v>0.42908265773560261</v>
      </c>
      <c r="T35" s="23">
        <f t="shared" si="134"/>
        <v>0.43830894907294027</v>
      </c>
      <c r="U35" s="23">
        <f t="shared" si="134"/>
        <v>0.44674002395604323</v>
      </c>
      <c r="V35" s="23">
        <f t="shared" si="134"/>
        <v>0.4544472668668067</v>
      </c>
    </row>
    <row r="36" spans="1:22" x14ac:dyDescent="0.15">
      <c r="A36" s="3" t="s">
        <v>21</v>
      </c>
      <c r="B36" s="23">
        <f t="shared" ref="B36:Q36" si="135">IFERROR(B29/B28,0)</f>
        <v>0.17473118279569894</v>
      </c>
      <c r="C36" s="23">
        <f t="shared" si="135"/>
        <v>0.14101778050275904</v>
      </c>
      <c r="D36" s="23">
        <f t="shared" si="135"/>
        <v>0.18409090909090908</v>
      </c>
      <c r="E36" s="23">
        <f t="shared" si="135"/>
        <v>0.13425925925925927</v>
      </c>
      <c r="F36" s="23">
        <f t="shared" si="135"/>
        <v>0.17978652434956638</v>
      </c>
      <c r="G36" s="23">
        <f t="shared" si="135"/>
        <v>0.15</v>
      </c>
      <c r="H36" s="23">
        <f t="shared" si="135"/>
        <v>0.15</v>
      </c>
      <c r="I36" s="23">
        <f t="shared" si="135"/>
        <v>0.15</v>
      </c>
      <c r="J36" s="23">
        <f t="shared" si="135"/>
        <v>0.15</v>
      </c>
      <c r="K36" s="23">
        <f t="shared" si="135"/>
        <v>0.15</v>
      </c>
      <c r="L36" s="23">
        <f t="shared" si="135"/>
        <v>0.15</v>
      </c>
      <c r="M36" s="23">
        <f t="shared" si="135"/>
        <v>0.15</v>
      </c>
      <c r="N36" s="23">
        <f t="shared" si="135"/>
        <v>0.15</v>
      </c>
      <c r="O36" s="23">
        <f t="shared" si="135"/>
        <v>0.15</v>
      </c>
      <c r="P36" s="23">
        <f t="shared" si="135"/>
        <v>0.15</v>
      </c>
      <c r="Q36" s="23">
        <f t="shared" si="135"/>
        <v>0.15</v>
      </c>
      <c r="R36" s="23">
        <f t="shared" ref="R36:V36" si="136">IFERROR(R29/R28,0)</f>
        <v>0.15</v>
      </c>
      <c r="S36" s="23">
        <f t="shared" si="136"/>
        <v>0.15</v>
      </c>
      <c r="T36" s="23">
        <f t="shared" si="136"/>
        <v>0.15</v>
      </c>
      <c r="U36" s="23">
        <f t="shared" si="136"/>
        <v>0.15</v>
      </c>
      <c r="V36" s="23">
        <f t="shared" si="136"/>
        <v>0.15</v>
      </c>
    </row>
    <row r="37" spans="1:22" x14ac:dyDescent="0.15">
      <c r="B37" s="5"/>
      <c r="C37" s="5"/>
      <c r="D37" s="5"/>
      <c r="E37" s="5"/>
      <c r="F37" s="5"/>
      <c r="G37" s="22">
        <v>0.2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x14ac:dyDescent="0.15">
      <c r="A38" s="2" t="s">
        <v>18</v>
      </c>
      <c r="B38" s="12"/>
      <c r="C38" s="21">
        <f t="shared" ref="C38:Q38" si="137">C19/B19-1</f>
        <v>0.17236159169550169</v>
      </c>
      <c r="D38" s="21">
        <f t="shared" si="137"/>
        <v>0.20771075447334431</v>
      </c>
      <c r="E38" s="21">
        <f t="shared" si="137"/>
        <v>0.18000610966855057</v>
      </c>
      <c r="F38" s="21">
        <f t="shared" si="137"/>
        <v>0.15021681444566704</v>
      </c>
      <c r="G38" s="21">
        <f>G19/F19-1</f>
        <v>0.29536437124697112</v>
      </c>
      <c r="H38" s="21">
        <f t="shared" si="137"/>
        <v>0.25</v>
      </c>
      <c r="I38" s="21">
        <f t="shared" si="137"/>
        <v>0.25</v>
      </c>
      <c r="J38" s="21">
        <f t="shared" si="137"/>
        <v>0.25</v>
      </c>
      <c r="K38" s="21">
        <f t="shared" si="137"/>
        <v>0.25</v>
      </c>
      <c r="L38" s="21">
        <f t="shared" si="137"/>
        <v>0.10000000000000009</v>
      </c>
      <c r="M38" s="21">
        <f t="shared" si="137"/>
        <v>0.10000000000000009</v>
      </c>
      <c r="N38" s="21">
        <f t="shared" si="137"/>
        <v>0.10000000000000009</v>
      </c>
      <c r="O38" s="21">
        <f t="shared" si="137"/>
        <v>0.10000000000000009</v>
      </c>
      <c r="P38" s="21">
        <f t="shared" si="137"/>
        <v>0.10000000000000009</v>
      </c>
      <c r="Q38" s="21">
        <f t="shared" si="137"/>
        <v>0.10000000000000009</v>
      </c>
      <c r="R38" s="21">
        <f t="shared" ref="R38" si="138">R19/Q19-1</f>
        <v>0.10000000000000009</v>
      </c>
      <c r="S38" s="21">
        <f t="shared" ref="S38" si="139">S19/R19-1</f>
        <v>0.10000000000000009</v>
      </c>
      <c r="T38" s="21">
        <f t="shared" ref="T38" si="140">T19/S19-1</f>
        <v>0.10000000000000009</v>
      </c>
      <c r="U38" s="21">
        <f t="shared" ref="U38" si="141">U19/T19-1</f>
        <v>0.10000000000000009</v>
      </c>
      <c r="V38" s="21">
        <f t="shared" ref="V38" si="142">V19/U19-1</f>
        <v>0.10000000000000009</v>
      </c>
    </row>
    <row r="39" spans="1:22" x14ac:dyDescent="0.15">
      <c r="A39" s="3" t="s">
        <v>79</v>
      </c>
      <c r="B39" s="5"/>
      <c r="C39" s="22">
        <f t="shared" ref="C39:Q39" si="143">C22/B22-1</f>
        <v>1.0909090909090979E-2</v>
      </c>
      <c r="D39" s="22">
        <f t="shared" si="143"/>
        <v>0.14268585131894485</v>
      </c>
      <c r="E39" s="22">
        <f t="shared" si="143"/>
        <v>0.12381951731374596</v>
      </c>
      <c r="F39" s="22">
        <f t="shared" si="143"/>
        <v>0.9467787114845938</v>
      </c>
      <c r="G39" s="22">
        <f t="shared" si="143"/>
        <v>0.10000000000000009</v>
      </c>
      <c r="H39" s="22">
        <f t="shared" si="143"/>
        <v>0.10000000000000009</v>
      </c>
      <c r="I39" s="22">
        <f t="shared" si="143"/>
        <v>0.10000000000000009</v>
      </c>
      <c r="J39" s="22">
        <f t="shared" si="143"/>
        <v>0.10000000000000009</v>
      </c>
      <c r="K39" s="22">
        <f t="shared" si="143"/>
        <v>0.10000000000000009</v>
      </c>
      <c r="L39" s="22">
        <f t="shared" si="143"/>
        <v>2.0000000000000018E-2</v>
      </c>
      <c r="M39" s="22">
        <f t="shared" si="143"/>
        <v>2.0000000000000018E-2</v>
      </c>
      <c r="N39" s="22">
        <f t="shared" si="143"/>
        <v>2.0000000000000018E-2</v>
      </c>
      <c r="O39" s="22">
        <f t="shared" si="143"/>
        <v>2.0000000000000018E-2</v>
      </c>
      <c r="P39" s="22">
        <f t="shared" si="143"/>
        <v>2.0000000000000018E-2</v>
      </c>
      <c r="Q39" s="22">
        <f t="shared" si="143"/>
        <v>2.0000000000000018E-2</v>
      </c>
      <c r="R39" s="22">
        <f t="shared" ref="R39:R41" si="144">R22/Q22-1</f>
        <v>2.0000000000000018E-2</v>
      </c>
      <c r="S39" s="22">
        <f t="shared" ref="S39:S41" si="145">S22/R22-1</f>
        <v>2.0000000000000018E-2</v>
      </c>
      <c r="T39" s="22">
        <f t="shared" ref="T39:T41" si="146">T22/S22-1</f>
        <v>2.0000000000000018E-2</v>
      </c>
      <c r="U39" s="22">
        <f t="shared" ref="U39:U41" si="147">U22/T22-1</f>
        <v>2.0000000000000018E-2</v>
      </c>
      <c r="V39" s="22">
        <f t="shared" ref="V39:V41" si="148">V22/U22-1</f>
        <v>2.0000000000000018E-2</v>
      </c>
    </row>
    <row r="40" spans="1:22" x14ac:dyDescent="0.15">
      <c r="A40" s="3" t="s">
        <v>80</v>
      </c>
      <c r="C40" s="22">
        <f t="shared" ref="C40:Q40" si="149">C23/B23-1</f>
        <v>7.0368597415031209E-2</v>
      </c>
      <c r="D40" s="22">
        <f t="shared" si="149"/>
        <v>0.11449016100178899</v>
      </c>
      <c r="E40" s="22">
        <f t="shared" si="149"/>
        <v>0.12158908507223121</v>
      </c>
      <c r="F40" s="22">
        <f t="shared" si="149"/>
        <v>7.9069767441860561E-2</v>
      </c>
      <c r="G40" s="22">
        <f t="shared" si="149"/>
        <v>0.10000000000000009</v>
      </c>
      <c r="H40" s="22">
        <f t="shared" si="149"/>
        <v>0.10000000000000009</v>
      </c>
      <c r="I40" s="22">
        <f t="shared" si="149"/>
        <v>0.10000000000000009</v>
      </c>
      <c r="J40" s="22">
        <f t="shared" si="149"/>
        <v>0.10000000000000009</v>
      </c>
      <c r="K40" s="22">
        <f t="shared" si="149"/>
        <v>0.10000000000000009</v>
      </c>
      <c r="L40" s="22">
        <f t="shared" si="149"/>
        <v>2.0000000000000018E-2</v>
      </c>
      <c r="M40" s="22">
        <f t="shared" si="149"/>
        <v>2.0000000000000018E-2</v>
      </c>
      <c r="N40" s="22">
        <f t="shared" si="149"/>
        <v>2.0000000000000018E-2</v>
      </c>
      <c r="O40" s="22">
        <f t="shared" si="149"/>
        <v>2.0000000000000018E-2</v>
      </c>
      <c r="P40" s="22">
        <f t="shared" si="149"/>
        <v>2.0000000000000018E-2</v>
      </c>
      <c r="Q40" s="22">
        <f t="shared" si="149"/>
        <v>2.0000000000000018E-2</v>
      </c>
      <c r="R40" s="22">
        <f t="shared" si="144"/>
        <v>2.0000000000000018E-2</v>
      </c>
      <c r="S40" s="22">
        <f t="shared" si="145"/>
        <v>2.0000000000000018E-2</v>
      </c>
      <c r="T40" s="22">
        <f t="shared" si="146"/>
        <v>2.0000000000000018E-2</v>
      </c>
      <c r="U40" s="22">
        <f t="shared" si="147"/>
        <v>2.0000000000000018E-2</v>
      </c>
      <c r="V40" s="22">
        <f t="shared" si="148"/>
        <v>2.0000000000000018E-2</v>
      </c>
    </row>
    <row r="41" spans="1:22" x14ac:dyDescent="0.15">
      <c r="A41" s="3" t="s">
        <v>81</v>
      </c>
      <c r="C41" s="22">
        <f t="shared" ref="C41:Q41" si="150">C24/B24-1</f>
        <v>0.20495185694635487</v>
      </c>
      <c r="D41" s="22">
        <f t="shared" si="150"/>
        <v>0.19406392694063923</v>
      </c>
      <c r="E41" s="22">
        <f t="shared" si="150"/>
        <v>0.21223709369024846</v>
      </c>
      <c r="F41" s="22">
        <f t="shared" si="150"/>
        <v>-0.29731861198738174</v>
      </c>
      <c r="G41" s="22">
        <f t="shared" si="150"/>
        <v>0.19999999999999996</v>
      </c>
      <c r="H41" s="22">
        <f t="shared" si="150"/>
        <v>0.19999999999999996</v>
      </c>
      <c r="I41" s="22">
        <f t="shared" si="150"/>
        <v>0.19999999999999996</v>
      </c>
      <c r="J41" s="22">
        <f t="shared" si="150"/>
        <v>0.19999999999999996</v>
      </c>
      <c r="K41" s="22">
        <f t="shared" si="150"/>
        <v>0.19999999999999996</v>
      </c>
      <c r="L41" s="22">
        <f t="shared" si="150"/>
        <v>-2.0000000000000018E-2</v>
      </c>
      <c r="M41" s="22">
        <f t="shared" si="150"/>
        <v>-2.0000000000000018E-2</v>
      </c>
      <c r="N41" s="22">
        <f t="shared" si="150"/>
        <v>-2.0000000000000018E-2</v>
      </c>
      <c r="O41" s="22">
        <f t="shared" si="150"/>
        <v>-2.0000000000000018E-2</v>
      </c>
      <c r="P41" s="22">
        <f t="shared" si="150"/>
        <v>-2.0000000000000018E-2</v>
      </c>
      <c r="Q41" s="22">
        <f t="shared" si="150"/>
        <v>-1.9999999999999907E-2</v>
      </c>
      <c r="R41" s="22">
        <f t="shared" si="144"/>
        <v>-2.0000000000000018E-2</v>
      </c>
      <c r="S41" s="22">
        <f t="shared" si="145"/>
        <v>-2.0000000000000018E-2</v>
      </c>
      <c r="T41" s="22">
        <f t="shared" si="146"/>
        <v>-2.0000000000000018E-2</v>
      </c>
      <c r="U41" s="22">
        <f t="shared" si="147"/>
        <v>-2.0000000000000129E-2</v>
      </c>
      <c r="V41" s="22">
        <f t="shared" si="148"/>
        <v>-2.0000000000000018E-2</v>
      </c>
    </row>
    <row r="42" spans="1:22" x14ac:dyDescent="0.15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x14ac:dyDescent="0.15">
      <c r="A43" s="2" t="s">
        <v>33</v>
      </c>
      <c r="C43" s="24">
        <f>C44-C45</f>
        <v>6514</v>
      </c>
      <c r="D43" s="24">
        <f>D44-D45</f>
        <v>6656</v>
      </c>
      <c r="E43" s="24">
        <f>E44-E45</f>
        <v>8082</v>
      </c>
      <c r="F43" s="24">
        <f>F44-F45</f>
        <v>8659</v>
      </c>
      <c r="G43" s="19">
        <f t="shared" ref="F43:Q43" si="151">F43+G30</f>
        <v>12791.503388806403</v>
      </c>
      <c r="H43" s="19">
        <f t="shared" si="151"/>
        <v>18796.881682424115</v>
      </c>
      <c r="I43" s="19">
        <f t="shared" si="151"/>
        <v>27247.347266035329</v>
      </c>
      <c r="J43" s="19">
        <f t="shared" si="151"/>
        <v>38870.722945820438</v>
      </c>
      <c r="K43" s="19">
        <f t="shared" si="151"/>
        <v>54591.000499977519</v>
      </c>
      <c r="L43" s="19">
        <f t="shared" si="151"/>
        <v>73095.391678123095</v>
      </c>
      <c r="M43" s="19">
        <f t="shared" si="151"/>
        <v>94685.040250145728</v>
      </c>
      <c r="N43" s="19">
        <f t="shared" si="151"/>
        <v>119691.99518240188</v>
      </c>
      <c r="O43" s="19">
        <f t="shared" si="151"/>
        <v>148482.31545207283</v>
      </c>
      <c r="P43" s="19">
        <f t="shared" si="151"/>
        <v>181459.48574771496</v>
      </c>
      <c r="Q43" s="19">
        <f t="shared" si="151"/>
        <v>219068.17415184365</v>
      </c>
      <c r="R43" s="19">
        <f t="shared" ref="R43" si="152">Q43+R30</f>
        <v>261798.36601116293</v>
      </c>
      <c r="S43" s="19">
        <f t="shared" ref="S43" si="153">R43+S30</f>
        <v>310189.91162080481</v>
      </c>
      <c r="T43" s="19">
        <f t="shared" ref="T43" si="154">S43+T30</f>
        <v>364837.52911177301</v>
      </c>
      <c r="U43" s="19">
        <f t="shared" ref="U43" si="155">T43+U30</f>
        <v>426396.30806990265</v>
      </c>
      <c r="V43" s="19">
        <f t="shared" ref="V43" si="156">U43+V30</f>
        <v>495587.76396768028</v>
      </c>
    </row>
    <row r="44" spans="1:22" x14ac:dyDescent="0.15">
      <c r="A44" s="3" t="s">
        <v>34</v>
      </c>
      <c r="C44" s="27">
        <f>Reports!I34</f>
        <v>6514</v>
      </c>
      <c r="D44" s="27">
        <f>Reports!M34</f>
        <v>7656</v>
      </c>
      <c r="E44" s="27">
        <f>Reports!Q34</f>
        <v>10080</v>
      </c>
      <c r="F44" s="27">
        <f>Reports!U34</f>
        <v>13624</v>
      </c>
    </row>
    <row r="45" spans="1:22" x14ac:dyDescent="0.15">
      <c r="A45" s="3" t="s">
        <v>35</v>
      </c>
      <c r="C45" s="27">
        <f>Reports!I35</f>
        <v>0</v>
      </c>
      <c r="D45" s="27">
        <f>Reports!M35</f>
        <v>1000</v>
      </c>
      <c r="E45" s="27">
        <f>Reports!Q35</f>
        <v>1998</v>
      </c>
      <c r="F45" s="27">
        <f>Reports!U35</f>
        <v>4965</v>
      </c>
    </row>
    <row r="47" spans="1:22" x14ac:dyDescent="0.15">
      <c r="A47" s="3" t="s">
        <v>82</v>
      </c>
      <c r="C47" s="27">
        <f>Reports!I37</f>
        <v>4270</v>
      </c>
      <c r="D47" s="27">
        <f>Reports!M37</f>
        <v>4507</v>
      </c>
      <c r="E47" s="27">
        <f>Reports!Q37</f>
        <v>7109</v>
      </c>
      <c r="F47" s="27">
        <f>Reports!U37</f>
        <v>6990</v>
      </c>
    </row>
    <row r="48" spans="1:22" x14ac:dyDescent="0.15">
      <c r="A48" s="3" t="s">
        <v>83</v>
      </c>
      <c r="C48" s="27">
        <f>Reports!I38</f>
        <v>33103</v>
      </c>
      <c r="D48" s="27">
        <f>Reports!M38</f>
        <v>40774</v>
      </c>
      <c r="E48" s="27">
        <f>Reports!Q38</f>
        <v>43332</v>
      </c>
      <c r="F48" s="27">
        <f>Reports!U38</f>
        <v>51333</v>
      </c>
    </row>
    <row r="49" spans="1:11" x14ac:dyDescent="0.15">
      <c r="A49" s="3" t="s">
        <v>84</v>
      </c>
      <c r="C49" s="27">
        <f>Reports!I39</f>
        <v>18391</v>
      </c>
      <c r="D49" s="27">
        <f>Reports!M39</f>
        <v>24780</v>
      </c>
      <c r="E49" s="27">
        <f>Reports!Q39</f>
        <v>27946</v>
      </c>
      <c r="F49" s="27">
        <f>Reports!U39</f>
        <v>34404</v>
      </c>
    </row>
    <row r="51" spans="1:11" x14ac:dyDescent="0.15">
      <c r="A51" s="3" t="s">
        <v>85</v>
      </c>
      <c r="C51" s="30">
        <f>C48-C47-C44</f>
        <v>22319</v>
      </c>
      <c r="D51" s="30">
        <f>D48-D47-D44</f>
        <v>28611</v>
      </c>
      <c r="E51" s="30">
        <f>E48-E47-E44</f>
        <v>26143</v>
      </c>
      <c r="F51" s="30">
        <f>F48-F47-F44</f>
        <v>30719</v>
      </c>
    </row>
    <row r="52" spans="1:11" x14ac:dyDescent="0.15">
      <c r="A52" s="3" t="s">
        <v>86</v>
      </c>
      <c r="C52" s="30">
        <f>C48-C49</f>
        <v>14712</v>
      </c>
      <c r="D52" s="30">
        <f>D48-D49</f>
        <v>15994</v>
      </c>
      <c r="E52" s="30">
        <f>E48-E49</f>
        <v>15386</v>
      </c>
      <c r="F52" s="30">
        <f>F48-F49</f>
        <v>16929</v>
      </c>
    </row>
    <row r="54" spans="1:11" x14ac:dyDescent="0.15">
      <c r="A54" s="26" t="s">
        <v>87</v>
      </c>
      <c r="C54" s="48">
        <f>C30/C52</f>
        <v>9.5228384991843398E-2</v>
      </c>
      <c r="D54" s="48">
        <f>D30/D52</f>
        <v>0.11222958609478555</v>
      </c>
      <c r="E54" s="48">
        <f>E30/E52</f>
        <v>0.13369296763291305</v>
      </c>
      <c r="F54" s="48">
        <f>F30/F52</f>
        <v>0.14525370665721543</v>
      </c>
    </row>
    <row r="55" spans="1:11" x14ac:dyDescent="0.15">
      <c r="A55" s="26" t="s">
        <v>88</v>
      </c>
      <c r="C55" s="48">
        <f>C30/C48</f>
        <v>4.2322448116484911E-2</v>
      </c>
      <c r="D55" s="48">
        <f>D30/D48</f>
        <v>4.4023152008632951E-2</v>
      </c>
      <c r="E55" s="48">
        <f>E30/E48</f>
        <v>4.7470691405889415E-2</v>
      </c>
      <c r="F55" s="48">
        <f>F30/F48</f>
        <v>4.7902908460444552E-2</v>
      </c>
    </row>
    <row r="56" spans="1:11" x14ac:dyDescent="0.15">
      <c r="A56" s="26" t="s">
        <v>89</v>
      </c>
      <c r="C56" s="48">
        <f>C30/(C52-C47)</f>
        <v>0.1341696992913235</v>
      </c>
      <c r="D56" s="48">
        <f>D30/(D52-D47)</f>
        <v>0.15626360233307218</v>
      </c>
      <c r="E56" s="48">
        <f>E30/(E52-E47)</f>
        <v>0.24851999516733117</v>
      </c>
      <c r="F56" s="48">
        <f>F30/(F52-F47)</f>
        <v>0.24740919609618675</v>
      </c>
    </row>
    <row r="57" spans="1:11" x14ac:dyDescent="0.15">
      <c r="A57" s="26" t="s">
        <v>90</v>
      </c>
      <c r="C57" s="48">
        <f>C30/C51</f>
        <v>6.2771629553295405E-2</v>
      </c>
      <c r="D57" s="48">
        <f>D30/D51</f>
        <v>6.273810772080668E-2</v>
      </c>
      <c r="E57" s="48">
        <f>E30/E51</f>
        <v>7.8682630149562019E-2</v>
      </c>
      <c r="F57" s="48">
        <f>F30/F51</f>
        <v>8.0048178651648816E-2</v>
      </c>
    </row>
    <row r="59" spans="1:11" x14ac:dyDescent="0.15">
      <c r="A59" s="3" t="s">
        <v>94</v>
      </c>
      <c r="C59" s="17">
        <f t="shared" ref="C59:I60" si="157">C16/B16-1</f>
        <v>0.1005586592178771</v>
      </c>
      <c r="D59" s="17">
        <f t="shared" si="157"/>
        <v>0.15228426395939088</v>
      </c>
      <c r="E59" s="17">
        <f t="shared" si="157"/>
        <v>0.17621145374449343</v>
      </c>
      <c r="F59" s="17">
        <f t="shared" si="157"/>
        <v>0.19999999999999996</v>
      </c>
      <c r="G59" s="17"/>
      <c r="H59" s="17"/>
      <c r="I59" s="17"/>
      <c r="J59" s="17"/>
    </row>
    <row r="60" spans="1:11" x14ac:dyDescent="0.15">
      <c r="A60" s="3" t="s">
        <v>91</v>
      </c>
      <c r="C60" s="17">
        <f t="shared" si="157"/>
        <v>6.5242258444136114E-2</v>
      </c>
      <c r="D60" s="17">
        <f t="shared" si="157"/>
        <v>4.8101403661889197E-2</v>
      </c>
      <c r="E60" s="17">
        <f t="shared" si="157"/>
        <v>3.2261681451721813E-3</v>
      </c>
      <c r="F60" s="17">
        <f t="shared" si="157"/>
        <v>-4.1485987961944137E-2</v>
      </c>
      <c r="G60" s="17"/>
      <c r="H60" s="17"/>
      <c r="I60" s="17"/>
      <c r="J60" s="17"/>
    </row>
    <row r="62" spans="1:11" s="27" customFormat="1" x14ac:dyDescent="0.15">
      <c r="A62" s="77" t="s">
        <v>58</v>
      </c>
      <c r="B62" s="27">
        <f>SUM(Reports!B53:E53)</f>
        <v>4928</v>
      </c>
      <c r="C62" s="7">
        <f>SUM(Reports!F53:I53)</f>
        <v>6129</v>
      </c>
      <c r="D62" s="27">
        <f>SUM(Reports!J53:M53)</f>
        <v>7728</v>
      </c>
      <c r="E62" s="27">
        <f>SUM(Reports!N53:Q53)</f>
        <v>9871</v>
      </c>
      <c r="F62" s="27">
        <f>SUM(Reports!R53:U53)</f>
        <v>12362</v>
      </c>
    </row>
    <row r="63" spans="1:11" s="27" customFormat="1" x14ac:dyDescent="0.15">
      <c r="A63" s="77" t="s">
        <v>60</v>
      </c>
      <c r="B63" s="27">
        <f>SUM(Reports!B54:E54)</f>
        <v>281764</v>
      </c>
      <c r="C63" s="7">
        <f>SUM(Reports!F54:I54)</f>
        <v>354015</v>
      </c>
      <c r="D63" s="27">
        <f>SUM(Reports!J54:M54)</f>
        <v>455112</v>
      </c>
      <c r="E63" s="27">
        <f>SUM(Reports!N54:Q54)</f>
        <v>578419</v>
      </c>
      <c r="F63" s="27">
        <f>SUM(Reports!R54:U54)</f>
        <v>711925</v>
      </c>
      <c r="G63" s="27">
        <f>SUM(Reports!V54:Y54)</f>
        <v>922202.28</v>
      </c>
      <c r="H63" s="27">
        <f>G63*1.25</f>
        <v>1152752.8500000001</v>
      </c>
      <c r="I63" s="27">
        <f>H63*1.25</f>
        <v>1440941.0625</v>
      </c>
      <c r="J63" s="27">
        <f>I63*1.25</f>
        <v>1801176.328125</v>
      </c>
      <c r="K63" s="27">
        <f>J63*1.25</f>
        <v>2251470.41015625</v>
      </c>
    </row>
    <row r="64" spans="1:11" x14ac:dyDescent="0.15">
      <c r="A64" s="72"/>
    </row>
    <row r="65" spans="1:11" s="17" customFormat="1" x14ac:dyDescent="0.15">
      <c r="A65" s="84" t="s">
        <v>103</v>
      </c>
      <c r="C65" s="17">
        <f>C62/B62-1</f>
        <v>0.2437094155844155</v>
      </c>
      <c r="D65" s="17">
        <f>D62/C62-1</f>
        <v>0.2608908467939306</v>
      </c>
      <c r="E65" s="17">
        <f>E62/D62-1</f>
        <v>0.27730331262939956</v>
      </c>
      <c r="F65" s="17">
        <f>F62/E62-1</f>
        <v>0.25235538445952788</v>
      </c>
    </row>
    <row r="66" spans="1:11" x14ac:dyDescent="0.15">
      <c r="A66" s="84" t="s">
        <v>104</v>
      </c>
      <c r="C66" s="17">
        <f>C63/B63-1</f>
        <v>0.25642381567552985</v>
      </c>
      <c r="D66" s="17">
        <f>D63/C63-1</f>
        <v>0.28557264522689718</v>
      </c>
      <c r="E66" s="17">
        <f>E63/D63-1</f>
        <v>0.27093770324667332</v>
      </c>
      <c r="F66" s="17">
        <f>F63/E63-1</f>
        <v>0.23081192007869733</v>
      </c>
      <c r="G66" s="17">
        <f>G63/F63-1</f>
        <v>0.29536437124697135</v>
      </c>
      <c r="H66" s="17">
        <f>H63/G63-1</f>
        <v>0.25</v>
      </c>
      <c r="I66" s="17">
        <f>I63/H63-1</f>
        <v>0.25</v>
      </c>
      <c r="J66" s="17">
        <f>J63/I63-1</f>
        <v>0.25</v>
      </c>
      <c r="K66" s="17">
        <f>K63/J63-1</f>
        <v>0.25</v>
      </c>
    </row>
    <row r="67" spans="1:11" x14ac:dyDescent="0.15">
      <c r="A67" s="72"/>
    </row>
    <row r="68" spans="1:11" x14ac:dyDescent="0.15">
      <c r="A68" s="72" t="s">
        <v>105</v>
      </c>
      <c r="C68" s="17">
        <f>C19/C63</f>
        <v>3.0625820939790688E-2</v>
      </c>
      <c r="D68" s="17">
        <f>D19/D63</f>
        <v>2.8770939900508007E-2</v>
      </c>
      <c r="E68" s="17">
        <f>E19/E63</f>
        <v>2.6712469680283669E-2</v>
      </c>
      <c r="F68" s="17">
        <f>F19/F63</f>
        <v>2.4963303718790603E-2</v>
      </c>
      <c r="G68" s="17">
        <f>G19/G63</f>
        <v>2.4963303718790599E-2</v>
      </c>
      <c r="H68" s="17">
        <f>H19/H63</f>
        <v>2.4963303718790599E-2</v>
      </c>
      <c r="I68" s="17">
        <f>I19/I63</f>
        <v>2.4963303718790603E-2</v>
      </c>
      <c r="J68" s="17">
        <f>J19/J63</f>
        <v>2.4963303718790603E-2</v>
      </c>
      <c r="K68" s="17">
        <f>K19/K63</f>
        <v>2.4963303718790603E-2</v>
      </c>
    </row>
  </sheetData>
  <phoneticPr fontId="4" type="noConversion"/>
  <hyperlinks>
    <hyperlink ref="A1" r:id="rId1" xr:uid="{00000000-0004-0000-0000-000000000000}"/>
    <hyperlink ref="A4" r:id="rId2" xr:uid="{00000000-0004-0000-0000-000001000000}"/>
    <hyperlink ref="A7" r:id="rId3" xr:uid="{00000000-0004-0000-0000-000002000000}"/>
    <hyperlink ref="A8" r:id="rId4" xr:uid="{00000000-0004-0000-0000-000003000000}"/>
    <hyperlink ref="A9" r:id="rId5" xr:uid="{00000000-0004-0000-0000-000004000000}"/>
    <hyperlink ref="A11" r:id="rId6" xr:uid="{00000000-0004-0000-0000-000005000000}"/>
    <hyperlink ref="A10" r:id="rId7" xr:uid="{00000000-0004-0000-0000-000006000000}"/>
  </hyperlinks>
  <pageMargins left="0.7" right="0.7" top="0.75" bottom="0.75" header="0.3" footer="0.3"/>
  <pageSetup paperSize="9" orientation="portrait" horizontalDpi="0" verticalDpi="0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9"/>
  <sheetViews>
    <sheetView zoomScale="120" zoomScaleNormal="120" workbookViewId="0">
      <pane xSplit="1" ySplit="2" topLeftCell="Q3" activePane="bottomRight" state="frozen"/>
      <selection pane="topRight" activeCell="B1" sqref="B1"/>
      <selection pane="bottomLeft" activeCell="A3" sqref="A3"/>
      <selection pane="bottomRight" activeCell="AA9" sqref="AA9"/>
    </sheetView>
  </sheetViews>
  <sheetFormatPr baseColWidth="10" defaultRowHeight="13" x14ac:dyDescent="0.15"/>
  <cols>
    <col min="1" max="1" width="17.1640625" style="72" bestFit="1" customWidth="1"/>
    <col min="2" max="5" width="10.83203125" style="31" customWidth="1"/>
    <col min="6" max="6" width="10.83203125" style="35" customWidth="1"/>
    <col min="7" max="8" width="10.83203125" style="31" customWidth="1"/>
    <col min="9" max="9" width="10.83203125" style="31"/>
    <col min="10" max="10" width="10.83203125" style="35"/>
    <col min="11" max="13" width="10.83203125" style="31"/>
    <col min="14" max="14" width="10.83203125" style="35"/>
    <col min="15" max="16" width="10.83203125" style="31"/>
    <col min="17" max="17" width="10.83203125" style="63"/>
    <col min="18" max="18" width="10.83203125" style="35"/>
    <col min="19" max="21" width="10.83203125" style="31"/>
    <col min="22" max="22" width="10.83203125" style="29"/>
    <col min="23" max="16384" width="10.83203125" style="3"/>
  </cols>
  <sheetData>
    <row r="1" spans="1:25" s="31" customFormat="1" x14ac:dyDescent="0.15">
      <c r="A1" s="71" t="s">
        <v>93</v>
      </c>
      <c r="B1" s="31" t="s">
        <v>50</v>
      </c>
      <c r="C1" s="31" t="s">
        <v>51</v>
      </c>
      <c r="D1" s="31" t="s">
        <v>52</v>
      </c>
      <c r="E1" s="31" t="s">
        <v>53</v>
      </c>
      <c r="F1" s="35" t="s">
        <v>22</v>
      </c>
      <c r="G1" s="31" t="s">
        <v>23</v>
      </c>
      <c r="H1" s="31" t="s">
        <v>24</v>
      </c>
      <c r="I1" s="31" t="s">
        <v>25</v>
      </c>
      <c r="J1" s="33" t="s">
        <v>0</v>
      </c>
      <c r="K1" s="32" t="s">
        <v>1</v>
      </c>
      <c r="L1" s="32" t="s">
        <v>2</v>
      </c>
      <c r="M1" s="32" t="s">
        <v>3</v>
      </c>
      <c r="N1" s="33" t="s">
        <v>42</v>
      </c>
      <c r="O1" s="32" t="s">
        <v>43</v>
      </c>
      <c r="P1" s="32" t="s">
        <v>44</v>
      </c>
      <c r="Q1" s="62" t="s">
        <v>45</v>
      </c>
      <c r="R1" s="35" t="s">
        <v>95</v>
      </c>
      <c r="S1" s="31" t="s">
        <v>96</v>
      </c>
      <c r="T1" s="31" t="s">
        <v>97</v>
      </c>
      <c r="U1" s="31" t="s">
        <v>98</v>
      </c>
      <c r="V1" s="35" t="s">
        <v>99</v>
      </c>
      <c r="W1" s="31" t="s">
        <v>100</v>
      </c>
      <c r="X1" s="31" t="s">
        <v>101</v>
      </c>
      <c r="Y1" s="31" t="s">
        <v>102</v>
      </c>
    </row>
    <row r="2" spans="1:25" s="31" customFormat="1" x14ac:dyDescent="0.15">
      <c r="A2" s="71"/>
      <c r="B2" s="31" t="s">
        <v>54</v>
      </c>
      <c r="C2" s="31" t="s">
        <v>55</v>
      </c>
      <c r="D2" s="31" t="s">
        <v>56</v>
      </c>
      <c r="E2" s="31" t="s">
        <v>57</v>
      </c>
      <c r="F2" s="35" t="s">
        <v>29</v>
      </c>
      <c r="G2" s="31" t="s">
        <v>28</v>
      </c>
      <c r="H2" s="31" t="s">
        <v>27</v>
      </c>
      <c r="I2" s="31" t="s">
        <v>32</v>
      </c>
      <c r="J2" s="35" t="s">
        <v>31</v>
      </c>
      <c r="K2" s="31" t="s">
        <v>30</v>
      </c>
      <c r="L2" s="31" t="s">
        <v>26</v>
      </c>
      <c r="M2" s="31" t="s">
        <v>36</v>
      </c>
      <c r="N2" s="35" t="s">
        <v>46</v>
      </c>
      <c r="O2" s="31" t="s">
        <v>47</v>
      </c>
      <c r="P2" s="31" t="s">
        <v>48</v>
      </c>
      <c r="Q2" s="63" t="s">
        <v>49</v>
      </c>
      <c r="R2" s="79">
        <v>43555</v>
      </c>
      <c r="S2" s="78">
        <v>43646</v>
      </c>
      <c r="T2" s="78">
        <v>43738</v>
      </c>
      <c r="U2" s="78">
        <v>43830</v>
      </c>
      <c r="V2" s="79">
        <v>43921</v>
      </c>
      <c r="W2" s="78">
        <v>44012</v>
      </c>
      <c r="X2" s="78">
        <v>44104</v>
      </c>
    </row>
    <row r="3" spans="1:25" s="27" customFormat="1" x14ac:dyDescent="0.15">
      <c r="A3" s="77" t="s">
        <v>58</v>
      </c>
      <c r="B3" s="32">
        <v>1914</v>
      </c>
      <c r="C3" s="32">
        <v>1970</v>
      </c>
      <c r="D3" s="32">
        <v>1982</v>
      </c>
      <c r="E3" s="32">
        <v>2262</v>
      </c>
      <c r="F3" s="33">
        <v>2238</v>
      </c>
      <c r="G3" s="32">
        <v>2323</v>
      </c>
      <c r="H3" s="32">
        <v>2314</v>
      </c>
      <c r="I3" s="32">
        <v>2615</v>
      </c>
      <c r="J3" s="33">
        <v>2624</v>
      </c>
      <c r="K3" s="34">
        <v>2775</v>
      </c>
      <c r="L3" s="34">
        <v>2858</v>
      </c>
      <c r="M3" s="34">
        <v>3221</v>
      </c>
      <c r="N3" s="33">
        <v>3197</v>
      </c>
      <c r="O3" s="34">
        <v>3318</v>
      </c>
      <c r="P3" s="34">
        <v>3343</v>
      </c>
      <c r="Q3" s="64">
        <v>3851</v>
      </c>
      <c r="R3" s="33">
        <v>3731</v>
      </c>
      <c r="S3" s="32">
        <v>3878</v>
      </c>
      <c r="T3" s="32">
        <v>3955</v>
      </c>
      <c r="U3" s="32">
        <v>4535</v>
      </c>
      <c r="V3" s="28">
        <v>4215</v>
      </c>
      <c r="W3" s="27">
        <v>4945</v>
      </c>
      <c r="X3" s="27">
        <v>5076</v>
      </c>
    </row>
    <row r="4" spans="1:25" s="27" customFormat="1" x14ac:dyDescent="0.15">
      <c r="A4" s="77" t="s">
        <v>62</v>
      </c>
      <c r="B4" s="32">
        <v>223</v>
      </c>
      <c r="C4" s="32">
        <v>327</v>
      </c>
      <c r="D4" s="32">
        <v>276</v>
      </c>
      <c r="E4" s="32">
        <v>294</v>
      </c>
      <c r="F4" s="33">
        <v>306</v>
      </c>
      <c r="G4" s="32">
        <v>327</v>
      </c>
      <c r="H4" s="32">
        <v>353</v>
      </c>
      <c r="I4" s="32">
        <v>366</v>
      </c>
      <c r="J4" s="33">
        <v>351</v>
      </c>
      <c r="K4" s="34">
        <v>361</v>
      </c>
      <c r="L4" s="34">
        <v>381</v>
      </c>
      <c r="M4" s="34">
        <v>523</v>
      </c>
      <c r="N4" s="33">
        <v>488</v>
      </c>
      <c r="O4" s="34">
        <v>539</v>
      </c>
      <c r="P4" s="34">
        <v>340</v>
      </c>
      <c r="Q4" s="64">
        <v>375</v>
      </c>
      <c r="R4" s="33">
        <v>397</v>
      </c>
      <c r="S4" s="32">
        <v>427</v>
      </c>
      <c r="T4" s="32">
        <v>423</v>
      </c>
      <c r="U4" s="32">
        <v>426</v>
      </c>
      <c r="V4" s="28">
        <v>403</v>
      </c>
      <c r="W4" s="27">
        <v>316</v>
      </c>
      <c r="X4" s="27">
        <v>383</v>
      </c>
    </row>
    <row r="5" spans="1:25" x14ac:dyDescent="0.15">
      <c r="B5" s="32"/>
      <c r="C5" s="32"/>
      <c r="D5" s="32"/>
      <c r="E5" s="32"/>
      <c r="F5" s="33"/>
      <c r="G5" s="32"/>
      <c r="H5" s="32"/>
      <c r="I5" s="32"/>
      <c r="J5" s="33"/>
      <c r="K5" s="34"/>
      <c r="L5" s="34"/>
      <c r="M5" s="34"/>
      <c r="N5" s="33"/>
      <c r="O5" s="34"/>
      <c r="P5" s="34"/>
      <c r="Q5" s="64"/>
    </row>
    <row r="6" spans="1:25" x14ac:dyDescent="0.15">
      <c r="A6" s="72" t="s">
        <v>59</v>
      </c>
      <c r="B6" s="32">
        <v>165</v>
      </c>
      <c r="C6" s="32">
        <v>169</v>
      </c>
      <c r="D6" s="32">
        <v>173</v>
      </c>
      <c r="E6" s="32">
        <v>179</v>
      </c>
      <c r="F6" s="33">
        <v>184</v>
      </c>
      <c r="G6" s="32">
        <v>188</v>
      </c>
      <c r="H6" s="32">
        <v>192</v>
      </c>
      <c r="I6" s="32">
        <v>197</v>
      </c>
      <c r="J6" s="33">
        <v>205</v>
      </c>
      <c r="K6" s="32">
        <v>212</v>
      </c>
      <c r="L6" s="34">
        <v>220</v>
      </c>
      <c r="M6" s="34">
        <v>227</v>
      </c>
      <c r="N6" s="33">
        <v>237</v>
      </c>
      <c r="O6" s="34">
        <v>244</v>
      </c>
      <c r="P6" s="34">
        <v>254</v>
      </c>
      <c r="Q6" s="64">
        <v>267</v>
      </c>
      <c r="R6" s="35">
        <v>277</v>
      </c>
      <c r="S6" s="31">
        <v>286</v>
      </c>
      <c r="T6" s="31">
        <v>295</v>
      </c>
      <c r="U6" s="31">
        <v>305</v>
      </c>
      <c r="V6" s="29">
        <v>325</v>
      </c>
      <c r="W6" s="3">
        <v>346</v>
      </c>
      <c r="X6" s="3">
        <v>361</v>
      </c>
    </row>
    <row r="7" spans="1:25" s="59" customFormat="1" x14ac:dyDescent="0.15">
      <c r="A7" s="73" t="s">
        <v>78</v>
      </c>
      <c r="B7" s="60">
        <f t="shared" ref="B7:I7" si="0">SUM(B3:B4)/B6</f>
        <v>12.951515151515151</v>
      </c>
      <c r="C7" s="60">
        <f t="shared" si="0"/>
        <v>13.591715976331361</v>
      </c>
      <c r="D7" s="60">
        <f t="shared" si="0"/>
        <v>13.052023121387283</v>
      </c>
      <c r="E7" s="60">
        <f t="shared" si="0"/>
        <v>14.279329608938548</v>
      </c>
      <c r="F7" s="61">
        <f t="shared" si="0"/>
        <v>13.826086956521738</v>
      </c>
      <c r="G7" s="60">
        <f t="shared" si="0"/>
        <v>14.095744680851064</v>
      </c>
      <c r="H7" s="60">
        <f t="shared" si="0"/>
        <v>13.890625</v>
      </c>
      <c r="I7" s="60">
        <f t="shared" si="0"/>
        <v>15.131979695431472</v>
      </c>
      <c r="J7" s="61">
        <f t="shared" ref="J7:Q7" si="1">SUM(J3:J4)/J6</f>
        <v>14.512195121951219</v>
      </c>
      <c r="K7" s="60">
        <f t="shared" si="1"/>
        <v>14.79245283018868</v>
      </c>
      <c r="L7" s="60">
        <f t="shared" si="1"/>
        <v>14.722727272727273</v>
      </c>
      <c r="M7" s="60">
        <f t="shared" si="1"/>
        <v>16.493392070484582</v>
      </c>
      <c r="N7" s="61">
        <f t="shared" si="1"/>
        <v>15.548523206751055</v>
      </c>
      <c r="O7" s="60">
        <f t="shared" si="1"/>
        <v>15.807377049180328</v>
      </c>
      <c r="P7" s="60">
        <f t="shared" si="1"/>
        <v>14.5</v>
      </c>
      <c r="Q7" s="60">
        <f t="shared" si="1"/>
        <v>15.827715355805243</v>
      </c>
      <c r="R7" s="61">
        <f t="shared" ref="R7:X7" si="2">SUM(R3:R4)/R6</f>
        <v>14.902527075812275</v>
      </c>
      <c r="S7" s="60">
        <f t="shared" si="2"/>
        <v>15.052447552447552</v>
      </c>
      <c r="T7" s="60">
        <f t="shared" si="2"/>
        <v>14.840677966101694</v>
      </c>
      <c r="U7" s="60">
        <f t="shared" si="2"/>
        <v>16.265573770491802</v>
      </c>
      <c r="V7" s="61">
        <f t="shared" si="2"/>
        <v>14.20923076923077</v>
      </c>
      <c r="W7" s="60">
        <f t="shared" si="2"/>
        <v>15.205202312138729</v>
      </c>
      <c r="X7" s="60">
        <f t="shared" si="2"/>
        <v>15.121883656509695</v>
      </c>
    </row>
    <row r="8" spans="1:25" x14ac:dyDescent="0.15">
      <c r="I8" s="32"/>
      <c r="K8" s="36"/>
      <c r="L8" s="36"/>
      <c r="M8" s="36"/>
      <c r="O8" s="36"/>
      <c r="P8" s="36"/>
      <c r="Q8" s="66"/>
      <c r="R8" s="35">
        <v>4080</v>
      </c>
    </row>
    <row r="9" spans="1:25" s="70" customFormat="1" x14ac:dyDescent="0.15">
      <c r="A9" s="80" t="s">
        <v>4</v>
      </c>
      <c r="B9" s="37">
        <f>B7*B6</f>
        <v>2137</v>
      </c>
      <c r="C9" s="37">
        <f t="shared" ref="C9:H9" si="3">C7*C6</f>
        <v>2297</v>
      </c>
      <c r="D9" s="37">
        <f t="shared" si="3"/>
        <v>2258</v>
      </c>
      <c r="E9" s="37">
        <f t="shared" si="3"/>
        <v>2556</v>
      </c>
      <c r="F9" s="38">
        <f t="shared" si="3"/>
        <v>2544</v>
      </c>
      <c r="G9" s="37">
        <f t="shared" si="3"/>
        <v>2650</v>
      </c>
      <c r="H9" s="37">
        <f t="shared" si="3"/>
        <v>2667</v>
      </c>
      <c r="I9" s="37">
        <f t="shared" ref="I9:P9" si="4">I7*I6</f>
        <v>2981</v>
      </c>
      <c r="J9" s="38">
        <f t="shared" si="4"/>
        <v>2975</v>
      </c>
      <c r="K9" s="37">
        <f t="shared" si="4"/>
        <v>3136</v>
      </c>
      <c r="L9" s="37">
        <f t="shared" si="4"/>
        <v>3239</v>
      </c>
      <c r="M9" s="37">
        <f t="shared" si="4"/>
        <v>3744</v>
      </c>
      <c r="N9" s="38">
        <f t="shared" si="4"/>
        <v>3685</v>
      </c>
      <c r="O9" s="37">
        <f t="shared" si="4"/>
        <v>3857</v>
      </c>
      <c r="P9" s="37">
        <f t="shared" si="4"/>
        <v>3683</v>
      </c>
      <c r="Q9" s="37">
        <f>Q7*Q6</f>
        <v>4226</v>
      </c>
      <c r="R9" s="38">
        <f t="shared" ref="R9:X9" si="5">R7*R6</f>
        <v>4128</v>
      </c>
      <c r="S9" s="37">
        <f t="shared" si="5"/>
        <v>4305</v>
      </c>
      <c r="T9" s="37">
        <f t="shared" si="5"/>
        <v>4378</v>
      </c>
      <c r="U9" s="37">
        <f t="shared" si="5"/>
        <v>4960.9999999999991</v>
      </c>
      <c r="V9" s="38">
        <f t="shared" si="5"/>
        <v>4618</v>
      </c>
      <c r="W9" s="37">
        <f t="shared" si="5"/>
        <v>5261</v>
      </c>
      <c r="X9" s="37">
        <f t="shared" si="5"/>
        <v>5459</v>
      </c>
      <c r="Y9" s="70">
        <f>Y54*X59</f>
        <v>5824.619850420162</v>
      </c>
    </row>
    <row r="10" spans="1:25" s="27" customFormat="1" x14ac:dyDescent="0.15">
      <c r="A10" s="77" t="s">
        <v>5</v>
      </c>
      <c r="B10" s="34">
        <f>575+178</f>
        <v>753</v>
      </c>
      <c r="C10" s="34">
        <f>634+185</f>
        <v>819</v>
      </c>
      <c r="D10" s="34">
        <f>651+201</f>
        <v>852</v>
      </c>
      <c r="E10" s="34">
        <f>750+245</f>
        <v>995</v>
      </c>
      <c r="F10" s="33">
        <f>752+255</f>
        <v>1007</v>
      </c>
      <c r="G10" s="32">
        <f>810+255</f>
        <v>1065</v>
      </c>
      <c r="H10" s="32">
        <f>830+271</f>
        <v>1101</v>
      </c>
      <c r="I10" s="32">
        <f>954+307</f>
        <v>1261</v>
      </c>
      <c r="J10" s="33">
        <f>987+300</f>
        <v>1287</v>
      </c>
      <c r="K10" s="34">
        <f>1064+308</f>
        <v>1372</v>
      </c>
      <c r="L10" s="34">
        <f>1102+363</f>
        <v>1465</v>
      </c>
      <c r="M10" s="34">
        <f>1266+40</f>
        <v>1306</v>
      </c>
      <c r="N10" s="33">
        <f>1275+305</f>
        <v>1580</v>
      </c>
      <c r="O10" s="34">
        <f>1362+334</f>
        <v>1696</v>
      </c>
      <c r="P10" s="34">
        <f>1366+295</f>
        <v>1661</v>
      </c>
      <c r="Q10" s="64">
        <f>1578+340</f>
        <v>1918</v>
      </c>
      <c r="R10" s="33">
        <f>1549+341</f>
        <v>1890</v>
      </c>
      <c r="S10" s="32">
        <f>1627+318</f>
        <v>1945</v>
      </c>
      <c r="T10" s="32">
        <f>1701+340</f>
        <v>2041</v>
      </c>
      <c r="U10" s="32">
        <f>1913+381</f>
        <v>2294</v>
      </c>
      <c r="V10" s="28">
        <f>1739+591</f>
        <v>2330</v>
      </c>
      <c r="W10" s="27">
        <f>1843+440</f>
        <v>2283</v>
      </c>
      <c r="X10" s="27">
        <f>2022+344</f>
        <v>2366</v>
      </c>
    </row>
    <row r="11" spans="1:25" s="27" customFormat="1" x14ac:dyDescent="0.15">
      <c r="A11" s="77" t="s">
        <v>6</v>
      </c>
      <c r="B11" s="42">
        <f>B9-B10</f>
        <v>1384</v>
      </c>
      <c r="C11" s="42">
        <f>C9-C10</f>
        <v>1478</v>
      </c>
      <c r="D11" s="42">
        <f>D9-D10</f>
        <v>1406</v>
      </c>
      <c r="E11" s="42">
        <f>E9-E10</f>
        <v>1561</v>
      </c>
      <c r="F11" s="43">
        <f>F9-F10</f>
        <v>1537</v>
      </c>
      <c r="G11" s="44">
        <f t="shared" ref="G11:K11" si="6">G9-G10</f>
        <v>1585</v>
      </c>
      <c r="H11" s="44">
        <f t="shared" si="6"/>
        <v>1566</v>
      </c>
      <c r="I11" s="44">
        <f t="shared" si="6"/>
        <v>1720</v>
      </c>
      <c r="J11" s="43">
        <f t="shared" si="6"/>
        <v>1688</v>
      </c>
      <c r="K11" s="42">
        <f t="shared" si="6"/>
        <v>1764</v>
      </c>
      <c r="L11" s="42">
        <f>L9-L10</f>
        <v>1774</v>
      </c>
      <c r="M11" s="42">
        <f t="shared" ref="M11:N11" si="7">M9-M10</f>
        <v>2438</v>
      </c>
      <c r="N11" s="43">
        <f t="shared" si="7"/>
        <v>2105</v>
      </c>
      <c r="O11" s="42">
        <f t="shared" ref="O11:R11" si="8">O9-O10</f>
        <v>2161</v>
      </c>
      <c r="P11" s="42">
        <f t="shared" si="8"/>
        <v>2022</v>
      </c>
      <c r="Q11" s="42">
        <f t="shared" si="8"/>
        <v>2308</v>
      </c>
      <c r="R11" s="43">
        <f t="shared" si="8"/>
        <v>2238</v>
      </c>
      <c r="S11" s="42">
        <f t="shared" ref="S11:U11" si="9">S9-S10</f>
        <v>2360</v>
      </c>
      <c r="T11" s="42">
        <f t="shared" si="9"/>
        <v>2337</v>
      </c>
      <c r="U11" s="42">
        <f t="shared" si="9"/>
        <v>2666.9999999999991</v>
      </c>
      <c r="V11" s="43">
        <f t="shared" ref="V11:X11" si="10">V9-V10</f>
        <v>2288</v>
      </c>
      <c r="W11" s="42">
        <f t="shared" si="10"/>
        <v>2978</v>
      </c>
      <c r="X11" s="42">
        <f t="shared" si="10"/>
        <v>3093</v>
      </c>
    </row>
    <row r="12" spans="1:25" s="27" customFormat="1" x14ac:dyDescent="0.15">
      <c r="A12" s="77" t="s">
        <v>7</v>
      </c>
      <c r="B12" s="34">
        <v>185</v>
      </c>
      <c r="C12" s="34">
        <v>202</v>
      </c>
      <c r="D12" s="34">
        <v>230</v>
      </c>
      <c r="E12" s="34">
        <v>208</v>
      </c>
      <c r="F12" s="33">
        <v>195</v>
      </c>
      <c r="G12" s="32">
        <v>209</v>
      </c>
      <c r="H12" s="32">
        <v>215</v>
      </c>
      <c r="I12" s="32">
        <v>215</v>
      </c>
      <c r="J12" s="33">
        <v>214</v>
      </c>
      <c r="K12" s="34">
        <v>232</v>
      </c>
      <c r="L12" s="34">
        <v>240</v>
      </c>
      <c r="M12" s="34">
        <v>267</v>
      </c>
      <c r="N12" s="33">
        <v>258</v>
      </c>
      <c r="O12" s="34">
        <v>255</v>
      </c>
      <c r="P12" s="34">
        <v>269</v>
      </c>
      <c r="Q12" s="64">
        <v>289</v>
      </c>
      <c r="R12" s="33">
        <v>511</v>
      </c>
      <c r="S12" s="32">
        <v>483</v>
      </c>
      <c r="T12" s="32">
        <v>533</v>
      </c>
      <c r="U12" s="32">
        <v>558</v>
      </c>
      <c r="V12" s="28">
        <v>605</v>
      </c>
      <c r="W12" s="27">
        <v>631</v>
      </c>
      <c r="X12" s="27">
        <v>674</v>
      </c>
    </row>
    <row r="13" spans="1:25" s="27" customFormat="1" x14ac:dyDescent="0.15">
      <c r="A13" s="77" t="s">
        <v>8</v>
      </c>
      <c r="B13" s="34">
        <f>249+222</f>
        <v>471</v>
      </c>
      <c r="C13" s="34">
        <f>278+234</f>
        <v>512</v>
      </c>
      <c r="D13" s="34">
        <f>317+235</f>
        <v>552</v>
      </c>
      <c r="E13" s="34">
        <f>299+255</f>
        <v>554</v>
      </c>
      <c r="F13" s="33">
        <f>296+233</f>
        <v>529</v>
      </c>
      <c r="G13" s="32">
        <f>318+250</f>
        <v>568</v>
      </c>
      <c r="H13" s="32">
        <f>325+233</f>
        <v>558</v>
      </c>
      <c r="I13" s="32">
        <f>328+253</f>
        <v>581</v>
      </c>
      <c r="J13" s="33">
        <f>317+238</f>
        <v>555</v>
      </c>
      <c r="K13" s="34">
        <f>335+284</f>
        <v>619</v>
      </c>
      <c r="L13" s="34">
        <f>346+278</f>
        <v>624</v>
      </c>
      <c r="M13" s="34">
        <f>366+328</f>
        <v>694</v>
      </c>
      <c r="N13" s="33">
        <f>351+285</f>
        <v>636</v>
      </c>
      <c r="O13" s="34">
        <f>357+313</f>
        <v>670</v>
      </c>
      <c r="P13" s="34">
        <f>367+326</f>
        <v>693</v>
      </c>
      <c r="Q13" s="64">
        <f>407+389</f>
        <v>796</v>
      </c>
      <c r="R13" s="33">
        <f>388+329</f>
        <v>717</v>
      </c>
      <c r="S13" s="32">
        <f>399+356</f>
        <v>755</v>
      </c>
      <c r="T13" s="32">
        <f>390+316</f>
        <v>706</v>
      </c>
      <c r="U13" s="32">
        <f>438+400</f>
        <v>838</v>
      </c>
      <c r="V13" s="28">
        <f>399+371</f>
        <v>770</v>
      </c>
      <c r="W13" s="27">
        <f>423+414</f>
        <v>837</v>
      </c>
      <c r="X13" s="27">
        <f>449+471</f>
        <v>920</v>
      </c>
    </row>
    <row r="14" spans="1:25" s="27" customFormat="1" x14ac:dyDescent="0.15">
      <c r="A14" s="77" t="s">
        <v>9</v>
      </c>
      <c r="B14" s="34">
        <f>217+141+48</f>
        <v>406</v>
      </c>
      <c r="C14" s="34">
        <f>215+150+1</f>
        <v>366</v>
      </c>
      <c r="D14" s="34">
        <f>141+153</f>
        <v>294</v>
      </c>
      <c r="E14" s="34">
        <f>225+164-1</f>
        <v>388</v>
      </c>
      <c r="F14" s="33">
        <f>231+175</f>
        <v>406</v>
      </c>
      <c r="G14" s="32">
        <f>261+176</f>
        <v>437</v>
      </c>
      <c r="H14" s="32">
        <f>261+184</f>
        <v>445</v>
      </c>
      <c r="I14" s="32">
        <f>275+189</f>
        <v>464</v>
      </c>
      <c r="J14" s="33">
        <f>265+183+40</f>
        <v>488</v>
      </c>
      <c r="K14" s="34">
        <f>282+201</f>
        <v>483</v>
      </c>
      <c r="L14" s="34">
        <f>293+194</f>
        <v>487</v>
      </c>
      <c r="M14" s="34">
        <f>315+227+92</f>
        <v>634</v>
      </c>
      <c r="N14" s="33">
        <f>339+185+153</f>
        <v>677</v>
      </c>
      <c r="O14" s="34">
        <f>368+180+116</f>
        <v>664</v>
      </c>
      <c r="P14" s="34">
        <f>354+188+28</f>
        <v>570</v>
      </c>
      <c r="Q14" s="64">
        <f>390+223+12</f>
        <v>625</v>
      </c>
      <c r="R14" s="33">
        <f>419+73</f>
        <v>492</v>
      </c>
      <c r="S14" s="32">
        <f>419-2</f>
        <v>417</v>
      </c>
      <c r="T14" s="32">
        <v>401</v>
      </c>
      <c r="U14" s="32">
        <v>472</v>
      </c>
      <c r="V14" s="28">
        <f>486+29</f>
        <v>515</v>
      </c>
      <c r="W14" s="27">
        <f>512+47</f>
        <v>559</v>
      </c>
      <c r="X14" s="27">
        <f>503+19</f>
        <v>522</v>
      </c>
    </row>
    <row r="15" spans="1:25" s="27" customFormat="1" x14ac:dyDescent="0.15">
      <c r="A15" s="77" t="s">
        <v>10</v>
      </c>
      <c r="B15" s="42">
        <f>SUM(B12:B14)</f>
        <v>1062</v>
      </c>
      <c r="C15" s="42">
        <f>SUM(C12:C14)</f>
        <v>1080</v>
      </c>
      <c r="D15" s="42">
        <f>SUM(D12:D14)</f>
        <v>1076</v>
      </c>
      <c r="E15" s="42">
        <f>SUM(E12:E14)</f>
        <v>1150</v>
      </c>
      <c r="F15" s="43">
        <f>SUM(F12:F14)</f>
        <v>1130</v>
      </c>
      <c r="G15" s="44">
        <f t="shared" ref="G15:L15" si="11">SUM(G12:G14)</f>
        <v>1214</v>
      </c>
      <c r="H15" s="44">
        <f t="shared" si="11"/>
        <v>1218</v>
      </c>
      <c r="I15" s="44">
        <f t="shared" si="11"/>
        <v>1260</v>
      </c>
      <c r="J15" s="43">
        <f t="shared" si="11"/>
        <v>1257</v>
      </c>
      <c r="K15" s="42">
        <f t="shared" si="11"/>
        <v>1334</v>
      </c>
      <c r="L15" s="42">
        <f t="shared" si="11"/>
        <v>1351</v>
      </c>
      <c r="M15" s="42">
        <f t="shared" ref="M15:N15" si="12">SUM(M12:M14)</f>
        <v>1595</v>
      </c>
      <c r="N15" s="43">
        <f t="shared" si="12"/>
        <v>1571</v>
      </c>
      <c r="O15" s="42">
        <f t="shared" ref="O15:R15" si="13">SUM(O12:O14)</f>
        <v>1589</v>
      </c>
      <c r="P15" s="42">
        <f t="shared" si="13"/>
        <v>1532</v>
      </c>
      <c r="Q15" s="42">
        <f t="shared" si="13"/>
        <v>1710</v>
      </c>
      <c r="R15" s="43">
        <f t="shared" si="13"/>
        <v>1720</v>
      </c>
      <c r="S15" s="42">
        <f t="shared" ref="S15:U15" si="14">SUM(S12:S14)</f>
        <v>1655</v>
      </c>
      <c r="T15" s="42">
        <f t="shared" si="14"/>
        <v>1640</v>
      </c>
      <c r="U15" s="42">
        <f t="shared" si="14"/>
        <v>1868</v>
      </c>
      <c r="V15" s="43">
        <f t="shared" ref="V15" si="15">SUM(V12:V14)</f>
        <v>1890</v>
      </c>
      <c r="W15" s="42">
        <f t="shared" ref="W15:X15" si="16">SUM(W12:W14)</f>
        <v>2027</v>
      </c>
      <c r="X15" s="42">
        <f t="shared" si="16"/>
        <v>2116</v>
      </c>
    </row>
    <row r="16" spans="1:25" s="27" customFormat="1" x14ac:dyDescent="0.15">
      <c r="A16" s="77" t="s">
        <v>11</v>
      </c>
      <c r="B16" s="42">
        <f>B11-B15</f>
        <v>322</v>
      </c>
      <c r="C16" s="42">
        <f>C11-C15</f>
        <v>398</v>
      </c>
      <c r="D16" s="42">
        <f>D11-D15</f>
        <v>330</v>
      </c>
      <c r="E16" s="42">
        <f>E11-E15</f>
        <v>411</v>
      </c>
      <c r="F16" s="43">
        <f>F11-F15</f>
        <v>407</v>
      </c>
      <c r="G16" s="44">
        <f t="shared" ref="G16:H16" si="17">G11-G15</f>
        <v>371</v>
      </c>
      <c r="H16" s="44">
        <f t="shared" si="17"/>
        <v>348</v>
      </c>
      <c r="I16" s="44">
        <f t="shared" ref="I16:R16" si="18">I11-I15</f>
        <v>460</v>
      </c>
      <c r="J16" s="43">
        <f t="shared" si="18"/>
        <v>431</v>
      </c>
      <c r="K16" s="42">
        <f t="shared" si="18"/>
        <v>430</v>
      </c>
      <c r="L16" s="42">
        <f t="shared" si="18"/>
        <v>423</v>
      </c>
      <c r="M16" s="42">
        <f t="shared" si="18"/>
        <v>843</v>
      </c>
      <c r="N16" s="43">
        <f t="shared" si="18"/>
        <v>534</v>
      </c>
      <c r="O16" s="42">
        <f t="shared" si="18"/>
        <v>572</v>
      </c>
      <c r="P16" s="42">
        <f t="shared" si="18"/>
        <v>490</v>
      </c>
      <c r="Q16" s="42">
        <f t="shared" si="18"/>
        <v>598</v>
      </c>
      <c r="R16" s="43">
        <f t="shared" si="18"/>
        <v>518</v>
      </c>
      <c r="S16" s="42">
        <f t="shared" ref="S16:U16" si="19">S11-S15</f>
        <v>705</v>
      </c>
      <c r="T16" s="42">
        <f t="shared" si="19"/>
        <v>697</v>
      </c>
      <c r="U16" s="42">
        <f t="shared" si="19"/>
        <v>798.99999999999909</v>
      </c>
      <c r="V16" s="43">
        <f t="shared" ref="V16" si="20">V11-V15</f>
        <v>398</v>
      </c>
      <c r="W16" s="42">
        <f t="shared" ref="W16:X16" si="21">W11-W15</f>
        <v>951</v>
      </c>
      <c r="X16" s="42">
        <f t="shared" si="21"/>
        <v>977</v>
      </c>
    </row>
    <row r="17" spans="1:25" s="27" customFormat="1" x14ac:dyDescent="0.15">
      <c r="A17" s="77" t="s">
        <v>12</v>
      </c>
      <c r="B17" s="34">
        <v>-1</v>
      </c>
      <c r="C17" s="34">
        <v>1</v>
      </c>
      <c r="D17" s="34">
        <v>20</v>
      </c>
      <c r="E17" s="34">
        <v>7</v>
      </c>
      <c r="F17" s="33">
        <v>15</v>
      </c>
      <c r="G17" s="32">
        <v>9</v>
      </c>
      <c r="H17" s="32">
        <v>12</v>
      </c>
      <c r="I17" s="32">
        <v>9</v>
      </c>
      <c r="J17" s="33">
        <v>7</v>
      </c>
      <c r="K17" s="34">
        <v>17</v>
      </c>
      <c r="L17" s="34">
        <v>28</v>
      </c>
      <c r="M17" s="34">
        <v>21</v>
      </c>
      <c r="N17" s="33">
        <v>14</v>
      </c>
      <c r="O17" s="34">
        <v>37</v>
      </c>
      <c r="P17" s="34">
        <v>43</v>
      </c>
      <c r="Q17" s="64">
        <v>88</v>
      </c>
      <c r="R17" s="33">
        <v>199</v>
      </c>
      <c r="S17" s="32">
        <v>238</v>
      </c>
      <c r="T17" s="32">
        <v>-213</v>
      </c>
      <c r="U17" s="32">
        <v>55</v>
      </c>
      <c r="V17" s="28">
        <v>-135</v>
      </c>
      <c r="W17" s="27">
        <v>848</v>
      </c>
      <c r="X17" s="27">
        <v>167</v>
      </c>
    </row>
    <row r="18" spans="1:25" s="27" customFormat="1" x14ac:dyDescent="0.15">
      <c r="A18" s="77" t="s">
        <v>13</v>
      </c>
      <c r="B18" s="42">
        <f>B16+B17</f>
        <v>321</v>
      </c>
      <c r="C18" s="42">
        <f>C16+C17</f>
        <v>399</v>
      </c>
      <c r="D18" s="42">
        <f>D16+D17</f>
        <v>350</v>
      </c>
      <c r="E18" s="42">
        <f>E16+E17</f>
        <v>418</v>
      </c>
      <c r="F18" s="43">
        <f>F16+F17</f>
        <v>422</v>
      </c>
      <c r="G18" s="44">
        <f t="shared" ref="G18:I18" si="22">G16+G17</f>
        <v>380</v>
      </c>
      <c r="H18" s="44">
        <f t="shared" si="22"/>
        <v>360</v>
      </c>
      <c r="I18" s="44">
        <f t="shared" si="22"/>
        <v>469</v>
      </c>
      <c r="J18" s="43">
        <f t="shared" ref="J18:K18" si="23">J16+J17</f>
        <v>438</v>
      </c>
      <c r="K18" s="42">
        <f t="shared" si="23"/>
        <v>447</v>
      </c>
      <c r="L18" s="42">
        <f t="shared" ref="L18" si="24">L16+L17</f>
        <v>451</v>
      </c>
      <c r="M18" s="42">
        <f t="shared" ref="M18:N18" si="25">M16+M17</f>
        <v>864</v>
      </c>
      <c r="N18" s="43">
        <f t="shared" si="25"/>
        <v>548</v>
      </c>
      <c r="O18" s="42">
        <f t="shared" ref="O18:R18" si="26">O16+O17</f>
        <v>609</v>
      </c>
      <c r="P18" s="42">
        <f t="shared" si="26"/>
        <v>533</v>
      </c>
      <c r="Q18" s="42">
        <f t="shared" si="26"/>
        <v>686</v>
      </c>
      <c r="R18" s="43">
        <f t="shared" si="26"/>
        <v>717</v>
      </c>
      <c r="S18" s="42">
        <f t="shared" ref="S18:U18" si="27">S16+S17</f>
        <v>943</v>
      </c>
      <c r="T18" s="42">
        <f t="shared" si="27"/>
        <v>484</v>
      </c>
      <c r="U18" s="42">
        <f t="shared" si="27"/>
        <v>853.99999999999909</v>
      </c>
      <c r="V18" s="43">
        <f t="shared" ref="V18:X18" si="28">V16+V17</f>
        <v>263</v>
      </c>
      <c r="W18" s="42">
        <f t="shared" si="28"/>
        <v>1799</v>
      </c>
      <c r="X18" s="42">
        <f t="shared" si="28"/>
        <v>1144</v>
      </c>
    </row>
    <row r="19" spans="1:25" s="27" customFormat="1" x14ac:dyDescent="0.15">
      <c r="A19" s="77" t="s">
        <v>14</v>
      </c>
      <c r="B19" s="34">
        <v>66</v>
      </c>
      <c r="C19" s="34">
        <v>94</v>
      </c>
      <c r="D19" s="34">
        <v>49</v>
      </c>
      <c r="E19" s="34">
        <v>51</v>
      </c>
      <c r="F19" s="33">
        <v>57</v>
      </c>
      <c r="G19" s="32">
        <v>57</v>
      </c>
      <c r="H19" s="32">
        <v>37</v>
      </c>
      <c r="I19" s="32">
        <v>79</v>
      </c>
      <c r="J19" s="33">
        <v>54</v>
      </c>
      <c r="K19" s="34">
        <v>36</v>
      </c>
      <c r="L19" s="34">
        <v>71</v>
      </c>
      <c r="M19" s="34">
        <v>244</v>
      </c>
      <c r="N19" s="33">
        <v>37</v>
      </c>
      <c r="O19" s="34">
        <v>83</v>
      </c>
      <c r="P19" s="34">
        <v>97</v>
      </c>
      <c r="Q19" s="64">
        <v>102</v>
      </c>
      <c r="R19" s="33">
        <v>50</v>
      </c>
      <c r="S19" s="32">
        <v>120</v>
      </c>
      <c r="T19" s="32">
        <v>22</v>
      </c>
      <c r="U19" s="32">
        <v>347</v>
      </c>
      <c r="V19" s="28">
        <v>179</v>
      </c>
      <c r="W19" s="27">
        <v>269</v>
      </c>
      <c r="X19" s="27">
        <v>123</v>
      </c>
    </row>
    <row r="20" spans="1:25" s="70" customFormat="1" x14ac:dyDescent="0.15">
      <c r="A20" s="80" t="s">
        <v>15</v>
      </c>
      <c r="B20" s="37">
        <f>B18-B19</f>
        <v>255</v>
      </c>
      <c r="C20" s="37">
        <f>C18-C19</f>
        <v>305</v>
      </c>
      <c r="D20" s="37">
        <f>D18-D19</f>
        <v>301</v>
      </c>
      <c r="E20" s="37">
        <f>E18-E19</f>
        <v>367</v>
      </c>
      <c r="F20" s="38">
        <f>F18-F19</f>
        <v>365</v>
      </c>
      <c r="G20" s="39">
        <f t="shared" ref="G20:H20" si="29">G18-G19</f>
        <v>323</v>
      </c>
      <c r="H20" s="39">
        <f t="shared" si="29"/>
        <v>323</v>
      </c>
      <c r="I20" s="39">
        <f t="shared" ref="I20:R20" si="30">I18-I19</f>
        <v>390</v>
      </c>
      <c r="J20" s="38">
        <f t="shared" si="30"/>
        <v>384</v>
      </c>
      <c r="K20" s="37">
        <f t="shared" si="30"/>
        <v>411</v>
      </c>
      <c r="L20" s="37">
        <f t="shared" si="30"/>
        <v>380</v>
      </c>
      <c r="M20" s="37">
        <f t="shared" si="30"/>
        <v>620</v>
      </c>
      <c r="N20" s="38">
        <f t="shared" si="30"/>
        <v>511</v>
      </c>
      <c r="O20" s="37">
        <f t="shared" si="30"/>
        <v>526</v>
      </c>
      <c r="P20" s="37">
        <f t="shared" si="30"/>
        <v>436</v>
      </c>
      <c r="Q20" s="37">
        <f t="shared" si="30"/>
        <v>584</v>
      </c>
      <c r="R20" s="38">
        <f t="shared" si="30"/>
        <v>667</v>
      </c>
      <c r="S20" s="37">
        <f t="shared" ref="S20:U20" si="31">S18-S19</f>
        <v>823</v>
      </c>
      <c r="T20" s="37">
        <f t="shared" si="31"/>
        <v>462</v>
      </c>
      <c r="U20" s="37">
        <f t="shared" si="31"/>
        <v>506.99999999999909</v>
      </c>
      <c r="V20" s="38">
        <f t="shared" ref="V20" si="32">V18-V19</f>
        <v>84</v>
      </c>
      <c r="W20" s="37">
        <f t="shared" ref="W20:X20" si="33">W18-W19</f>
        <v>1530</v>
      </c>
      <c r="X20" s="37">
        <f t="shared" si="33"/>
        <v>1021</v>
      </c>
    </row>
    <row r="21" spans="1:25" x14ac:dyDescent="0.15">
      <c r="A21" s="72" t="s">
        <v>16</v>
      </c>
      <c r="B21" s="45">
        <f t="shared" ref="B21:H21" si="34">IFERROR(B20/B22,0)</f>
        <v>0.20833333333333334</v>
      </c>
      <c r="C21" s="45">
        <f t="shared" si="34"/>
        <v>0.24918300653594772</v>
      </c>
      <c r="D21" s="45">
        <f t="shared" si="34"/>
        <v>0.24531377343113284</v>
      </c>
      <c r="E21" s="45">
        <f t="shared" si="34"/>
        <v>0.29837398373983742</v>
      </c>
      <c r="F21" s="46">
        <f t="shared" si="34"/>
        <v>0.29795918367346941</v>
      </c>
      <c r="G21" s="47">
        <f t="shared" si="34"/>
        <v>0.26584362139917694</v>
      </c>
      <c r="H21" s="47">
        <f t="shared" si="34"/>
        <v>0.26606260296540363</v>
      </c>
      <c r="I21" s="47">
        <f t="shared" ref="I21:L21" si="35">IFERROR(I20/I22,0)</f>
        <v>0.32072368421052633</v>
      </c>
      <c r="J21" s="46">
        <f t="shared" si="35"/>
        <v>0.31578947368421051</v>
      </c>
      <c r="K21" s="45">
        <f t="shared" si="35"/>
        <v>0.33827160493827163</v>
      </c>
      <c r="L21" s="45">
        <f t="shared" si="35"/>
        <v>0.3107113654946852</v>
      </c>
      <c r="M21" s="45">
        <f t="shared" ref="M21:N21" si="36">IFERROR(M20/M22,0)</f>
        <v>0.50488599348534202</v>
      </c>
      <c r="N21" s="46">
        <f t="shared" si="36"/>
        <v>0.41988496302382911</v>
      </c>
      <c r="O21" s="45">
        <f t="shared" ref="O21:P21" si="37">IFERROR(O20/O22,0)</f>
        <v>0.43760399334442596</v>
      </c>
      <c r="P21" s="45">
        <f t="shared" si="37"/>
        <v>0.36363636363636365</v>
      </c>
      <c r="Q21" s="45">
        <f>IFERROR(Q20/Q22,0)</f>
        <v>0.48829431438127091</v>
      </c>
      <c r="R21" s="46">
        <f t="shared" ref="R21" si="38">IFERROR(R20/R22,0)</f>
        <v>0.56144781144781142</v>
      </c>
      <c r="S21" s="45">
        <f t="shared" ref="S21:T21" si="39">IFERROR(S20/S22,0)</f>
        <v>0.69334456613310869</v>
      </c>
      <c r="T21" s="45">
        <f t="shared" si="39"/>
        <v>0.3888888888888889</v>
      </c>
      <c r="U21" s="45">
        <f>IFERROR(U20/U22,0)</f>
        <v>0.42712721145745502</v>
      </c>
      <c r="V21" s="46">
        <f t="shared" ref="V21" si="40">IFERROR(V20/V22,0)</f>
        <v>7.0886075949367092E-2</v>
      </c>
      <c r="W21" s="45">
        <f t="shared" ref="W21:X21" si="41">IFERROR(W20/W22,0)</f>
        <v>1.2922297297297298</v>
      </c>
      <c r="X21" s="45">
        <f t="shared" si="41"/>
        <v>0.85798319327731087</v>
      </c>
    </row>
    <row r="22" spans="1:25" s="27" customFormat="1" x14ac:dyDescent="0.15">
      <c r="A22" s="77" t="s">
        <v>17</v>
      </c>
      <c r="B22" s="34">
        <v>1224</v>
      </c>
      <c r="C22" s="34">
        <v>1224</v>
      </c>
      <c r="D22" s="34">
        <v>1227</v>
      </c>
      <c r="E22" s="34">
        <v>1230</v>
      </c>
      <c r="F22" s="33">
        <v>1225</v>
      </c>
      <c r="G22" s="32">
        <v>1215</v>
      </c>
      <c r="H22" s="32">
        <v>1214</v>
      </c>
      <c r="I22" s="32">
        <v>1216</v>
      </c>
      <c r="J22" s="33">
        <v>1216</v>
      </c>
      <c r="K22" s="34">
        <v>1215</v>
      </c>
      <c r="L22" s="34">
        <v>1223</v>
      </c>
      <c r="M22" s="34">
        <v>1228</v>
      </c>
      <c r="N22" s="33">
        <v>1217</v>
      </c>
      <c r="O22" s="34">
        <v>1202</v>
      </c>
      <c r="P22" s="34">
        <v>1199</v>
      </c>
      <c r="Q22" s="64">
        <v>1196</v>
      </c>
      <c r="R22" s="33">
        <v>1188</v>
      </c>
      <c r="S22" s="32">
        <v>1187</v>
      </c>
      <c r="T22" s="32">
        <v>1188</v>
      </c>
      <c r="U22" s="32">
        <v>1187</v>
      </c>
      <c r="V22" s="28">
        <v>1185</v>
      </c>
      <c r="W22" s="27">
        <v>1184</v>
      </c>
      <c r="X22" s="27">
        <v>1190</v>
      </c>
    </row>
    <row r="23" spans="1:25" x14ac:dyDescent="0.15">
      <c r="B23" s="36"/>
      <c r="C23" s="36"/>
      <c r="D23" s="36"/>
      <c r="E23" s="36"/>
      <c r="K23" s="36"/>
      <c r="L23" s="36"/>
      <c r="M23" s="36"/>
      <c r="O23" s="36"/>
      <c r="P23" s="36"/>
      <c r="Q23" s="66"/>
    </row>
    <row r="24" spans="1:25" x14ac:dyDescent="0.15">
      <c r="A24" s="72" t="s">
        <v>19</v>
      </c>
      <c r="B24" s="48">
        <f t="shared" ref="B24:R24" si="42">IFERROR(B11/B9,0)</f>
        <v>0.64763687412260174</v>
      </c>
      <c r="C24" s="48">
        <f t="shared" si="42"/>
        <v>0.64344797562037437</v>
      </c>
      <c r="D24" s="48">
        <f t="shared" si="42"/>
        <v>0.62267493356953052</v>
      </c>
      <c r="E24" s="48">
        <f t="shared" si="42"/>
        <v>0.61071987480438183</v>
      </c>
      <c r="F24" s="49">
        <f t="shared" si="42"/>
        <v>0.60416666666666663</v>
      </c>
      <c r="G24" s="50">
        <f t="shared" si="42"/>
        <v>0.59811320754716979</v>
      </c>
      <c r="H24" s="50">
        <f t="shared" si="42"/>
        <v>0.58717660292463447</v>
      </c>
      <c r="I24" s="50">
        <f t="shared" si="42"/>
        <v>0.57698758805769879</v>
      </c>
      <c r="J24" s="49">
        <f t="shared" si="42"/>
        <v>0.56739495798319328</v>
      </c>
      <c r="K24" s="48">
        <f t="shared" si="42"/>
        <v>0.5625</v>
      </c>
      <c r="L24" s="48">
        <f t="shared" si="42"/>
        <v>0.54769990737882057</v>
      </c>
      <c r="M24" s="48">
        <f t="shared" si="42"/>
        <v>0.65117521367521369</v>
      </c>
      <c r="N24" s="49">
        <f t="shared" si="42"/>
        <v>0.57123473541383984</v>
      </c>
      <c r="O24" s="48">
        <f t="shared" si="42"/>
        <v>0.56028001037075448</v>
      </c>
      <c r="P24" s="48">
        <f t="shared" si="42"/>
        <v>0.54900896008688571</v>
      </c>
      <c r="Q24" s="48">
        <f t="shared" si="42"/>
        <v>0.54614292475153814</v>
      </c>
      <c r="R24" s="49">
        <f t="shared" si="42"/>
        <v>0.54215116279069764</v>
      </c>
      <c r="S24" s="48">
        <f t="shared" ref="S24:U24" si="43">IFERROR(S11/S9,0)</f>
        <v>0.54819976771196288</v>
      </c>
      <c r="T24" s="48">
        <f t="shared" si="43"/>
        <v>0.5338053905893102</v>
      </c>
      <c r="U24" s="48">
        <f t="shared" si="43"/>
        <v>0.53759322717194102</v>
      </c>
      <c r="V24" s="49">
        <f t="shared" ref="V24" si="44">IFERROR(V11/V9,0)</f>
        <v>0.49545257687310523</v>
      </c>
      <c r="W24" s="48">
        <f t="shared" ref="W24:X24" si="45">IFERROR(W11/W9,0)</f>
        <v>0.56605208135335483</v>
      </c>
      <c r="X24" s="48">
        <f t="shared" si="45"/>
        <v>0.56658728704891004</v>
      </c>
    </row>
    <row r="25" spans="1:25" x14ac:dyDescent="0.15">
      <c r="A25" s="72" t="s">
        <v>20</v>
      </c>
      <c r="B25" s="51">
        <f t="shared" ref="B25:R25" si="46">IFERROR(B16/B9,0)</f>
        <v>0.15067852129153017</v>
      </c>
      <c r="C25" s="51">
        <f t="shared" si="46"/>
        <v>0.17326948193295602</v>
      </c>
      <c r="D25" s="51">
        <f t="shared" si="46"/>
        <v>0.14614703277236493</v>
      </c>
      <c r="E25" s="51">
        <f t="shared" si="46"/>
        <v>0.16079812206572769</v>
      </c>
      <c r="F25" s="52">
        <f t="shared" si="46"/>
        <v>0.15998427672955975</v>
      </c>
      <c r="G25" s="53">
        <f t="shared" si="46"/>
        <v>0.14000000000000001</v>
      </c>
      <c r="H25" s="53">
        <f t="shared" si="46"/>
        <v>0.13048368953880765</v>
      </c>
      <c r="I25" s="53">
        <f t="shared" si="46"/>
        <v>0.15431063401543108</v>
      </c>
      <c r="J25" s="52">
        <f t="shared" si="46"/>
        <v>0.14487394957983193</v>
      </c>
      <c r="K25" s="51">
        <f t="shared" si="46"/>
        <v>0.1371173469387755</v>
      </c>
      <c r="L25" s="51">
        <f t="shared" si="46"/>
        <v>0.13059586292065453</v>
      </c>
      <c r="M25" s="51">
        <f t="shared" si="46"/>
        <v>0.22516025641025642</v>
      </c>
      <c r="N25" s="52">
        <f t="shared" si="46"/>
        <v>0.14491180461329714</v>
      </c>
      <c r="O25" s="51">
        <f t="shared" si="46"/>
        <v>0.14830178895514648</v>
      </c>
      <c r="P25" s="51">
        <f t="shared" si="46"/>
        <v>0.13304371436329079</v>
      </c>
      <c r="Q25" s="51">
        <f t="shared" si="46"/>
        <v>0.14150496923805017</v>
      </c>
      <c r="R25" s="52">
        <f t="shared" si="46"/>
        <v>0.12548449612403101</v>
      </c>
      <c r="S25" s="51">
        <f t="shared" ref="S25:U25" si="47">IFERROR(S16/S9,0)</f>
        <v>0.16376306620209058</v>
      </c>
      <c r="T25" s="51">
        <f t="shared" si="47"/>
        <v>0.15920511649154864</v>
      </c>
      <c r="U25" s="51">
        <f t="shared" si="47"/>
        <v>0.16105623866156002</v>
      </c>
      <c r="V25" s="52">
        <f t="shared" ref="V25" si="48">IFERROR(V16/V9,0)</f>
        <v>8.6184495452576879E-2</v>
      </c>
      <c r="W25" s="51">
        <f t="shared" ref="W25:X25" si="49">IFERROR(W16/W9,0)</f>
        <v>0.18076411328644745</v>
      </c>
      <c r="X25" s="51">
        <f t="shared" si="49"/>
        <v>0.17897050741894119</v>
      </c>
    </row>
    <row r="26" spans="1:25" x14ac:dyDescent="0.15">
      <c r="A26" s="72" t="s">
        <v>21</v>
      </c>
      <c r="B26" s="51">
        <f t="shared" ref="B26:R26" si="50">IFERROR(B19/B18,0)</f>
        <v>0.20560747663551401</v>
      </c>
      <c r="C26" s="51">
        <f t="shared" si="50"/>
        <v>0.23558897243107768</v>
      </c>
      <c r="D26" s="51">
        <f t="shared" si="50"/>
        <v>0.14000000000000001</v>
      </c>
      <c r="E26" s="51">
        <f t="shared" si="50"/>
        <v>0.12200956937799043</v>
      </c>
      <c r="F26" s="52">
        <f t="shared" si="50"/>
        <v>0.13507109004739337</v>
      </c>
      <c r="G26" s="53">
        <f t="shared" si="50"/>
        <v>0.15</v>
      </c>
      <c r="H26" s="53">
        <f t="shared" si="50"/>
        <v>0.10277777777777777</v>
      </c>
      <c r="I26" s="53">
        <f t="shared" si="50"/>
        <v>0.16844349680170576</v>
      </c>
      <c r="J26" s="52">
        <f t="shared" si="50"/>
        <v>0.12328767123287671</v>
      </c>
      <c r="K26" s="51">
        <f t="shared" si="50"/>
        <v>8.0536912751677847E-2</v>
      </c>
      <c r="L26" s="51">
        <f t="shared" si="50"/>
        <v>0.1574279379157428</v>
      </c>
      <c r="M26" s="51">
        <f t="shared" si="50"/>
        <v>0.28240740740740738</v>
      </c>
      <c r="N26" s="52">
        <f t="shared" si="50"/>
        <v>6.7518248175182483E-2</v>
      </c>
      <c r="O26" s="51">
        <f t="shared" si="50"/>
        <v>0.13628899835796388</v>
      </c>
      <c r="P26" s="51">
        <f t="shared" si="50"/>
        <v>0.18198874296435272</v>
      </c>
      <c r="Q26" s="51">
        <f t="shared" si="50"/>
        <v>0.14868804664723032</v>
      </c>
      <c r="R26" s="52">
        <f t="shared" si="50"/>
        <v>6.9735006973500699E-2</v>
      </c>
      <c r="S26" s="51">
        <f t="shared" ref="S26:U26" si="51">IFERROR(S19/S18,0)</f>
        <v>0.12725344644750794</v>
      </c>
      <c r="T26" s="51">
        <f t="shared" si="51"/>
        <v>4.5454545454545456E-2</v>
      </c>
      <c r="U26" s="51">
        <f t="shared" si="51"/>
        <v>0.40632318501171005</v>
      </c>
      <c r="V26" s="52">
        <f t="shared" ref="V26" si="52">IFERROR(V19/V18,0)</f>
        <v>0.68060836501901145</v>
      </c>
      <c r="W26" s="51">
        <f t="shared" ref="W26:X26" si="53">IFERROR(W19/W18,0)</f>
        <v>0.14952751528627015</v>
      </c>
      <c r="X26" s="51">
        <f t="shared" si="53"/>
        <v>0.10751748251748251</v>
      </c>
    </row>
    <row r="27" spans="1:25" x14ac:dyDescent="0.15">
      <c r="B27" s="36"/>
      <c r="C27" s="36"/>
      <c r="D27" s="36"/>
      <c r="E27" s="36"/>
      <c r="K27" s="36"/>
      <c r="L27" s="36"/>
      <c r="M27" s="36"/>
      <c r="O27" s="36"/>
      <c r="P27" s="36"/>
      <c r="Q27" s="65"/>
      <c r="S27" s="36"/>
      <c r="T27" s="36"/>
      <c r="U27" s="65"/>
      <c r="V27" s="35"/>
      <c r="W27" s="36"/>
      <c r="X27" s="36"/>
      <c r="Y27" s="17">
        <v>0.2</v>
      </c>
    </row>
    <row r="28" spans="1:25" s="2" customFormat="1" x14ac:dyDescent="0.15">
      <c r="A28" s="74" t="s">
        <v>18</v>
      </c>
      <c r="B28" s="54"/>
      <c r="C28" s="54"/>
      <c r="D28" s="54"/>
      <c r="E28" s="54"/>
      <c r="F28" s="55">
        <f>IFERROR((F9/B9)-1,0)</f>
        <v>0.19045390734674772</v>
      </c>
      <c r="G28" s="54">
        <f>IFERROR((G9/C9)-1,0)</f>
        <v>0.15367871136264699</v>
      </c>
      <c r="H28" s="54">
        <f t="shared" ref="H28" si="54">IFERROR((H9/D9)-1,0)</f>
        <v>0.18113374667847659</v>
      </c>
      <c r="I28" s="54">
        <f>IFERROR((I9/E9)-1,0)</f>
        <v>0.16627543035993742</v>
      </c>
      <c r="J28" s="55">
        <f>IFERROR((J9/F9)-1,0)</f>
        <v>0.16941823899371067</v>
      </c>
      <c r="K28" s="54">
        <f t="shared" ref="K28" si="55">IFERROR((K9/G9)-1,0)</f>
        <v>0.18339622641509434</v>
      </c>
      <c r="L28" s="54">
        <f t="shared" ref="L28:R28" si="56">IFERROR((L9/H9)-1,0)</f>
        <v>0.21447319085114369</v>
      </c>
      <c r="M28" s="54">
        <f t="shared" si="56"/>
        <v>0.25595437772559548</v>
      </c>
      <c r="N28" s="55">
        <f t="shared" si="56"/>
        <v>0.23865546218487399</v>
      </c>
      <c r="O28" s="54">
        <f t="shared" si="56"/>
        <v>0.22991071428571419</v>
      </c>
      <c r="P28" s="54">
        <f t="shared" si="56"/>
        <v>0.13707934547699918</v>
      </c>
      <c r="Q28" s="67">
        <f t="shared" si="56"/>
        <v>0.12873931623931623</v>
      </c>
      <c r="R28" s="55">
        <f t="shared" si="56"/>
        <v>0.12021709633649924</v>
      </c>
      <c r="S28" s="54">
        <f t="shared" ref="S28:U28" si="57">IFERROR((S9/O9)-1,0)</f>
        <v>0.11615245009074404</v>
      </c>
      <c r="T28" s="54">
        <f t="shared" si="57"/>
        <v>0.18870486016834098</v>
      </c>
      <c r="U28" s="67">
        <f t="shared" si="57"/>
        <v>0.17392333175579733</v>
      </c>
      <c r="V28" s="55">
        <f t="shared" ref="V28:Y28" si="58">IFERROR((V9/R9)-1,0)</f>
        <v>0.118701550387597</v>
      </c>
      <c r="W28" s="54">
        <f t="shared" si="58"/>
        <v>0.22206736353077816</v>
      </c>
      <c r="X28" s="54">
        <f t="shared" si="58"/>
        <v>0.24691640018273175</v>
      </c>
      <c r="Y28" s="54">
        <f>IFERROR((Y9/U9)-1,0)</f>
        <v>0.17408180818789831</v>
      </c>
    </row>
    <row r="29" spans="1:25" s="5" customFormat="1" x14ac:dyDescent="0.15">
      <c r="A29" s="75" t="s">
        <v>79</v>
      </c>
      <c r="B29" s="56"/>
      <c r="C29" s="56"/>
      <c r="D29" s="56"/>
      <c r="E29" s="56"/>
      <c r="F29" s="57">
        <f>F12/B12-1</f>
        <v>5.4054054054053946E-2</v>
      </c>
      <c r="G29" s="56">
        <f t="shared" ref="G29:P29" si="59">G12/C12-1</f>
        <v>3.4653465346534684E-2</v>
      </c>
      <c r="H29" s="56">
        <f t="shared" si="59"/>
        <v>-6.5217391304347783E-2</v>
      </c>
      <c r="I29" s="56">
        <f t="shared" si="59"/>
        <v>3.3653846153846256E-2</v>
      </c>
      <c r="J29" s="57">
        <f t="shared" si="59"/>
        <v>9.7435897435897534E-2</v>
      </c>
      <c r="K29" s="56">
        <f t="shared" si="59"/>
        <v>0.11004784688995217</v>
      </c>
      <c r="L29" s="56">
        <f t="shared" si="59"/>
        <v>0.11627906976744184</v>
      </c>
      <c r="M29" s="56">
        <f t="shared" si="59"/>
        <v>0.24186046511627901</v>
      </c>
      <c r="N29" s="57">
        <f t="shared" si="59"/>
        <v>0.20560747663551404</v>
      </c>
      <c r="O29" s="56">
        <f t="shared" si="59"/>
        <v>9.9137931034482651E-2</v>
      </c>
      <c r="P29" s="56">
        <f t="shared" si="59"/>
        <v>0.12083333333333335</v>
      </c>
      <c r="Q29" s="68">
        <f>Q12/M12-1</f>
        <v>8.2397003745318331E-2</v>
      </c>
      <c r="R29" s="57">
        <f t="shared" ref="R29:R31" si="60">R12/N12-1</f>
        <v>0.98062015503875966</v>
      </c>
      <c r="S29" s="56">
        <f t="shared" ref="S29:U31" si="61">S12/O12-1</f>
        <v>0.89411764705882346</v>
      </c>
      <c r="T29" s="56">
        <f t="shared" si="61"/>
        <v>0.98141263940520451</v>
      </c>
      <c r="U29" s="68">
        <f>U12/Q12-1</f>
        <v>0.9307958477508651</v>
      </c>
      <c r="V29" s="57">
        <f t="shared" ref="V29:X31" si="62">V12/R12-1</f>
        <v>0.18395303326810186</v>
      </c>
      <c r="W29" s="56">
        <f t="shared" si="62"/>
        <v>0.30641821946169778</v>
      </c>
      <c r="X29" s="56">
        <f t="shared" si="62"/>
        <v>0.26454033771106933</v>
      </c>
    </row>
    <row r="30" spans="1:25" x14ac:dyDescent="0.15">
      <c r="A30" s="72" t="s">
        <v>80</v>
      </c>
      <c r="B30" s="56"/>
      <c r="C30" s="56"/>
      <c r="D30" s="56"/>
      <c r="E30" s="56"/>
      <c r="F30" s="57">
        <f>F13/B13-1</f>
        <v>0.12314225053078554</v>
      </c>
      <c r="G30" s="56">
        <f t="shared" ref="G30:Q30" si="63">G13/C13-1</f>
        <v>0.109375</v>
      </c>
      <c r="H30" s="56">
        <f t="shared" si="63"/>
        <v>1.0869565217391353E-2</v>
      </c>
      <c r="I30" s="56">
        <f t="shared" si="63"/>
        <v>4.8736462093862842E-2</v>
      </c>
      <c r="J30" s="57">
        <f t="shared" si="63"/>
        <v>4.914933837429114E-2</v>
      </c>
      <c r="K30" s="56">
        <f t="shared" si="63"/>
        <v>8.9788732394366244E-2</v>
      </c>
      <c r="L30" s="56">
        <f t="shared" si="63"/>
        <v>0.11827956989247301</v>
      </c>
      <c r="M30" s="56">
        <f t="shared" si="63"/>
        <v>0.19449225473321863</v>
      </c>
      <c r="N30" s="57">
        <f t="shared" si="63"/>
        <v>0.14594594594594601</v>
      </c>
      <c r="O30" s="56">
        <f t="shared" si="63"/>
        <v>8.2390953150242252E-2</v>
      </c>
      <c r="P30" s="56">
        <f t="shared" si="63"/>
        <v>0.11057692307692313</v>
      </c>
      <c r="Q30" s="68">
        <f t="shared" si="63"/>
        <v>0.14697406340057628</v>
      </c>
      <c r="R30" s="57">
        <f t="shared" si="60"/>
        <v>0.12735849056603765</v>
      </c>
      <c r="S30" s="56">
        <f t="shared" si="61"/>
        <v>0.12686567164179108</v>
      </c>
      <c r="T30" s="56">
        <f t="shared" si="61"/>
        <v>1.8759018759018753E-2</v>
      </c>
      <c r="U30" s="68">
        <f t="shared" si="61"/>
        <v>5.2763819095477338E-2</v>
      </c>
      <c r="V30" s="57">
        <f t="shared" si="62"/>
        <v>7.3919107391910766E-2</v>
      </c>
      <c r="W30" s="56">
        <f t="shared" si="62"/>
        <v>0.10860927152317879</v>
      </c>
      <c r="X30" s="56">
        <f t="shared" si="62"/>
        <v>0.30311614730878178</v>
      </c>
    </row>
    <row r="31" spans="1:25" x14ac:dyDescent="0.15">
      <c r="A31" s="72" t="s">
        <v>81</v>
      </c>
      <c r="B31" s="56"/>
      <c r="C31" s="56"/>
      <c r="D31" s="56"/>
      <c r="E31" s="56"/>
      <c r="F31" s="57">
        <f>F14/B14-1</f>
        <v>0</v>
      </c>
      <c r="G31" s="56">
        <f t="shared" ref="G31:Q31" si="64">G14/C14-1</f>
        <v>0.19398907103825147</v>
      </c>
      <c r="H31" s="56">
        <f t="shared" si="64"/>
        <v>0.51360544217687076</v>
      </c>
      <c r="I31" s="56">
        <f t="shared" si="64"/>
        <v>0.19587628865979378</v>
      </c>
      <c r="J31" s="57">
        <f t="shared" si="64"/>
        <v>0.20197044334975378</v>
      </c>
      <c r="K31" s="56">
        <f t="shared" si="64"/>
        <v>0.10526315789473695</v>
      </c>
      <c r="L31" s="56">
        <f t="shared" si="64"/>
        <v>9.4382022471910076E-2</v>
      </c>
      <c r="M31" s="56">
        <f t="shared" si="64"/>
        <v>0.36637931034482762</v>
      </c>
      <c r="N31" s="57">
        <f t="shared" si="64"/>
        <v>0.38729508196721318</v>
      </c>
      <c r="O31" s="56">
        <f t="shared" si="64"/>
        <v>0.37474120082815743</v>
      </c>
      <c r="P31" s="56">
        <f t="shared" si="64"/>
        <v>0.17043121149897322</v>
      </c>
      <c r="Q31" s="68">
        <f t="shared" si="64"/>
        <v>-1.4195583596214534E-2</v>
      </c>
      <c r="R31" s="57">
        <f t="shared" si="60"/>
        <v>-0.27326440177252587</v>
      </c>
      <c r="S31" s="56">
        <f t="shared" si="61"/>
        <v>-0.37198795180722888</v>
      </c>
      <c r="T31" s="56">
        <f t="shared" si="61"/>
        <v>-0.29649122807017547</v>
      </c>
      <c r="U31" s="68">
        <f t="shared" si="61"/>
        <v>-0.24480000000000002</v>
      </c>
      <c r="V31" s="57">
        <f t="shared" si="62"/>
        <v>4.674796747967469E-2</v>
      </c>
      <c r="W31" s="56">
        <f t="shared" si="62"/>
        <v>0.34052757793764998</v>
      </c>
      <c r="X31" s="56">
        <f t="shared" si="62"/>
        <v>0.30174563591022441</v>
      </c>
    </row>
    <row r="32" spans="1:25" x14ac:dyDescent="0.15">
      <c r="B32" s="36"/>
      <c r="C32" s="36"/>
      <c r="D32" s="36"/>
      <c r="E32" s="36"/>
      <c r="K32" s="36"/>
      <c r="L32" s="36"/>
      <c r="M32" s="36"/>
      <c r="O32" s="36"/>
      <c r="P32" s="36"/>
      <c r="Q32" s="66"/>
    </row>
    <row r="33" spans="1:24" s="70" customFormat="1" x14ac:dyDescent="0.15">
      <c r="A33" s="80" t="s">
        <v>33</v>
      </c>
      <c r="B33" s="34"/>
      <c r="C33" s="34"/>
      <c r="D33" s="34"/>
      <c r="E33" s="34"/>
      <c r="F33" s="33"/>
      <c r="G33" s="32"/>
      <c r="H33" s="32"/>
      <c r="I33" s="39">
        <f t="shared" ref="I33:K33" si="65">I34-I35</f>
        <v>6514</v>
      </c>
      <c r="J33" s="38">
        <f t="shared" si="65"/>
        <v>6380</v>
      </c>
      <c r="K33" s="37">
        <f t="shared" si="65"/>
        <v>6602</v>
      </c>
      <c r="L33" s="37">
        <f t="shared" ref="L33:Q33" si="66">L34-L35</f>
        <v>7138</v>
      </c>
      <c r="M33" s="37">
        <f t="shared" si="66"/>
        <v>6656</v>
      </c>
      <c r="N33" s="38">
        <f t="shared" si="66"/>
        <v>4793</v>
      </c>
      <c r="O33" s="37">
        <f t="shared" si="66"/>
        <v>4334</v>
      </c>
      <c r="P33" s="37">
        <f t="shared" si="66"/>
        <v>8533</v>
      </c>
      <c r="Q33" s="37">
        <f t="shared" si="66"/>
        <v>8082</v>
      </c>
      <c r="R33" s="41"/>
      <c r="S33" s="58"/>
      <c r="U33" s="37">
        <f>U34-U35</f>
        <v>8659</v>
      </c>
      <c r="V33" s="38">
        <f t="shared" ref="V33:X33" si="67">V34-V35</f>
        <v>4585</v>
      </c>
      <c r="W33" s="37">
        <f t="shared" si="67"/>
        <v>7289</v>
      </c>
      <c r="X33" s="37">
        <f t="shared" si="67"/>
        <v>8660</v>
      </c>
    </row>
    <row r="34" spans="1:24" s="27" customFormat="1" x14ac:dyDescent="0.15">
      <c r="A34" s="77" t="s">
        <v>34</v>
      </c>
      <c r="B34" s="34"/>
      <c r="C34" s="34"/>
      <c r="D34" s="34"/>
      <c r="E34" s="34"/>
      <c r="F34" s="33"/>
      <c r="G34" s="32"/>
      <c r="H34" s="32"/>
      <c r="I34" s="32">
        <f>1590+3385+1539</f>
        <v>6514</v>
      </c>
      <c r="J34" s="33">
        <f>1240+2815+2325</f>
        <v>6380</v>
      </c>
      <c r="K34" s="34">
        <f>1271+2820+2511</f>
        <v>6602</v>
      </c>
      <c r="L34" s="34">
        <f>2330+2591+2217</f>
        <v>7138</v>
      </c>
      <c r="M34" s="34">
        <f>2883+2812+1961</f>
        <v>7656</v>
      </c>
      <c r="N34" s="33">
        <f>2879+3427+1487</f>
        <v>7793</v>
      </c>
      <c r="O34" s="34">
        <f>2840+2125+1369</f>
        <v>6334</v>
      </c>
      <c r="P34" s="34">
        <f>8147+1440+946</f>
        <v>10533</v>
      </c>
      <c r="Q34" s="34">
        <f>7575+1534+971</f>
        <v>10080</v>
      </c>
      <c r="R34" s="33"/>
      <c r="S34" s="32"/>
      <c r="U34" s="32">
        <f>7349+3412+2863</f>
        <v>13624</v>
      </c>
      <c r="V34" s="28">
        <f>7854+2332+2366</f>
        <v>12552</v>
      </c>
      <c r="W34" s="27">
        <f>6353+6695+3175</f>
        <v>16223</v>
      </c>
      <c r="X34" s="27">
        <f>6112+8046+3439</f>
        <v>17597</v>
      </c>
    </row>
    <row r="35" spans="1:24" s="27" customFormat="1" x14ac:dyDescent="0.15">
      <c r="A35" s="77" t="s">
        <v>35</v>
      </c>
      <c r="B35" s="34"/>
      <c r="C35" s="34"/>
      <c r="D35" s="34"/>
      <c r="E35" s="34"/>
      <c r="F35" s="33"/>
      <c r="G35" s="32"/>
      <c r="H35" s="32"/>
      <c r="I35" s="32">
        <v>0</v>
      </c>
      <c r="J35" s="33">
        <v>0</v>
      </c>
      <c r="K35" s="34">
        <v>0</v>
      </c>
      <c r="L35" s="34">
        <v>0</v>
      </c>
      <c r="M35" s="34">
        <v>1000</v>
      </c>
      <c r="N35" s="33">
        <v>3000</v>
      </c>
      <c r="O35" s="34">
        <v>2000</v>
      </c>
      <c r="P35" s="34">
        <v>2000</v>
      </c>
      <c r="Q35" s="34">
        <v>1998</v>
      </c>
      <c r="R35" s="33"/>
      <c r="S35" s="32"/>
      <c r="U35" s="32">
        <v>4965</v>
      </c>
      <c r="V35" s="28">
        <v>7967</v>
      </c>
      <c r="W35" s="27">
        <v>8934</v>
      </c>
      <c r="X35" s="27">
        <v>8937</v>
      </c>
    </row>
    <row r="36" spans="1:24" s="27" customFormat="1" x14ac:dyDescent="0.15">
      <c r="A36" s="77"/>
      <c r="B36" s="34"/>
      <c r="C36" s="34"/>
      <c r="D36" s="34"/>
      <c r="E36" s="34"/>
      <c r="F36" s="33"/>
      <c r="G36" s="32"/>
      <c r="H36" s="32"/>
      <c r="I36" s="32"/>
      <c r="J36" s="33"/>
      <c r="K36" s="34"/>
      <c r="L36" s="34"/>
      <c r="M36" s="34"/>
      <c r="N36" s="33"/>
      <c r="O36" s="34"/>
      <c r="P36" s="34"/>
      <c r="Q36" s="34"/>
      <c r="R36" s="33"/>
      <c r="S36" s="32"/>
      <c r="U36" s="32"/>
      <c r="V36" s="28"/>
    </row>
    <row r="37" spans="1:24" s="27" customFormat="1" x14ac:dyDescent="0.15">
      <c r="A37" s="81" t="s">
        <v>82</v>
      </c>
      <c r="B37" s="34"/>
      <c r="C37" s="34"/>
      <c r="D37" s="34"/>
      <c r="E37" s="34"/>
      <c r="F37" s="33"/>
      <c r="G37" s="32"/>
      <c r="H37" s="32"/>
      <c r="I37" s="34">
        <f>4059+211</f>
        <v>4270</v>
      </c>
      <c r="J37" s="33">
        <f>4060+184</f>
        <v>4244</v>
      </c>
      <c r="K37" s="34">
        <f>4062+143</f>
        <v>4205</v>
      </c>
      <c r="L37" s="34">
        <f>4326+226</f>
        <v>4552</v>
      </c>
      <c r="M37" s="34">
        <f>4339+168</f>
        <v>4507</v>
      </c>
      <c r="N37" s="33">
        <f>4338+138</f>
        <v>4476</v>
      </c>
      <c r="O37" s="34">
        <f>4331+125</f>
        <v>4456</v>
      </c>
      <c r="P37" s="34">
        <f>6054+684</f>
        <v>6738</v>
      </c>
      <c r="Q37" s="34">
        <f>6284+825</f>
        <v>7109</v>
      </c>
      <c r="R37" s="33"/>
      <c r="S37" s="32"/>
      <c r="U37" s="32">
        <f>6212+778</f>
        <v>6990</v>
      </c>
      <c r="V37" s="28">
        <f>9124+1369</f>
        <v>10493</v>
      </c>
      <c r="W37" s="27">
        <f>9118+1254</f>
        <v>10372</v>
      </c>
      <c r="X37" s="27">
        <f>9119+1146</f>
        <v>10265</v>
      </c>
    </row>
    <row r="38" spans="1:24" s="27" customFormat="1" x14ac:dyDescent="0.15">
      <c r="A38" s="81" t="s">
        <v>83</v>
      </c>
      <c r="B38" s="34"/>
      <c r="C38" s="34"/>
      <c r="D38" s="34"/>
      <c r="E38" s="34"/>
      <c r="F38" s="33"/>
      <c r="G38" s="32"/>
      <c r="H38" s="32"/>
      <c r="I38" s="34">
        <v>33103</v>
      </c>
      <c r="J38" s="33">
        <v>33493</v>
      </c>
      <c r="K38" s="34">
        <v>35290</v>
      </c>
      <c r="L38" s="34">
        <v>37761</v>
      </c>
      <c r="M38" s="34">
        <v>40774</v>
      </c>
      <c r="N38" s="33">
        <v>42322</v>
      </c>
      <c r="O38" s="34">
        <v>41677</v>
      </c>
      <c r="P38" s="34">
        <v>43724</v>
      </c>
      <c r="Q38" s="34">
        <v>43332</v>
      </c>
      <c r="R38" s="33"/>
      <c r="S38" s="32"/>
      <c r="U38" s="32">
        <v>51333</v>
      </c>
      <c r="V38" s="28">
        <v>54266</v>
      </c>
      <c r="W38" s="27">
        <v>63166</v>
      </c>
      <c r="X38" s="27">
        <v>65582</v>
      </c>
    </row>
    <row r="39" spans="1:24" s="27" customFormat="1" x14ac:dyDescent="0.15">
      <c r="A39" s="81" t="s">
        <v>84</v>
      </c>
      <c r="B39" s="34"/>
      <c r="C39" s="34"/>
      <c r="D39" s="34"/>
      <c r="E39" s="34"/>
      <c r="F39" s="33"/>
      <c r="G39" s="32"/>
      <c r="H39" s="32"/>
      <c r="I39" s="34">
        <v>18391</v>
      </c>
      <c r="J39" s="33">
        <v>18867</v>
      </c>
      <c r="K39" s="34">
        <v>20292</v>
      </c>
      <c r="L39" s="34">
        <v>22329</v>
      </c>
      <c r="M39" s="34">
        <v>24780</v>
      </c>
      <c r="N39" s="33">
        <v>27681</v>
      </c>
      <c r="O39" s="34">
        <v>26658</v>
      </c>
      <c r="P39" s="34">
        <v>28609</v>
      </c>
      <c r="Q39" s="34">
        <v>27946</v>
      </c>
      <c r="R39" s="33"/>
      <c r="S39" s="32"/>
      <c r="U39" s="32">
        <v>34404</v>
      </c>
      <c r="V39" s="28">
        <v>38255</v>
      </c>
      <c r="W39" s="27">
        <v>45482</v>
      </c>
      <c r="X39" s="27">
        <v>47055</v>
      </c>
    </row>
    <row r="40" spans="1:24" s="27" customFormat="1" x14ac:dyDescent="0.15">
      <c r="A40" s="82"/>
      <c r="B40" s="34"/>
      <c r="C40" s="34"/>
      <c r="D40" s="34"/>
      <c r="E40" s="34"/>
      <c r="F40" s="33"/>
      <c r="G40" s="32"/>
      <c r="H40" s="32"/>
      <c r="I40" s="34"/>
      <c r="J40" s="33"/>
      <c r="K40" s="34"/>
      <c r="L40" s="34"/>
      <c r="M40" s="34"/>
      <c r="N40" s="33"/>
      <c r="O40" s="34"/>
      <c r="P40" s="34"/>
      <c r="Q40" s="34"/>
      <c r="R40" s="33"/>
      <c r="S40" s="32"/>
      <c r="U40" s="32"/>
      <c r="V40" s="28"/>
    </row>
    <row r="41" spans="1:24" s="27" customFormat="1" x14ac:dyDescent="0.15">
      <c r="A41" s="81" t="s">
        <v>85</v>
      </c>
      <c r="B41" s="34"/>
      <c r="C41" s="34"/>
      <c r="D41" s="34"/>
      <c r="E41" s="34"/>
      <c r="F41" s="33"/>
      <c r="G41" s="32"/>
      <c r="H41" s="32"/>
      <c r="I41" s="42">
        <f t="shared" ref="I41:P41" si="68">I38-I37-I34</f>
        <v>22319</v>
      </c>
      <c r="J41" s="43">
        <f t="shared" si="68"/>
        <v>22869</v>
      </c>
      <c r="K41" s="42">
        <f t="shared" si="68"/>
        <v>24483</v>
      </c>
      <c r="L41" s="42">
        <f t="shared" si="68"/>
        <v>26071</v>
      </c>
      <c r="M41" s="42">
        <f t="shared" si="68"/>
        <v>28611</v>
      </c>
      <c r="N41" s="43">
        <f t="shared" si="68"/>
        <v>30053</v>
      </c>
      <c r="O41" s="42">
        <f t="shared" si="68"/>
        <v>30887</v>
      </c>
      <c r="P41" s="42">
        <f t="shared" si="68"/>
        <v>26453</v>
      </c>
      <c r="Q41" s="42">
        <f t="shared" ref="Q41" si="69">Q38-Q37-Q34</f>
        <v>26143</v>
      </c>
      <c r="R41" s="33"/>
      <c r="S41" s="32"/>
      <c r="U41" s="42">
        <f>U38-U37-U34</f>
        <v>30719</v>
      </c>
      <c r="V41" s="43">
        <f t="shared" ref="V41" si="70">V38-V37-V34</f>
        <v>31221</v>
      </c>
      <c r="W41" s="42">
        <f t="shared" ref="W41:X41" si="71">W38-W37-W34</f>
        <v>36571</v>
      </c>
      <c r="X41" s="42">
        <f t="shared" si="71"/>
        <v>37720</v>
      </c>
    </row>
    <row r="42" spans="1:24" s="27" customFormat="1" x14ac:dyDescent="0.15">
      <c r="A42" s="81" t="s">
        <v>86</v>
      </c>
      <c r="B42" s="34"/>
      <c r="C42" s="34"/>
      <c r="D42" s="34"/>
      <c r="E42" s="34"/>
      <c r="F42" s="33"/>
      <c r="G42" s="32"/>
      <c r="H42" s="32"/>
      <c r="I42" s="42">
        <f t="shared" ref="I42:P42" si="72">I38-I39</f>
        <v>14712</v>
      </c>
      <c r="J42" s="43">
        <f t="shared" si="72"/>
        <v>14626</v>
      </c>
      <c r="K42" s="42">
        <f t="shared" si="72"/>
        <v>14998</v>
      </c>
      <c r="L42" s="42">
        <f t="shared" si="72"/>
        <v>15432</v>
      </c>
      <c r="M42" s="42">
        <f t="shared" si="72"/>
        <v>15994</v>
      </c>
      <c r="N42" s="43">
        <f t="shared" si="72"/>
        <v>14641</v>
      </c>
      <c r="O42" s="42">
        <f t="shared" si="72"/>
        <v>15019</v>
      </c>
      <c r="P42" s="42">
        <f t="shared" si="72"/>
        <v>15115</v>
      </c>
      <c r="Q42" s="42">
        <f t="shared" ref="Q42" si="73">Q38-Q39</f>
        <v>15386</v>
      </c>
      <c r="R42" s="33"/>
      <c r="S42" s="32"/>
      <c r="U42" s="42">
        <f>U38-U39</f>
        <v>16929</v>
      </c>
      <c r="V42" s="43">
        <f t="shared" ref="V42" si="74">V38-V39</f>
        <v>16011</v>
      </c>
      <c r="W42" s="42">
        <f t="shared" ref="W42:X42" si="75">W38-W39</f>
        <v>17684</v>
      </c>
      <c r="X42" s="42">
        <f t="shared" si="75"/>
        <v>18527</v>
      </c>
    </row>
    <row r="43" spans="1:24" s="27" customFormat="1" x14ac:dyDescent="0.15">
      <c r="A43" s="81"/>
      <c r="B43" s="34"/>
      <c r="C43" s="34"/>
      <c r="D43" s="34"/>
      <c r="E43" s="34"/>
      <c r="F43" s="33"/>
      <c r="G43" s="32"/>
      <c r="H43" s="32"/>
      <c r="I43" s="34"/>
      <c r="J43" s="33"/>
      <c r="K43" s="34"/>
      <c r="L43" s="34"/>
      <c r="M43" s="34"/>
      <c r="N43" s="33"/>
      <c r="O43" s="34"/>
      <c r="P43" s="34"/>
      <c r="Q43" s="34"/>
      <c r="R43" s="33"/>
      <c r="S43" s="32"/>
      <c r="U43" s="34"/>
      <c r="V43" s="28"/>
    </row>
    <row r="44" spans="1:24" s="70" customFormat="1" x14ac:dyDescent="0.15">
      <c r="A44" s="83" t="s">
        <v>92</v>
      </c>
      <c r="B44" s="40"/>
      <c r="C44" s="40"/>
      <c r="D44" s="40"/>
      <c r="E44" s="40"/>
      <c r="F44" s="41"/>
      <c r="G44" s="58"/>
      <c r="H44" s="58"/>
      <c r="I44" s="37">
        <f t="shared" ref="I44:Q44" si="76">SUM(F20:I20)</f>
        <v>1401</v>
      </c>
      <c r="J44" s="38">
        <f t="shared" si="76"/>
        <v>1420</v>
      </c>
      <c r="K44" s="37">
        <f t="shared" si="76"/>
        <v>1508</v>
      </c>
      <c r="L44" s="37">
        <f t="shared" si="76"/>
        <v>1565</v>
      </c>
      <c r="M44" s="37">
        <f t="shared" si="76"/>
        <v>1795</v>
      </c>
      <c r="N44" s="38">
        <f t="shared" si="76"/>
        <v>1922</v>
      </c>
      <c r="O44" s="37">
        <f t="shared" si="76"/>
        <v>2037</v>
      </c>
      <c r="P44" s="37">
        <f t="shared" si="76"/>
        <v>2093</v>
      </c>
      <c r="Q44" s="37">
        <f t="shared" si="76"/>
        <v>2057</v>
      </c>
      <c r="R44" s="41"/>
      <c r="S44" s="58"/>
      <c r="U44" s="37">
        <f>SUM(Q20:T20)</f>
        <v>2536</v>
      </c>
      <c r="V44" s="38">
        <f t="shared" ref="V44:X44" si="77">SUM(S20:V20)</f>
        <v>1875.9999999999991</v>
      </c>
      <c r="W44" s="37">
        <f t="shared" si="77"/>
        <v>2582.9999999999991</v>
      </c>
      <c r="X44" s="37">
        <f t="shared" si="77"/>
        <v>3141.9999999999991</v>
      </c>
    </row>
    <row r="45" spans="1:24" s="17" customFormat="1" x14ac:dyDescent="0.15">
      <c r="A45" s="76" t="s">
        <v>87</v>
      </c>
      <c r="B45" s="48"/>
      <c r="C45" s="48"/>
      <c r="D45" s="48"/>
      <c r="E45" s="48"/>
      <c r="F45" s="49"/>
      <c r="G45" s="50"/>
      <c r="H45" s="50"/>
      <c r="I45" s="48">
        <f t="shared" ref="I45:Q45" si="78">I44/I42</f>
        <v>9.5228384991843398E-2</v>
      </c>
      <c r="J45" s="49">
        <f t="shared" si="78"/>
        <v>9.7087378640776698E-2</v>
      </c>
      <c r="K45" s="48">
        <f t="shared" si="78"/>
        <v>0.10054673956527536</v>
      </c>
      <c r="L45" s="48">
        <f t="shared" si="78"/>
        <v>0.10141264904095386</v>
      </c>
      <c r="M45" s="48">
        <f t="shared" si="78"/>
        <v>0.11222958609478555</v>
      </c>
      <c r="N45" s="49">
        <f t="shared" si="78"/>
        <v>0.13127518612116659</v>
      </c>
      <c r="O45" s="48">
        <f t="shared" si="78"/>
        <v>0.13562820427458552</v>
      </c>
      <c r="P45" s="48">
        <f t="shared" si="78"/>
        <v>0.13847171683757856</v>
      </c>
      <c r="Q45" s="48">
        <f t="shared" si="78"/>
        <v>0.13369296763291305</v>
      </c>
      <c r="R45" s="49"/>
      <c r="S45" s="50"/>
      <c r="U45" s="48">
        <f>U44/U42</f>
        <v>0.14980211471439542</v>
      </c>
      <c r="V45" s="49">
        <f t="shared" ref="V45" si="79">V44/V42</f>
        <v>0.11716944600587091</v>
      </c>
      <c r="W45" s="48">
        <f t="shared" ref="W45:X45" si="80">W44/W42</f>
        <v>0.14606423885998637</v>
      </c>
      <c r="X45" s="48">
        <f t="shared" si="80"/>
        <v>0.16959032762994544</v>
      </c>
    </row>
    <row r="46" spans="1:24" s="17" customFormat="1" x14ac:dyDescent="0.15">
      <c r="A46" s="76" t="s">
        <v>88</v>
      </c>
      <c r="B46" s="48"/>
      <c r="C46" s="48"/>
      <c r="D46" s="48"/>
      <c r="E46" s="48"/>
      <c r="F46" s="49"/>
      <c r="G46" s="50"/>
      <c r="H46" s="50"/>
      <c r="I46" s="48">
        <f t="shared" ref="I46:P46" si="81">I44/I38</f>
        <v>4.2322448116484911E-2</v>
      </c>
      <c r="J46" s="49">
        <f t="shared" si="81"/>
        <v>4.2396918759143705E-2</v>
      </c>
      <c r="K46" s="48">
        <f t="shared" si="81"/>
        <v>4.2731652026069711E-2</v>
      </c>
      <c r="L46" s="48">
        <f t="shared" si="81"/>
        <v>4.1444876989486505E-2</v>
      </c>
      <c r="M46" s="48">
        <f t="shared" si="81"/>
        <v>4.4023152008632951E-2</v>
      </c>
      <c r="N46" s="49">
        <f t="shared" si="81"/>
        <v>4.5413732810358681E-2</v>
      </c>
      <c r="O46" s="48">
        <f t="shared" si="81"/>
        <v>4.8875878782062052E-2</v>
      </c>
      <c r="P46" s="48">
        <f t="shared" si="81"/>
        <v>4.7868447534534807E-2</v>
      </c>
      <c r="Q46" s="48">
        <f t="shared" ref="Q46" si="82">Q44/Q38</f>
        <v>4.7470691405889415E-2</v>
      </c>
      <c r="R46" s="49"/>
      <c r="S46" s="50"/>
      <c r="U46" s="48">
        <f>U44/U38</f>
        <v>4.9402918200767539E-2</v>
      </c>
      <c r="V46" s="49">
        <f t="shared" ref="V46" si="83">V44/V38</f>
        <v>3.4570449268418513E-2</v>
      </c>
      <c r="W46" s="48">
        <f t="shared" ref="W46:X46" si="84">W44/W38</f>
        <v>4.0892252160972663E-2</v>
      </c>
      <c r="X46" s="48">
        <f t="shared" si="84"/>
        <v>4.7909487359336388E-2</v>
      </c>
    </row>
    <row r="47" spans="1:24" s="17" customFormat="1" x14ac:dyDescent="0.15">
      <c r="A47" s="76" t="s">
        <v>89</v>
      </c>
      <c r="B47" s="48"/>
      <c r="C47" s="48"/>
      <c r="D47" s="48"/>
      <c r="E47" s="48"/>
      <c r="F47" s="49"/>
      <c r="G47" s="50"/>
      <c r="H47" s="50"/>
      <c r="I47" s="48">
        <f t="shared" ref="I47:P47" si="85">I44/(I42-I37)</f>
        <v>0.1341696992913235</v>
      </c>
      <c r="J47" s="49">
        <f t="shared" si="85"/>
        <v>0.13677518782508188</v>
      </c>
      <c r="K47" s="48">
        <f t="shared" si="85"/>
        <v>0.13972018901139627</v>
      </c>
      <c r="L47" s="48">
        <f t="shared" si="85"/>
        <v>0.14384191176470587</v>
      </c>
      <c r="M47" s="48">
        <f t="shared" si="85"/>
        <v>0.15626360233307218</v>
      </c>
      <c r="N47" s="49">
        <f t="shared" si="85"/>
        <v>0.18908017707820954</v>
      </c>
      <c r="O47" s="48">
        <f t="shared" si="85"/>
        <v>0.19284294234592445</v>
      </c>
      <c r="P47" s="48">
        <f t="shared" si="85"/>
        <v>0.24985078190282917</v>
      </c>
      <c r="Q47" s="48">
        <f t="shared" ref="Q47" si="86">Q44/(Q42-Q37)</f>
        <v>0.24851999516733117</v>
      </c>
      <c r="R47" s="49"/>
      <c r="S47" s="50"/>
      <c r="U47" s="48">
        <f>U44/(U42-U37)</f>
        <v>0.25515645437166717</v>
      </c>
      <c r="V47" s="49">
        <f t="shared" ref="V47" si="87">V44/(V42-V37)</f>
        <v>0.33997825299021367</v>
      </c>
      <c r="W47" s="48">
        <f t="shared" ref="W47:X47" si="88">W44/(W42-W37)</f>
        <v>0.35325492341356662</v>
      </c>
      <c r="X47" s="48">
        <f t="shared" si="88"/>
        <v>0.38029532800774618</v>
      </c>
    </row>
    <row r="48" spans="1:24" s="17" customFormat="1" x14ac:dyDescent="0.15">
      <c r="A48" s="76" t="s">
        <v>90</v>
      </c>
      <c r="B48" s="48"/>
      <c r="C48" s="48"/>
      <c r="D48" s="48"/>
      <c r="E48" s="48"/>
      <c r="F48" s="49"/>
      <c r="G48" s="50"/>
      <c r="H48" s="50"/>
      <c r="I48" s="48">
        <f t="shared" ref="I48:P48" si="89">I44/I41</f>
        <v>6.2771629553295405E-2</v>
      </c>
      <c r="J48" s="49">
        <f t="shared" si="89"/>
        <v>6.209278936551664E-2</v>
      </c>
      <c r="K48" s="48">
        <f t="shared" si="89"/>
        <v>6.1593758934771065E-2</v>
      </c>
      <c r="L48" s="48">
        <f t="shared" si="89"/>
        <v>6.0028384028230602E-2</v>
      </c>
      <c r="M48" s="48">
        <f t="shared" si="89"/>
        <v>6.273810772080668E-2</v>
      </c>
      <c r="N48" s="49">
        <f t="shared" si="89"/>
        <v>6.3953681828769177E-2</v>
      </c>
      <c r="O48" s="48">
        <f t="shared" si="89"/>
        <v>6.5950076083789291E-2</v>
      </c>
      <c r="P48" s="48">
        <f t="shared" si="89"/>
        <v>7.9121460703889923E-2</v>
      </c>
      <c r="Q48" s="48">
        <f t="shared" ref="Q48" si="90">Q44/Q41</f>
        <v>7.8682630149562019E-2</v>
      </c>
      <c r="R48" s="49"/>
      <c r="S48" s="50"/>
      <c r="U48" s="48">
        <f>U44/U41</f>
        <v>8.2554770663107527E-2</v>
      </c>
      <c r="V48" s="49">
        <f t="shared" ref="V48" si="91">V44/V41</f>
        <v>6.0087761442618723E-2</v>
      </c>
      <c r="W48" s="48">
        <f t="shared" ref="W48:X48" si="92">W44/W41</f>
        <v>7.0629733942194614E-2</v>
      </c>
      <c r="X48" s="48">
        <f t="shared" si="92"/>
        <v>8.3297985153764562E-2</v>
      </c>
    </row>
    <row r="49" spans="1:25" x14ac:dyDescent="0.15">
      <c r="B49" s="32"/>
      <c r="C49" s="32"/>
      <c r="D49" s="32"/>
      <c r="E49" s="32"/>
      <c r="F49" s="33"/>
      <c r="G49" s="32"/>
      <c r="H49" s="32"/>
      <c r="I49" s="32"/>
      <c r="J49" s="33"/>
      <c r="K49" s="32"/>
      <c r="L49" s="32"/>
      <c r="M49" s="32"/>
      <c r="V49" s="35"/>
      <c r="W49" s="31"/>
      <c r="X49" s="31"/>
    </row>
    <row r="50" spans="1:25" x14ac:dyDescent="0.15">
      <c r="A50" s="72" t="s">
        <v>94</v>
      </c>
      <c r="F50" s="49">
        <f t="shared" ref="F50:Q51" si="93">F6/B6-1</f>
        <v>0.11515151515151523</v>
      </c>
      <c r="G50" s="50">
        <f t="shared" si="93"/>
        <v>0.11242603550295849</v>
      </c>
      <c r="H50" s="50">
        <f t="shared" si="93"/>
        <v>0.10982658959537561</v>
      </c>
      <c r="I50" s="50">
        <f t="shared" si="93"/>
        <v>0.1005586592178771</v>
      </c>
      <c r="J50" s="49">
        <f t="shared" si="93"/>
        <v>0.11413043478260865</v>
      </c>
      <c r="K50" s="50">
        <f t="shared" si="93"/>
        <v>0.12765957446808507</v>
      </c>
      <c r="L50" s="50">
        <f t="shared" si="93"/>
        <v>0.14583333333333326</v>
      </c>
      <c r="M50" s="50">
        <f t="shared" si="93"/>
        <v>0.15228426395939088</v>
      </c>
      <c r="N50" s="49">
        <f t="shared" si="93"/>
        <v>0.15609756097560967</v>
      </c>
      <c r="O50" s="50">
        <f t="shared" si="93"/>
        <v>0.15094339622641506</v>
      </c>
      <c r="P50" s="50">
        <f t="shared" si="93"/>
        <v>0.15454545454545454</v>
      </c>
      <c r="Q50" s="69">
        <f t="shared" si="93"/>
        <v>0.17621145374449343</v>
      </c>
      <c r="U50" s="50">
        <f>T6/P6-1</f>
        <v>0.1614173228346456</v>
      </c>
      <c r="V50" s="49">
        <f t="shared" ref="V50:X51" si="94">V6/R6-1</f>
        <v>0.1732851985559567</v>
      </c>
      <c r="W50" s="50">
        <f t="shared" si="94"/>
        <v>0.20979020979020979</v>
      </c>
      <c r="X50" s="50">
        <f t="shared" si="94"/>
        <v>0.22372881355932206</v>
      </c>
    </row>
    <row r="51" spans="1:25" x14ac:dyDescent="0.15">
      <c r="A51" s="72" t="s">
        <v>91</v>
      </c>
      <c r="F51" s="49">
        <f t="shared" si="93"/>
        <v>6.7526601696811905E-2</v>
      </c>
      <c r="G51" s="50">
        <f t="shared" si="93"/>
        <v>3.7083522448336792E-2</v>
      </c>
      <c r="H51" s="50">
        <f t="shared" si="93"/>
        <v>6.4250719663418998E-2</v>
      </c>
      <c r="I51" s="50">
        <f t="shared" si="93"/>
        <v>5.971219306816633E-2</v>
      </c>
      <c r="J51" s="49">
        <f t="shared" si="93"/>
        <v>4.9624175487037903E-2</v>
      </c>
      <c r="K51" s="50">
        <f t="shared" si="93"/>
        <v>4.9426842292630724E-2</v>
      </c>
      <c r="L51" s="50">
        <f t="shared" si="93"/>
        <v>5.9903875651907246E-2</v>
      </c>
      <c r="M51" s="50">
        <f t="shared" si="93"/>
        <v>8.9969217673754764E-2</v>
      </c>
      <c r="N51" s="49">
        <f t="shared" si="93"/>
        <v>7.1410842818139919E-2</v>
      </c>
      <c r="O51" s="50">
        <f t="shared" si="93"/>
        <v>6.8610948477751732E-2</v>
      </c>
      <c r="P51" s="50">
        <f t="shared" si="93"/>
        <v>-1.5128125964803951E-2</v>
      </c>
      <c r="Q51" s="69">
        <f t="shared" si="93"/>
        <v>-4.0360206792791176E-2</v>
      </c>
      <c r="U51" s="50">
        <f>T7/P7-1</f>
        <v>2.3495032144944528E-2</v>
      </c>
      <c r="V51" s="49">
        <f t="shared" si="94"/>
        <v>-4.6522063208109699E-2</v>
      </c>
      <c r="W51" s="50">
        <f t="shared" si="94"/>
        <v>1.0148167542782138E-2</v>
      </c>
      <c r="X51" s="50">
        <f t="shared" si="94"/>
        <v>1.8948304858465104E-2</v>
      </c>
    </row>
    <row r="52" spans="1:25" x14ac:dyDescent="0.15">
      <c r="B52" s="32"/>
      <c r="C52" s="32"/>
      <c r="D52" s="32"/>
      <c r="E52" s="32"/>
      <c r="F52" s="33"/>
      <c r="G52" s="32"/>
      <c r="H52" s="32"/>
      <c r="I52" s="32"/>
      <c r="J52" s="33"/>
      <c r="K52" s="32"/>
      <c r="L52" s="32"/>
      <c r="M52" s="32"/>
    </row>
    <row r="53" spans="1:25" s="27" customFormat="1" x14ac:dyDescent="0.15">
      <c r="A53" s="77" t="s">
        <v>58</v>
      </c>
      <c r="B53" s="32">
        <v>1123</v>
      </c>
      <c r="C53" s="32">
        <v>1161</v>
      </c>
      <c r="D53" s="32">
        <v>1216</v>
      </c>
      <c r="E53" s="32">
        <v>1428</v>
      </c>
      <c r="F53" s="33">
        <v>1414</v>
      </c>
      <c r="G53" s="32">
        <v>1448</v>
      </c>
      <c r="H53" s="32">
        <v>1512</v>
      </c>
      <c r="I53" s="32">
        <v>1755</v>
      </c>
      <c r="J53" s="33">
        <v>1771</v>
      </c>
      <c r="K53" s="32">
        <v>1817</v>
      </c>
      <c r="L53" s="32">
        <v>1941</v>
      </c>
      <c r="M53" s="32">
        <v>2199</v>
      </c>
      <c r="N53" s="33">
        <v>2214</v>
      </c>
      <c r="O53" s="32">
        <v>2327</v>
      </c>
      <c r="P53" s="32">
        <v>2463</v>
      </c>
      <c r="Q53" s="62">
        <v>2867</v>
      </c>
      <c r="R53" s="33">
        <v>2838</v>
      </c>
      <c r="S53" s="32">
        <v>2973</v>
      </c>
      <c r="T53" s="32">
        <v>3090</v>
      </c>
      <c r="U53" s="32">
        <v>3461</v>
      </c>
      <c r="V53" s="28">
        <v>3261</v>
      </c>
      <c r="W53" s="27">
        <v>3742</v>
      </c>
      <c r="X53" s="27">
        <v>4013</v>
      </c>
    </row>
    <row r="54" spans="1:25" s="27" customFormat="1" x14ac:dyDescent="0.15">
      <c r="A54" s="77" t="s">
        <v>60</v>
      </c>
      <c r="B54" s="32">
        <v>63021</v>
      </c>
      <c r="C54" s="32">
        <v>67482</v>
      </c>
      <c r="D54" s="32">
        <v>69738</v>
      </c>
      <c r="E54" s="32">
        <v>81523</v>
      </c>
      <c r="F54" s="33">
        <v>81056</v>
      </c>
      <c r="G54" s="32">
        <v>86208</v>
      </c>
      <c r="H54" s="32">
        <v>87403</v>
      </c>
      <c r="I54" s="32">
        <v>99348</v>
      </c>
      <c r="J54" s="33">
        <v>100639</v>
      </c>
      <c r="K54" s="32">
        <v>107800</v>
      </c>
      <c r="L54" s="32">
        <v>115224</v>
      </c>
      <c r="M54" s="32">
        <v>131449</v>
      </c>
      <c r="N54" s="33">
        <v>132364</v>
      </c>
      <c r="O54" s="32">
        <v>139403</v>
      </c>
      <c r="P54" s="32">
        <v>143004</v>
      </c>
      <c r="Q54" s="62">
        <v>163648</v>
      </c>
      <c r="R54" s="33">
        <v>161492</v>
      </c>
      <c r="S54" s="32">
        <v>172359</v>
      </c>
      <c r="T54" s="32">
        <v>178670</v>
      </c>
      <c r="U54" s="32">
        <v>199404</v>
      </c>
      <c r="V54" s="28">
        <v>190567</v>
      </c>
      <c r="W54" s="27">
        <v>221731</v>
      </c>
      <c r="X54" s="27">
        <v>246691</v>
      </c>
      <c r="Y54" s="27">
        <f>U54*(Y57+1)</f>
        <v>263213.28000000003</v>
      </c>
    </row>
    <row r="55" spans="1:25" x14ac:dyDescent="0.15">
      <c r="C55" s="32"/>
    </row>
    <row r="56" spans="1:25" s="17" customFormat="1" x14ac:dyDescent="0.15">
      <c r="A56" s="84" t="s">
        <v>103</v>
      </c>
      <c r="B56" s="50"/>
      <c r="C56" s="50"/>
      <c r="D56" s="50"/>
      <c r="E56" s="50"/>
      <c r="F56" s="49">
        <f>F53/B53-1</f>
        <v>0.25912733748886918</v>
      </c>
      <c r="G56" s="50">
        <f>G53/C53-1</f>
        <v>0.24720068906115422</v>
      </c>
      <c r="H56" s="50">
        <f t="shared" ref="H56:X56" si="95">H53/D53-1</f>
        <v>0.24342105263157898</v>
      </c>
      <c r="I56" s="50">
        <f t="shared" si="95"/>
        <v>0.22899159663865554</v>
      </c>
      <c r="J56" s="49">
        <f t="shared" si="95"/>
        <v>0.25247524752475248</v>
      </c>
      <c r="K56" s="50">
        <f t="shared" si="95"/>
        <v>0.25483425414364635</v>
      </c>
      <c r="L56" s="50">
        <f t="shared" si="95"/>
        <v>0.28373015873015883</v>
      </c>
      <c r="M56" s="50">
        <f t="shared" si="95"/>
        <v>0.25299145299145298</v>
      </c>
      <c r="N56" s="49">
        <f t="shared" si="95"/>
        <v>0.25014116318464152</v>
      </c>
      <c r="O56" s="50">
        <f t="shared" si="95"/>
        <v>0.28068244358833239</v>
      </c>
      <c r="P56" s="50">
        <f t="shared" si="95"/>
        <v>0.26893353941267395</v>
      </c>
      <c r="Q56" s="50">
        <f t="shared" si="95"/>
        <v>0.303774442928604</v>
      </c>
      <c r="R56" s="49">
        <f t="shared" si="95"/>
        <v>0.28184281842818426</v>
      </c>
      <c r="S56" s="50">
        <f t="shared" si="95"/>
        <v>0.27761065749892566</v>
      </c>
      <c r="T56" s="50">
        <f t="shared" si="95"/>
        <v>0.25456760048721061</v>
      </c>
      <c r="U56" s="50">
        <f t="shared" si="95"/>
        <v>0.20718521102197429</v>
      </c>
      <c r="V56" s="49">
        <f t="shared" si="95"/>
        <v>0.14904862579281186</v>
      </c>
      <c r="W56" s="50">
        <f t="shared" si="95"/>
        <v>0.25866128489740992</v>
      </c>
      <c r="X56" s="50">
        <f t="shared" si="95"/>
        <v>0.29870550161812304</v>
      </c>
    </row>
    <row r="57" spans="1:25" s="17" customFormat="1" x14ac:dyDescent="0.15">
      <c r="A57" s="84" t="s">
        <v>104</v>
      </c>
      <c r="B57" s="50"/>
      <c r="C57" s="50"/>
      <c r="D57" s="50"/>
      <c r="E57" s="50"/>
      <c r="F57" s="49">
        <f>F54/B54-1</f>
        <v>0.28617444978657902</v>
      </c>
      <c r="G57" s="50">
        <f>G54/C54-1</f>
        <v>0.2774962212145462</v>
      </c>
      <c r="H57" s="50">
        <f t="shared" ref="H57:X57" si="96">H54/D54-1</f>
        <v>0.25330522813960821</v>
      </c>
      <c r="I57" s="50">
        <f t="shared" si="96"/>
        <v>0.21864995154741607</v>
      </c>
      <c r="J57" s="49">
        <f t="shared" si="96"/>
        <v>0.24159840110540864</v>
      </c>
      <c r="K57" s="50">
        <f t="shared" si="96"/>
        <v>0.25046399406087594</v>
      </c>
      <c r="L57" s="50">
        <f t="shared" si="96"/>
        <v>0.31830715192842352</v>
      </c>
      <c r="M57" s="50">
        <f t="shared" si="96"/>
        <v>0.32311672102105726</v>
      </c>
      <c r="N57" s="49">
        <f t="shared" si="96"/>
        <v>0.31523564423334882</v>
      </c>
      <c r="O57" s="50">
        <f t="shared" si="96"/>
        <v>0.29316326530612247</v>
      </c>
      <c r="P57" s="50">
        <f t="shared" si="96"/>
        <v>0.24109560508227457</v>
      </c>
      <c r="Q57" s="50">
        <f t="shared" si="96"/>
        <v>0.2449543168833539</v>
      </c>
      <c r="R57" s="49">
        <f t="shared" si="96"/>
        <v>0.22005983500045323</v>
      </c>
      <c r="S57" s="50">
        <f t="shared" si="96"/>
        <v>0.23640811173360698</v>
      </c>
      <c r="T57" s="50">
        <f t="shared" si="96"/>
        <v>0.24940561103185921</v>
      </c>
      <c r="U57" s="50">
        <f t="shared" si="96"/>
        <v>0.21849335158388739</v>
      </c>
      <c r="V57" s="49">
        <f t="shared" si="96"/>
        <v>0.18003987813637834</v>
      </c>
      <c r="W57" s="50">
        <f t="shared" si="96"/>
        <v>0.28644863337568682</v>
      </c>
      <c r="X57" s="50">
        <f t="shared" si="96"/>
        <v>0.3807074494878826</v>
      </c>
      <c r="Y57" s="17">
        <v>0.32</v>
      </c>
    </row>
    <row r="58" spans="1:25" x14ac:dyDescent="0.15">
      <c r="E58" s="32"/>
      <c r="Y58" s="17"/>
    </row>
    <row r="59" spans="1:25" x14ac:dyDescent="0.15">
      <c r="A59" s="72" t="s">
        <v>105</v>
      </c>
      <c r="B59" s="50">
        <f>B9/B54</f>
        <v>3.3909331810031577E-2</v>
      </c>
      <c r="C59" s="50">
        <f>C9/C54</f>
        <v>3.4038706618061111E-2</v>
      </c>
      <c r="D59" s="50">
        <f>D9/D54</f>
        <v>3.2378330322062575E-2</v>
      </c>
      <c r="E59" s="50">
        <f>E9/E54</f>
        <v>3.1353115071820224E-2</v>
      </c>
      <c r="F59" s="49">
        <f>F9/F54</f>
        <v>3.1385708645874456E-2</v>
      </c>
      <c r="G59" s="50">
        <f>G9/G54</f>
        <v>3.0739606533036378E-2</v>
      </c>
      <c r="H59" s="50">
        <f>H9/H54</f>
        <v>3.0513826756518654E-2</v>
      </c>
      <c r="I59" s="50">
        <f>I9/I54</f>
        <v>3.0005636751620567E-2</v>
      </c>
      <c r="J59" s="49">
        <f>J9/J54</f>
        <v>2.9561104541976767E-2</v>
      </c>
      <c r="K59" s="50">
        <f>K9/K54</f>
        <v>2.9090909090909091E-2</v>
      </c>
      <c r="L59" s="50">
        <f>L9/L54</f>
        <v>2.81104630979657E-2</v>
      </c>
      <c r="M59" s="50">
        <f>M9/M54</f>
        <v>2.8482529345982093E-2</v>
      </c>
      <c r="N59" s="49">
        <f>N9/N54</f>
        <v>2.7839896044241638E-2</v>
      </c>
      <c r="O59" s="50">
        <f>O9/O54</f>
        <v>2.766798418972332E-2</v>
      </c>
      <c r="P59" s="50">
        <f>P9/P54</f>
        <v>2.5754524348969261E-2</v>
      </c>
      <c r="Q59" s="50">
        <f>Q9/Q54</f>
        <v>2.5823719202190065E-2</v>
      </c>
      <c r="R59" s="49">
        <f>R9/R54</f>
        <v>2.5561637728184677E-2</v>
      </c>
      <c r="S59" s="50">
        <f>S9/S54</f>
        <v>2.4976937670791777E-2</v>
      </c>
      <c r="T59" s="50">
        <f>T9/T54</f>
        <v>2.4503274192645658E-2</v>
      </c>
      <c r="U59" s="50">
        <f>U9/U54</f>
        <v>2.4879139836713401E-2</v>
      </c>
      <c r="V59" s="49">
        <f>V9/V54</f>
        <v>2.4232946942545141E-2</v>
      </c>
      <c r="W59" s="50">
        <f>W9/W54</f>
        <v>2.3726948419481263E-2</v>
      </c>
      <c r="X59" s="50">
        <f>X9/X54</f>
        <v>2.2128898095187907E-2</v>
      </c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2021-01-05T15:33:31Z</dcterms:modified>
</cp:coreProperties>
</file>