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9820A9C-B75A-E54F-BB77-FCA559090F62}" xr6:coauthVersionLast="46" xr6:coauthVersionMax="46" xr10:uidLastSave="{00000000-0000-0000-0000-000000000000}"/>
  <bookViews>
    <workbookView xWindow="-56720" yWindow="-5940" windowWidth="28260" windowHeight="2690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" l="1"/>
  <c r="E19" i="2" s="1"/>
  <c r="D32" i="2"/>
  <c r="F23" i="2"/>
  <c r="J21" i="2"/>
  <c r="G21" i="2"/>
  <c r="H21" i="2" s="1"/>
  <c r="I21" i="2" s="1"/>
  <c r="F21" i="2"/>
  <c r="G22" i="2"/>
  <c r="H22" i="2" s="1"/>
  <c r="I22" i="2" s="1"/>
  <c r="J22" i="2" s="1"/>
  <c r="F22" i="2"/>
  <c r="G14" i="2"/>
  <c r="H14" i="2" s="1"/>
  <c r="I14" i="2" s="1"/>
  <c r="J14" i="2" s="1"/>
  <c r="F14" i="2"/>
  <c r="E58" i="2"/>
  <c r="C5" i="2"/>
  <c r="C3" i="2"/>
  <c r="S37" i="2"/>
  <c r="S30" i="2"/>
  <c r="S20" i="2"/>
  <c r="S11" i="2"/>
  <c r="J64" i="2"/>
  <c r="J63" i="2"/>
  <c r="J59" i="2"/>
  <c r="J58" i="2"/>
  <c r="J37" i="2"/>
  <c r="J30" i="2"/>
  <c r="J20" i="2"/>
  <c r="J15" i="2"/>
  <c r="J61" i="2" s="1"/>
  <c r="J13" i="2"/>
  <c r="J12" i="2"/>
  <c r="J11" i="2"/>
  <c r="E51" i="2"/>
  <c r="E50" i="2"/>
  <c r="E48" i="2"/>
  <c r="E47" i="2"/>
  <c r="E46" i="2"/>
  <c r="E44" i="2"/>
  <c r="E43" i="2"/>
  <c r="E42" i="2"/>
  <c r="E30" i="2"/>
  <c r="E23" i="2"/>
  <c r="E17" i="2"/>
  <c r="E27" i="2"/>
  <c r="E25" i="2"/>
  <c r="E22" i="2"/>
  <c r="E21" i="2"/>
  <c r="E20" i="2"/>
  <c r="D63" i="2"/>
  <c r="Q53" i="1"/>
  <c r="Q52" i="1"/>
  <c r="Q51" i="1"/>
  <c r="Q50" i="1"/>
  <c r="Q44" i="1"/>
  <c r="Q48" i="1" s="1"/>
  <c r="Q42" i="1"/>
  <c r="Q41" i="1"/>
  <c r="Q37" i="1"/>
  <c r="Q34" i="1"/>
  <c r="Q33" i="1" s="1"/>
  <c r="Q31" i="1"/>
  <c r="Q30" i="1"/>
  <c r="Q29" i="1"/>
  <c r="Q28" i="1"/>
  <c r="Q27" i="1"/>
  <c r="Q25" i="1"/>
  <c r="Q24" i="1"/>
  <c r="Q23" i="1"/>
  <c r="Q19" i="1"/>
  <c r="Q20" i="1" s="1"/>
  <c r="Q17" i="1"/>
  <c r="Q16" i="1"/>
  <c r="Q13" i="1"/>
  <c r="Q8" i="1"/>
  <c r="C63" i="2"/>
  <c r="B63" i="2"/>
  <c r="E63" i="2"/>
  <c r="F63" i="2" s="1"/>
  <c r="Q56" i="1"/>
  <c r="E13" i="2"/>
  <c r="F13" i="2" s="1"/>
  <c r="G13" i="2" s="1"/>
  <c r="H13" i="2" s="1"/>
  <c r="I13" i="2" s="1"/>
  <c r="E15" i="2"/>
  <c r="F15" i="2" s="1"/>
  <c r="G15" i="2" s="1"/>
  <c r="H15" i="2" s="1"/>
  <c r="I15" i="2" s="1"/>
  <c r="E12" i="2"/>
  <c r="F12" i="2" s="1"/>
  <c r="G12" i="2" s="1"/>
  <c r="H12" i="2" s="1"/>
  <c r="I12" i="2" s="1"/>
  <c r="E14" i="2"/>
  <c r="O56" i="1"/>
  <c r="O53" i="1"/>
  <c r="O52" i="1"/>
  <c r="O51" i="1"/>
  <c r="O50" i="1"/>
  <c r="O42" i="1"/>
  <c r="O37" i="1"/>
  <c r="O34" i="1"/>
  <c r="O33" i="1"/>
  <c r="O29" i="1"/>
  <c r="O28" i="1"/>
  <c r="O16" i="1"/>
  <c r="O13" i="1"/>
  <c r="O14" i="1" s="1"/>
  <c r="O8" i="1"/>
  <c r="P37" i="1"/>
  <c r="P34" i="1"/>
  <c r="P33" i="1" s="1"/>
  <c r="P56" i="1"/>
  <c r="P53" i="1"/>
  <c r="P52" i="1"/>
  <c r="P51" i="1"/>
  <c r="P50" i="1"/>
  <c r="P42" i="1"/>
  <c r="P29" i="1"/>
  <c r="P28" i="1"/>
  <c r="P16" i="1"/>
  <c r="P13" i="1"/>
  <c r="P8" i="1"/>
  <c r="P10" i="1" s="1"/>
  <c r="E24" i="2" l="1"/>
  <c r="E33" i="2" s="1"/>
  <c r="E32" i="2"/>
  <c r="E26" i="2"/>
  <c r="E28" i="2" s="1"/>
  <c r="E54" i="2" s="1"/>
  <c r="E56" i="2"/>
  <c r="E55" i="2"/>
  <c r="J60" i="2"/>
  <c r="J17" i="2"/>
  <c r="J66" i="2" s="1"/>
  <c r="E53" i="2"/>
  <c r="E29" i="2"/>
  <c r="Q45" i="1"/>
  <c r="Q46" i="1"/>
  <c r="Q47" i="1"/>
  <c r="P41" i="1"/>
  <c r="D64" i="2"/>
  <c r="O41" i="1"/>
  <c r="C64" i="2"/>
  <c r="F64" i="2"/>
  <c r="G63" i="2"/>
  <c r="H63" i="2" s="1"/>
  <c r="I63" i="2" s="1"/>
  <c r="E64" i="2"/>
  <c r="P14" i="1"/>
  <c r="P58" i="1"/>
  <c r="P15" i="1"/>
  <c r="P23" i="1"/>
  <c r="Q58" i="1"/>
  <c r="O10" i="1"/>
  <c r="O23" i="1" s="1"/>
  <c r="O58" i="1"/>
  <c r="N56" i="1"/>
  <c r="N37" i="1"/>
  <c r="N34" i="1"/>
  <c r="N53" i="1"/>
  <c r="N52" i="1"/>
  <c r="N51" i="1"/>
  <c r="N50" i="1"/>
  <c r="N42" i="1"/>
  <c r="N33" i="1"/>
  <c r="N29" i="1"/>
  <c r="N28" i="1"/>
  <c r="N16" i="1"/>
  <c r="N13" i="1"/>
  <c r="N14" i="1" s="1"/>
  <c r="N8" i="1"/>
  <c r="D12" i="2"/>
  <c r="M37" i="1"/>
  <c r="M34" i="1"/>
  <c r="M16" i="1"/>
  <c r="M13" i="1"/>
  <c r="M8" i="1"/>
  <c r="M58" i="1" s="1"/>
  <c r="M14" i="1" l="1"/>
  <c r="N41" i="1"/>
  <c r="N58" i="1"/>
  <c r="N10" i="1"/>
  <c r="N23" i="1" s="1"/>
  <c r="Q14" i="1"/>
  <c r="M10" i="1"/>
  <c r="M15" i="1" s="1"/>
  <c r="M17" i="1" s="1"/>
  <c r="G64" i="2"/>
  <c r="P17" i="1"/>
  <c r="P24" i="1"/>
  <c r="O15" i="1"/>
  <c r="D48" i="2"/>
  <c r="D47" i="2"/>
  <c r="D44" i="2"/>
  <c r="D30" i="2"/>
  <c r="D27" i="2"/>
  <c r="D21" i="2"/>
  <c r="D20" i="2"/>
  <c r="C48" i="2"/>
  <c r="C47" i="2"/>
  <c r="C44" i="2"/>
  <c r="C30" i="2"/>
  <c r="C27" i="2"/>
  <c r="C21" i="2"/>
  <c r="C20" i="2"/>
  <c r="C18" i="2"/>
  <c r="C15" i="2"/>
  <c r="C14" i="2"/>
  <c r="C13" i="2"/>
  <c r="C12" i="2"/>
  <c r="B30" i="2"/>
  <c r="B27" i="2"/>
  <c r="B21" i="2"/>
  <c r="B20" i="2"/>
  <c r="B18" i="2"/>
  <c r="B14" i="2"/>
  <c r="B13" i="2"/>
  <c r="B12" i="2"/>
  <c r="M29" i="1"/>
  <c r="M28" i="1"/>
  <c r="D15" i="2"/>
  <c r="D14" i="2"/>
  <c r="D13" i="2"/>
  <c r="M53" i="1"/>
  <c r="M50" i="1"/>
  <c r="M52" i="1"/>
  <c r="M51" i="1"/>
  <c r="M56" i="1"/>
  <c r="M42" i="1"/>
  <c r="M33" i="1"/>
  <c r="I52" i="1"/>
  <c r="I51" i="1"/>
  <c r="H52" i="1"/>
  <c r="H51" i="1"/>
  <c r="G52" i="1"/>
  <c r="G51" i="1"/>
  <c r="F52" i="1"/>
  <c r="F51" i="1"/>
  <c r="I50" i="1"/>
  <c r="F56" i="1"/>
  <c r="G56" i="1"/>
  <c r="H56" i="1"/>
  <c r="I56" i="1"/>
  <c r="B13" i="1"/>
  <c r="B8" i="1"/>
  <c r="B58" i="1" s="1"/>
  <c r="C13" i="1"/>
  <c r="C8" i="1"/>
  <c r="C58" i="1" s="1"/>
  <c r="D16" i="1"/>
  <c r="B25" i="2" s="1"/>
  <c r="D13" i="1"/>
  <c r="D8" i="1"/>
  <c r="D58" i="1" s="1"/>
  <c r="E8" i="1"/>
  <c r="E58" i="1" s="1"/>
  <c r="E13" i="1"/>
  <c r="E14" i="1" s="1"/>
  <c r="I16" i="1"/>
  <c r="I13" i="1"/>
  <c r="I8" i="1"/>
  <c r="I58" i="1" s="1"/>
  <c r="J38" i="2" l="1"/>
  <c r="B22" i="2"/>
  <c r="N15" i="1"/>
  <c r="I64" i="2"/>
  <c r="H64" i="2"/>
  <c r="O24" i="1"/>
  <c r="O17" i="1"/>
  <c r="C59" i="2"/>
  <c r="P25" i="1"/>
  <c r="P19" i="1"/>
  <c r="P20" i="1" s="1"/>
  <c r="F17" i="2"/>
  <c r="F66" i="2" s="1"/>
  <c r="D17" i="2"/>
  <c r="D66" i="2" s="1"/>
  <c r="B17" i="2"/>
  <c r="B66" i="2" s="1"/>
  <c r="D51" i="2"/>
  <c r="D59" i="2"/>
  <c r="D60" i="2"/>
  <c r="M41" i="1"/>
  <c r="C58" i="2"/>
  <c r="F20" i="2"/>
  <c r="G20" i="2" s="1"/>
  <c r="H20" i="2" s="1"/>
  <c r="I20" i="2" s="1"/>
  <c r="K20" i="2" s="1"/>
  <c r="L20" i="2" s="1"/>
  <c r="M20" i="2" s="1"/>
  <c r="N20" i="2" s="1"/>
  <c r="O20" i="2" s="1"/>
  <c r="P20" i="2" s="1"/>
  <c r="Q20" i="2" s="1"/>
  <c r="R20" i="2" s="1"/>
  <c r="D43" i="2"/>
  <c r="D42" i="2" s="1"/>
  <c r="C60" i="2"/>
  <c r="D46" i="2"/>
  <c r="E61" i="2"/>
  <c r="G61" i="2"/>
  <c r="D61" i="2"/>
  <c r="C17" i="2"/>
  <c r="C66" i="2" s="1"/>
  <c r="D58" i="2"/>
  <c r="E10" i="1"/>
  <c r="J37" i="1"/>
  <c r="J34" i="1"/>
  <c r="J33" i="1" s="1"/>
  <c r="F16" i="1"/>
  <c r="F13" i="1"/>
  <c r="F8" i="1"/>
  <c r="F58" i="1" s="1"/>
  <c r="J16" i="1"/>
  <c r="J13" i="1"/>
  <c r="N30" i="1" s="1"/>
  <c r="J56" i="1"/>
  <c r="J53" i="1"/>
  <c r="J52" i="1"/>
  <c r="J51" i="1"/>
  <c r="J50" i="1"/>
  <c r="J42" i="1"/>
  <c r="J30" i="1"/>
  <c r="J29" i="1"/>
  <c r="J28" i="1"/>
  <c r="J8" i="1"/>
  <c r="K56" i="1"/>
  <c r="K37" i="1"/>
  <c r="K34" i="1"/>
  <c r="K33" i="1" s="1"/>
  <c r="G16" i="1"/>
  <c r="G13" i="1"/>
  <c r="G8" i="1"/>
  <c r="G58" i="1" s="1"/>
  <c r="K16" i="1"/>
  <c r="K13" i="1"/>
  <c r="K53" i="1"/>
  <c r="K52" i="1"/>
  <c r="K51" i="1"/>
  <c r="K50" i="1"/>
  <c r="K42" i="1"/>
  <c r="K29" i="1"/>
  <c r="K28" i="1"/>
  <c r="K8" i="1"/>
  <c r="L53" i="1"/>
  <c r="L52" i="1"/>
  <c r="I37" i="1"/>
  <c r="C46" i="2" s="1"/>
  <c r="I34" i="1"/>
  <c r="C43" i="2" s="1"/>
  <c r="L37" i="1"/>
  <c r="L34" i="1"/>
  <c r="L33" i="1" s="1"/>
  <c r="H16" i="1"/>
  <c r="H13" i="1"/>
  <c r="H8" i="1"/>
  <c r="H58" i="1" s="1"/>
  <c r="L16" i="1"/>
  <c r="L13" i="1"/>
  <c r="L8" i="1"/>
  <c r="L56" i="1"/>
  <c r="L51" i="1"/>
  <c r="L50" i="1"/>
  <c r="L42" i="1"/>
  <c r="L29" i="1"/>
  <c r="L28" i="1"/>
  <c r="K21" i="2" l="1"/>
  <c r="L21" i="2" s="1"/>
  <c r="M21" i="2" s="1"/>
  <c r="N21" i="2" s="1"/>
  <c r="O21" i="2" s="1"/>
  <c r="P21" i="2" s="1"/>
  <c r="P38" i="2" s="1"/>
  <c r="Q21" i="2"/>
  <c r="R21" i="2" s="1"/>
  <c r="M30" i="1"/>
  <c r="P30" i="1"/>
  <c r="N24" i="1"/>
  <c r="N17" i="1"/>
  <c r="J58" i="1"/>
  <c r="N27" i="1"/>
  <c r="L58" i="1"/>
  <c r="P27" i="1"/>
  <c r="K30" i="1"/>
  <c r="O30" i="1"/>
  <c r="D25" i="2"/>
  <c r="K10" i="1"/>
  <c r="K23" i="1" s="1"/>
  <c r="K58" i="1"/>
  <c r="O27" i="1"/>
  <c r="O19" i="1"/>
  <c r="O25" i="1"/>
  <c r="D50" i="2"/>
  <c r="F61" i="2"/>
  <c r="E59" i="2"/>
  <c r="M27" i="1"/>
  <c r="L30" i="1"/>
  <c r="J14" i="1"/>
  <c r="D22" i="2"/>
  <c r="E60" i="2"/>
  <c r="L41" i="1"/>
  <c r="L14" i="1"/>
  <c r="C22" i="2"/>
  <c r="K41" i="1"/>
  <c r="C25" i="2"/>
  <c r="K14" i="1"/>
  <c r="E23" i="1"/>
  <c r="E15" i="1"/>
  <c r="J41" i="1"/>
  <c r="J10" i="1"/>
  <c r="H14" i="1"/>
  <c r="I14" i="1"/>
  <c r="F30" i="2"/>
  <c r="G30" i="2" s="1"/>
  <c r="H30" i="2" s="1"/>
  <c r="I30" i="2" s="1"/>
  <c r="K30" i="2" s="1"/>
  <c r="L30" i="2" s="1"/>
  <c r="M30" i="2" s="1"/>
  <c r="N30" i="2" s="1"/>
  <c r="O30" i="2" s="1"/>
  <c r="P30" i="2" s="1"/>
  <c r="Q30" i="2" s="1"/>
  <c r="R30" i="2" s="1"/>
  <c r="I41" i="1"/>
  <c r="I42" i="1"/>
  <c r="I33" i="1"/>
  <c r="I30" i="1"/>
  <c r="F50" i="1"/>
  <c r="J27" i="1"/>
  <c r="F14" i="1"/>
  <c r="F31" i="1" s="1"/>
  <c r="F30" i="1"/>
  <c r="F29" i="1"/>
  <c r="F28" i="1"/>
  <c r="G50" i="1"/>
  <c r="G14" i="1"/>
  <c r="G30" i="1"/>
  <c r="G29" i="1"/>
  <c r="G28" i="1"/>
  <c r="K27" i="1"/>
  <c r="C10" i="1"/>
  <c r="B14" i="1"/>
  <c r="C14" i="1"/>
  <c r="D14" i="1"/>
  <c r="I28" i="1"/>
  <c r="I29" i="1"/>
  <c r="H50" i="1"/>
  <c r="H30" i="1"/>
  <c r="H29" i="1"/>
  <c r="H28" i="1"/>
  <c r="C4" i="2"/>
  <c r="C11" i="2"/>
  <c r="D11" i="2" s="1"/>
  <c r="E11" i="2" s="1"/>
  <c r="F11" i="2" s="1"/>
  <c r="G11" i="2" s="1"/>
  <c r="H11" i="2" s="1"/>
  <c r="I11" i="2" s="1"/>
  <c r="K11" i="2" s="1"/>
  <c r="L11" i="2" s="1"/>
  <c r="M11" i="2" s="1"/>
  <c r="N11" i="2" s="1"/>
  <c r="O11" i="2" s="1"/>
  <c r="R38" i="2" l="1"/>
  <c r="S21" i="2"/>
  <c r="S38" i="2" s="1"/>
  <c r="Q38" i="2"/>
  <c r="H31" i="1"/>
  <c r="G31" i="1"/>
  <c r="E36" i="2"/>
  <c r="E66" i="2"/>
  <c r="L31" i="1"/>
  <c r="P31" i="1"/>
  <c r="J31" i="1"/>
  <c r="N31" i="1"/>
  <c r="I31" i="1"/>
  <c r="M31" i="1"/>
  <c r="N25" i="1"/>
  <c r="N19" i="1"/>
  <c r="N20" i="1" s="1"/>
  <c r="K15" i="1"/>
  <c r="K24" i="1" s="1"/>
  <c r="K31" i="1"/>
  <c r="O31" i="1"/>
  <c r="O20" i="1"/>
  <c r="F36" i="2"/>
  <c r="H61" i="2"/>
  <c r="P11" i="2"/>
  <c r="Q11" i="2" s="1"/>
  <c r="R11" i="2" s="1"/>
  <c r="T11" i="2" s="1"/>
  <c r="P37" i="2"/>
  <c r="F58" i="2"/>
  <c r="F59" i="2"/>
  <c r="G59" i="2"/>
  <c r="D23" i="2"/>
  <c r="D39" i="2"/>
  <c r="F60" i="2"/>
  <c r="G58" i="2"/>
  <c r="I61" i="2"/>
  <c r="C42" i="2"/>
  <c r="C51" i="2"/>
  <c r="E24" i="1"/>
  <c r="E17" i="1"/>
  <c r="J23" i="1"/>
  <c r="J15" i="1"/>
  <c r="H27" i="1"/>
  <c r="C23" i="2"/>
  <c r="L27" i="1"/>
  <c r="L10" i="1"/>
  <c r="C6" i="2"/>
  <c r="C7" i="2" s="1"/>
  <c r="D37" i="2"/>
  <c r="D38" i="2"/>
  <c r="I10" i="1"/>
  <c r="C15" i="1"/>
  <c r="C23" i="1"/>
  <c r="F10" i="1"/>
  <c r="F27" i="1"/>
  <c r="G10" i="1"/>
  <c r="G27" i="1"/>
  <c r="B10" i="1"/>
  <c r="I27" i="1"/>
  <c r="D10" i="1"/>
  <c r="H10" i="1"/>
  <c r="C39" i="2"/>
  <c r="C50" i="2"/>
  <c r="K17" i="1" l="1"/>
  <c r="G17" i="2"/>
  <c r="G66" i="2" s="1"/>
  <c r="Q37" i="2"/>
  <c r="G60" i="2"/>
  <c r="D40" i="2"/>
  <c r="I23" i="2"/>
  <c r="H58" i="2"/>
  <c r="E19" i="1"/>
  <c r="E20" i="1" s="1"/>
  <c r="E25" i="1"/>
  <c r="J24" i="1"/>
  <c r="J17" i="1"/>
  <c r="K25" i="1"/>
  <c r="K19" i="1"/>
  <c r="L23" i="1"/>
  <c r="L15" i="1"/>
  <c r="C38" i="2"/>
  <c r="E39" i="2"/>
  <c r="B15" i="1"/>
  <c r="B23" i="1"/>
  <c r="G15" i="1"/>
  <c r="G23" i="1"/>
  <c r="C17" i="1"/>
  <c r="C24" i="1"/>
  <c r="I15" i="1"/>
  <c r="I23" i="1"/>
  <c r="B23" i="2"/>
  <c r="C40" i="2" s="1"/>
  <c r="C37" i="2"/>
  <c r="E38" i="2"/>
  <c r="D23" i="1"/>
  <c r="D15" i="1"/>
  <c r="E40" i="2"/>
  <c r="E37" i="2"/>
  <c r="F15" i="1"/>
  <c r="F23" i="1"/>
  <c r="H15" i="1"/>
  <c r="H23" i="1"/>
  <c r="J39" i="2" l="1"/>
  <c r="J23" i="2"/>
  <c r="J40" i="2" s="1"/>
  <c r="K22" i="2"/>
  <c r="L22" i="2" s="1"/>
  <c r="M22" i="2" s="1"/>
  <c r="N22" i="2" s="1"/>
  <c r="O22" i="2" s="1"/>
  <c r="P22" i="2" s="1"/>
  <c r="Q22" i="2" s="1"/>
  <c r="R22" i="2" s="1"/>
  <c r="S22" i="2" s="1"/>
  <c r="H59" i="2"/>
  <c r="H17" i="2"/>
  <c r="H66" i="2" s="1"/>
  <c r="P23" i="2"/>
  <c r="R37" i="2"/>
  <c r="D18" i="2"/>
  <c r="D19" i="2" s="1"/>
  <c r="D24" i="2" s="1"/>
  <c r="D26" i="2" s="1"/>
  <c r="M23" i="1"/>
  <c r="I60" i="2"/>
  <c r="H60" i="2"/>
  <c r="I58" i="2"/>
  <c r="C36" i="2"/>
  <c r="J19" i="1"/>
  <c r="J25" i="1"/>
  <c r="K20" i="1"/>
  <c r="L24" i="1"/>
  <c r="L17" i="1"/>
  <c r="I17" i="1"/>
  <c r="I24" i="1"/>
  <c r="C19" i="1"/>
  <c r="C25" i="1"/>
  <c r="H17" i="1"/>
  <c r="H24" i="1"/>
  <c r="G24" i="1"/>
  <c r="G17" i="1"/>
  <c r="F24" i="1"/>
  <c r="F17" i="1"/>
  <c r="F39" i="2"/>
  <c r="D24" i="1"/>
  <c r="D17" i="1"/>
  <c r="F38" i="2"/>
  <c r="C19" i="2"/>
  <c r="B17" i="1"/>
  <c r="B24" i="1"/>
  <c r="F37" i="2"/>
  <c r="F40" i="2"/>
  <c r="P39" i="2" l="1"/>
  <c r="S39" i="2"/>
  <c r="S23" i="2"/>
  <c r="I59" i="2"/>
  <c r="I17" i="2"/>
  <c r="J36" i="2" s="1"/>
  <c r="Q39" i="2"/>
  <c r="Q23" i="2"/>
  <c r="Q40" i="2" s="1"/>
  <c r="M24" i="1"/>
  <c r="B19" i="2"/>
  <c r="B32" i="2" s="1"/>
  <c r="J20" i="1"/>
  <c r="L25" i="1"/>
  <c r="L19" i="1"/>
  <c r="G23" i="2"/>
  <c r="G40" i="2" s="1"/>
  <c r="G37" i="2"/>
  <c r="C24" i="2"/>
  <c r="C32" i="2"/>
  <c r="D36" i="2"/>
  <c r="H19" i="1"/>
  <c r="H20" i="1" s="1"/>
  <c r="H25" i="1"/>
  <c r="C20" i="1"/>
  <c r="I25" i="1"/>
  <c r="I19" i="1"/>
  <c r="I20" i="1" s="1"/>
  <c r="D25" i="1"/>
  <c r="D19" i="1"/>
  <c r="F25" i="1"/>
  <c r="F19" i="1"/>
  <c r="G19" i="1"/>
  <c r="G20" i="1" s="1"/>
  <c r="G25" i="1"/>
  <c r="G38" i="2"/>
  <c r="B25" i="1"/>
  <c r="B19" i="1"/>
  <c r="G39" i="2"/>
  <c r="K17" i="2" l="1"/>
  <c r="L17" i="2" s="1"/>
  <c r="M17" i="2" s="1"/>
  <c r="N17" i="2" s="1"/>
  <c r="O17" i="2" s="1"/>
  <c r="P17" i="2" s="1"/>
  <c r="Q17" i="2" s="1"/>
  <c r="I66" i="2"/>
  <c r="R39" i="2"/>
  <c r="R23" i="2"/>
  <c r="R40" i="2" s="1"/>
  <c r="M25" i="1"/>
  <c r="M19" i="1"/>
  <c r="B24" i="2"/>
  <c r="B26" i="2" s="1"/>
  <c r="J44" i="1"/>
  <c r="J47" i="1" s="1"/>
  <c r="K44" i="1"/>
  <c r="L20" i="1"/>
  <c r="L44" i="1"/>
  <c r="I44" i="1"/>
  <c r="F20" i="1"/>
  <c r="H23" i="2"/>
  <c r="H40" i="2" s="1"/>
  <c r="H37" i="2"/>
  <c r="H39" i="2"/>
  <c r="H38" i="2"/>
  <c r="D20" i="1"/>
  <c r="C33" i="2"/>
  <c r="C26" i="2"/>
  <c r="B20" i="1"/>
  <c r="S40" i="2" l="1"/>
  <c r="P36" i="2"/>
  <c r="M20" i="1"/>
  <c r="P44" i="1"/>
  <c r="N44" i="1"/>
  <c r="O44" i="1"/>
  <c r="R17" i="2"/>
  <c r="S17" i="2" s="1"/>
  <c r="Q36" i="2"/>
  <c r="M44" i="1"/>
  <c r="B33" i="2"/>
  <c r="J45" i="1"/>
  <c r="J48" i="1"/>
  <c r="J46" i="1"/>
  <c r="K47" i="1"/>
  <c r="K45" i="1"/>
  <c r="K46" i="1"/>
  <c r="K48" i="1"/>
  <c r="L46" i="1"/>
  <c r="L48" i="1"/>
  <c r="L47" i="1"/>
  <c r="L45" i="1"/>
  <c r="I38" i="2"/>
  <c r="I48" i="1"/>
  <c r="I47" i="1"/>
  <c r="I46" i="1"/>
  <c r="I45" i="1"/>
  <c r="I39" i="2"/>
  <c r="C28" i="2"/>
  <c r="C34" i="2"/>
  <c r="I37" i="2"/>
  <c r="I40" i="2"/>
  <c r="B34" i="2"/>
  <c r="D33" i="2"/>
  <c r="S36" i="2" l="1"/>
  <c r="P47" i="1"/>
  <c r="P48" i="1"/>
  <c r="P45" i="1"/>
  <c r="P46" i="1"/>
  <c r="O47" i="1"/>
  <c r="O48" i="1"/>
  <c r="O46" i="1"/>
  <c r="O45" i="1"/>
  <c r="N46" i="1"/>
  <c r="N45" i="1"/>
  <c r="N48" i="1"/>
  <c r="N47" i="1"/>
  <c r="R36" i="2"/>
  <c r="M47" i="1"/>
  <c r="M46" i="1"/>
  <c r="M48" i="1"/>
  <c r="M45" i="1"/>
  <c r="C56" i="2"/>
  <c r="C55" i="2"/>
  <c r="C54" i="2"/>
  <c r="C53" i="2"/>
  <c r="C29" i="2"/>
  <c r="D34" i="2"/>
  <c r="G36" i="2"/>
  <c r="B28" i="2"/>
  <c r="B29" i="2" s="1"/>
  <c r="F19" i="2" l="1"/>
  <c r="F18" i="2" s="1"/>
  <c r="D28" i="2"/>
  <c r="D29" i="2" s="1"/>
  <c r="K38" i="2"/>
  <c r="K39" i="2"/>
  <c r="H36" i="2"/>
  <c r="K37" i="2"/>
  <c r="K23" i="2"/>
  <c r="K40" i="2" s="1"/>
  <c r="F24" i="2" l="1"/>
  <c r="F33" i="2" s="1"/>
  <c r="F32" i="2"/>
  <c r="G19" i="2" s="1"/>
  <c r="G24" i="2" s="1"/>
  <c r="G33" i="2" s="1"/>
  <c r="D54" i="2"/>
  <c r="D55" i="2"/>
  <c r="D56" i="2"/>
  <c r="D53" i="2"/>
  <c r="L39" i="2"/>
  <c r="L23" i="2"/>
  <c r="L40" i="2" s="1"/>
  <c r="L37" i="2"/>
  <c r="I36" i="2"/>
  <c r="L38" i="2"/>
  <c r="G18" i="2" l="1"/>
  <c r="G32" i="2"/>
  <c r="H19" i="2" s="1"/>
  <c r="H18" i="2" s="1"/>
  <c r="E34" i="2"/>
  <c r="M37" i="2"/>
  <c r="M23" i="2"/>
  <c r="M40" i="2" s="1"/>
  <c r="M38" i="2"/>
  <c r="M39" i="2"/>
  <c r="H32" i="2" l="1"/>
  <c r="I19" i="2" s="1"/>
  <c r="I24" i="2" s="1"/>
  <c r="I33" i="2" s="1"/>
  <c r="H24" i="2"/>
  <c r="H33" i="2" s="1"/>
  <c r="N38" i="2"/>
  <c r="O38" i="2"/>
  <c r="N37" i="2"/>
  <c r="N23" i="2"/>
  <c r="N40" i="2" s="1"/>
  <c r="K36" i="2"/>
  <c r="N39" i="2"/>
  <c r="O39" i="2"/>
  <c r="I32" i="2" l="1"/>
  <c r="J19" i="2" s="1"/>
  <c r="I18" i="2"/>
  <c r="F25" i="2"/>
  <c r="F26" i="2" s="1"/>
  <c r="L36" i="2"/>
  <c r="O37" i="2"/>
  <c r="O23" i="2"/>
  <c r="J32" i="2" l="1"/>
  <c r="J24" i="2"/>
  <c r="J33" i="2" s="1"/>
  <c r="J18" i="2"/>
  <c r="O40" i="2"/>
  <c r="P40" i="2"/>
  <c r="K19" i="2"/>
  <c r="M36" i="2"/>
  <c r="F27" i="2"/>
  <c r="F34" i="2" s="1"/>
  <c r="K18" i="2" l="1"/>
  <c r="K24" i="2"/>
  <c r="K33" i="2" s="1"/>
  <c r="K32" i="2"/>
  <c r="L19" i="2" s="1"/>
  <c r="F28" i="2"/>
  <c r="N36" i="2"/>
  <c r="L18" i="2" l="1"/>
  <c r="L32" i="2"/>
  <c r="M19" i="2" s="1"/>
  <c r="L24" i="2"/>
  <c r="L33" i="2" s="1"/>
  <c r="F29" i="2"/>
  <c r="F42" i="2"/>
  <c r="G25" i="2" s="1"/>
  <c r="G26" i="2" s="1"/>
  <c r="O36" i="2"/>
  <c r="M32" i="2" l="1"/>
  <c r="N19" i="2" s="1"/>
  <c r="M24" i="2"/>
  <c r="M33" i="2" s="1"/>
  <c r="M18" i="2"/>
  <c r="G27" i="2"/>
  <c r="G34" i="2" s="1"/>
  <c r="N18" i="2" l="1"/>
  <c r="N24" i="2"/>
  <c r="N33" i="2" s="1"/>
  <c r="N32" i="2"/>
  <c r="O19" i="2" s="1"/>
  <c r="G28" i="2"/>
  <c r="O18" i="2" l="1"/>
  <c r="O32" i="2"/>
  <c r="P19" i="2" s="1"/>
  <c r="O24" i="2"/>
  <c r="O33" i="2" s="1"/>
  <c r="G29" i="2"/>
  <c r="G42" i="2"/>
  <c r="H25" i="2" s="1"/>
  <c r="H26" i="2" s="1"/>
  <c r="P24" i="2" l="1"/>
  <c r="P32" i="2"/>
  <c r="Q19" i="2" s="1"/>
  <c r="P18" i="2"/>
  <c r="H27" i="2"/>
  <c r="H34" i="2" s="1"/>
  <c r="Q24" i="2" l="1"/>
  <c r="Q32" i="2"/>
  <c r="R19" i="2" s="1"/>
  <c r="Q18" i="2"/>
  <c r="P33" i="2"/>
  <c r="H28" i="2"/>
  <c r="R32" i="2" l="1"/>
  <c r="S19" i="2" s="1"/>
  <c r="R24" i="2"/>
  <c r="R18" i="2"/>
  <c r="Q33" i="2"/>
  <c r="H29" i="2"/>
  <c r="H42" i="2"/>
  <c r="I25" i="2" s="1"/>
  <c r="I26" i="2" s="1"/>
  <c r="S24" i="2" l="1"/>
  <c r="S33" i="2" s="1"/>
  <c r="S32" i="2"/>
  <c r="S18" i="2"/>
  <c r="R33" i="2"/>
  <c r="I27" i="2"/>
  <c r="I34" i="2" s="1"/>
  <c r="I28" i="2" l="1"/>
  <c r="I29" i="2" l="1"/>
  <c r="I42" i="2"/>
  <c r="J25" i="2" l="1"/>
  <c r="J26" i="2" s="1"/>
  <c r="J27" i="2" l="1"/>
  <c r="J34" i="2" s="1"/>
  <c r="J28" i="2"/>
  <c r="J29" i="2" l="1"/>
  <c r="J42" i="2"/>
  <c r="K25" i="2" s="1"/>
  <c r="K26" i="2" s="1"/>
  <c r="K27" i="2" s="1"/>
  <c r="K34" i="2" s="1"/>
  <c r="K28" i="2"/>
  <c r="K29" i="2" s="1"/>
  <c r="K42" i="2" l="1"/>
  <c r="L25" i="2"/>
  <c r="L26" i="2" s="1"/>
  <c r="L27" i="2" l="1"/>
  <c r="L34" i="2" s="1"/>
  <c r="L28" i="2" l="1"/>
  <c r="L29" i="2" s="1"/>
  <c r="L42" i="2"/>
  <c r="M25" i="2" l="1"/>
  <c r="M26" i="2" s="1"/>
  <c r="M27" i="2" l="1"/>
  <c r="M34" i="2" s="1"/>
  <c r="M28" i="2" l="1"/>
  <c r="M29" i="2"/>
  <c r="M42" i="2"/>
  <c r="N25" i="2" l="1"/>
  <c r="N26" i="2" s="1"/>
  <c r="N27" i="2" l="1"/>
  <c r="N34" i="2" s="1"/>
  <c r="N28" i="2" l="1"/>
  <c r="N29" i="2" s="1"/>
  <c r="N42" i="2" l="1"/>
  <c r="O25" i="2" s="1"/>
  <c r="O26" i="2" s="1"/>
  <c r="O27" i="2" l="1"/>
  <c r="O34" i="2" s="1"/>
  <c r="O28" i="2"/>
  <c r="O29" i="2" l="1"/>
  <c r="O42" i="2"/>
  <c r="P25" i="2" l="1"/>
  <c r="P26" i="2" s="1"/>
  <c r="P27" i="2" l="1"/>
  <c r="P34" i="2" s="1"/>
  <c r="P28" i="2" l="1"/>
  <c r="P29" i="2" s="1"/>
  <c r="P42" i="2"/>
  <c r="Q25" i="2" l="1"/>
  <c r="Q26" i="2" s="1"/>
  <c r="Q27" i="2" l="1"/>
  <c r="Q34" i="2" s="1"/>
  <c r="Q28" i="2" l="1"/>
  <c r="Q29" i="2"/>
  <c r="Q42" i="2"/>
  <c r="R25" i="2" l="1"/>
  <c r="R26" i="2" s="1"/>
  <c r="R27" i="2" l="1"/>
  <c r="R34" i="2" s="1"/>
  <c r="R28" i="2"/>
  <c r="R29" i="2" l="1"/>
  <c r="R42" i="2"/>
  <c r="S25" i="2" l="1"/>
  <c r="S26" i="2" s="1"/>
  <c r="S27" i="2" l="1"/>
  <c r="S34" i="2" s="1"/>
  <c r="S28" i="2"/>
  <c r="T28" i="2" s="1"/>
  <c r="S29" i="2" l="1"/>
  <c r="U28" i="2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S42" i="2"/>
  <c r="F5" i="2" l="1"/>
  <c r="F6" i="2" s="1"/>
  <c r="F7" i="2" s="1"/>
  <c r="G7" i="2" s="1"/>
  <c r="DQ28" i="2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FP28" i="2" s="1"/>
  <c r="FQ28" i="2" s="1"/>
  <c r="FR28" i="2" s="1"/>
  <c r="FS28" i="2" s="1"/>
  <c r="FT28" i="2" s="1"/>
  <c r="FU28" i="2" s="1"/>
  <c r="FV28" i="2" s="1"/>
  <c r="FW28" i="2" s="1"/>
  <c r="FX28" i="2" s="1"/>
  <c r="FY28" i="2" s="1"/>
  <c r="FZ28" i="2" s="1"/>
  <c r="GA28" i="2" s="1"/>
  <c r="GB28" i="2" s="1"/>
  <c r="GC28" i="2" s="1"/>
  <c r="GD28" i="2" s="1"/>
  <c r="GE28" i="2" s="1"/>
  <c r="GF28" i="2" s="1"/>
  <c r="GG28" i="2" s="1"/>
  <c r="GH28" i="2" s="1"/>
  <c r="GI28" i="2" s="1"/>
  <c r="GJ28" i="2" s="1"/>
  <c r="GK28" i="2" s="1"/>
  <c r="GL28" i="2" s="1"/>
  <c r="GM28" i="2" s="1"/>
  <c r="GN28" i="2" s="1"/>
  <c r="GO28" i="2" s="1"/>
  <c r="GP28" i="2" s="1"/>
  <c r="GQ28" i="2" s="1"/>
  <c r="GR28" i="2" s="1"/>
  <c r="GS28" i="2" s="1"/>
  <c r="GT28" i="2" s="1"/>
  <c r="GU28" i="2" s="1"/>
  <c r="GV28" i="2" s="1"/>
  <c r="GW28" i="2" s="1"/>
  <c r="GX28" i="2" s="1"/>
  <c r="GY28" i="2" s="1"/>
  <c r="GZ28" i="2" s="1"/>
  <c r="HA28" i="2" s="1"/>
  <c r="HB28" i="2" s="1"/>
  <c r="HC28" i="2" s="1"/>
  <c r="HD28" i="2" s="1"/>
  <c r="HE28" i="2" s="1"/>
  <c r="HF28" i="2" s="1"/>
  <c r="HG28" i="2" s="1"/>
  <c r="HH28" i="2" s="1"/>
  <c r="HI28" i="2" s="1"/>
  <c r="HJ28" i="2" s="1"/>
  <c r="HK28" i="2" s="1"/>
  <c r="HL28" i="2" s="1"/>
  <c r="HM28" i="2" s="1"/>
  <c r="HN28" i="2" s="1"/>
  <c r="HO28" i="2" s="1"/>
  <c r="HP28" i="2" s="1"/>
  <c r="HQ28" i="2" s="1"/>
  <c r="HR28" i="2" s="1"/>
  <c r="HS28" i="2" s="1"/>
  <c r="HT28" i="2" s="1"/>
  <c r="HU28" i="2" s="1"/>
  <c r="HV28" i="2" s="1"/>
  <c r="HW28" i="2" s="1"/>
  <c r="HX28" i="2" s="1"/>
  <c r="HY28" i="2" s="1"/>
  <c r="HZ28" i="2" s="1"/>
  <c r="IA28" i="2" s="1"/>
  <c r="IB28" i="2" s="1"/>
  <c r="IC28" i="2" s="1"/>
  <c r="ID28" i="2" s="1"/>
  <c r="IE28" i="2" s="1"/>
  <c r="IF28" i="2" s="1"/>
  <c r="IG28" i="2" s="1"/>
  <c r="IH28" i="2" s="1"/>
  <c r="II28" i="2" s="1"/>
  <c r="Q10" i="1" l="1"/>
  <c r="Q15" i="1" s="1"/>
</calcChain>
</file>

<file path=xl/sharedStrings.xml><?xml version="1.0" encoding="utf-8"?>
<sst xmlns="http://schemas.openxmlformats.org/spreadsheetml/2006/main" count="155" uniqueCount="104">
  <si>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</si>
  <si>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</si>
  <si>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</si>
  <si>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</si>
  <si>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</si>
  <si>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</si>
  <si>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</si>
  <si>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</si>
  <si>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</si>
  <si>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</si>
  <si>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</si>
  <si>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</si>
  <si>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</si>
  <si>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</si>
  <si>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</si>
  <si>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</si>
  <si>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</si>
  <si>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</si>
  <si>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</si>
  <si>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</si>
  <si>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</si>
  <si>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</si>
  <si>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30/9/2017</t>
  </si>
  <si>
    <t>30/6/2017</t>
  </si>
  <si>
    <t>31/3/2017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</si>
  <si>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</si>
  <si>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</si>
  <si>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</si>
  <si>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</si>
  <si>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</si>
  <si>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</si>
  <si>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</si>
  <si>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</si>
  <si>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</si>
  <si>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</si>
  <si>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</si>
  <si>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</si>
  <si>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</si>
  <si>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</si>
  <si>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</si>
  <si>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</si>
  <si>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</si>
  <si>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R&amp;D y/y</t>
  </si>
  <si>
    <t>S&amp;M y/y</t>
  </si>
  <si>
    <t>G&amp;A y/y</t>
  </si>
  <si>
    <t>EDGAR</t>
  </si>
  <si>
    <t>Investor Relations</t>
  </si>
  <si>
    <t>CEO</t>
  </si>
  <si>
    <t>Founder</t>
  </si>
  <si>
    <t>Jack Dorsey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</si>
  <si>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</si>
  <si>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</si>
  <si>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</si>
  <si>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</si>
  <si>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</si>
  <si>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</si>
  <si>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</si>
  <si>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</si>
  <si>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</si>
  <si>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</si>
  <si>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</si>
  <si>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</si>
  <si>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</si>
  <si>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</si>
  <si>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Square, Inc (SQ)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</si>
  <si>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</si>
  <si>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</si>
  <si>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</si>
  <si>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</si>
  <si>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</si>
  <si>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</si>
  <si>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</si>
  <si>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</si>
  <si>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Transactions</t>
  </si>
  <si>
    <t>Subscriptions</t>
  </si>
  <si>
    <t>Hardware</t>
  </si>
  <si>
    <t>Bitcoin</t>
  </si>
  <si>
    <t>Transactions y/y</t>
  </si>
  <si>
    <t>Subscriptions y/y</t>
  </si>
  <si>
    <t>Hardware y/y</t>
  </si>
  <si>
    <t>Bitcoin y/y</t>
  </si>
  <si>
    <t>Jim McKelvey</t>
  </si>
  <si>
    <t>Tristan O'Tierney</t>
  </si>
  <si>
    <t>OE y/y</t>
  </si>
  <si>
    <t>Square Reader</t>
  </si>
  <si>
    <t>Mobile payment card reader</t>
  </si>
  <si>
    <t>Square Stand</t>
  </si>
  <si>
    <t>Point of sale system</t>
  </si>
  <si>
    <t>Cash App</t>
  </si>
  <si>
    <t>Caviar</t>
  </si>
  <si>
    <t>Food delivery service (aquired by DoorDash)</t>
  </si>
  <si>
    <t>Square Capital</t>
  </si>
  <si>
    <t>Credit lending to companies</t>
  </si>
  <si>
    <t>Q120</t>
  </si>
  <si>
    <t>Q220</t>
  </si>
  <si>
    <t>Q320</t>
  </si>
  <si>
    <t>Q420</t>
  </si>
  <si>
    <t>GPV</t>
  </si>
  <si>
    <t>GPV y/y</t>
  </si>
  <si>
    <t>PRODUCTS</t>
  </si>
  <si>
    <t>OTHER</t>
  </si>
  <si>
    <t>P2P for bitcoin, cash card, direct deposits, stocks</t>
  </si>
  <si>
    <t>R/GPV</t>
  </si>
  <si>
    <t>23% w/o 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</si>
</sst>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.0"/>
  </numFmts>
  <fonts count="13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7" fillId="0" borderId="0" xfId="4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2" fontId="4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1" xfId="0" applyFont="1" applyBorder="1"/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/>
    <xf numFmtId="9" fontId="8" fillId="0" borderId="1" xfId="0" applyNumberFormat="1" applyFont="1" applyBorder="1"/>
    <xf numFmtId="9" fontId="8" fillId="0" borderId="0" xfId="0" applyNumberFormat="1" applyFont="1"/>
    <xf numFmtId="165" fontId="8" fillId="0" borderId="1" xfId="0" applyNumberFormat="1" applyFont="1" applyBorder="1" applyAlignment="1">
      <alignment horizontal="right"/>
    </xf>
    <xf numFmtId="0" fontId="11" fillId="0" borderId="0" xfId="4" applyFont="1"/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8" fillId="0" borderId="1" xfId="0" applyNumberFormat="1" applyFont="1" applyBorder="1"/>
    <xf numFmtId="3" fontId="8" fillId="0" borderId="1" xfId="0" applyNumberFormat="1" applyFont="1" applyBorder="1"/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" xfId="0" applyNumberFormat="1" applyFont="1" applyBorder="1"/>
    <xf numFmtId="14" fontId="8" fillId="0" borderId="0" xfId="0" applyNumberFormat="1" applyFont="1"/>
    <xf numFmtId="0" fontId="12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9" fontId="0" fillId="0" borderId="0" xfId="0" applyNumberFormat="1" applyFont="1"/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167055</xdr:colOff>
      <xdr:row>10</xdr:row>
      <xdr:rowOff>0</xdr:rowOff>
    </xdr:from>
    <xdr:to>
      <xdr:col>5</xdr:col>
      <xdr:colOff>167055</xdr:colOff>
      <xdr:row>67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139593" y="1660769"/>
          <a:ext cx="0" cy="94663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167054</xdr:colOff>
      <xdr:row>1</xdr:row>
      <xdr:rowOff>12700</xdr:rowOff>
    </xdr:from>
    <xdr:to>
      <xdr:col>17</xdr:col>
      <xdr:colOff>167054</xdr:colOff>
      <xdr:row>58</xdr:row>
      <xdr:rowOff>156308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5319131" y="178777"/>
          <a:ext cx="0" cy="960999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quareup.com/us/en/about/investors" TargetMode="External"/><Relationship Id="rId2" Type="http://schemas.openxmlformats.org/officeDocument/2006/relationships/hyperlink" Target="https://en.wikipedia.org/wiki/Jack_Dorsey" TargetMode="External"/><Relationship Id="rId1" Type="http://schemas.openxmlformats.org/officeDocument/2006/relationships/hyperlink" Target="https://en.wikipedia.org/wiki/Jack_Dorse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Jim_McKelve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I66"/>
  <sheetViews>
    <sheetView tabSelected="1" zoomScale="130" zoomScaleNormal="130" workbookViewId="0">
      <pane xSplit="1" ySplit="11" topLeftCell="B12" activePane="bottomRight" state="frozen"/>
      <selection pane="topRight" activeCell="B1" sqref="B1"/>
      <selection pane="bottomLeft" activeCell="A11" sqref="A11"/>
      <selection pane="bottomRight" activeCell="H6" sqref="H6"/>
    </sheetView>
  </sheetViews>
  <sheetFormatPr baseColWidth="10" defaultRowHeight="13" x14ac:dyDescent="0.15"/>
  <cols>
    <col min="1" max="1" width="21.6640625" style="1" customWidth="1"/>
    <col min="2" max="16384" width="10.83203125" style="1"/>
  </cols>
  <sheetData>
    <row r="1" spans="1:20" x14ac:dyDescent="0.15">
      <c r="A1" s="33" t="s">
        <v>46</v>
      </c>
      <c r="B1" s="16" t="s">
        <v>64</v>
      </c>
    </row>
    <row r="2" spans="1:20" x14ac:dyDescent="0.15">
      <c r="B2" s="1" t="s">
        <v>50</v>
      </c>
      <c r="C2" s="2">
        <v>256.58999999999997</v>
      </c>
      <c r="D2" s="71">
        <v>44250</v>
      </c>
      <c r="E2" s="3" t="s">
        <v>29</v>
      </c>
      <c r="F2" s="4">
        <v>5.0000000000000001E-3</v>
      </c>
      <c r="I2" s="17"/>
      <c r="J2" s="17"/>
    </row>
    <row r="3" spans="1:20" x14ac:dyDescent="0.15">
      <c r="A3" s="16" t="s">
        <v>47</v>
      </c>
      <c r="B3" s="1" t="s">
        <v>17</v>
      </c>
      <c r="C3" s="5">
        <f>Reports!Q21</f>
        <v>502.23700000000002</v>
      </c>
      <c r="D3" s="72" t="s">
        <v>96</v>
      </c>
      <c r="E3" s="3" t="s">
        <v>30</v>
      </c>
      <c r="F3" s="4">
        <v>0.05</v>
      </c>
      <c r="G3" s="6"/>
      <c r="I3" s="17"/>
      <c r="J3" s="17"/>
    </row>
    <row r="4" spans="1:20" x14ac:dyDescent="0.15">
      <c r="A4" s="15" t="s">
        <v>49</v>
      </c>
      <c r="B4" s="1" t="s">
        <v>51</v>
      </c>
      <c r="C4" s="7">
        <f>C2*C3</f>
        <v>128868.99183</v>
      </c>
      <c r="D4" s="73"/>
      <c r="E4" s="3" t="s">
        <v>31</v>
      </c>
      <c r="F4" s="4">
        <v>0.06</v>
      </c>
      <c r="G4" s="6"/>
      <c r="I4" s="14"/>
      <c r="J4" s="14"/>
    </row>
    <row r="5" spans="1:20" x14ac:dyDescent="0.15">
      <c r="B5" s="1" t="s">
        <v>25</v>
      </c>
      <c r="C5" s="5">
        <f>Reports!Q33</f>
        <v>1730</v>
      </c>
      <c r="D5" s="72" t="s">
        <v>96</v>
      </c>
      <c r="E5" s="3" t="s">
        <v>32</v>
      </c>
      <c r="F5" s="8">
        <f>NPV(F4,F28:DP28)</f>
        <v>282800.47980737506</v>
      </c>
      <c r="G5" s="6"/>
      <c r="I5" s="14"/>
      <c r="J5" s="14"/>
    </row>
    <row r="6" spans="1:20" x14ac:dyDescent="0.15">
      <c r="A6" s="16" t="s">
        <v>48</v>
      </c>
      <c r="B6" s="1" t="s">
        <v>52</v>
      </c>
      <c r="C6" s="7">
        <f>C4-C5</f>
        <v>127138.99183</v>
      </c>
      <c r="D6" s="73"/>
      <c r="E6" s="9" t="s">
        <v>33</v>
      </c>
      <c r="F6" s="10">
        <f>F5+C5</f>
        <v>284530.47980737506</v>
      </c>
      <c r="I6" s="14"/>
      <c r="J6" s="14"/>
    </row>
    <row r="7" spans="1:20" x14ac:dyDescent="0.15">
      <c r="A7" s="15" t="s">
        <v>49</v>
      </c>
      <c r="B7" s="6" t="s">
        <v>53</v>
      </c>
      <c r="C7" s="11">
        <f>C6/C3</f>
        <v>253.14541109077985</v>
      </c>
      <c r="D7" s="73"/>
      <c r="E7" s="12" t="s">
        <v>53</v>
      </c>
      <c r="F7" s="13">
        <f>F6/C3</f>
        <v>566.52632085524374</v>
      </c>
      <c r="G7" s="14">
        <f>F7/C2-1</f>
        <v>1.2079049099935455</v>
      </c>
    </row>
    <row r="8" spans="1:20" x14ac:dyDescent="0.15">
      <c r="A8" s="33" t="s">
        <v>81</v>
      </c>
    </row>
    <row r="9" spans="1:20" x14ac:dyDescent="0.15">
      <c r="A9" s="66" t="s">
        <v>82</v>
      </c>
    </row>
    <row r="10" spans="1:20" x14ac:dyDescent="0.15">
      <c r="A10" s="15"/>
    </row>
    <row r="11" spans="1:20" x14ac:dyDescent="0.15">
      <c r="B11" s="1">
        <v>2017</v>
      </c>
      <c r="C11" s="1">
        <f>B11+1</f>
        <v>2018</v>
      </c>
      <c r="D11" s="1">
        <f t="shared" ref="D11:T11" si="0">C11+1</f>
        <v>2019</v>
      </c>
      <c r="E11" s="1">
        <f t="shared" si="0"/>
        <v>2020</v>
      </c>
      <c r="F11" s="1">
        <f t="shared" si="0"/>
        <v>2021</v>
      </c>
      <c r="G11" s="1">
        <f t="shared" si="0"/>
        <v>2022</v>
      </c>
      <c r="H11" s="1">
        <f t="shared" si="0"/>
        <v>2023</v>
      </c>
      <c r="I11" s="1">
        <f t="shared" si="0"/>
        <v>2024</v>
      </c>
      <c r="J11" s="1">
        <f t="shared" si="0"/>
        <v>2025</v>
      </c>
      <c r="K11" s="1">
        <f t="shared" si="0"/>
        <v>2026</v>
      </c>
      <c r="L11" s="1">
        <f t="shared" si="0"/>
        <v>2027</v>
      </c>
      <c r="M11" s="1">
        <f t="shared" si="0"/>
        <v>2028</v>
      </c>
      <c r="N11" s="1">
        <f t="shared" si="0"/>
        <v>2029</v>
      </c>
      <c r="O11" s="1">
        <f t="shared" si="0"/>
        <v>2030</v>
      </c>
      <c r="P11" s="1">
        <f t="shared" si="0"/>
        <v>2031</v>
      </c>
      <c r="Q11" s="1">
        <f t="shared" si="0"/>
        <v>2032</v>
      </c>
      <c r="R11" s="1">
        <f t="shared" si="0"/>
        <v>2033</v>
      </c>
      <c r="S11" s="1">
        <f t="shared" si="0"/>
        <v>2034</v>
      </c>
      <c r="T11" s="1">
        <f t="shared" si="0"/>
        <v>2035</v>
      </c>
    </row>
    <row r="12" spans="1:20" x14ac:dyDescent="0.15">
      <c r="A12" s="35" t="s">
        <v>73</v>
      </c>
      <c r="B12" s="17">
        <f>SUM(Reports!B3:E3)</f>
        <v>1920</v>
      </c>
      <c r="C12" s="17">
        <f>SUM(Reports!F3:I3)</f>
        <v>2471</v>
      </c>
      <c r="D12" s="17">
        <f>SUM(Reports!J3:M3)</f>
        <v>3082.18</v>
      </c>
      <c r="E12" s="17">
        <f>SUM(Reports!N3:Q3)</f>
        <v>3294.9780000000001</v>
      </c>
      <c r="F12" s="17">
        <f>E12*1.05</f>
        <v>3459.7269000000001</v>
      </c>
      <c r="G12" s="17">
        <f t="shared" ref="G12:J12" si="1">F12*1.05</f>
        <v>3632.7132450000004</v>
      </c>
      <c r="H12" s="17">
        <f t="shared" si="1"/>
        <v>3814.3489072500006</v>
      </c>
      <c r="I12" s="17">
        <f t="shared" si="1"/>
        <v>4005.0663526125009</v>
      </c>
      <c r="J12" s="17">
        <f t="shared" si="1"/>
        <v>4205.319670243126</v>
      </c>
    </row>
    <row r="13" spans="1:20" x14ac:dyDescent="0.15">
      <c r="A13" s="35" t="s">
        <v>74</v>
      </c>
      <c r="B13" s="17">
        <f>SUM(Reports!B4:E4)</f>
        <v>252</v>
      </c>
      <c r="C13" s="17">
        <f>SUM(Reports!F4:I4)</f>
        <v>591</v>
      </c>
      <c r="D13" s="17">
        <f>SUM(Reports!J4:M4)</f>
        <v>1031.415</v>
      </c>
      <c r="E13" s="17">
        <f>SUM(Reports!N4:Q4)</f>
        <v>1539.4029999999998</v>
      </c>
      <c r="F13" s="17">
        <f>E13*1.25</f>
        <v>1924.2537499999999</v>
      </c>
      <c r="G13" s="17">
        <f t="shared" ref="G13:J13" si="2">F13*1.25</f>
        <v>2405.3171874999998</v>
      </c>
      <c r="H13" s="17">
        <f t="shared" si="2"/>
        <v>3006.646484375</v>
      </c>
      <c r="I13" s="17">
        <f t="shared" si="2"/>
        <v>3758.30810546875</v>
      </c>
      <c r="J13" s="17">
        <f t="shared" si="2"/>
        <v>4697.8851318359375</v>
      </c>
    </row>
    <row r="14" spans="1:20" x14ac:dyDescent="0.15">
      <c r="A14" s="35" t="s">
        <v>75</v>
      </c>
      <c r="B14" s="17">
        <f>SUM(Reports!B5:E5)</f>
        <v>41</v>
      </c>
      <c r="C14" s="17">
        <f>SUM(Reports!F5:I5)</f>
        <v>68</v>
      </c>
      <c r="D14" s="17">
        <f>SUM(Reports!J5:M5)</f>
        <v>84.567000000000007</v>
      </c>
      <c r="E14" s="17">
        <f>SUM(Reports!N5:Q5)</f>
        <v>91.653999999999996</v>
      </c>
      <c r="F14" s="17">
        <f>E14*1.1</f>
        <v>100.8194</v>
      </c>
      <c r="G14" s="17">
        <f t="shared" ref="G14:J14" si="3">F14*1.1</f>
        <v>110.90134</v>
      </c>
      <c r="H14" s="17">
        <f t="shared" si="3"/>
        <v>121.99147400000001</v>
      </c>
      <c r="I14" s="17">
        <f t="shared" si="3"/>
        <v>134.19062140000003</v>
      </c>
      <c r="J14" s="17">
        <f t="shared" si="3"/>
        <v>147.60968354000005</v>
      </c>
    </row>
    <row r="15" spans="1:20" x14ac:dyDescent="0.15">
      <c r="A15" s="35" t="s">
        <v>76</v>
      </c>
      <c r="B15" s="17"/>
      <c r="C15" s="17">
        <f>SUM(Reports!F6:I6)</f>
        <v>166</v>
      </c>
      <c r="D15" s="17">
        <f>SUM(Reports!J6:M6)</f>
        <v>516.56700000000001</v>
      </c>
      <c r="E15" s="17">
        <f>SUM(Reports!N6:Q6)</f>
        <v>4571.5429999999997</v>
      </c>
      <c r="F15" s="17">
        <f>E15*2.5</f>
        <v>11428.857499999998</v>
      </c>
      <c r="G15" s="17">
        <f>F15*2</f>
        <v>22857.714999999997</v>
      </c>
      <c r="H15" s="17">
        <f>G15*1.5</f>
        <v>34286.572499999995</v>
      </c>
      <c r="I15" s="17">
        <f>H15*1.25</f>
        <v>42858.215624999997</v>
      </c>
      <c r="J15" s="17">
        <f>I15*1.25</f>
        <v>53572.76953125</v>
      </c>
    </row>
    <row r="16" spans="1:20" x14ac:dyDescent="0.15">
      <c r="B16" s="17"/>
      <c r="C16" s="17"/>
      <c r="D16" s="17"/>
      <c r="E16" s="17"/>
      <c r="F16" s="17"/>
      <c r="G16" s="17"/>
    </row>
    <row r="17" spans="1:243" x14ac:dyDescent="0.15">
      <c r="A17" s="16" t="s">
        <v>4</v>
      </c>
      <c r="B17" s="23">
        <f t="shared" ref="B17:I17" si="4">SUM(B12:B15)</f>
        <v>2213</v>
      </c>
      <c r="C17" s="23">
        <f t="shared" si="4"/>
        <v>3296</v>
      </c>
      <c r="D17" s="23">
        <f t="shared" si="4"/>
        <v>4714.7289999999994</v>
      </c>
      <c r="E17" s="23">
        <f t="shared" si="4"/>
        <v>9497.5779999999995</v>
      </c>
      <c r="F17" s="18">
        <f t="shared" si="4"/>
        <v>16913.657549999996</v>
      </c>
      <c r="G17" s="18">
        <f t="shared" si="4"/>
        <v>29006.646772499997</v>
      </c>
      <c r="H17" s="18">
        <f t="shared" si="4"/>
        <v>41229.559365624998</v>
      </c>
      <c r="I17" s="18">
        <f t="shared" si="4"/>
        <v>50755.780704481251</v>
      </c>
      <c r="J17" s="18">
        <f t="shared" ref="J17" si="5">SUM(J12:J15)</f>
        <v>62623.584016869063</v>
      </c>
      <c r="K17" s="18">
        <f t="shared" ref="K17:S17" si="6">J17*1.1</f>
        <v>68885.942418555976</v>
      </c>
      <c r="L17" s="18">
        <f t="shared" si="6"/>
        <v>75774.536660411584</v>
      </c>
      <c r="M17" s="18">
        <f t="shared" si="6"/>
        <v>83351.990326452753</v>
      </c>
      <c r="N17" s="18">
        <f t="shared" si="6"/>
        <v>91687.189359098033</v>
      </c>
      <c r="O17" s="18">
        <f t="shared" si="6"/>
        <v>100855.90829500784</v>
      </c>
      <c r="P17" s="18">
        <f t="shared" si="6"/>
        <v>110941.49912450864</v>
      </c>
      <c r="Q17" s="18">
        <f t="shared" si="6"/>
        <v>122035.64903695951</v>
      </c>
      <c r="R17" s="18">
        <f t="shared" si="6"/>
        <v>134239.21394065546</v>
      </c>
      <c r="S17" s="18">
        <f t="shared" si="6"/>
        <v>147663.13533472101</v>
      </c>
      <c r="T17" s="18"/>
    </row>
    <row r="18" spans="1:243" x14ac:dyDescent="0.15">
      <c r="A18" s="1" t="s">
        <v>5</v>
      </c>
      <c r="B18" s="17">
        <f>SUM(Reports!B9:E9)</f>
        <v>1375</v>
      </c>
      <c r="C18" s="17">
        <f>SUM(Reports!F9:I9)</f>
        <v>1993</v>
      </c>
      <c r="D18" s="17">
        <f>SUM(Reports!J9:M9)</f>
        <v>2823.38</v>
      </c>
      <c r="E18" s="17">
        <f>SUM(Reports!N9:Q9)</f>
        <v>6764.5609999999997</v>
      </c>
      <c r="F18" s="5">
        <f t="shared" ref="E18:F18" si="7">F17-F19</f>
        <v>12046.594219082541</v>
      </c>
      <c r="G18" s="5">
        <f t="shared" ref="G18:O18" si="8">G17-G19</f>
        <v>20659.712560194752</v>
      </c>
      <c r="H18" s="5">
        <f t="shared" si="8"/>
        <v>29365.367605498119</v>
      </c>
      <c r="I18" s="5">
        <f t="shared" si="8"/>
        <v>36150.329555396798</v>
      </c>
      <c r="J18" s="5">
        <f t="shared" ref="J18" si="9">J17-J19</f>
        <v>44603.061340558175</v>
      </c>
      <c r="K18" s="5">
        <f t="shared" si="8"/>
        <v>49063.367474613995</v>
      </c>
      <c r="L18" s="5">
        <f t="shared" si="8"/>
        <v>53969.704222075408</v>
      </c>
      <c r="M18" s="5">
        <f t="shared" si="8"/>
        <v>59366.674644282946</v>
      </c>
      <c r="N18" s="5">
        <f t="shared" si="8"/>
        <v>65303.342108711251</v>
      </c>
      <c r="O18" s="5">
        <f t="shared" si="8"/>
        <v>71833.676319582388</v>
      </c>
      <c r="P18" s="5">
        <f t="shared" ref="P18:R18" si="10">P17-P19</f>
        <v>79017.043951540632</v>
      </c>
      <c r="Q18" s="5">
        <f t="shared" si="10"/>
        <v>86918.748346694687</v>
      </c>
      <c r="R18" s="5">
        <f t="shared" si="10"/>
        <v>95610.623181364164</v>
      </c>
      <c r="S18" s="5">
        <f t="shared" ref="S18" si="11">S17-S19</f>
        <v>105171.68549950057</v>
      </c>
      <c r="T18" s="5"/>
    </row>
    <row r="19" spans="1:243" x14ac:dyDescent="0.15">
      <c r="A19" s="1" t="s">
        <v>6</v>
      </c>
      <c r="B19" s="7">
        <f>B17-B18</f>
        <v>838</v>
      </c>
      <c r="C19" s="7">
        <f>C17-C18</f>
        <v>1303</v>
      </c>
      <c r="D19" s="7">
        <f>D17-D18</f>
        <v>1891.3489999999993</v>
      </c>
      <c r="E19" s="7">
        <f>E17-E18</f>
        <v>2733.0169999999998</v>
      </c>
      <c r="F19" s="5">
        <f t="shared" ref="F19:S19" si="12">F17*E32</f>
        <v>4867.0633309174546</v>
      </c>
      <c r="G19" s="5">
        <f t="shared" si="12"/>
        <v>8346.9342123052447</v>
      </c>
      <c r="H19" s="5">
        <f t="shared" si="12"/>
        <v>11864.19176012688</v>
      </c>
      <c r="I19" s="5">
        <f t="shared" si="12"/>
        <v>14605.451149084452</v>
      </c>
      <c r="J19" s="5">
        <f t="shared" si="12"/>
        <v>18020.522676310888</v>
      </c>
      <c r="K19" s="5">
        <f t="shared" si="12"/>
        <v>19822.574943941981</v>
      </c>
      <c r="L19" s="5">
        <f t="shared" si="12"/>
        <v>21804.83243833618</v>
      </c>
      <c r="M19" s="5">
        <f t="shared" si="12"/>
        <v>23985.315682169803</v>
      </c>
      <c r="N19" s="5">
        <f t="shared" si="12"/>
        <v>26383.847250386785</v>
      </c>
      <c r="O19" s="5">
        <f t="shared" si="12"/>
        <v>29022.231975425464</v>
      </c>
      <c r="P19" s="5">
        <f t="shared" si="12"/>
        <v>31924.455172968013</v>
      </c>
      <c r="Q19" s="5">
        <f t="shared" si="12"/>
        <v>35116.900690264818</v>
      </c>
      <c r="R19" s="5">
        <f t="shared" si="12"/>
        <v>38628.590759291299</v>
      </c>
      <c r="S19" s="5">
        <f t="shared" si="12"/>
        <v>42491.449835220432</v>
      </c>
      <c r="T19" s="5"/>
    </row>
    <row r="20" spans="1:243" x14ac:dyDescent="0.15">
      <c r="A20" s="1" t="s">
        <v>7</v>
      </c>
      <c r="B20" s="17">
        <f>SUM(Reports!B11:E11)</f>
        <v>323</v>
      </c>
      <c r="C20" s="17">
        <f>SUM(Reports!F11:I11)</f>
        <v>498</v>
      </c>
      <c r="D20" s="17">
        <f>SUM(Reports!J11:M11)</f>
        <v>670.28399999999999</v>
      </c>
      <c r="E20" s="17">
        <f>SUM(Reports!N11:Q11)</f>
        <v>882</v>
      </c>
      <c r="F20" s="5">
        <f t="shared" ref="F20:J20" si="13">E20*1.25</f>
        <v>1102.5</v>
      </c>
      <c r="G20" s="5">
        <f t="shared" si="13"/>
        <v>1378.125</v>
      </c>
      <c r="H20" s="5">
        <f t="shared" si="13"/>
        <v>1722.65625</v>
      </c>
      <c r="I20" s="5">
        <f t="shared" si="13"/>
        <v>2153.3203125</v>
      </c>
      <c r="J20" s="5">
        <f t="shared" si="13"/>
        <v>2691.650390625</v>
      </c>
      <c r="K20" s="5">
        <f t="shared" ref="K20" si="14">J20*1.1</f>
        <v>2960.8154296875005</v>
      </c>
      <c r="L20" s="5">
        <f t="shared" ref="L20:S20" si="15">K20*1.1</f>
        <v>3256.8969726562509</v>
      </c>
      <c r="M20" s="5">
        <f t="shared" si="15"/>
        <v>3582.5866699218764</v>
      </c>
      <c r="N20" s="5">
        <f t="shared" si="15"/>
        <v>3940.8453369140643</v>
      </c>
      <c r="O20" s="5">
        <f t="shared" si="15"/>
        <v>4334.9298706054715</v>
      </c>
      <c r="P20" s="5">
        <f t="shared" si="15"/>
        <v>4768.4228576660189</v>
      </c>
      <c r="Q20" s="5">
        <f t="shared" si="15"/>
        <v>5245.2651434326208</v>
      </c>
      <c r="R20" s="5">
        <f t="shared" si="15"/>
        <v>5769.7916577758833</v>
      </c>
      <c r="S20" s="5">
        <f t="shared" si="15"/>
        <v>6346.7708235534719</v>
      </c>
      <c r="T20" s="5"/>
    </row>
    <row r="21" spans="1:243" x14ac:dyDescent="0.15">
      <c r="A21" s="1" t="s">
        <v>8</v>
      </c>
      <c r="B21" s="17">
        <f>SUM(Reports!B12:E12)</f>
        <v>254</v>
      </c>
      <c r="C21" s="17">
        <f>SUM(Reports!F12:I12)</f>
        <v>410</v>
      </c>
      <c r="D21" s="17">
        <f>SUM(Reports!J12:M12)</f>
        <v>624.23099999999999</v>
      </c>
      <c r="E21" s="17">
        <f>SUM(Reports!N12:Q12)</f>
        <v>1110</v>
      </c>
      <c r="F21" s="5">
        <f>E21*1.5</f>
        <v>1665</v>
      </c>
      <c r="G21" s="5">
        <f t="shared" ref="G21:I21" si="16">F21*1.5</f>
        <v>2497.5</v>
      </c>
      <c r="H21" s="5">
        <f t="shared" si="16"/>
        <v>3746.25</v>
      </c>
      <c r="I21" s="5">
        <f t="shared" si="16"/>
        <v>5619.375</v>
      </c>
      <c r="J21" s="5">
        <f>I21*1.5</f>
        <v>8429.0625</v>
      </c>
      <c r="K21" s="5">
        <f>J21*1.02</f>
        <v>8597.6437499999993</v>
      </c>
      <c r="L21" s="5">
        <f t="shared" ref="L21:S21" si="17">K21*1.02</f>
        <v>8769.5966250000001</v>
      </c>
      <c r="M21" s="5">
        <f t="shared" si="17"/>
        <v>8944.9885575000008</v>
      </c>
      <c r="N21" s="5">
        <f t="shared" si="17"/>
        <v>9123.8883286500004</v>
      </c>
      <c r="O21" s="5">
        <f t="shared" si="17"/>
        <v>9306.3660952230002</v>
      </c>
      <c r="P21" s="5">
        <f t="shared" si="17"/>
        <v>9492.4934171274599</v>
      </c>
      <c r="Q21" s="5">
        <f t="shared" si="17"/>
        <v>9682.3432854700095</v>
      </c>
      <c r="R21" s="5">
        <f t="shared" si="17"/>
        <v>9875.9901511794105</v>
      </c>
      <c r="S21" s="5">
        <f t="shared" si="17"/>
        <v>10073.509954202998</v>
      </c>
      <c r="T21" s="5"/>
    </row>
    <row r="22" spans="1:243" x14ac:dyDescent="0.15">
      <c r="A22" s="1" t="s">
        <v>9</v>
      </c>
      <c r="B22" s="17">
        <f>SUM(Reports!B13:E13)</f>
        <v>317</v>
      </c>
      <c r="C22" s="17">
        <f>SUM(Reports!F13:I13)</f>
        <v>431</v>
      </c>
      <c r="D22" s="17">
        <f>SUM(Reports!J13:M13)</f>
        <v>569</v>
      </c>
      <c r="E22" s="17">
        <f>SUM(Reports!N13:Q13)</f>
        <v>760</v>
      </c>
      <c r="F22" s="5">
        <f>E22*1.3</f>
        <v>988</v>
      </c>
      <c r="G22" s="5">
        <f t="shared" ref="G22:J22" si="18">F22*1.3</f>
        <v>1284.4000000000001</v>
      </c>
      <c r="H22" s="5">
        <f t="shared" si="18"/>
        <v>1669.7200000000003</v>
      </c>
      <c r="I22" s="5">
        <f t="shared" si="18"/>
        <v>2170.6360000000004</v>
      </c>
      <c r="J22" s="5">
        <f t="shared" si="18"/>
        <v>2821.8268000000007</v>
      </c>
      <c r="K22" s="5">
        <f t="shared" ref="K22" si="19">J22*0.98</f>
        <v>2765.3902640000006</v>
      </c>
      <c r="L22" s="5">
        <f t="shared" ref="L22:S22" si="20">K22*0.98</f>
        <v>2710.0824587200004</v>
      </c>
      <c r="M22" s="5">
        <f t="shared" si="20"/>
        <v>2655.8808095456002</v>
      </c>
      <c r="N22" s="5">
        <f t="shared" si="20"/>
        <v>2602.7631933546882</v>
      </c>
      <c r="O22" s="5">
        <f t="shared" si="20"/>
        <v>2550.7079294875944</v>
      </c>
      <c r="P22" s="5">
        <f t="shared" si="20"/>
        <v>2499.6937708978426</v>
      </c>
      <c r="Q22" s="5">
        <f t="shared" si="20"/>
        <v>2449.6998954798855</v>
      </c>
      <c r="R22" s="5">
        <f t="shared" si="20"/>
        <v>2400.7058975702876</v>
      </c>
      <c r="S22" s="5">
        <f t="shared" si="20"/>
        <v>2352.6917796188818</v>
      </c>
      <c r="T22" s="5"/>
    </row>
    <row r="23" spans="1:243" x14ac:dyDescent="0.15">
      <c r="A23" s="1" t="s">
        <v>10</v>
      </c>
      <c r="B23" s="7">
        <f>SUM(B20:B22)</f>
        <v>894</v>
      </c>
      <c r="C23" s="7">
        <f>SUM(C20:C22)</f>
        <v>1339</v>
      </c>
      <c r="D23" s="7">
        <f>SUM(D20:D22)</f>
        <v>1863.5149999999999</v>
      </c>
      <c r="E23" s="7">
        <f>SUM(E20:E22)</f>
        <v>2752</v>
      </c>
      <c r="F23" s="5">
        <f>SUM(F20:F22)</f>
        <v>3755.5</v>
      </c>
      <c r="G23" s="5">
        <f t="shared" ref="G23:O23" si="21">SUM(G20:G22)</f>
        <v>5160.0249999999996</v>
      </c>
      <c r="H23" s="5">
        <f t="shared" si="21"/>
        <v>7138.6262500000003</v>
      </c>
      <c r="I23" s="5">
        <f>SUM(I20:I22)</f>
        <v>9943.3313125000004</v>
      </c>
      <c r="J23" s="5">
        <f>SUM(J20:J22)</f>
        <v>13942.539690625001</v>
      </c>
      <c r="K23" s="5">
        <f t="shared" si="21"/>
        <v>14323.849443687501</v>
      </c>
      <c r="L23" s="5">
        <f t="shared" si="21"/>
        <v>14736.576056376252</v>
      </c>
      <c r="M23" s="5">
        <f t="shared" si="21"/>
        <v>15183.456036967478</v>
      </c>
      <c r="N23" s="5">
        <f t="shared" si="21"/>
        <v>15667.496858918752</v>
      </c>
      <c r="O23" s="5">
        <f t="shared" si="21"/>
        <v>16192.003895316066</v>
      </c>
      <c r="P23" s="5">
        <f t="shared" ref="P23:R23" si="22">SUM(P20:P22)</f>
        <v>16760.610045691323</v>
      </c>
      <c r="Q23" s="5">
        <f t="shared" si="22"/>
        <v>17377.308324382517</v>
      </c>
      <c r="R23" s="5">
        <f t="shared" si="22"/>
        <v>18046.487706525579</v>
      </c>
      <c r="S23" s="5">
        <f t="shared" ref="S23" si="23">SUM(S20:S22)</f>
        <v>18772.972557375353</v>
      </c>
      <c r="T23" s="5"/>
    </row>
    <row r="24" spans="1:243" x14ac:dyDescent="0.15">
      <c r="A24" s="1" t="s">
        <v>11</v>
      </c>
      <c r="B24" s="7">
        <f>B19-B23</f>
        <v>-56</v>
      </c>
      <c r="C24" s="7">
        <f>C19-C23</f>
        <v>-36</v>
      </c>
      <c r="D24" s="7">
        <f>D19-D23</f>
        <v>27.833999999999378</v>
      </c>
      <c r="E24" s="7">
        <f>E19-E23</f>
        <v>-18.983000000000175</v>
      </c>
      <c r="F24" s="5">
        <f t="shared" ref="E24:F24" si="24">F19-F23</f>
        <v>1111.5633309174546</v>
      </c>
      <c r="G24" s="5">
        <f t="shared" ref="G24:O24" si="25">G19-G23</f>
        <v>3186.9092123052451</v>
      </c>
      <c r="H24" s="5">
        <f t="shared" si="25"/>
        <v>4725.5655101268794</v>
      </c>
      <c r="I24" s="5">
        <f>I19-I23</f>
        <v>4662.1198365844521</v>
      </c>
      <c r="J24" s="5">
        <f>J19-J23</f>
        <v>4077.9829856858869</v>
      </c>
      <c r="K24" s="5">
        <f t="shared" si="25"/>
        <v>5498.7255002544807</v>
      </c>
      <c r="L24" s="5">
        <f t="shared" si="25"/>
        <v>7068.2563819599272</v>
      </c>
      <c r="M24" s="5">
        <f t="shared" si="25"/>
        <v>8801.8596452023248</v>
      </c>
      <c r="N24" s="5">
        <f t="shared" si="25"/>
        <v>10716.350391468033</v>
      </c>
      <c r="O24" s="5">
        <f t="shared" si="25"/>
        <v>12830.228080109398</v>
      </c>
      <c r="P24" s="5">
        <f t="shared" ref="P24:R24" si="26">P19-P23</f>
        <v>15163.845127276691</v>
      </c>
      <c r="Q24" s="5">
        <f t="shared" si="26"/>
        <v>17739.592365882301</v>
      </c>
      <c r="R24" s="5">
        <f t="shared" si="26"/>
        <v>20582.10305276572</v>
      </c>
      <c r="S24" s="5">
        <f t="shared" ref="S24" si="27">S19-S23</f>
        <v>23718.477277845079</v>
      </c>
      <c r="T24" s="5"/>
    </row>
    <row r="25" spans="1:243" x14ac:dyDescent="0.15">
      <c r="A25" s="1" t="s">
        <v>12</v>
      </c>
      <c r="B25" s="17">
        <f>SUM(Reports!B16:E16)</f>
        <v>-8</v>
      </c>
      <c r="C25" s="17">
        <f>SUM(Reports!F16:I16)</f>
        <v>2</v>
      </c>
      <c r="D25" s="17">
        <f>SUM(Reports!J16:M16)</f>
        <v>348</v>
      </c>
      <c r="E25" s="17">
        <f>SUM(Reports!N16:Q16)</f>
        <v>235</v>
      </c>
      <c r="F25" s="5">
        <f t="shared" ref="E25:S25" si="28">E42*$F$3</f>
        <v>86.5</v>
      </c>
      <c r="G25" s="5">
        <f t="shared" si="28"/>
        <v>137.41769156399184</v>
      </c>
      <c r="H25" s="5">
        <f t="shared" si="28"/>
        <v>278.70158497843443</v>
      </c>
      <c r="I25" s="5">
        <f t="shared" si="28"/>
        <v>491.38293652041034</v>
      </c>
      <c r="J25" s="5">
        <f t="shared" si="28"/>
        <v>710.40680437736694</v>
      </c>
      <c r="K25" s="5">
        <f t="shared" si="28"/>
        <v>913.9133704550552</v>
      </c>
      <c r="L25" s="5">
        <f t="shared" si="28"/>
        <v>1186.4505224602105</v>
      </c>
      <c r="M25" s="5">
        <f t="shared" si="28"/>
        <v>1537.2755658980664</v>
      </c>
      <c r="N25" s="5">
        <f t="shared" si="28"/>
        <v>1976.6888123698329</v>
      </c>
      <c r="O25" s="5">
        <f t="shared" si="28"/>
        <v>2516.1429785329424</v>
      </c>
      <c r="P25" s="5">
        <f t="shared" si="28"/>
        <v>3168.363748525242</v>
      </c>
      <c r="Q25" s="5">
        <f t="shared" si="28"/>
        <v>3947.4826257468239</v>
      </c>
      <c r="R25" s="5">
        <f t="shared" si="28"/>
        <v>4869.1833128910612</v>
      </c>
      <c r="S25" s="5">
        <f t="shared" si="28"/>
        <v>5950.8629834314752</v>
      </c>
      <c r="T25" s="5"/>
    </row>
    <row r="26" spans="1:243" x14ac:dyDescent="0.15">
      <c r="A26" s="1" t="s">
        <v>13</v>
      </c>
      <c r="B26" s="7">
        <f>B24+B25</f>
        <v>-64</v>
      </c>
      <c r="C26" s="7">
        <f>C24+C25</f>
        <v>-34</v>
      </c>
      <c r="D26" s="7">
        <f>D24+D25</f>
        <v>375.83399999999938</v>
      </c>
      <c r="E26" s="7">
        <f>E24+E25</f>
        <v>216.01699999999983</v>
      </c>
      <c r="F26" s="5">
        <f t="shared" ref="E26:F26" si="29">F24+F25</f>
        <v>1198.0633309174546</v>
      </c>
      <c r="G26" s="5">
        <f t="shared" ref="G26:O26" si="30">G24+G25</f>
        <v>3324.326903869237</v>
      </c>
      <c r="H26" s="5">
        <f t="shared" si="30"/>
        <v>5004.2670951053142</v>
      </c>
      <c r="I26" s="5">
        <f t="shared" si="30"/>
        <v>5153.5027731048622</v>
      </c>
      <c r="J26" s="5">
        <f t="shared" ref="J26" si="31">J24+J25</f>
        <v>4788.3897900632537</v>
      </c>
      <c r="K26" s="5">
        <f t="shared" si="30"/>
        <v>6412.6388707095357</v>
      </c>
      <c r="L26" s="5">
        <f t="shared" si="30"/>
        <v>8254.706904420138</v>
      </c>
      <c r="M26" s="5">
        <f t="shared" si="30"/>
        <v>10339.135211100391</v>
      </c>
      <c r="N26" s="5">
        <f t="shared" si="30"/>
        <v>12693.039203837867</v>
      </c>
      <c r="O26" s="5">
        <f t="shared" si="30"/>
        <v>15346.37105864234</v>
      </c>
      <c r="P26" s="5">
        <f t="shared" ref="P26:R26" si="32">P24+P25</f>
        <v>18332.208875801931</v>
      </c>
      <c r="Q26" s="5">
        <f t="shared" si="32"/>
        <v>21687.074991629124</v>
      </c>
      <c r="R26" s="5">
        <f t="shared" si="32"/>
        <v>25451.286365656782</v>
      </c>
      <c r="S26" s="5">
        <f t="shared" ref="S26" si="33">S24+S25</f>
        <v>29669.340261276553</v>
      </c>
      <c r="T26" s="5"/>
    </row>
    <row r="27" spans="1:243" x14ac:dyDescent="0.15">
      <c r="A27" s="1" t="s">
        <v>14</v>
      </c>
      <c r="B27" s="17">
        <f>SUM(Reports!B18:E18)</f>
        <v>-1</v>
      </c>
      <c r="C27" s="17">
        <f>SUM(Reports!F18:I18)</f>
        <v>2</v>
      </c>
      <c r="D27" s="17">
        <f>SUM(Reports!J18:M18)</f>
        <v>4</v>
      </c>
      <c r="E27" s="17">
        <f>SUM(Reports!N18:Q18)</f>
        <v>3</v>
      </c>
      <c r="F27" s="5">
        <f t="shared" ref="F27:O27" si="34">F26*0.15</f>
        <v>179.70949963761817</v>
      </c>
      <c r="G27" s="5">
        <f t="shared" si="34"/>
        <v>498.64903558038554</v>
      </c>
      <c r="H27" s="5">
        <f t="shared" si="34"/>
        <v>750.64006426579715</v>
      </c>
      <c r="I27" s="5">
        <f t="shared" si="34"/>
        <v>773.02541596572928</v>
      </c>
      <c r="J27" s="5">
        <f t="shared" ref="J27" si="35">J26*0.15</f>
        <v>718.25846850948801</v>
      </c>
      <c r="K27" s="5">
        <f t="shared" si="34"/>
        <v>961.89583060643031</v>
      </c>
      <c r="L27" s="5">
        <f t="shared" si="34"/>
        <v>1238.2060356630207</v>
      </c>
      <c r="M27" s="5">
        <f t="shared" si="34"/>
        <v>1550.8702816650587</v>
      </c>
      <c r="N27" s="5">
        <f t="shared" si="34"/>
        <v>1903.9558805756799</v>
      </c>
      <c r="O27" s="5">
        <f t="shared" si="34"/>
        <v>2301.9556587963511</v>
      </c>
      <c r="P27" s="5">
        <f t="shared" ref="P27:R27" si="36">P26*0.15</f>
        <v>2749.8313313702897</v>
      </c>
      <c r="Q27" s="5">
        <f t="shared" si="36"/>
        <v>3253.0612487443686</v>
      </c>
      <c r="R27" s="5">
        <f t="shared" si="36"/>
        <v>3817.6929548485173</v>
      </c>
      <c r="S27" s="5">
        <f t="shared" ref="S27" si="37">S26*0.15</f>
        <v>4450.4010391914826</v>
      </c>
      <c r="T27" s="5"/>
    </row>
    <row r="28" spans="1:243" s="16" customFormat="1" x14ac:dyDescent="0.15">
      <c r="A28" s="16" t="s">
        <v>15</v>
      </c>
      <c r="B28" s="23">
        <f>B26-B27</f>
        <v>-63</v>
      </c>
      <c r="C28" s="23">
        <f>C26-C27</f>
        <v>-36</v>
      </c>
      <c r="D28" s="23">
        <f t="shared" ref="D28:F28" si="38">D26-D27</f>
        <v>371.83399999999938</v>
      </c>
      <c r="E28" s="23">
        <f t="shared" ref="E28" si="39">E26-E27</f>
        <v>213.01699999999983</v>
      </c>
      <c r="F28" s="23">
        <f t="shared" si="38"/>
        <v>1018.3538312798364</v>
      </c>
      <c r="G28" s="23">
        <f t="shared" ref="G28" si="40">G26-G27</f>
        <v>2825.6778682888516</v>
      </c>
      <c r="H28" s="23">
        <f t="shared" ref="H28" si="41">H26-H27</f>
        <v>4253.6270308395169</v>
      </c>
      <c r="I28" s="23">
        <f t="shared" ref="I28:J28" si="42">I26-I27</f>
        <v>4380.4773571391324</v>
      </c>
      <c r="J28" s="23">
        <f t="shared" si="42"/>
        <v>4070.1313215537657</v>
      </c>
      <c r="K28" s="23">
        <f t="shared" ref="K28" si="43">K26-K27</f>
        <v>5450.7430401031052</v>
      </c>
      <c r="L28" s="23">
        <f t="shared" ref="L28" si="44">L26-L27</f>
        <v>7016.5008687571171</v>
      </c>
      <c r="M28" s="23">
        <f t="shared" ref="M28" si="45">M26-M27</f>
        <v>8788.2649294353323</v>
      </c>
      <c r="N28" s="23">
        <f t="shared" ref="N28" si="46">N26-N27</f>
        <v>10789.083323262186</v>
      </c>
      <c r="O28" s="23">
        <f t="shared" ref="O28:P28" si="47">O26-O27</f>
        <v>13044.41539984599</v>
      </c>
      <c r="P28" s="23">
        <f t="shared" si="47"/>
        <v>15582.377544431642</v>
      </c>
      <c r="Q28" s="23">
        <f t="shared" ref="Q28:R28" si="48">Q26-Q27</f>
        <v>18434.013742884756</v>
      </c>
      <c r="R28" s="23">
        <f t="shared" si="48"/>
        <v>21633.593410808266</v>
      </c>
      <c r="S28" s="23">
        <f t="shared" ref="S28" si="49">S26-S27</f>
        <v>25218.939222085071</v>
      </c>
      <c r="T28" s="23">
        <f>S28*($F$2+1)</f>
        <v>25345.033918195495</v>
      </c>
      <c r="U28" s="23">
        <f t="shared" ref="S28:AU28" si="50">T28*($F$2+1)</f>
        <v>25471.759087786471</v>
      </c>
      <c r="V28" s="23">
        <f t="shared" si="50"/>
        <v>25599.117883225401</v>
      </c>
      <c r="W28" s="23">
        <f t="shared" si="50"/>
        <v>25727.113472641526</v>
      </c>
      <c r="X28" s="23">
        <f t="shared" si="50"/>
        <v>25855.749040004732</v>
      </c>
      <c r="Y28" s="23">
        <f t="shared" si="50"/>
        <v>25985.027785204751</v>
      </c>
      <c r="Z28" s="23">
        <f t="shared" si="50"/>
        <v>26114.952924130772</v>
      </c>
      <c r="AA28" s="23">
        <f t="shared" si="50"/>
        <v>26245.527688751423</v>
      </c>
      <c r="AB28" s="23">
        <f t="shared" si="50"/>
        <v>26376.755327195177</v>
      </c>
      <c r="AC28" s="23">
        <f t="shared" si="50"/>
        <v>26508.639103831149</v>
      </c>
      <c r="AD28" s="23">
        <f t="shared" si="50"/>
        <v>26641.182299350301</v>
      </c>
      <c r="AE28" s="23">
        <f t="shared" si="50"/>
        <v>26774.38821084705</v>
      </c>
      <c r="AF28" s="23">
        <f t="shared" si="50"/>
        <v>26908.260151901282</v>
      </c>
      <c r="AG28" s="23">
        <f t="shared" si="50"/>
        <v>27042.801452660788</v>
      </c>
      <c r="AH28" s="23">
        <f t="shared" si="50"/>
        <v>27178.015459924089</v>
      </c>
      <c r="AI28" s="23">
        <f t="shared" si="50"/>
        <v>27313.905537223705</v>
      </c>
      <c r="AJ28" s="23">
        <f t="shared" si="50"/>
        <v>27450.475064909821</v>
      </c>
      <c r="AK28" s="23">
        <f t="shared" si="50"/>
        <v>27587.727440234368</v>
      </c>
      <c r="AL28" s="23">
        <f t="shared" si="50"/>
        <v>27725.666077435537</v>
      </c>
      <c r="AM28" s="23">
        <f t="shared" si="50"/>
        <v>27864.294407822712</v>
      </c>
      <c r="AN28" s="23">
        <f t="shared" si="50"/>
        <v>28003.615879861823</v>
      </c>
      <c r="AO28" s="23">
        <f t="shared" si="50"/>
        <v>28143.633959261129</v>
      </c>
      <c r="AP28" s="23">
        <f t="shared" si="50"/>
        <v>28284.352129057432</v>
      </c>
      <c r="AQ28" s="23">
        <f t="shared" si="50"/>
        <v>28425.773889702716</v>
      </c>
      <c r="AR28" s="23">
        <f t="shared" si="50"/>
        <v>28567.902759151228</v>
      </c>
      <c r="AS28" s="23">
        <f t="shared" si="50"/>
        <v>28710.74227294698</v>
      </c>
      <c r="AT28" s="23">
        <f t="shared" si="50"/>
        <v>28854.295984311713</v>
      </c>
      <c r="AU28" s="23">
        <f t="shared" si="50"/>
        <v>28998.567464233267</v>
      </c>
      <c r="AV28" s="23">
        <f t="shared" ref="AV28:CA28" si="51">AU28*($F$2+1)</f>
        <v>29143.560301554429</v>
      </c>
      <c r="AW28" s="23">
        <f t="shared" si="51"/>
        <v>29289.278103062199</v>
      </c>
      <c r="AX28" s="23">
        <f t="shared" si="51"/>
        <v>29435.724493577505</v>
      </c>
      <c r="AY28" s="23">
        <f t="shared" si="51"/>
        <v>29582.903116045389</v>
      </c>
      <c r="AZ28" s="23">
        <f t="shared" si="51"/>
        <v>29730.817631625614</v>
      </c>
      <c r="BA28" s="23">
        <f t="shared" si="51"/>
        <v>29879.471719783738</v>
      </c>
      <c r="BB28" s="23">
        <f t="shared" si="51"/>
        <v>30028.869078382653</v>
      </c>
      <c r="BC28" s="23">
        <f t="shared" si="51"/>
        <v>30179.013423774562</v>
      </c>
      <c r="BD28" s="23">
        <f t="shared" si="51"/>
        <v>30329.908490893431</v>
      </c>
      <c r="BE28" s="23">
        <f t="shared" si="51"/>
        <v>30481.558033347894</v>
      </c>
      <c r="BF28" s="23">
        <f t="shared" si="51"/>
        <v>30633.965823514631</v>
      </c>
      <c r="BG28" s="23">
        <f t="shared" si="51"/>
        <v>30787.135652632202</v>
      </c>
      <c r="BH28" s="23">
        <f t="shared" si="51"/>
        <v>30941.07133089536</v>
      </c>
      <c r="BI28" s="23">
        <f t="shared" si="51"/>
        <v>31095.776687549835</v>
      </c>
      <c r="BJ28" s="23">
        <f t="shared" si="51"/>
        <v>31251.255570987581</v>
      </c>
      <c r="BK28" s="23">
        <f t="shared" si="51"/>
        <v>31407.511848842518</v>
      </c>
      <c r="BL28" s="23">
        <f t="shared" si="51"/>
        <v>31564.549408086728</v>
      </c>
      <c r="BM28" s="23">
        <f t="shared" si="51"/>
        <v>31722.372155127159</v>
      </c>
      <c r="BN28" s="23">
        <f t="shared" si="51"/>
        <v>31880.984015902792</v>
      </c>
      <c r="BO28" s="23">
        <f t="shared" si="51"/>
        <v>32040.388935982301</v>
      </c>
      <c r="BP28" s="23">
        <f t="shared" si="51"/>
        <v>32200.59088066221</v>
      </c>
      <c r="BQ28" s="23">
        <f t="shared" si="51"/>
        <v>32361.593835065516</v>
      </c>
      <c r="BR28" s="23">
        <f t="shared" si="51"/>
        <v>32523.401804240839</v>
      </c>
      <c r="BS28" s="23">
        <f t="shared" si="51"/>
        <v>32686.018813262039</v>
      </c>
      <c r="BT28" s="23">
        <f t="shared" si="51"/>
        <v>32849.448907328348</v>
      </c>
      <c r="BU28" s="23">
        <f t="shared" si="51"/>
        <v>33013.696151864984</v>
      </c>
      <c r="BV28" s="23">
        <f t="shared" si="51"/>
        <v>33178.764632624305</v>
      </c>
      <c r="BW28" s="23">
        <f t="shared" si="51"/>
        <v>33344.658455787423</v>
      </c>
      <c r="BX28" s="23">
        <f t="shared" si="51"/>
        <v>33511.381748066357</v>
      </c>
      <c r="BY28" s="23">
        <f t="shared" si="51"/>
        <v>33678.938656806684</v>
      </c>
      <c r="BZ28" s="23">
        <f t="shared" si="51"/>
        <v>33847.33335009071</v>
      </c>
      <c r="CA28" s="23">
        <f t="shared" si="51"/>
        <v>34016.570016841157</v>
      </c>
      <c r="CB28" s="23">
        <f t="shared" ref="CB28:DG28" si="52">CA28*($F$2+1)</f>
        <v>34186.65286692536</v>
      </c>
      <c r="CC28" s="23">
        <f t="shared" si="52"/>
        <v>34357.586131259981</v>
      </c>
      <c r="CD28" s="23">
        <f t="shared" si="52"/>
        <v>34529.374061916278</v>
      </c>
      <c r="CE28" s="23">
        <f t="shared" si="52"/>
        <v>34702.020932225852</v>
      </c>
      <c r="CF28" s="23">
        <f t="shared" si="52"/>
        <v>34875.531036886976</v>
      </c>
      <c r="CG28" s="23">
        <f t="shared" si="52"/>
        <v>35049.908692071403</v>
      </c>
      <c r="CH28" s="23">
        <f t="shared" si="52"/>
        <v>35225.158235531759</v>
      </c>
      <c r="CI28" s="23">
        <f t="shared" si="52"/>
        <v>35401.284026709414</v>
      </c>
      <c r="CJ28" s="23">
        <f t="shared" si="52"/>
        <v>35578.290446842955</v>
      </c>
      <c r="CK28" s="23">
        <f t="shared" si="52"/>
        <v>35756.181899077164</v>
      </c>
      <c r="CL28" s="23">
        <f t="shared" si="52"/>
        <v>35934.962808572549</v>
      </c>
      <c r="CM28" s="23">
        <f t="shared" si="52"/>
        <v>36114.63762261541</v>
      </c>
      <c r="CN28" s="23">
        <f t="shared" si="52"/>
        <v>36295.21081072848</v>
      </c>
      <c r="CO28" s="23">
        <f t="shared" si="52"/>
        <v>36476.686864782117</v>
      </c>
      <c r="CP28" s="23">
        <f t="shared" si="52"/>
        <v>36659.070299106024</v>
      </c>
      <c r="CQ28" s="23">
        <f t="shared" si="52"/>
        <v>36842.365650601554</v>
      </c>
      <c r="CR28" s="23">
        <f t="shared" si="52"/>
        <v>37026.57747885456</v>
      </c>
      <c r="CS28" s="23">
        <f t="shared" si="52"/>
        <v>37211.71036624883</v>
      </c>
      <c r="CT28" s="23">
        <f t="shared" si="52"/>
        <v>37397.768918080073</v>
      </c>
      <c r="CU28" s="23">
        <f t="shared" si="52"/>
        <v>37584.757762670473</v>
      </c>
      <c r="CV28" s="23">
        <f t="shared" si="52"/>
        <v>37772.681551483824</v>
      </c>
      <c r="CW28" s="23">
        <f t="shared" si="52"/>
        <v>37961.544959241241</v>
      </c>
      <c r="CX28" s="23">
        <f t="shared" si="52"/>
        <v>38151.35268403744</v>
      </c>
      <c r="CY28" s="23">
        <f t="shared" si="52"/>
        <v>38342.109447457624</v>
      </c>
      <c r="CZ28" s="23">
        <f t="shared" si="52"/>
        <v>38533.81999469491</v>
      </c>
      <c r="DA28" s="23">
        <f t="shared" si="52"/>
        <v>38726.489094668381</v>
      </c>
      <c r="DB28" s="23">
        <f t="shared" si="52"/>
        <v>38920.121540141721</v>
      </c>
      <c r="DC28" s="23">
        <f t="shared" si="52"/>
        <v>39114.722147842425</v>
      </c>
      <c r="DD28" s="23">
        <f t="shared" si="52"/>
        <v>39310.295758581633</v>
      </c>
      <c r="DE28" s="23">
        <f t="shared" si="52"/>
        <v>39506.847237374539</v>
      </c>
      <c r="DF28" s="23">
        <f t="shared" si="52"/>
        <v>39704.381473561407</v>
      </c>
      <c r="DG28" s="23">
        <f t="shared" si="52"/>
        <v>39902.903380929209</v>
      </c>
      <c r="DH28" s="23">
        <f t="shared" ref="DH28:DP28" si="53">DG28*($F$2+1)</f>
        <v>40102.417897833853</v>
      </c>
      <c r="DI28" s="23">
        <f t="shared" si="53"/>
        <v>40302.929987323019</v>
      </c>
      <c r="DJ28" s="23">
        <f t="shared" si="53"/>
        <v>40504.444637259629</v>
      </c>
      <c r="DK28" s="23">
        <f t="shared" si="53"/>
        <v>40706.966860445922</v>
      </c>
      <c r="DL28" s="23">
        <f t="shared" si="53"/>
        <v>40910.501694748149</v>
      </c>
      <c r="DM28" s="23">
        <f t="shared" si="53"/>
        <v>41115.054203221887</v>
      </c>
      <c r="DN28" s="23">
        <f t="shared" si="53"/>
        <v>41320.629474237991</v>
      </c>
      <c r="DO28" s="23">
        <f t="shared" si="53"/>
        <v>41527.232621609175</v>
      </c>
      <c r="DP28" s="23">
        <f t="shared" si="53"/>
        <v>41734.868784717219</v>
      </c>
      <c r="DQ28" s="23">
        <f t="shared" ref="DQ28" si="54">DP28*($F$2+1)</f>
        <v>41943.543128640798</v>
      </c>
      <c r="DR28" s="23">
        <f t="shared" ref="DR28" si="55">DQ28*($F$2+1)</f>
        <v>42153.260844283999</v>
      </c>
      <c r="DS28" s="23">
        <f t="shared" ref="DS28" si="56">DR28*($F$2+1)</f>
        <v>42364.027148505418</v>
      </c>
      <c r="DT28" s="23">
        <f t="shared" ref="DT28" si="57">DS28*($F$2+1)</f>
        <v>42575.847284247939</v>
      </c>
      <c r="DU28" s="23">
        <f t="shared" ref="DU28" si="58">DT28*($F$2+1)</f>
        <v>42788.726520669174</v>
      </c>
      <c r="DV28" s="23">
        <f t="shared" ref="DV28" si="59">DU28*($F$2+1)</f>
        <v>43002.670153272513</v>
      </c>
      <c r="DW28" s="23">
        <f t="shared" ref="DW28" si="60">DV28*($F$2+1)</f>
        <v>43217.683504038869</v>
      </c>
      <c r="DX28" s="23">
        <f t="shared" ref="DX28" si="61">DW28*($F$2+1)</f>
        <v>43433.771921559055</v>
      </c>
      <c r="DY28" s="23">
        <f t="shared" ref="DY28" si="62">DX28*($F$2+1)</f>
        <v>43650.940781166842</v>
      </c>
      <c r="DZ28" s="23">
        <f t="shared" ref="DZ28" si="63">DY28*($F$2+1)</f>
        <v>43869.195485072669</v>
      </c>
      <c r="EA28" s="23">
        <f t="shared" ref="EA28" si="64">DZ28*($F$2+1)</f>
        <v>44088.541462498026</v>
      </c>
      <c r="EB28" s="23">
        <f t="shared" ref="EB28" si="65">EA28*($F$2+1)</f>
        <v>44308.984169810508</v>
      </c>
      <c r="EC28" s="23">
        <f t="shared" ref="EC28" si="66">EB28*($F$2+1)</f>
        <v>44530.529090659555</v>
      </c>
      <c r="ED28" s="23">
        <f t="shared" ref="ED28" si="67">EC28*($F$2+1)</f>
        <v>44753.181736112849</v>
      </c>
      <c r="EE28" s="23">
        <f t="shared" ref="EE28" si="68">ED28*($F$2+1)</f>
        <v>44976.947644793407</v>
      </c>
      <c r="EF28" s="23">
        <f t="shared" ref="EF28" si="69">EE28*($F$2+1)</f>
        <v>45201.832383017369</v>
      </c>
      <c r="EG28" s="23">
        <f t="shared" ref="EG28" si="70">EF28*($F$2+1)</f>
        <v>45427.841544932453</v>
      </c>
      <c r="EH28" s="23">
        <f t="shared" ref="EH28" si="71">EG28*($F$2+1)</f>
        <v>45654.980752657109</v>
      </c>
      <c r="EI28" s="23">
        <f t="shared" ref="EI28" si="72">EH28*($F$2+1)</f>
        <v>45883.255656420391</v>
      </c>
      <c r="EJ28" s="23">
        <f t="shared" ref="EJ28" si="73">EI28*($F$2+1)</f>
        <v>46112.671934702492</v>
      </c>
      <c r="EK28" s="23">
        <f t="shared" ref="EK28" si="74">EJ28*($F$2+1)</f>
        <v>46343.235294375998</v>
      </c>
      <c r="EL28" s="23">
        <f t="shared" ref="EL28" si="75">EK28*($F$2+1)</f>
        <v>46574.951470847875</v>
      </c>
      <c r="EM28" s="23">
        <f t="shared" ref="EM28" si="76">EL28*($F$2+1)</f>
        <v>46807.82622820211</v>
      </c>
      <c r="EN28" s="23">
        <f t="shared" ref="EN28" si="77">EM28*($F$2+1)</f>
        <v>47041.865359343115</v>
      </c>
      <c r="EO28" s="23">
        <f t="shared" ref="EO28" si="78">EN28*($F$2+1)</f>
        <v>47277.074686139829</v>
      </c>
      <c r="EP28" s="23">
        <f t="shared" ref="EP28" si="79">EO28*($F$2+1)</f>
        <v>47513.460059570527</v>
      </c>
      <c r="EQ28" s="23">
        <f t="shared" ref="EQ28" si="80">EP28*($F$2+1)</f>
        <v>47751.027359868378</v>
      </c>
      <c r="ER28" s="23">
        <f t="shared" ref="ER28" si="81">EQ28*($F$2+1)</f>
        <v>47989.782496667714</v>
      </c>
      <c r="ES28" s="23">
        <f t="shared" ref="ES28" si="82">ER28*($F$2+1)</f>
        <v>48229.731409151049</v>
      </c>
      <c r="ET28" s="23">
        <f t="shared" ref="ET28" si="83">ES28*($F$2+1)</f>
        <v>48470.880066196798</v>
      </c>
      <c r="EU28" s="23">
        <f t="shared" ref="EU28" si="84">ET28*($F$2+1)</f>
        <v>48713.234466527778</v>
      </c>
      <c r="EV28" s="23">
        <f t="shared" ref="EV28" si="85">EU28*($F$2+1)</f>
        <v>48956.800638860412</v>
      </c>
      <c r="EW28" s="23">
        <f t="shared" ref="EW28" si="86">EV28*($F$2+1)</f>
        <v>49201.58464205471</v>
      </c>
      <c r="EX28" s="23">
        <f t="shared" ref="EX28" si="87">EW28*($F$2+1)</f>
        <v>49447.592565264975</v>
      </c>
      <c r="EY28" s="23">
        <f t="shared" ref="EY28" si="88">EX28*($F$2+1)</f>
        <v>49694.830528091297</v>
      </c>
      <c r="EZ28" s="23">
        <f t="shared" ref="EZ28" si="89">EY28*($F$2+1)</f>
        <v>49943.304680731751</v>
      </c>
      <c r="FA28" s="23">
        <f t="shared" ref="FA28" si="90">EZ28*($F$2+1)</f>
        <v>50193.021204135403</v>
      </c>
      <c r="FB28" s="23">
        <f t="shared" ref="FB28" si="91">FA28*($F$2+1)</f>
        <v>50443.986310156077</v>
      </c>
      <c r="FC28" s="23">
        <f t="shared" ref="FC28" si="92">FB28*($F$2+1)</f>
        <v>50696.206241706852</v>
      </c>
      <c r="FD28" s="23">
        <f t="shared" ref="FD28" si="93">FC28*($F$2+1)</f>
        <v>50949.687272915384</v>
      </c>
      <c r="FE28" s="23">
        <f t="shared" ref="FE28" si="94">FD28*($F$2+1)</f>
        <v>51204.435709279955</v>
      </c>
      <c r="FF28" s="23">
        <f t="shared" ref="FF28" si="95">FE28*($F$2+1)</f>
        <v>51460.457887826349</v>
      </c>
      <c r="FG28" s="23">
        <f t="shared" ref="FG28" si="96">FF28*($F$2+1)</f>
        <v>51717.760177265474</v>
      </c>
      <c r="FH28" s="23">
        <f t="shared" ref="FH28" si="97">FG28*($F$2+1)</f>
        <v>51976.348978151793</v>
      </c>
      <c r="FI28" s="23">
        <f t="shared" ref="FI28" si="98">FH28*($F$2+1)</f>
        <v>52236.230723042543</v>
      </c>
      <c r="FJ28" s="23">
        <f t="shared" ref="FJ28" si="99">FI28*($F$2+1)</f>
        <v>52497.411876657752</v>
      </c>
      <c r="FK28" s="23">
        <f t="shared" ref="FK28" si="100">FJ28*($F$2+1)</f>
        <v>52759.898936041034</v>
      </c>
      <c r="FL28" s="23">
        <f t="shared" ref="FL28" si="101">FK28*($F$2+1)</f>
        <v>53023.698430721233</v>
      </c>
      <c r="FM28" s="23">
        <f t="shared" ref="FM28" si="102">FL28*($F$2+1)</f>
        <v>53288.81692287483</v>
      </c>
      <c r="FN28" s="23">
        <f t="shared" ref="FN28" si="103">FM28*($F$2+1)</f>
        <v>53555.2610074892</v>
      </c>
      <c r="FO28" s="23">
        <f t="shared" ref="FO28" si="104">FN28*($F$2+1)</f>
        <v>53823.037312526641</v>
      </c>
      <c r="FP28" s="23">
        <f t="shared" ref="FP28" si="105">FO28*($F$2+1)</f>
        <v>54092.152499089272</v>
      </c>
      <c r="FQ28" s="23">
        <f t="shared" ref="FQ28" si="106">FP28*($F$2+1)</f>
        <v>54362.613261584716</v>
      </c>
      <c r="FR28" s="23">
        <f t="shared" ref="FR28" si="107">FQ28*($F$2+1)</f>
        <v>54634.426327892637</v>
      </c>
      <c r="FS28" s="23">
        <f t="shared" ref="FS28" si="108">FR28*($F$2+1)</f>
        <v>54907.598459532092</v>
      </c>
      <c r="FT28" s="23">
        <f t="shared" ref="FT28" si="109">FS28*($F$2+1)</f>
        <v>55182.136451829749</v>
      </c>
      <c r="FU28" s="23">
        <f t="shared" ref="FU28" si="110">FT28*($F$2+1)</f>
        <v>55458.047134088891</v>
      </c>
      <c r="FV28" s="23">
        <f t="shared" ref="FV28" si="111">FU28*($F$2+1)</f>
        <v>55735.337369759327</v>
      </c>
      <c r="FW28" s="23">
        <f t="shared" ref="FW28" si="112">FV28*($F$2+1)</f>
        <v>56014.014056608117</v>
      </c>
      <c r="FX28" s="23">
        <f t="shared" ref="FX28" si="113">FW28*($F$2+1)</f>
        <v>56294.084126891154</v>
      </c>
      <c r="FY28" s="23">
        <f t="shared" ref="FY28" si="114">FX28*($F$2+1)</f>
        <v>56575.5545475256</v>
      </c>
      <c r="FZ28" s="23">
        <f t="shared" ref="FZ28" si="115">FY28*($F$2+1)</f>
        <v>56858.432320263222</v>
      </c>
      <c r="GA28" s="23">
        <f t="shared" ref="GA28" si="116">FZ28*($F$2+1)</f>
        <v>57142.724481864534</v>
      </c>
      <c r="GB28" s="23">
        <f t="shared" ref="GB28" si="117">GA28*($F$2+1)</f>
        <v>57428.438104273853</v>
      </c>
      <c r="GC28" s="23">
        <f t="shared" ref="GC28" si="118">GB28*($F$2+1)</f>
        <v>57715.580294795218</v>
      </c>
      <c r="GD28" s="23">
        <f t="shared" ref="GD28" si="119">GC28*($F$2+1)</f>
        <v>58004.158196269185</v>
      </c>
      <c r="GE28" s="23">
        <f t="shared" ref="GE28" si="120">GD28*($F$2+1)</f>
        <v>58294.178987250525</v>
      </c>
      <c r="GF28" s="23">
        <f t="shared" ref="GF28" si="121">GE28*($F$2+1)</f>
        <v>58585.649882186772</v>
      </c>
      <c r="GG28" s="23">
        <f t="shared" ref="GG28" si="122">GF28*($F$2+1)</f>
        <v>58878.5781315977</v>
      </c>
      <c r="GH28" s="23">
        <f t="shared" ref="GH28" si="123">GG28*($F$2+1)</f>
        <v>59172.971022255682</v>
      </c>
      <c r="GI28" s="23">
        <f t="shared" ref="GI28" si="124">GH28*($F$2+1)</f>
        <v>59468.835877366953</v>
      </c>
      <c r="GJ28" s="23">
        <f t="shared" ref="GJ28" si="125">GI28*($F$2+1)</f>
        <v>59766.180056753779</v>
      </c>
      <c r="GK28" s="23">
        <f t="shared" ref="GK28" si="126">GJ28*($F$2+1)</f>
        <v>60065.010957037543</v>
      </c>
      <c r="GL28" s="23">
        <f t="shared" ref="GL28" si="127">GK28*($F$2+1)</f>
        <v>60365.336011822721</v>
      </c>
      <c r="GM28" s="23">
        <f t="shared" ref="GM28" si="128">GL28*($F$2+1)</f>
        <v>60667.162691881829</v>
      </c>
      <c r="GN28" s="23">
        <f t="shared" ref="GN28" si="129">GM28*($F$2+1)</f>
        <v>60970.498505341231</v>
      </c>
      <c r="GO28" s="23">
        <f t="shared" ref="GO28" si="130">GN28*($F$2+1)</f>
        <v>61275.350997867929</v>
      </c>
      <c r="GP28" s="23">
        <f t="shared" ref="GP28" si="131">GO28*($F$2+1)</f>
        <v>61581.727752857259</v>
      </c>
      <c r="GQ28" s="23">
        <f t="shared" ref="GQ28" si="132">GP28*($F$2+1)</f>
        <v>61889.636391621541</v>
      </c>
      <c r="GR28" s="23">
        <f t="shared" ref="GR28" si="133">GQ28*($F$2+1)</f>
        <v>62199.084573579639</v>
      </c>
      <c r="GS28" s="23">
        <f t="shared" ref="GS28" si="134">GR28*($F$2+1)</f>
        <v>62510.07999644753</v>
      </c>
      <c r="GT28" s="23">
        <f t="shared" ref="GT28" si="135">GS28*($F$2+1)</f>
        <v>62822.630396429762</v>
      </c>
      <c r="GU28" s="23">
        <f t="shared" ref="GU28" si="136">GT28*($F$2+1)</f>
        <v>63136.743548411905</v>
      </c>
      <c r="GV28" s="23">
        <f t="shared" ref="GV28" si="137">GU28*($F$2+1)</f>
        <v>63452.427266153958</v>
      </c>
      <c r="GW28" s="23">
        <f t="shared" ref="GW28" si="138">GV28*($F$2+1)</f>
        <v>63769.689402484721</v>
      </c>
      <c r="GX28" s="23">
        <f t="shared" ref="GX28" si="139">GW28*($F$2+1)</f>
        <v>64088.537849497137</v>
      </c>
      <c r="GY28" s="23">
        <f t="shared" ref="GY28" si="140">GX28*($F$2+1)</f>
        <v>64408.980538744618</v>
      </c>
      <c r="GZ28" s="23">
        <f t="shared" ref="GZ28" si="141">GY28*($F$2+1)</f>
        <v>64731.025441438331</v>
      </c>
      <c r="HA28" s="23">
        <f t="shared" ref="HA28" si="142">GZ28*($F$2+1)</f>
        <v>65054.680568645519</v>
      </c>
      <c r="HB28" s="23">
        <f t="shared" ref="HB28" si="143">HA28*($F$2+1)</f>
        <v>65379.953971488743</v>
      </c>
      <c r="HC28" s="23">
        <f t="shared" ref="HC28" si="144">HB28*($F$2+1)</f>
        <v>65706.853741346175</v>
      </c>
      <c r="HD28" s="23">
        <f t="shared" ref="HD28" si="145">HC28*($F$2+1)</f>
        <v>66035.388010052891</v>
      </c>
      <c r="HE28" s="23">
        <f t="shared" ref="HE28" si="146">HD28*($F$2+1)</f>
        <v>66365.564950103144</v>
      </c>
      <c r="HF28" s="23">
        <f t="shared" ref="HF28" si="147">HE28*($F$2+1)</f>
        <v>66697.392774853652</v>
      </c>
      <c r="HG28" s="23">
        <f t="shared" ref="HG28" si="148">HF28*($F$2+1)</f>
        <v>67030.879738727919</v>
      </c>
      <c r="HH28" s="23">
        <f t="shared" ref="HH28" si="149">HG28*($F$2+1)</f>
        <v>67366.03413742155</v>
      </c>
      <c r="HI28" s="23">
        <f t="shared" ref="HI28" si="150">HH28*($F$2+1)</f>
        <v>67702.864308108648</v>
      </c>
      <c r="HJ28" s="23">
        <f t="shared" ref="HJ28" si="151">HI28*($F$2+1)</f>
        <v>68041.378629649189</v>
      </c>
      <c r="HK28" s="23">
        <f t="shared" ref="HK28" si="152">HJ28*($F$2+1)</f>
        <v>68381.585522797424</v>
      </c>
      <c r="HL28" s="23">
        <f t="shared" ref="HL28" si="153">HK28*($F$2+1)</f>
        <v>68723.493450411406</v>
      </c>
      <c r="HM28" s="23">
        <f t="shared" ref="HM28" si="154">HL28*($F$2+1)</f>
        <v>69067.110917663449</v>
      </c>
      <c r="HN28" s="23">
        <f t="shared" ref="HN28" si="155">HM28*($F$2+1)</f>
        <v>69412.446472251759</v>
      </c>
      <c r="HO28" s="23">
        <f t="shared" ref="HO28" si="156">HN28*($F$2+1)</f>
        <v>69759.508704613007</v>
      </c>
      <c r="HP28" s="23">
        <f t="shared" ref="HP28" si="157">HO28*($F$2+1)</f>
        <v>70108.306248136068</v>
      </c>
      <c r="HQ28" s="23">
        <f t="shared" ref="HQ28" si="158">HP28*($F$2+1)</f>
        <v>70458.847779376738</v>
      </c>
      <c r="HR28" s="23">
        <f t="shared" ref="HR28" si="159">HQ28*($F$2+1)</f>
        <v>70811.142018273618</v>
      </c>
      <c r="HS28" s="23">
        <f t="shared" ref="HS28" si="160">HR28*($F$2+1)</f>
        <v>71165.197728364976</v>
      </c>
      <c r="HT28" s="23">
        <f t="shared" ref="HT28" si="161">HS28*($F$2+1)</f>
        <v>71521.023717006799</v>
      </c>
      <c r="HU28" s="23">
        <f t="shared" ref="HU28" si="162">HT28*($F$2+1)</f>
        <v>71878.628835591822</v>
      </c>
      <c r="HV28" s="23">
        <f t="shared" ref="HV28" si="163">HU28*($F$2+1)</f>
        <v>72238.021979769779</v>
      </c>
      <c r="HW28" s="23">
        <f t="shared" ref="HW28" si="164">HV28*($F$2+1)</f>
        <v>72599.212089668625</v>
      </c>
      <c r="HX28" s="23">
        <f t="shared" ref="HX28" si="165">HW28*($F$2+1)</f>
        <v>72962.20815011696</v>
      </c>
      <c r="HY28" s="23">
        <f t="shared" ref="HY28" si="166">HX28*($F$2+1)</f>
        <v>73327.019190867533</v>
      </c>
      <c r="HZ28" s="23">
        <f t="shared" ref="HZ28" si="167">HY28*($F$2+1)</f>
        <v>73693.654286821868</v>
      </c>
      <c r="IA28" s="23">
        <f t="shared" ref="IA28" si="168">HZ28*($F$2+1)</f>
        <v>74062.122558255971</v>
      </c>
      <c r="IB28" s="23">
        <f t="shared" ref="IB28" si="169">IA28*($F$2+1)</f>
        <v>74432.433171047247</v>
      </c>
      <c r="IC28" s="23">
        <f t="shared" ref="IC28" si="170">IB28*($F$2+1)</f>
        <v>74804.595336902479</v>
      </c>
      <c r="ID28" s="23">
        <f t="shared" ref="ID28" si="171">IC28*($F$2+1)</f>
        <v>75178.61831358698</v>
      </c>
      <c r="IE28" s="23">
        <f t="shared" ref="IE28" si="172">ID28*($F$2+1)</f>
        <v>75554.511405154903</v>
      </c>
      <c r="IF28" s="23">
        <f t="shared" ref="IF28" si="173">IE28*($F$2+1)</f>
        <v>75932.283962180663</v>
      </c>
      <c r="IG28" s="23">
        <f t="shared" ref="IG28" si="174">IF28*($F$2+1)</f>
        <v>76311.945381991565</v>
      </c>
      <c r="IH28" s="23">
        <f t="shared" ref="IH28" si="175">IG28*($F$2+1)</f>
        <v>76693.505108901518</v>
      </c>
      <c r="II28" s="23">
        <f t="shared" ref="II28" si="176">IH28*($F$2+1)</f>
        <v>77076.972634446021</v>
      </c>
    </row>
    <row r="29" spans="1:243" x14ac:dyDescent="0.15">
      <c r="A29" s="1" t="s">
        <v>16</v>
      </c>
      <c r="B29" s="24">
        <f>B28/B30</f>
        <v>-0.16153846153846155</v>
      </c>
      <c r="C29" s="24">
        <f>C28/C30</f>
        <v>-8.6956521739130432E-2</v>
      </c>
      <c r="D29" s="24">
        <f>D28/D30</f>
        <v>0.76604572780050717</v>
      </c>
      <c r="E29" s="24">
        <f>E28/E30</f>
        <v>0.42413641368517219</v>
      </c>
      <c r="F29" s="19">
        <f t="shared" ref="E29:F29" si="177">F28/F30</f>
        <v>2.0276360190106191</v>
      </c>
      <c r="G29" s="19">
        <f t="shared" ref="G29:O29" si="178">G28/G30</f>
        <v>5.6261841885182724</v>
      </c>
      <c r="H29" s="19">
        <f t="shared" si="178"/>
        <v>8.4693621354848734</v>
      </c>
      <c r="I29" s="19">
        <f t="shared" si="178"/>
        <v>8.7219327869892744</v>
      </c>
      <c r="J29" s="19">
        <f t="shared" ref="J29" si="179">J28/J30</f>
        <v>8.1040053232911262</v>
      </c>
      <c r="K29" s="19">
        <f t="shared" si="178"/>
        <v>10.852930071068251</v>
      </c>
      <c r="L29" s="19">
        <f t="shared" si="178"/>
        <v>13.970497730667228</v>
      </c>
      <c r="M29" s="19">
        <f t="shared" si="178"/>
        <v>17.498242720937192</v>
      </c>
      <c r="N29" s="19">
        <f t="shared" si="178"/>
        <v>21.482055928301151</v>
      </c>
      <c r="O29" s="19">
        <f t="shared" si="178"/>
        <v>25.97262925639885</v>
      </c>
      <c r="P29" s="19">
        <f t="shared" ref="P29:R29" si="180">P28/P30</f>
        <v>31.025945010884584</v>
      </c>
      <c r="Q29" s="19">
        <f t="shared" si="180"/>
        <v>36.703814619163374</v>
      </c>
      <c r="R29" s="19">
        <f t="shared" si="180"/>
        <v>43.074471635519217</v>
      </c>
      <c r="S29" s="19">
        <f t="shared" ref="S29" si="181">S28/S30</f>
        <v>50.213224477856208</v>
      </c>
      <c r="T29" s="19"/>
    </row>
    <row r="30" spans="1:243" x14ac:dyDescent="0.15">
      <c r="A30" s="1" t="s">
        <v>17</v>
      </c>
      <c r="B30" s="5">
        <f>Reports!E21</f>
        <v>390</v>
      </c>
      <c r="C30" s="5">
        <f>Reports!I21</f>
        <v>414</v>
      </c>
      <c r="D30" s="5">
        <f>Reports!M21</f>
        <v>485.39400000000001</v>
      </c>
      <c r="E30" s="5">
        <f>Reports!Q21</f>
        <v>502.23700000000002</v>
      </c>
      <c r="F30" s="5">
        <f t="shared" ref="F30" si="182">E30</f>
        <v>502.23700000000002</v>
      </c>
      <c r="G30" s="5">
        <f t="shared" ref="G30" si="183">F30</f>
        <v>502.23700000000002</v>
      </c>
      <c r="H30" s="5">
        <f t="shared" ref="H30" si="184">G30</f>
        <v>502.23700000000002</v>
      </c>
      <c r="I30" s="5">
        <f t="shared" ref="I30:J30" si="185">H30</f>
        <v>502.23700000000002</v>
      </c>
      <c r="J30" s="5">
        <f t="shared" si="185"/>
        <v>502.23700000000002</v>
      </c>
      <c r="K30" s="5">
        <f t="shared" ref="K30" si="186">J30</f>
        <v>502.23700000000002</v>
      </c>
      <c r="L30" s="5">
        <f t="shared" ref="L30" si="187">K30</f>
        <v>502.23700000000002</v>
      </c>
      <c r="M30" s="5">
        <f t="shared" ref="M30" si="188">L30</f>
        <v>502.23700000000002</v>
      </c>
      <c r="N30" s="5">
        <f t="shared" ref="N30" si="189">M30</f>
        <v>502.23700000000002</v>
      </c>
      <c r="O30" s="5">
        <f t="shared" ref="O30:S30" si="190">N30</f>
        <v>502.23700000000002</v>
      </c>
      <c r="P30" s="5">
        <f t="shared" si="190"/>
        <v>502.23700000000002</v>
      </c>
      <c r="Q30" s="5">
        <f t="shared" si="190"/>
        <v>502.23700000000002</v>
      </c>
      <c r="R30" s="5">
        <f t="shared" si="190"/>
        <v>502.23700000000002</v>
      </c>
      <c r="S30" s="5">
        <f t="shared" si="190"/>
        <v>502.23700000000002</v>
      </c>
      <c r="T30" s="5"/>
    </row>
    <row r="31" spans="1:243" x14ac:dyDescent="0.1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43" x14ac:dyDescent="0.15">
      <c r="A32" s="1" t="s">
        <v>19</v>
      </c>
      <c r="B32" s="22">
        <f t="shared" ref="B32:O32" si="191">IFERROR(B19/B17,0)</f>
        <v>0.37867148666967915</v>
      </c>
      <c r="C32" s="22">
        <f t="shared" si="191"/>
        <v>0.39532766990291263</v>
      </c>
      <c r="D32" s="22">
        <f>IFERROR(D19/D17,0)</f>
        <v>0.40115752146093647</v>
      </c>
      <c r="E32" s="22">
        <f>IFERROR(E19/E17,0)</f>
        <v>0.2877593634924609</v>
      </c>
      <c r="F32" s="22">
        <f t="shared" si="191"/>
        <v>0.2877593634924609</v>
      </c>
      <c r="G32" s="22">
        <f t="shared" si="191"/>
        <v>0.2877593634924609</v>
      </c>
      <c r="H32" s="22">
        <f t="shared" si="191"/>
        <v>0.2877593634924609</v>
      </c>
      <c r="I32" s="22">
        <f t="shared" si="191"/>
        <v>0.2877593634924609</v>
      </c>
      <c r="J32" s="22">
        <f t="shared" ref="J32" si="192">IFERROR(J19/J17,0)</f>
        <v>0.2877593634924609</v>
      </c>
      <c r="K32" s="22">
        <f t="shared" si="191"/>
        <v>0.2877593634924609</v>
      </c>
      <c r="L32" s="22">
        <f t="shared" si="191"/>
        <v>0.2877593634924609</v>
      </c>
      <c r="M32" s="22">
        <f t="shared" si="191"/>
        <v>0.2877593634924609</v>
      </c>
      <c r="N32" s="22">
        <f t="shared" si="191"/>
        <v>0.2877593634924609</v>
      </c>
      <c r="O32" s="22">
        <f t="shared" si="191"/>
        <v>0.2877593634924609</v>
      </c>
      <c r="P32" s="22">
        <f t="shared" ref="P32:R32" si="193">IFERROR(P19/P17,0)</f>
        <v>0.2877593634924609</v>
      </c>
      <c r="Q32" s="22">
        <f t="shared" si="193"/>
        <v>0.2877593634924609</v>
      </c>
      <c r="R32" s="22">
        <f t="shared" si="193"/>
        <v>0.2877593634924609</v>
      </c>
      <c r="S32" s="22">
        <f t="shared" ref="S32" si="194">IFERROR(S19/S17,0)</f>
        <v>0.2877593634924609</v>
      </c>
      <c r="T32" s="22"/>
    </row>
    <row r="33" spans="1:20" x14ac:dyDescent="0.15">
      <c r="A33" s="1" t="s">
        <v>20</v>
      </c>
      <c r="B33" s="21">
        <f t="shared" ref="B33:O33" si="195">IFERROR(B24/B17,0)</f>
        <v>-2.5305015815634886E-2</v>
      </c>
      <c r="C33" s="21">
        <f t="shared" si="195"/>
        <v>-1.0922330097087379E-2</v>
      </c>
      <c r="D33" s="21">
        <f t="shared" si="195"/>
        <v>5.9036266983742607E-3</v>
      </c>
      <c r="E33" s="21">
        <f>IFERROR(E24/E17,0)</f>
        <v>-1.9987200947441733E-3</v>
      </c>
      <c r="F33" s="21">
        <f t="shared" si="195"/>
        <v>6.5719867369400234E-2</v>
      </c>
      <c r="G33" s="21">
        <f t="shared" si="195"/>
        <v>0.10986823941768485</v>
      </c>
      <c r="H33" s="21">
        <f t="shared" si="195"/>
        <v>0.11461595958910012</v>
      </c>
      <c r="I33" s="21">
        <f t="shared" si="195"/>
        <v>9.185396760477435E-2</v>
      </c>
      <c r="J33" s="21">
        <f t="shared" ref="J33" si="196">IFERROR(J24/J17,0)</f>
        <v>6.5118965158356176E-2</v>
      </c>
      <c r="K33" s="21">
        <f t="shared" si="195"/>
        <v>7.9823623038265581E-2</v>
      </c>
      <c r="L33" s="21">
        <f t="shared" si="195"/>
        <v>9.3280100327591167E-2</v>
      </c>
      <c r="M33" s="21">
        <f t="shared" si="195"/>
        <v>0.10559867389763997</v>
      </c>
      <c r="N33" s="21">
        <f t="shared" si="195"/>
        <v>0.11687947319986923</v>
      </c>
      <c r="O33" s="21">
        <f t="shared" si="195"/>
        <v>0.1272134503273763</v>
      </c>
      <c r="P33" s="21">
        <f t="shared" ref="P33:R33" si="197">IFERROR(P24/P17,0)</f>
        <v>0.13668325421002689</v>
      </c>
      <c r="Q33" s="21">
        <f t="shared" si="197"/>
        <v>0.1453640186771139</v>
      </c>
      <c r="R33" s="21">
        <f t="shared" si="197"/>
        <v>0.15332407311223281</v>
      </c>
      <c r="S33" s="21">
        <f t="shared" ref="S33" si="198">IFERROR(S24/S17,0)</f>
        <v>0.16062558352211825</v>
      </c>
      <c r="T33" s="21"/>
    </row>
    <row r="34" spans="1:20" x14ac:dyDescent="0.15">
      <c r="A34" s="1" t="s">
        <v>21</v>
      </c>
      <c r="B34" s="21">
        <f t="shared" ref="B34:O34" si="199">IFERROR(B27/B26,0)</f>
        <v>1.5625E-2</v>
      </c>
      <c r="C34" s="21">
        <f t="shared" si="199"/>
        <v>-5.8823529411764705E-2</v>
      </c>
      <c r="D34" s="21">
        <f t="shared" si="199"/>
        <v>1.0642996642134576E-2</v>
      </c>
      <c r="E34" s="21">
        <f t="shared" si="199"/>
        <v>1.3887795867917814E-2</v>
      </c>
      <c r="F34" s="21">
        <f t="shared" si="199"/>
        <v>0.15</v>
      </c>
      <c r="G34" s="21">
        <f t="shared" si="199"/>
        <v>0.15</v>
      </c>
      <c r="H34" s="21">
        <f t="shared" si="199"/>
        <v>0.15</v>
      </c>
      <c r="I34" s="21">
        <f t="shared" si="199"/>
        <v>0.15</v>
      </c>
      <c r="J34" s="21">
        <f t="shared" ref="J34" si="200">IFERROR(J27/J26,0)</f>
        <v>0.15</v>
      </c>
      <c r="K34" s="21">
        <f t="shared" si="199"/>
        <v>0.15</v>
      </c>
      <c r="L34" s="21">
        <f t="shared" si="199"/>
        <v>0.15</v>
      </c>
      <c r="M34" s="21">
        <f t="shared" si="199"/>
        <v>0.15</v>
      </c>
      <c r="N34" s="21">
        <f t="shared" si="199"/>
        <v>0.15</v>
      </c>
      <c r="O34" s="21">
        <f t="shared" si="199"/>
        <v>0.15</v>
      </c>
      <c r="P34" s="21">
        <f t="shared" ref="P34:R34" si="201">IFERROR(P27/P26,0)</f>
        <v>0.15</v>
      </c>
      <c r="Q34" s="21">
        <f t="shared" si="201"/>
        <v>0.15</v>
      </c>
      <c r="R34" s="21">
        <f t="shared" si="201"/>
        <v>0.15</v>
      </c>
      <c r="S34" s="21">
        <f t="shared" ref="S34" si="202">IFERROR(S27/S26,0)</f>
        <v>0.15</v>
      </c>
      <c r="T34" s="21"/>
    </row>
    <row r="35" spans="1:20" x14ac:dyDescent="0.1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15">
      <c r="A36" s="16" t="s">
        <v>18</v>
      </c>
      <c r="B36" s="20"/>
      <c r="C36" s="20">
        <f>C17/B17-1</f>
        <v>0.48938093086308188</v>
      </c>
      <c r="D36" s="20">
        <f t="shared" ref="D36:S36" si="203">D17/C17-1</f>
        <v>0.43043962378640765</v>
      </c>
      <c r="E36" s="20">
        <f>E17/D17-1</f>
        <v>1.01444833838806</v>
      </c>
      <c r="F36" s="20">
        <f>F17/E17-1</f>
        <v>0.78083902548628692</v>
      </c>
      <c r="G36" s="20">
        <f t="shared" si="203"/>
        <v>0.71498368621635033</v>
      </c>
      <c r="H36" s="20">
        <f t="shared" si="203"/>
        <v>0.42138316396892317</v>
      </c>
      <c r="I36" s="20">
        <f t="shared" si="203"/>
        <v>0.23105319303506078</v>
      </c>
      <c r="J36" s="20">
        <f t="shared" si="203"/>
        <v>0.23382170755064347</v>
      </c>
      <c r="K36" s="20">
        <f t="shared" si="203"/>
        <v>0.10000000000000009</v>
      </c>
      <c r="L36" s="20">
        <f t="shared" si="203"/>
        <v>0.10000000000000009</v>
      </c>
      <c r="M36" s="20">
        <f t="shared" si="203"/>
        <v>0.10000000000000009</v>
      </c>
      <c r="N36" s="20">
        <f t="shared" si="203"/>
        <v>0.10000000000000009</v>
      </c>
      <c r="O36" s="20">
        <f t="shared" si="203"/>
        <v>0.10000000000000009</v>
      </c>
      <c r="P36" s="20">
        <f t="shared" si="203"/>
        <v>0.10000000000000009</v>
      </c>
      <c r="Q36" s="20">
        <f t="shared" si="203"/>
        <v>0.10000000000000009</v>
      </c>
      <c r="R36" s="20">
        <f t="shared" si="203"/>
        <v>0.10000000000000009</v>
      </c>
      <c r="S36" s="20">
        <f t="shared" si="203"/>
        <v>0.10000000000000009</v>
      </c>
      <c r="T36" s="20"/>
    </row>
    <row r="37" spans="1:20" x14ac:dyDescent="0.15">
      <c r="A37" s="1" t="s">
        <v>42</v>
      </c>
      <c r="B37" s="21"/>
      <c r="C37" s="21">
        <f t="shared" ref="C37:S37" si="204">C20/B20-1</f>
        <v>0.54179566563467496</v>
      </c>
      <c r="D37" s="21">
        <f t="shared" si="204"/>
        <v>0.34595180722891561</v>
      </c>
      <c r="E37" s="21">
        <f t="shared" si="204"/>
        <v>0.31586014286481556</v>
      </c>
      <c r="F37" s="21">
        <f t="shared" si="204"/>
        <v>0.25</v>
      </c>
      <c r="G37" s="21">
        <f t="shared" si="204"/>
        <v>0.25</v>
      </c>
      <c r="H37" s="21">
        <f t="shared" si="204"/>
        <v>0.25</v>
      </c>
      <c r="I37" s="21">
        <f t="shared" si="204"/>
        <v>0.25</v>
      </c>
      <c r="J37" s="21">
        <f t="shared" si="204"/>
        <v>0.25</v>
      </c>
      <c r="K37" s="21">
        <f t="shared" si="204"/>
        <v>0.10000000000000009</v>
      </c>
      <c r="L37" s="21">
        <f t="shared" si="204"/>
        <v>0.10000000000000009</v>
      </c>
      <c r="M37" s="21">
        <f t="shared" si="204"/>
        <v>0.10000000000000009</v>
      </c>
      <c r="N37" s="21">
        <f t="shared" si="204"/>
        <v>0.10000000000000009</v>
      </c>
      <c r="O37" s="21">
        <f t="shared" si="204"/>
        <v>0.10000000000000009</v>
      </c>
      <c r="P37" s="21">
        <f t="shared" si="204"/>
        <v>0.10000000000000009</v>
      </c>
      <c r="Q37" s="21">
        <f t="shared" si="204"/>
        <v>0.10000000000000009</v>
      </c>
      <c r="R37" s="21">
        <f t="shared" si="204"/>
        <v>0.10000000000000009</v>
      </c>
      <c r="S37" s="21">
        <f t="shared" si="204"/>
        <v>0.10000000000000009</v>
      </c>
      <c r="T37" s="21"/>
    </row>
    <row r="38" spans="1:20" x14ac:dyDescent="0.15">
      <c r="A38" s="1" t="s">
        <v>43</v>
      </c>
      <c r="B38" s="21"/>
      <c r="C38" s="21">
        <f t="shared" ref="C38:S38" si="205">C21/B21-1</f>
        <v>0.61417322834645671</v>
      </c>
      <c r="D38" s="21">
        <f t="shared" si="205"/>
        <v>0.52251463414634136</v>
      </c>
      <c r="E38" s="21">
        <f t="shared" si="205"/>
        <v>0.77818788237046865</v>
      </c>
      <c r="F38" s="21">
        <f t="shared" si="205"/>
        <v>0.5</v>
      </c>
      <c r="G38" s="21">
        <f t="shared" si="205"/>
        <v>0.5</v>
      </c>
      <c r="H38" s="21">
        <f t="shared" si="205"/>
        <v>0.5</v>
      </c>
      <c r="I38" s="21">
        <f t="shared" si="205"/>
        <v>0.5</v>
      </c>
      <c r="J38" s="21">
        <f t="shared" si="205"/>
        <v>0.5</v>
      </c>
      <c r="K38" s="21">
        <f t="shared" si="205"/>
        <v>2.0000000000000018E-2</v>
      </c>
      <c r="L38" s="21">
        <f t="shared" si="205"/>
        <v>2.0000000000000018E-2</v>
      </c>
      <c r="M38" s="21">
        <f t="shared" si="205"/>
        <v>2.0000000000000018E-2</v>
      </c>
      <c r="N38" s="21">
        <f t="shared" si="205"/>
        <v>2.0000000000000018E-2</v>
      </c>
      <c r="O38" s="21">
        <f t="shared" si="205"/>
        <v>2.0000000000000018E-2</v>
      </c>
      <c r="P38" s="21">
        <f t="shared" si="205"/>
        <v>2.0000000000000018E-2</v>
      </c>
      <c r="Q38" s="21">
        <f t="shared" si="205"/>
        <v>2.0000000000000018E-2</v>
      </c>
      <c r="R38" s="21">
        <f t="shared" si="205"/>
        <v>2.0000000000000018E-2</v>
      </c>
      <c r="S38" s="21">
        <f t="shared" si="205"/>
        <v>2.0000000000000018E-2</v>
      </c>
      <c r="T38" s="21"/>
    </row>
    <row r="39" spans="1:20" x14ac:dyDescent="0.15">
      <c r="A39" s="1" t="s">
        <v>44</v>
      </c>
      <c r="B39" s="21"/>
      <c r="C39" s="21">
        <f t="shared" ref="C39:S39" si="206">C22/B22-1</f>
        <v>0.35962145110410093</v>
      </c>
      <c r="D39" s="21">
        <f t="shared" si="206"/>
        <v>0.32018561484918795</v>
      </c>
      <c r="E39" s="21">
        <f t="shared" si="206"/>
        <v>0.33567662565905088</v>
      </c>
      <c r="F39" s="21">
        <f t="shared" si="206"/>
        <v>0.30000000000000004</v>
      </c>
      <c r="G39" s="21">
        <f t="shared" si="206"/>
        <v>0.30000000000000004</v>
      </c>
      <c r="H39" s="21">
        <f t="shared" si="206"/>
        <v>0.30000000000000004</v>
      </c>
      <c r="I39" s="21">
        <f t="shared" si="206"/>
        <v>0.30000000000000004</v>
      </c>
      <c r="J39" s="21">
        <f t="shared" si="206"/>
        <v>0.30000000000000004</v>
      </c>
      <c r="K39" s="21">
        <f t="shared" si="206"/>
        <v>-2.0000000000000018E-2</v>
      </c>
      <c r="L39" s="21">
        <f t="shared" si="206"/>
        <v>-2.0000000000000018E-2</v>
      </c>
      <c r="M39" s="21">
        <f t="shared" si="206"/>
        <v>-2.0000000000000129E-2</v>
      </c>
      <c r="N39" s="21">
        <f t="shared" si="206"/>
        <v>-2.0000000000000018E-2</v>
      </c>
      <c r="O39" s="21">
        <f t="shared" si="206"/>
        <v>-2.0000000000000018E-2</v>
      </c>
      <c r="P39" s="21">
        <f t="shared" si="206"/>
        <v>-1.9999999999999907E-2</v>
      </c>
      <c r="Q39" s="21">
        <f t="shared" si="206"/>
        <v>-2.0000000000000129E-2</v>
      </c>
      <c r="R39" s="21">
        <f t="shared" si="206"/>
        <v>-2.0000000000000129E-2</v>
      </c>
      <c r="S39" s="21">
        <f t="shared" si="206"/>
        <v>-2.0000000000000018E-2</v>
      </c>
      <c r="T39" s="21"/>
    </row>
    <row r="40" spans="1:20" s="67" customFormat="1" x14ac:dyDescent="0.15">
      <c r="A40" s="67" t="s">
        <v>83</v>
      </c>
      <c r="B40" s="21"/>
      <c r="C40" s="21">
        <f>C23/B23-1</f>
        <v>0.49776286353467558</v>
      </c>
      <c r="D40" s="21">
        <f t="shared" ref="D40:S40" si="207">D23/C23-1</f>
        <v>0.39172143390589986</v>
      </c>
      <c r="E40" s="21">
        <f t="shared" si="207"/>
        <v>0.47677909756562209</v>
      </c>
      <c r="F40" s="21">
        <f t="shared" si="207"/>
        <v>0.36464389534883712</v>
      </c>
      <c r="G40" s="21">
        <f t="shared" si="207"/>
        <v>0.37399147916389297</v>
      </c>
      <c r="H40" s="21">
        <f t="shared" si="207"/>
        <v>0.38344799686048048</v>
      </c>
      <c r="I40" s="21">
        <f t="shared" si="207"/>
        <v>0.39289142816518785</v>
      </c>
      <c r="J40" s="21">
        <f t="shared" si="207"/>
        <v>0.40220005272252157</v>
      </c>
      <c r="K40" s="21">
        <f t="shared" si="207"/>
        <v>2.7348658244730872E-2</v>
      </c>
      <c r="L40" s="21">
        <f t="shared" si="207"/>
        <v>2.881394518361402E-2</v>
      </c>
      <c r="M40" s="21">
        <f t="shared" si="207"/>
        <v>3.0324546141630382E-2</v>
      </c>
      <c r="N40" s="21">
        <f t="shared" si="207"/>
        <v>3.1879489147448981E-2</v>
      </c>
      <c r="O40" s="21">
        <f t="shared" si="207"/>
        <v>3.3477398535346481E-2</v>
      </c>
      <c r="P40" s="21">
        <f t="shared" si="207"/>
        <v>3.5116478111751226E-2</v>
      </c>
      <c r="Q40" s="21">
        <f t="shared" si="207"/>
        <v>3.6794500737741931E-2</v>
      </c>
      <c r="R40" s="21">
        <f t="shared" si="207"/>
        <v>3.850880525634226E-2</v>
      </c>
      <c r="S40" s="21">
        <f t="shared" si="207"/>
        <v>4.0256301539888018E-2</v>
      </c>
      <c r="T40" s="21"/>
    </row>
    <row r="41" spans="1:20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15">
      <c r="A42" s="16" t="s">
        <v>25</v>
      </c>
      <c r="B42" s="3"/>
      <c r="C42" s="23">
        <f>C43-C44</f>
        <v>689</v>
      </c>
      <c r="D42" s="23">
        <f>D43-D44</f>
        <v>1137</v>
      </c>
      <c r="E42" s="23">
        <f>E43-E44</f>
        <v>1730</v>
      </c>
      <c r="F42" s="18">
        <f t="shared" ref="F42:S42" si="208">E42+F28</f>
        <v>2748.3538312798364</v>
      </c>
      <c r="G42" s="18">
        <f t="shared" si="208"/>
        <v>5574.0316995686881</v>
      </c>
      <c r="H42" s="18">
        <f t="shared" si="208"/>
        <v>9827.6587304082059</v>
      </c>
      <c r="I42" s="18">
        <f t="shared" si="208"/>
        <v>14208.136087547338</v>
      </c>
      <c r="J42" s="18">
        <f t="shared" si="208"/>
        <v>18278.267409101103</v>
      </c>
      <c r="K42" s="18">
        <f t="shared" si="208"/>
        <v>23729.010449204208</v>
      </c>
      <c r="L42" s="18">
        <f t="shared" si="208"/>
        <v>30745.511317961325</v>
      </c>
      <c r="M42" s="18">
        <f t="shared" si="208"/>
        <v>39533.776247396658</v>
      </c>
      <c r="N42" s="18">
        <f t="shared" si="208"/>
        <v>50322.859570658846</v>
      </c>
      <c r="O42" s="18">
        <f t="shared" si="208"/>
        <v>63367.274970504834</v>
      </c>
      <c r="P42" s="18">
        <f t="shared" si="208"/>
        <v>78949.652514936475</v>
      </c>
      <c r="Q42" s="18">
        <f t="shared" si="208"/>
        <v>97383.666257821227</v>
      </c>
      <c r="R42" s="18">
        <f t="shared" si="208"/>
        <v>119017.2596686295</v>
      </c>
      <c r="S42" s="18">
        <f t="shared" si="208"/>
        <v>144236.19889071456</v>
      </c>
      <c r="T42" s="18"/>
    </row>
    <row r="43" spans="1:20" x14ac:dyDescent="0.15">
      <c r="A43" s="1" t="s">
        <v>26</v>
      </c>
      <c r="B43" s="3"/>
      <c r="C43" s="17">
        <f>Reports!I34</f>
        <v>1589</v>
      </c>
      <c r="D43" s="17">
        <f>Reports!M34</f>
        <v>2076</v>
      </c>
      <c r="E43" s="17">
        <f>Reports!Q34</f>
        <v>4317</v>
      </c>
    </row>
    <row r="44" spans="1:20" x14ac:dyDescent="0.15">
      <c r="A44" s="1" t="s">
        <v>27</v>
      </c>
      <c r="B44" s="3"/>
      <c r="C44" s="17">
        <f>Reports!I35</f>
        <v>900</v>
      </c>
      <c r="D44" s="17">
        <f>Reports!M35</f>
        <v>939</v>
      </c>
      <c r="E44" s="17">
        <f>Reports!Q35</f>
        <v>2587</v>
      </c>
    </row>
    <row r="45" spans="1:20" x14ac:dyDescent="0.15">
      <c r="B45" s="3"/>
    </row>
    <row r="46" spans="1:20" x14ac:dyDescent="0.15">
      <c r="A46" s="1" t="s">
        <v>54</v>
      </c>
      <c r="B46" s="3"/>
      <c r="C46" s="17">
        <f>Reports!I37</f>
        <v>339</v>
      </c>
      <c r="D46" s="17">
        <f>Reports!M37</f>
        <v>335</v>
      </c>
      <c r="E46" s="17">
        <f>Reports!Q37</f>
        <v>455</v>
      </c>
    </row>
    <row r="47" spans="1:20" x14ac:dyDescent="0.15">
      <c r="A47" s="1" t="s">
        <v>55</v>
      </c>
      <c r="B47" s="3"/>
      <c r="C47" s="17">
        <f>Reports!I38</f>
        <v>3281</v>
      </c>
      <c r="D47" s="17">
        <f>Reports!M38</f>
        <v>4551</v>
      </c>
      <c r="E47" s="17">
        <f>Reports!Q38</f>
        <v>9870</v>
      </c>
    </row>
    <row r="48" spans="1:20" x14ac:dyDescent="0.15">
      <c r="A48" s="1" t="s">
        <v>56</v>
      </c>
      <c r="B48" s="3"/>
      <c r="C48" s="17">
        <f>Reports!I39</f>
        <v>2161</v>
      </c>
      <c r="D48" s="17">
        <f>Reports!M39</f>
        <v>2836</v>
      </c>
      <c r="E48" s="17">
        <f>Reports!Q39</f>
        <v>7188</v>
      </c>
    </row>
    <row r="49" spans="1:10" x14ac:dyDescent="0.15">
      <c r="B49" s="3"/>
    </row>
    <row r="50" spans="1:10" x14ac:dyDescent="0.15">
      <c r="A50" s="1" t="s">
        <v>57</v>
      </c>
      <c r="B50" s="3"/>
      <c r="C50" s="25">
        <f>C47-C46-C43</f>
        <v>1353</v>
      </c>
      <c r="D50" s="25">
        <f>D47-D46-D43</f>
        <v>2140</v>
      </c>
      <c r="E50" s="25">
        <f>E47-E46-E43</f>
        <v>5098</v>
      </c>
    </row>
    <row r="51" spans="1:10" x14ac:dyDescent="0.15">
      <c r="A51" s="1" t="s">
        <v>58</v>
      </c>
      <c r="B51" s="3"/>
      <c r="C51" s="25">
        <f>C47-C48</f>
        <v>1120</v>
      </c>
      <c r="D51" s="25">
        <f>D47-D48</f>
        <v>1715</v>
      </c>
      <c r="E51" s="25">
        <f>E47-E48</f>
        <v>2682</v>
      </c>
    </row>
    <row r="52" spans="1:10" x14ac:dyDescent="0.15">
      <c r="B52" s="3"/>
    </row>
    <row r="53" spans="1:10" x14ac:dyDescent="0.15">
      <c r="A53" s="1" t="s">
        <v>59</v>
      </c>
      <c r="B53" s="3"/>
      <c r="C53" s="14">
        <f>C28/C51</f>
        <v>-3.214285714285714E-2</v>
      </c>
      <c r="D53" s="14">
        <f>D28/D51</f>
        <v>0.21681282798833784</v>
      </c>
      <c r="E53" s="14">
        <f>E28/E51</f>
        <v>7.942468307233401E-2</v>
      </c>
    </row>
    <row r="54" spans="1:10" x14ac:dyDescent="0.15">
      <c r="A54" s="1" t="s">
        <v>60</v>
      </c>
      <c r="B54" s="3"/>
      <c r="C54" s="14">
        <f>C28/C47</f>
        <v>-1.0972264553489789E-2</v>
      </c>
      <c r="D54" s="14">
        <f>D28/D47</f>
        <v>8.1703801362337805E-2</v>
      </c>
      <c r="E54" s="14">
        <f>E28/E47</f>
        <v>2.1582269503546081E-2</v>
      </c>
    </row>
    <row r="55" spans="1:10" x14ac:dyDescent="0.15">
      <c r="A55" s="1" t="s">
        <v>61</v>
      </c>
      <c r="B55" s="3"/>
      <c r="C55" s="14">
        <f>C28/(C51-C46)</f>
        <v>-4.6094750320102434E-2</v>
      </c>
      <c r="D55" s="14">
        <f>D28/(D51-D46)</f>
        <v>0.26944492753623145</v>
      </c>
      <c r="E55" s="14">
        <f>E28/(E51-E46)</f>
        <v>9.5651998203861624E-2</v>
      </c>
    </row>
    <row r="56" spans="1:10" x14ac:dyDescent="0.15">
      <c r="A56" s="1" t="s">
        <v>62</v>
      </c>
      <c r="B56" s="3"/>
      <c r="C56" s="14">
        <f>C28/C50</f>
        <v>-2.6607538802660754E-2</v>
      </c>
      <c r="D56" s="14">
        <f>D28/D50</f>
        <v>0.17375420560747634</v>
      </c>
      <c r="E56" s="14">
        <f>E28/E50</f>
        <v>4.1784425264809695E-2</v>
      </c>
    </row>
    <row r="58" spans="1:10" x14ac:dyDescent="0.15">
      <c r="A58" s="35" t="s">
        <v>77</v>
      </c>
      <c r="C58" s="14">
        <f t="shared" ref="C58:D60" si="209">C12/B12-1</f>
        <v>0.28697916666666656</v>
      </c>
      <c r="D58" s="14">
        <f t="shared" si="209"/>
        <v>0.24734115742614327</v>
      </c>
      <c r="E58" s="14">
        <f>E12/D12-1</f>
        <v>6.9041392780434752E-2</v>
      </c>
      <c r="F58" s="14">
        <f t="shared" ref="E58:J58" si="210">F12/E12-1</f>
        <v>5.0000000000000044E-2</v>
      </c>
      <c r="G58" s="14">
        <f t="shared" si="210"/>
        <v>5.0000000000000044E-2</v>
      </c>
      <c r="H58" s="14">
        <f t="shared" si="210"/>
        <v>5.0000000000000044E-2</v>
      </c>
      <c r="I58" s="14">
        <f t="shared" si="210"/>
        <v>5.0000000000000044E-2</v>
      </c>
      <c r="J58" s="14">
        <f t="shared" si="210"/>
        <v>5.0000000000000044E-2</v>
      </c>
    </row>
    <row r="59" spans="1:10" x14ac:dyDescent="0.15">
      <c r="A59" s="35" t="s">
        <v>78</v>
      </c>
      <c r="C59" s="14">
        <f t="shared" si="209"/>
        <v>1.3452380952380953</v>
      </c>
      <c r="D59" s="14">
        <f t="shared" si="209"/>
        <v>0.74520304568527918</v>
      </c>
      <c r="E59" s="14">
        <f t="shared" ref="E59:J59" si="211">E13/D13-1</f>
        <v>0.49251562174294516</v>
      </c>
      <c r="F59" s="14">
        <f t="shared" si="211"/>
        <v>0.25</v>
      </c>
      <c r="G59" s="14">
        <f t="shared" si="211"/>
        <v>0.25</v>
      </c>
      <c r="H59" s="14">
        <f t="shared" si="211"/>
        <v>0.25</v>
      </c>
      <c r="I59" s="14">
        <f t="shared" si="211"/>
        <v>0.25</v>
      </c>
      <c r="J59" s="14">
        <f t="shared" si="211"/>
        <v>0.25</v>
      </c>
    </row>
    <row r="60" spans="1:10" x14ac:dyDescent="0.15">
      <c r="A60" s="35" t="s">
        <v>79</v>
      </c>
      <c r="B60" s="14"/>
      <c r="C60" s="14">
        <f t="shared" si="209"/>
        <v>0.65853658536585358</v>
      </c>
      <c r="D60" s="14">
        <f t="shared" si="209"/>
        <v>0.24363235294117658</v>
      </c>
      <c r="E60" s="14">
        <f t="shared" ref="E60:J60" si="212">E14/D14-1</f>
        <v>8.3803374838885114E-2</v>
      </c>
      <c r="F60" s="14">
        <f t="shared" si="212"/>
        <v>0.10000000000000009</v>
      </c>
      <c r="G60" s="14">
        <f t="shared" si="212"/>
        <v>0.10000000000000009</v>
      </c>
      <c r="H60" s="14">
        <f t="shared" si="212"/>
        <v>0.10000000000000009</v>
      </c>
      <c r="I60" s="14">
        <f t="shared" si="212"/>
        <v>0.10000000000000009</v>
      </c>
      <c r="J60" s="14">
        <f t="shared" si="212"/>
        <v>0.10000000000000009</v>
      </c>
    </row>
    <row r="61" spans="1:10" x14ac:dyDescent="0.15">
      <c r="A61" s="35" t="s">
        <v>80</v>
      </c>
      <c r="B61" s="14"/>
      <c r="C61" s="14"/>
      <c r="D61" s="14">
        <f>D15/C15-1</f>
        <v>2.1118493975903614</v>
      </c>
      <c r="E61" s="14">
        <f t="shared" ref="E61:J61" si="213">E15/D15-1</f>
        <v>7.8498549074950574</v>
      </c>
      <c r="F61" s="14">
        <f t="shared" si="213"/>
        <v>1.5</v>
      </c>
      <c r="G61" s="14">
        <f t="shared" si="213"/>
        <v>1</v>
      </c>
      <c r="H61" s="14">
        <f t="shared" si="213"/>
        <v>0.5</v>
      </c>
      <c r="I61" s="14">
        <f t="shared" si="213"/>
        <v>0.25</v>
      </c>
      <c r="J61" s="14">
        <f t="shared" si="213"/>
        <v>0.25</v>
      </c>
    </row>
    <row r="63" spans="1:10" s="17" customFormat="1" x14ac:dyDescent="0.15">
      <c r="A63" s="75" t="s">
        <v>97</v>
      </c>
      <c r="B63" s="17">
        <f>SUM(Reports!B55:E55)</f>
        <v>65342</v>
      </c>
      <c r="C63" s="17">
        <f>SUM(Reports!F55:I55)</f>
        <v>84655</v>
      </c>
      <c r="D63" s="17">
        <f>SUM(Reports!J55:M55)</f>
        <v>106239</v>
      </c>
      <c r="E63" s="17">
        <f>SUM(Reports!N55:Q55)</f>
        <v>112295</v>
      </c>
      <c r="F63" s="75">
        <f>E63*1.15</f>
        <v>129139.24999999999</v>
      </c>
      <c r="G63" s="75">
        <f t="shared" ref="G63:J63" si="214">F63*1.15</f>
        <v>148510.13749999998</v>
      </c>
      <c r="H63" s="75">
        <f t="shared" si="214"/>
        <v>170786.65812499996</v>
      </c>
      <c r="I63" s="75">
        <f t="shared" si="214"/>
        <v>196404.65684374992</v>
      </c>
      <c r="J63" s="75">
        <f t="shared" si="214"/>
        <v>225865.35537031241</v>
      </c>
    </row>
    <row r="64" spans="1:10" s="14" customFormat="1" x14ac:dyDescent="0.15">
      <c r="A64" s="84" t="s">
        <v>98</v>
      </c>
      <c r="C64" s="14">
        <f t="shared" ref="C64:J64" si="215">C63/B63-1</f>
        <v>0.29556793486578314</v>
      </c>
      <c r="D64" s="14">
        <f t="shared" si="215"/>
        <v>0.25496426672966743</v>
      </c>
      <c r="E64" s="14">
        <f t="shared" si="215"/>
        <v>5.7003548602678755E-2</v>
      </c>
      <c r="F64" s="14">
        <f t="shared" si="215"/>
        <v>0.14999999999999991</v>
      </c>
      <c r="G64" s="14">
        <f t="shared" si="215"/>
        <v>0.14999999999999991</v>
      </c>
      <c r="H64" s="14">
        <f t="shared" si="215"/>
        <v>0.14999999999999991</v>
      </c>
      <c r="I64" s="14">
        <f t="shared" si="215"/>
        <v>0.14999999999999991</v>
      </c>
      <c r="J64" s="14">
        <f t="shared" si="215"/>
        <v>0.14999999999999991</v>
      </c>
    </row>
    <row r="66" spans="1:10" s="14" customFormat="1" x14ac:dyDescent="0.15">
      <c r="A66" s="84" t="s">
        <v>102</v>
      </c>
      <c r="B66" s="14">
        <f>B17/B63</f>
        <v>3.3867956291512354E-2</v>
      </c>
      <c r="C66" s="14">
        <f>C17/C63</f>
        <v>3.8934498848266497E-2</v>
      </c>
      <c r="D66" s="14">
        <f>D17/D63</f>
        <v>4.4378514481499258E-2</v>
      </c>
      <c r="E66" s="14">
        <f t="shared" ref="E66:I66" si="216">E17/E63</f>
        <v>8.4577033705864016E-2</v>
      </c>
      <c r="F66" s="14">
        <f t="shared" si="216"/>
        <v>0.13097224546371455</v>
      </c>
      <c r="G66" s="14">
        <f t="shared" si="216"/>
        <v>0.19531762114555984</v>
      </c>
      <c r="H66" s="14">
        <f t="shared" si="216"/>
        <v>0.24140972028066029</v>
      </c>
      <c r="I66" s="14">
        <f t="shared" si="216"/>
        <v>0.2584245278097459</v>
      </c>
      <c r="J66" s="14">
        <f t="shared" ref="J66" si="217">J17/J63</f>
        <v>0.27726068884799082</v>
      </c>
    </row>
  </sheetData>
  <hyperlinks>
    <hyperlink ref="A4" r:id="rId1" xr:uid="{00000000-0004-0000-0000-000000000000}"/>
    <hyperlink ref="A7" r:id="rId2" xr:uid="{00000000-0004-0000-0000-000001000000}"/>
    <hyperlink ref="A1" r:id="rId3" xr:uid="{00000000-0004-0000-0000-000005000000}"/>
    <hyperlink ref="A8" r:id="rId4" xr:uid="{8298DD47-5FA0-9D4A-81E4-20B3E615A1C8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8"/>
  <sheetViews>
    <sheetView zoomScale="130" zoomScaleNormal="13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S9" sqref="S9"/>
    </sheetView>
  </sheetViews>
  <sheetFormatPr baseColWidth="10" defaultRowHeight="13" x14ac:dyDescent="0.15"/>
  <cols>
    <col min="1" max="1" width="24.5" style="32" customWidth="1"/>
    <col min="2" max="2" width="10.83203125" style="27"/>
    <col min="3" max="5" width="10.83203125" style="26"/>
    <col min="6" max="6" width="10.83203125" style="27"/>
    <col min="7" max="8" width="10.83203125" style="26"/>
    <col min="9" max="9" width="10.83203125" style="34"/>
    <col min="10" max="10" width="10.83203125" style="31"/>
    <col min="11" max="13" width="10.83203125" style="32"/>
    <col min="14" max="14" width="10.83203125" style="31"/>
    <col min="15" max="16384" width="10.83203125" style="32"/>
  </cols>
  <sheetData>
    <row r="1" spans="1:17" x14ac:dyDescent="0.15">
      <c r="A1" s="33" t="s">
        <v>45</v>
      </c>
      <c r="B1" s="28" t="s">
        <v>0</v>
      </c>
      <c r="C1" s="29" t="s">
        <v>1</v>
      </c>
      <c r="D1" s="29" t="s">
        <v>2</v>
      </c>
      <c r="E1" s="29" t="s">
        <v>3</v>
      </c>
      <c r="F1" s="28" t="s">
        <v>34</v>
      </c>
      <c r="G1" s="29" t="s">
        <v>35</v>
      </c>
      <c r="H1" s="29" t="s">
        <v>36</v>
      </c>
      <c r="I1" s="30" t="s">
        <v>37</v>
      </c>
      <c r="J1" s="28" t="s">
        <v>65</v>
      </c>
      <c r="K1" s="29" t="s">
        <v>66</v>
      </c>
      <c r="L1" s="29" t="s">
        <v>67</v>
      </c>
      <c r="M1" s="30" t="s">
        <v>68</v>
      </c>
      <c r="N1" s="68" t="s">
        <v>93</v>
      </c>
      <c r="O1" s="74" t="s">
        <v>94</v>
      </c>
      <c r="P1" s="74" t="s">
        <v>95</v>
      </c>
      <c r="Q1" s="74" t="s">
        <v>96</v>
      </c>
    </row>
    <row r="2" spans="1:17" x14ac:dyDescent="0.15">
      <c r="A2" s="33"/>
      <c r="B2" s="27" t="s">
        <v>24</v>
      </c>
      <c r="C2" s="26" t="s">
        <v>23</v>
      </c>
      <c r="D2" s="26" t="s">
        <v>22</v>
      </c>
      <c r="E2" s="26" t="s">
        <v>28</v>
      </c>
      <c r="F2" s="27" t="s">
        <v>38</v>
      </c>
      <c r="G2" s="26" t="s">
        <v>39</v>
      </c>
      <c r="H2" s="26" t="s">
        <v>40</v>
      </c>
      <c r="I2" s="34" t="s">
        <v>41</v>
      </c>
      <c r="J2" s="27" t="s">
        <v>69</v>
      </c>
      <c r="K2" s="26" t="s">
        <v>70</v>
      </c>
      <c r="L2" s="26" t="s">
        <v>71</v>
      </c>
      <c r="M2" s="34" t="s">
        <v>72</v>
      </c>
      <c r="N2" s="69">
        <v>43921</v>
      </c>
      <c r="O2" s="79">
        <v>44012</v>
      </c>
      <c r="P2" s="79">
        <v>44104</v>
      </c>
      <c r="Q2" s="79">
        <v>44196</v>
      </c>
    </row>
    <row r="3" spans="1:17" s="35" customFormat="1" x14ac:dyDescent="0.15">
      <c r="A3" s="35" t="s">
        <v>73</v>
      </c>
      <c r="B3" s="28">
        <v>403</v>
      </c>
      <c r="C3" s="36">
        <v>482</v>
      </c>
      <c r="D3" s="36">
        <v>510</v>
      </c>
      <c r="E3" s="36">
        <v>525</v>
      </c>
      <c r="F3" s="28">
        <v>523</v>
      </c>
      <c r="G3" s="36">
        <v>625</v>
      </c>
      <c r="H3" s="36">
        <v>655</v>
      </c>
      <c r="I3" s="37">
        <v>668</v>
      </c>
      <c r="J3" s="28">
        <v>657</v>
      </c>
      <c r="K3" s="36">
        <v>776</v>
      </c>
      <c r="L3" s="36">
        <v>817</v>
      </c>
      <c r="M3" s="36">
        <v>832.18</v>
      </c>
      <c r="N3" s="70">
        <v>758.101</v>
      </c>
      <c r="O3" s="35">
        <v>682.572</v>
      </c>
      <c r="P3" s="35">
        <v>925.29399999999998</v>
      </c>
      <c r="Q3" s="35">
        <v>929.01099999999997</v>
      </c>
    </row>
    <row r="4" spans="1:17" s="35" customFormat="1" x14ac:dyDescent="0.15">
      <c r="A4" s="35" t="s">
        <v>74</v>
      </c>
      <c r="B4" s="28">
        <v>49</v>
      </c>
      <c r="C4" s="36">
        <v>59</v>
      </c>
      <c r="D4" s="36">
        <v>65</v>
      </c>
      <c r="E4" s="36">
        <v>79</v>
      </c>
      <c r="F4" s="28">
        <v>97</v>
      </c>
      <c r="G4" s="36">
        <v>134</v>
      </c>
      <c r="H4" s="36">
        <v>166</v>
      </c>
      <c r="I4" s="37">
        <v>194</v>
      </c>
      <c r="J4" s="28">
        <v>219</v>
      </c>
      <c r="K4" s="36">
        <v>251</v>
      </c>
      <c r="L4" s="36">
        <v>280</v>
      </c>
      <c r="M4" s="36">
        <v>281.41500000000002</v>
      </c>
      <c r="N4" s="70">
        <v>296.23500000000001</v>
      </c>
      <c r="O4" s="35">
        <v>346.27499999999998</v>
      </c>
      <c r="P4" s="35">
        <v>447.52199999999999</v>
      </c>
      <c r="Q4" s="35">
        <v>449.37099999999998</v>
      </c>
    </row>
    <row r="5" spans="1:17" s="35" customFormat="1" x14ac:dyDescent="0.15">
      <c r="A5" s="35" t="s">
        <v>75</v>
      </c>
      <c r="B5" s="28">
        <v>9</v>
      </c>
      <c r="C5" s="36">
        <v>10</v>
      </c>
      <c r="D5" s="36">
        <v>10</v>
      </c>
      <c r="E5" s="36">
        <v>12</v>
      </c>
      <c r="F5" s="28">
        <v>14</v>
      </c>
      <c r="G5" s="36">
        <v>18</v>
      </c>
      <c r="H5" s="36">
        <v>18</v>
      </c>
      <c r="I5" s="37">
        <v>18</v>
      </c>
      <c r="J5" s="28">
        <v>18</v>
      </c>
      <c r="K5" s="36">
        <v>22</v>
      </c>
      <c r="L5" s="36">
        <v>22</v>
      </c>
      <c r="M5" s="36">
        <v>22.567</v>
      </c>
      <c r="N5" s="70">
        <v>20.675000000000001</v>
      </c>
      <c r="O5" s="35">
        <v>19.321999999999999</v>
      </c>
      <c r="P5" s="35">
        <v>27.294</v>
      </c>
      <c r="Q5" s="35">
        <v>24.363</v>
      </c>
    </row>
    <row r="6" spans="1:17" s="35" customFormat="1" x14ac:dyDescent="0.15">
      <c r="A6" s="35" t="s">
        <v>76</v>
      </c>
      <c r="B6" s="28"/>
      <c r="C6" s="36"/>
      <c r="D6" s="36"/>
      <c r="E6" s="36"/>
      <c r="F6" s="28">
        <v>34</v>
      </c>
      <c r="G6" s="36">
        <v>37</v>
      </c>
      <c r="H6" s="36">
        <v>43</v>
      </c>
      <c r="I6" s="37">
        <v>52</v>
      </c>
      <c r="J6" s="28">
        <v>66</v>
      </c>
      <c r="K6" s="36">
        <v>125</v>
      </c>
      <c r="L6" s="36">
        <v>148</v>
      </c>
      <c r="M6" s="36">
        <v>177.56700000000001</v>
      </c>
      <c r="N6" s="70">
        <v>306.09800000000001</v>
      </c>
      <c r="O6" s="35">
        <v>875.45600000000002</v>
      </c>
      <c r="P6" s="35">
        <v>1633.7639999999999</v>
      </c>
      <c r="Q6" s="35">
        <v>1756.2249999999999</v>
      </c>
    </row>
    <row r="7" spans="1:17" s="75" customFormat="1" x14ac:dyDescent="0.15">
      <c r="B7" s="76"/>
      <c r="C7" s="77"/>
      <c r="D7" s="77"/>
      <c r="E7" s="77"/>
      <c r="F7" s="76"/>
      <c r="G7" s="77"/>
      <c r="H7" s="77"/>
      <c r="I7" s="74"/>
      <c r="J7" s="76"/>
      <c r="K7" s="77"/>
      <c r="L7" s="77"/>
      <c r="M7" s="77">
        <v>1160</v>
      </c>
      <c r="N7" s="78">
        <v>1340</v>
      </c>
    </row>
    <row r="8" spans="1:17" s="81" customFormat="1" x14ac:dyDescent="0.15">
      <c r="A8" s="81" t="s">
        <v>4</v>
      </c>
      <c r="B8" s="82">
        <f t="shared" ref="B8:Q8" si="0">SUM(B3:B6)</f>
        <v>461</v>
      </c>
      <c r="C8" s="83">
        <f t="shared" si="0"/>
        <v>551</v>
      </c>
      <c r="D8" s="83">
        <f t="shared" si="0"/>
        <v>585</v>
      </c>
      <c r="E8" s="83">
        <f t="shared" si="0"/>
        <v>616</v>
      </c>
      <c r="F8" s="82">
        <f t="shared" si="0"/>
        <v>668</v>
      </c>
      <c r="G8" s="83">
        <f t="shared" si="0"/>
        <v>814</v>
      </c>
      <c r="H8" s="83">
        <f t="shared" si="0"/>
        <v>882</v>
      </c>
      <c r="I8" s="83">
        <f t="shared" si="0"/>
        <v>932</v>
      </c>
      <c r="J8" s="82">
        <f t="shared" si="0"/>
        <v>960</v>
      </c>
      <c r="K8" s="83">
        <f t="shared" si="0"/>
        <v>1174</v>
      </c>
      <c r="L8" s="83">
        <f t="shared" si="0"/>
        <v>1267</v>
      </c>
      <c r="M8" s="83">
        <f t="shared" si="0"/>
        <v>1313.729</v>
      </c>
      <c r="N8" s="82">
        <f t="shared" si="0"/>
        <v>1381.1089999999999</v>
      </c>
      <c r="O8" s="83">
        <f t="shared" si="0"/>
        <v>1923.625</v>
      </c>
      <c r="P8" s="83">
        <f t="shared" si="0"/>
        <v>3033.8739999999998</v>
      </c>
      <c r="Q8" s="83">
        <f t="shared" si="0"/>
        <v>3158.9700000000003</v>
      </c>
    </row>
    <row r="9" spans="1:17" s="35" customFormat="1" x14ac:dyDescent="0.15">
      <c r="A9" s="35" t="s">
        <v>5</v>
      </c>
      <c r="B9" s="28">
        <v>288</v>
      </c>
      <c r="C9" s="36">
        <v>344</v>
      </c>
      <c r="D9" s="36">
        <v>367</v>
      </c>
      <c r="E9" s="36">
        <v>376</v>
      </c>
      <c r="F9" s="28">
        <v>413</v>
      </c>
      <c r="G9" s="36">
        <v>499</v>
      </c>
      <c r="H9" s="36">
        <v>529</v>
      </c>
      <c r="I9" s="37">
        <v>552</v>
      </c>
      <c r="J9" s="28">
        <v>563</v>
      </c>
      <c r="K9" s="36">
        <v>708</v>
      </c>
      <c r="L9" s="36">
        <v>766</v>
      </c>
      <c r="M9" s="36">
        <v>786.38</v>
      </c>
      <c r="N9" s="70">
        <v>843</v>
      </c>
      <c r="O9" s="35">
        <v>1326.8620000000001</v>
      </c>
      <c r="P9" s="35">
        <v>2239.4189999999999</v>
      </c>
      <c r="Q9" s="35">
        <v>2355.2800000000002</v>
      </c>
    </row>
    <row r="10" spans="1:17" s="35" customFormat="1" x14ac:dyDescent="0.15">
      <c r="A10" s="35" t="s">
        <v>6</v>
      </c>
      <c r="B10" s="42">
        <f t="shared" ref="B10:D10" si="1">B8-B9</f>
        <v>173</v>
      </c>
      <c r="C10" s="41">
        <f t="shared" si="1"/>
        <v>207</v>
      </c>
      <c r="D10" s="41">
        <f t="shared" si="1"/>
        <v>218</v>
      </c>
      <c r="E10" s="41">
        <f t="shared" ref="E10:G10" si="2">E8-E9</f>
        <v>240</v>
      </c>
      <c r="F10" s="42">
        <f t="shared" ref="F10" si="3">F8-F9</f>
        <v>255</v>
      </c>
      <c r="G10" s="41">
        <f t="shared" si="2"/>
        <v>315</v>
      </c>
      <c r="H10" s="41">
        <f t="shared" ref="H10:Q10" si="4">H8-H9</f>
        <v>353</v>
      </c>
      <c r="I10" s="41">
        <f t="shared" si="4"/>
        <v>380</v>
      </c>
      <c r="J10" s="42">
        <f t="shared" si="4"/>
        <v>397</v>
      </c>
      <c r="K10" s="41">
        <f t="shared" si="4"/>
        <v>466</v>
      </c>
      <c r="L10" s="41">
        <f t="shared" si="4"/>
        <v>501</v>
      </c>
      <c r="M10" s="41">
        <f t="shared" si="4"/>
        <v>527.34900000000005</v>
      </c>
      <c r="N10" s="42">
        <f t="shared" si="4"/>
        <v>538.10899999999992</v>
      </c>
      <c r="O10" s="41">
        <f t="shared" si="4"/>
        <v>596.76299999999992</v>
      </c>
      <c r="P10" s="41">
        <f t="shared" si="4"/>
        <v>794.45499999999993</v>
      </c>
      <c r="Q10" s="41">
        <f t="shared" si="4"/>
        <v>803.69</v>
      </c>
    </row>
    <row r="11" spans="1:17" s="35" customFormat="1" x14ac:dyDescent="0.15">
      <c r="A11" s="35" t="s">
        <v>7</v>
      </c>
      <c r="B11" s="28">
        <v>69</v>
      </c>
      <c r="C11" s="36">
        <v>78</v>
      </c>
      <c r="D11" s="36">
        <v>83</v>
      </c>
      <c r="E11" s="36">
        <v>93</v>
      </c>
      <c r="F11" s="28">
        <v>105</v>
      </c>
      <c r="G11" s="36">
        <v>115</v>
      </c>
      <c r="H11" s="36">
        <v>136</v>
      </c>
      <c r="I11" s="37">
        <v>142</v>
      </c>
      <c r="J11" s="28">
        <v>154</v>
      </c>
      <c r="K11" s="36">
        <v>174</v>
      </c>
      <c r="L11" s="36">
        <v>169</v>
      </c>
      <c r="M11" s="36">
        <v>173.28399999999999</v>
      </c>
      <c r="N11" s="70">
        <v>195</v>
      </c>
      <c r="O11" s="35">
        <v>207</v>
      </c>
      <c r="P11" s="35">
        <v>227</v>
      </c>
      <c r="Q11" s="35">
        <v>253</v>
      </c>
    </row>
    <row r="12" spans="1:17" s="35" customFormat="1" x14ac:dyDescent="0.15">
      <c r="A12" s="35" t="s">
        <v>8</v>
      </c>
      <c r="B12" s="28">
        <v>50</v>
      </c>
      <c r="C12" s="36">
        <v>60</v>
      </c>
      <c r="D12" s="36">
        <v>67</v>
      </c>
      <c r="E12" s="36">
        <v>77</v>
      </c>
      <c r="F12" s="28">
        <v>77</v>
      </c>
      <c r="G12" s="36">
        <v>98</v>
      </c>
      <c r="H12" s="36">
        <v>116</v>
      </c>
      <c r="I12" s="37">
        <v>119</v>
      </c>
      <c r="J12" s="28">
        <v>134</v>
      </c>
      <c r="K12" s="36">
        <v>156</v>
      </c>
      <c r="L12" s="36">
        <v>149</v>
      </c>
      <c r="M12" s="36">
        <v>185.23099999999999</v>
      </c>
      <c r="N12" s="70">
        <v>195</v>
      </c>
      <c r="O12" s="35">
        <v>238</v>
      </c>
      <c r="P12" s="35">
        <v>348</v>
      </c>
      <c r="Q12" s="35">
        <v>329</v>
      </c>
    </row>
    <row r="13" spans="1:17" s="35" customFormat="1" x14ac:dyDescent="0.15">
      <c r="A13" s="35" t="s">
        <v>9</v>
      </c>
      <c r="B13" s="28">
        <f>57+12</f>
        <v>69</v>
      </c>
      <c r="C13" s="36">
        <f>63+18</f>
        <v>81</v>
      </c>
      <c r="D13" s="36">
        <f>64+20</f>
        <v>84</v>
      </c>
      <c r="E13" s="36">
        <f>66+17+0</f>
        <v>83</v>
      </c>
      <c r="F13" s="28">
        <f>76+18+0</f>
        <v>94</v>
      </c>
      <c r="G13" s="36">
        <f>83+22+0</f>
        <v>105</v>
      </c>
      <c r="H13" s="36">
        <f>86+24+1</f>
        <v>111</v>
      </c>
      <c r="I13" s="37">
        <f>95+24+2</f>
        <v>121</v>
      </c>
      <c r="J13" s="28">
        <f>102+28+2</f>
        <v>132</v>
      </c>
      <c r="K13" s="36">
        <f>101+34+1</f>
        <v>136</v>
      </c>
      <c r="L13" s="36">
        <f>116+33+1</f>
        <v>150</v>
      </c>
      <c r="M13" s="36">
        <f>118+32+1</f>
        <v>151</v>
      </c>
      <c r="N13" s="70">
        <f>129+109+1</f>
        <v>239</v>
      </c>
      <c r="O13" s="35">
        <f>136+38+1</f>
        <v>175</v>
      </c>
      <c r="P13" s="35">
        <f>154+15+1</f>
        <v>170</v>
      </c>
      <c r="Q13" s="35">
        <f>159+16+1</f>
        <v>176</v>
      </c>
    </row>
    <row r="14" spans="1:17" s="35" customFormat="1" x14ac:dyDescent="0.15">
      <c r="A14" s="35" t="s">
        <v>10</v>
      </c>
      <c r="B14" s="42">
        <f t="shared" ref="B14:D14" si="5">SUM(B11:B13)</f>
        <v>188</v>
      </c>
      <c r="C14" s="41">
        <f t="shared" si="5"/>
        <v>219</v>
      </c>
      <c r="D14" s="41">
        <f t="shared" si="5"/>
        <v>234</v>
      </c>
      <c r="E14" s="41">
        <f t="shared" ref="E14:G14" si="6">SUM(E11:E13)</f>
        <v>253</v>
      </c>
      <c r="F14" s="42">
        <f t="shared" ref="F14" si="7">SUM(F11:F13)</f>
        <v>276</v>
      </c>
      <c r="G14" s="41">
        <f t="shared" si="6"/>
        <v>318</v>
      </c>
      <c r="H14" s="41">
        <f t="shared" ref="H14:L14" si="8">SUM(H11:H13)</f>
        <v>363</v>
      </c>
      <c r="I14" s="41">
        <f t="shared" si="8"/>
        <v>382</v>
      </c>
      <c r="J14" s="42">
        <f t="shared" si="8"/>
        <v>420</v>
      </c>
      <c r="K14" s="41">
        <f t="shared" si="8"/>
        <v>466</v>
      </c>
      <c r="L14" s="41">
        <f t="shared" si="8"/>
        <v>468</v>
      </c>
      <c r="M14" s="41">
        <f t="shared" ref="M14:N14" si="9">SUM(M11:M13)</f>
        <v>509.51499999999999</v>
      </c>
      <c r="N14" s="42">
        <f t="shared" si="9"/>
        <v>629</v>
      </c>
      <c r="O14" s="41">
        <f t="shared" ref="O14:P14" si="10">SUM(O11:O13)</f>
        <v>620</v>
      </c>
      <c r="P14" s="41">
        <f t="shared" si="10"/>
        <v>745</v>
      </c>
      <c r="Q14" s="41">
        <f t="shared" ref="Q14" si="11">SUM(Q11:Q13)</f>
        <v>758</v>
      </c>
    </row>
    <row r="15" spans="1:17" s="35" customFormat="1" x14ac:dyDescent="0.15">
      <c r="A15" s="35" t="s">
        <v>11</v>
      </c>
      <c r="B15" s="42">
        <f t="shared" ref="B15:H15" si="12">B10-B14</f>
        <v>-15</v>
      </c>
      <c r="C15" s="41">
        <f t="shared" si="12"/>
        <v>-12</v>
      </c>
      <c r="D15" s="41">
        <f t="shared" si="12"/>
        <v>-16</v>
      </c>
      <c r="E15" s="41">
        <f t="shared" ref="E15" si="13">E10-E14</f>
        <v>-13</v>
      </c>
      <c r="F15" s="42">
        <f t="shared" si="12"/>
        <v>-21</v>
      </c>
      <c r="G15" s="41">
        <f t="shared" si="12"/>
        <v>-3</v>
      </c>
      <c r="H15" s="41">
        <f t="shared" si="12"/>
        <v>-10</v>
      </c>
      <c r="I15" s="41">
        <f>I10-I14</f>
        <v>-2</v>
      </c>
      <c r="J15" s="42">
        <f t="shared" ref="J15" si="14">J10-J14</f>
        <v>-23</v>
      </c>
      <c r="K15" s="41">
        <f t="shared" ref="K15:L15" si="15">K10-K14</f>
        <v>0</v>
      </c>
      <c r="L15" s="41">
        <f t="shared" si="15"/>
        <v>33</v>
      </c>
      <c r="M15" s="41">
        <f t="shared" ref="M15:N15" si="16">M10-M14</f>
        <v>17.83400000000006</v>
      </c>
      <c r="N15" s="42">
        <f t="shared" si="16"/>
        <v>-90.891000000000076</v>
      </c>
      <c r="O15" s="41">
        <f t="shared" ref="O15:P15" si="17">O10-O14</f>
        <v>-23.23700000000008</v>
      </c>
      <c r="P15" s="41">
        <f t="shared" si="17"/>
        <v>49.454999999999927</v>
      </c>
      <c r="Q15" s="41">
        <f t="shared" ref="Q15" si="18">Q10-Q14</f>
        <v>45.690000000000055</v>
      </c>
    </row>
    <row r="16" spans="1:17" s="35" customFormat="1" x14ac:dyDescent="0.15">
      <c r="A16" s="35" t="s">
        <v>12</v>
      </c>
      <c r="B16" s="28">
        <v>-1</v>
      </c>
      <c r="C16" s="36">
        <v>-3</v>
      </c>
      <c r="D16" s="36">
        <f>-3+1</f>
        <v>-2</v>
      </c>
      <c r="E16" s="36">
        <v>-2</v>
      </c>
      <c r="F16" s="28">
        <f>-2-1</f>
        <v>-3</v>
      </c>
      <c r="G16" s="36">
        <f>-3+1</f>
        <v>-2</v>
      </c>
      <c r="H16" s="36">
        <f>-7+38</f>
        <v>31</v>
      </c>
      <c r="I16" s="37">
        <f>-5-19</f>
        <v>-24</v>
      </c>
      <c r="J16" s="28">
        <f>-5-11</f>
        <v>-16</v>
      </c>
      <c r="K16" s="36">
        <f>-5-2</f>
        <v>-7</v>
      </c>
      <c r="L16" s="36">
        <f>-6+5</f>
        <v>-1</v>
      </c>
      <c r="M16" s="36">
        <f>373+6-7</f>
        <v>372</v>
      </c>
      <c r="N16" s="70">
        <f>-9-6</f>
        <v>-15</v>
      </c>
      <c r="O16" s="35">
        <f>-15+26</f>
        <v>11</v>
      </c>
      <c r="P16" s="35">
        <f>-15+1</f>
        <v>-14</v>
      </c>
      <c r="Q16" s="35">
        <f>-18+271</f>
        <v>253</v>
      </c>
    </row>
    <row r="17" spans="1:17" s="35" customFormat="1" x14ac:dyDescent="0.15">
      <c r="A17" s="35" t="s">
        <v>13</v>
      </c>
      <c r="B17" s="42">
        <f>B15+B16</f>
        <v>-16</v>
      </c>
      <c r="C17" s="41">
        <f t="shared" ref="C17" si="19">C15+C16</f>
        <v>-15</v>
      </c>
      <c r="D17" s="41">
        <f t="shared" ref="D17:E17" si="20">D15+D16</f>
        <v>-18</v>
      </c>
      <c r="E17" s="41">
        <f t="shared" si="20"/>
        <v>-15</v>
      </c>
      <c r="F17" s="42">
        <f t="shared" ref="F17" si="21">F15+F16</f>
        <v>-24</v>
      </c>
      <c r="G17" s="41">
        <f t="shared" ref="G17:H17" si="22">G15+G16</f>
        <v>-5</v>
      </c>
      <c r="H17" s="41">
        <f t="shared" si="22"/>
        <v>21</v>
      </c>
      <c r="I17" s="41">
        <f>I15+I16</f>
        <v>-26</v>
      </c>
      <c r="J17" s="42">
        <f t="shared" ref="J17" si="23">J15+J16</f>
        <v>-39</v>
      </c>
      <c r="K17" s="41">
        <f t="shared" ref="K17:Q17" si="24">K15+K16</f>
        <v>-7</v>
      </c>
      <c r="L17" s="41">
        <f t="shared" si="24"/>
        <v>32</v>
      </c>
      <c r="M17" s="41">
        <f t="shared" si="24"/>
        <v>389.83400000000006</v>
      </c>
      <c r="N17" s="42">
        <f t="shared" si="24"/>
        <v>-105.89100000000008</v>
      </c>
      <c r="O17" s="41">
        <f t="shared" si="24"/>
        <v>-12.23700000000008</v>
      </c>
      <c r="P17" s="41">
        <f t="shared" si="24"/>
        <v>35.454999999999927</v>
      </c>
      <c r="Q17" s="41">
        <f t="shared" si="24"/>
        <v>298.69000000000005</v>
      </c>
    </row>
    <row r="18" spans="1:17" s="35" customFormat="1" x14ac:dyDescent="0.15">
      <c r="A18" s="35" t="s">
        <v>14</v>
      </c>
      <c r="B18" s="28">
        <v>0</v>
      </c>
      <c r="C18" s="36">
        <v>0</v>
      </c>
      <c r="D18" s="36">
        <v>-1</v>
      </c>
      <c r="E18" s="36">
        <v>0</v>
      </c>
      <c r="F18" s="28">
        <v>0</v>
      </c>
      <c r="G18" s="36">
        <v>1</v>
      </c>
      <c r="H18" s="36">
        <v>1</v>
      </c>
      <c r="I18" s="37">
        <v>0</v>
      </c>
      <c r="J18" s="28">
        <v>0</v>
      </c>
      <c r="K18" s="36">
        <v>0</v>
      </c>
      <c r="L18" s="36">
        <v>3</v>
      </c>
      <c r="M18" s="36">
        <v>1</v>
      </c>
      <c r="N18" s="70">
        <v>1</v>
      </c>
      <c r="O18" s="35">
        <v>-1</v>
      </c>
      <c r="P18" s="35">
        <v>-1</v>
      </c>
      <c r="Q18" s="35">
        <v>4</v>
      </c>
    </row>
    <row r="19" spans="1:17" s="38" customFormat="1" x14ac:dyDescent="0.15">
      <c r="A19" s="38" t="s">
        <v>15</v>
      </c>
      <c r="B19" s="40">
        <f t="shared" ref="B19:F19" si="25">B17-B18</f>
        <v>-16</v>
      </c>
      <c r="C19" s="39">
        <f t="shared" si="25"/>
        <v>-15</v>
      </c>
      <c r="D19" s="39">
        <f t="shared" si="25"/>
        <v>-17</v>
      </c>
      <c r="E19" s="39">
        <f t="shared" si="25"/>
        <v>-15</v>
      </c>
      <c r="F19" s="40">
        <f t="shared" si="25"/>
        <v>-24</v>
      </c>
      <c r="G19" s="39">
        <f t="shared" ref="G19:H19" si="26">G17-G18</f>
        <v>-6</v>
      </c>
      <c r="H19" s="39">
        <f t="shared" si="26"/>
        <v>20</v>
      </c>
      <c r="I19" s="39">
        <f t="shared" ref="I19:J19" si="27">I17-I18</f>
        <v>-26</v>
      </c>
      <c r="J19" s="40">
        <f t="shared" si="27"/>
        <v>-39</v>
      </c>
      <c r="K19" s="39">
        <f t="shared" ref="K19:L19" si="28">K17-K18</f>
        <v>-7</v>
      </c>
      <c r="L19" s="39">
        <f t="shared" si="28"/>
        <v>29</v>
      </c>
      <c r="M19" s="39">
        <f t="shared" ref="M19:N19" si="29">M17-M18</f>
        <v>388.83400000000006</v>
      </c>
      <c r="N19" s="40">
        <f t="shared" si="29"/>
        <v>-106.89100000000008</v>
      </c>
      <c r="O19" s="39">
        <f t="shared" ref="O19:P19" si="30">O17-O18</f>
        <v>-11.23700000000008</v>
      </c>
      <c r="P19" s="39">
        <f t="shared" si="30"/>
        <v>36.454999999999927</v>
      </c>
      <c r="Q19" s="39">
        <f t="shared" ref="Q19" si="31">Q17-Q18</f>
        <v>294.69000000000005</v>
      </c>
    </row>
    <row r="20" spans="1:17" x14ac:dyDescent="0.15">
      <c r="A20" s="32" t="s">
        <v>16</v>
      </c>
      <c r="B20" s="44">
        <f t="shared" ref="B20:C20" si="32">IFERROR(B19/B21,0)</f>
        <v>-4.3596730245231606E-2</v>
      </c>
      <c r="C20" s="43">
        <f t="shared" si="32"/>
        <v>-3.9893617021276598E-2</v>
      </c>
      <c r="D20" s="43">
        <f t="shared" ref="D20:E20" si="33">IFERROR(D19/D21,0)</f>
        <v>-4.4270833333333336E-2</v>
      </c>
      <c r="E20" s="43">
        <f t="shared" si="33"/>
        <v>-3.8461538461538464E-2</v>
      </c>
      <c r="F20" s="44">
        <f t="shared" ref="F20" si="34">IFERROR(F19/F21,0)</f>
        <v>-6.0606060606060608E-2</v>
      </c>
      <c r="G20" s="43">
        <f t="shared" ref="G20:H20" si="35">IFERROR(G19/G21,0)</f>
        <v>-1.488833746898263E-2</v>
      </c>
      <c r="H20" s="43">
        <f t="shared" si="35"/>
        <v>4.2105263157894736E-2</v>
      </c>
      <c r="I20" s="43">
        <f t="shared" ref="I20:J20" si="36">IFERROR(I19/I21,0)</f>
        <v>-6.280193236714976E-2</v>
      </c>
      <c r="J20" s="44">
        <f t="shared" si="36"/>
        <v>-9.3078758949880672E-2</v>
      </c>
      <c r="K20" s="43">
        <f t="shared" ref="K20:L20" si="37">IFERROR(K19/K21,0)</f>
        <v>-1.6548463356973995E-2</v>
      </c>
      <c r="L20" s="43">
        <f t="shared" si="37"/>
        <v>6.2231759656652362E-2</v>
      </c>
      <c r="M20" s="43">
        <f t="shared" ref="M20:N20" si="38">IFERROR(M19/M21,0)</f>
        <v>0.80106882244115096</v>
      </c>
      <c r="N20" s="44">
        <f t="shared" si="38"/>
        <v>-0.24576033475881748</v>
      </c>
      <c r="O20" s="43">
        <f t="shared" ref="O20:P20" si="39">IFERROR(O19/O21,0)</f>
        <v>-2.5531847213354813E-2</v>
      </c>
      <c r="P20" s="43">
        <f t="shared" si="39"/>
        <v>7.4692307849914513E-2</v>
      </c>
      <c r="Q20" s="43">
        <f t="shared" ref="Q20" si="40">IFERROR(Q19/Q21,0)</f>
        <v>0.58675485876189937</v>
      </c>
    </row>
    <row r="21" spans="1:17" x14ac:dyDescent="0.15">
      <c r="A21" s="32" t="s">
        <v>17</v>
      </c>
      <c r="B21" s="28">
        <v>367</v>
      </c>
      <c r="C21" s="36">
        <v>376</v>
      </c>
      <c r="D21" s="36">
        <v>384</v>
      </c>
      <c r="E21" s="36">
        <v>390</v>
      </c>
      <c r="F21" s="28">
        <v>396</v>
      </c>
      <c r="G21" s="36">
        <v>403</v>
      </c>
      <c r="H21" s="36">
        <v>475</v>
      </c>
      <c r="I21" s="37">
        <v>414</v>
      </c>
      <c r="J21" s="28">
        <v>419</v>
      </c>
      <c r="K21" s="36">
        <v>423</v>
      </c>
      <c r="L21" s="36">
        <v>466</v>
      </c>
      <c r="M21" s="36">
        <v>485.39400000000001</v>
      </c>
      <c r="N21" s="68">
        <v>434.94</v>
      </c>
      <c r="O21" s="74">
        <v>440.11700000000002</v>
      </c>
      <c r="P21" s="36">
        <v>488.06900000000002</v>
      </c>
      <c r="Q21" s="74">
        <v>502.23700000000002</v>
      </c>
    </row>
    <row r="22" spans="1:17" x14ac:dyDescent="0.15">
      <c r="B22" s="28"/>
      <c r="C22" s="36"/>
      <c r="D22" s="36"/>
      <c r="E22" s="36"/>
      <c r="F22" s="28"/>
      <c r="G22" s="36"/>
      <c r="H22" s="36"/>
      <c r="I22" s="37"/>
      <c r="J22" s="28"/>
      <c r="K22" s="36"/>
      <c r="L22" s="36"/>
      <c r="M22" s="36"/>
    </row>
    <row r="23" spans="1:17" x14ac:dyDescent="0.15">
      <c r="A23" s="32" t="s">
        <v>19</v>
      </c>
      <c r="B23" s="46">
        <f t="shared" ref="B23:J23" si="41">IFERROR(B10/B8,0)</f>
        <v>0.37527114967462039</v>
      </c>
      <c r="C23" s="45">
        <f t="shared" si="41"/>
        <v>0.37568058076225047</v>
      </c>
      <c r="D23" s="45">
        <f t="shared" si="41"/>
        <v>0.37264957264957266</v>
      </c>
      <c r="E23" s="45">
        <f t="shared" ref="E23" si="42">IFERROR(E10/E8,0)</f>
        <v>0.38961038961038963</v>
      </c>
      <c r="F23" s="46">
        <f t="shared" si="41"/>
        <v>0.38173652694610777</v>
      </c>
      <c r="G23" s="45">
        <f t="shared" si="41"/>
        <v>0.38697788697788699</v>
      </c>
      <c r="H23" s="45">
        <f t="shared" si="41"/>
        <v>0.40022675736961449</v>
      </c>
      <c r="I23" s="47">
        <f t="shared" si="41"/>
        <v>0.40772532188841204</v>
      </c>
      <c r="J23" s="46">
        <f t="shared" si="41"/>
        <v>0.41354166666666664</v>
      </c>
      <c r="K23" s="45">
        <f t="shared" ref="K23:L23" si="43">IFERROR(K10/K8,0)</f>
        <v>0.39693356047700168</v>
      </c>
      <c r="L23" s="45">
        <f t="shared" si="43"/>
        <v>0.39542225730071034</v>
      </c>
      <c r="M23" s="45">
        <f t="shared" ref="M23:N23" si="44">IFERROR(M10/M8,0)</f>
        <v>0.40141383801377606</v>
      </c>
      <c r="N23" s="46">
        <f t="shared" si="44"/>
        <v>0.38962094954127441</v>
      </c>
      <c r="O23" s="45">
        <f t="shared" ref="O23:P23" si="45">IFERROR(O10/O8,0)</f>
        <v>0.31022834492169726</v>
      </c>
      <c r="P23" s="45">
        <f t="shared" si="45"/>
        <v>0.26186156709210734</v>
      </c>
      <c r="Q23" s="45">
        <f t="shared" ref="Q23" si="46">IFERROR(Q10/Q8,0)</f>
        <v>0.2544152049560458</v>
      </c>
    </row>
    <row r="24" spans="1:17" x14ac:dyDescent="0.15">
      <c r="A24" s="32" t="s">
        <v>20</v>
      </c>
      <c r="B24" s="49">
        <f t="shared" ref="B24:J24" si="47">IFERROR(B15/B8,0)</f>
        <v>-3.2537960954446853E-2</v>
      </c>
      <c r="C24" s="48">
        <f t="shared" si="47"/>
        <v>-2.1778584392014518E-2</v>
      </c>
      <c r="D24" s="48">
        <f t="shared" si="47"/>
        <v>-2.735042735042735E-2</v>
      </c>
      <c r="E24" s="48">
        <f t="shared" ref="E24" si="48">IFERROR(E15/E8,0)</f>
        <v>-2.1103896103896104E-2</v>
      </c>
      <c r="F24" s="49">
        <f t="shared" si="47"/>
        <v>-3.1437125748502992E-2</v>
      </c>
      <c r="G24" s="48">
        <f t="shared" si="47"/>
        <v>-3.6855036855036856E-3</v>
      </c>
      <c r="H24" s="48">
        <f t="shared" si="47"/>
        <v>-1.1337868480725623E-2</v>
      </c>
      <c r="I24" s="50">
        <f t="shared" si="47"/>
        <v>-2.1459227467811159E-3</v>
      </c>
      <c r="J24" s="49">
        <f t="shared" si="47"/>
        <v>-2.3958333333333335E-2</v>
      </c>
      <c r="K24" s="48">
        <f t="shared" ref="K24:L24" si="49">IFERROR(K15/K8,0)</f>
        <v>0</v>
      </c>
      <c r="L24" s="48">
        <f t="shared" si="49"/>
        <v>2.6045777426992895E-2</v>
      </c>
      <c r="M24" s="48">
        <f t="shared" ref="M24:N24" si="50">IFERROR(M15/M8,0)</f>
        <v>1.3575098060558958E-2</v>
      </c>
      <c r="N24" s="49">
        <f t="shared" si="50"/>
        <v>-6.5810156910135323E-2</v>
      </c>
      <c r="O24" s="48">
        <f t="shared" ref="O24:P24" si="51">IFERROR(O15/O8,0)</f>
        <v>-1.2079797257781574E-2</v>
      </c>
      <c r="P24" s="48">
        <f t="shared" si="51"/>
        <v>1.6300940645524477E-2</v>
      </c>
      <c r="Q24" s="48">
        <f t="shared" ref="Q24" si="52">IFERROR(Q15/Q8,0)</f>
        <v>1.4463575152660535E-2</v>
      </c>
    </row>
    <row r="25" spans="1:17" x14ac:dyDescent="0.15">
      <c r="A25" s="32" t="s">
        <v>21</v>
      </c>
      <c r="B25" s="49">
        <f t="shared" ref="B25:J25" si="53">IFERROR(B18/B17,0)</f>
        <v>0</v>
      </c>
      <c r="C25" s="48">
        <f t="shared" si="53"/>
        <v>0</v>
      </c>
      <c r="D25" s="48">
        <f t="shared" si="53"/>
        <v>5.5555555555555552E-2</v>
      </c>
      <c r="E25" s="48">
        <f t="shared" ref="E25" si="54">IFERROR(E18/E17,0)</f>
        <v>0</v>
      </c>
      <c r="F25" s="49">
        <f t="shared" si="53"/>
        <v>0</v>
      </c>
      <c r="G25" s="48">
        <f t="shared" si="53"/>
        <v>-0.2</v>
      </c>
      <c r="H25" s="48">
        <f t="shared" si="53"/>
        <v>4.7619047619047616E-2</v>
      </c>
      <c r="I25" s="50">
        <f t="shared" si="53"/>
        <v>0</v>
      </c>
      <c r="J25" s="49">
        <f t="shared" si="53"/>
        <v>0</v>
      </c>
      <c r="K25" s="48">
        <f t="shared" ref="K25:L25" si="55">IFERROR(K18/K17,0)</f>
        <v>0</v>
      </c>
      <c r="L25" s="48">
        <f t="shared" si="55"/>
        <v>9.375E-2</v>
      </c>
      <c r="M25" s="48">
        <f t="shared" ref="M25:N25" si="56">IFERROR(M18/M17,0)</f>
        <v>2.5651944160847945E-3</v>
      </c>
      <c r="N25" s="49">
        <f t="shared" si="56"/>
        <v>-9.4436732111321947E-3</v>
      </c>
      <c r="O25" s="48">
        <f t="shared" ref="O25:P25" si="57">IFERROR(O18/O17,0)</f>
        <v>8.171937566396939E-2</v>
      </c>
      <c r="P25" s="48">
        <f t="shared" si="57"/>
        <v>-2.8204766605556396E-2</v>
      </c>
      <c r="Q25" s="48">
        <f t="shared" ref="Q25" si="58">IFERROR(Q18/Q17,0)</f>
        <v>1.3391810907629982E-2</v>
      </c>
    </row>
    <row r="26" spans="1:17" s="6" customFormat="1" x14ac:dyDescent="0.15">
      <c r="B26" s="85"/>
      <c r="C26" s="86"/>
      <c r="D26" s="86"/>
      <c r="E26" s="86"/>
      <c r="F26" s="85"/>
      <c r="G26" s="86"/>
      <c r="H26" s="86"/>
      <c r="I26" s="87"/>
      <c r="J26" s="85"/>
      <c r="K26" s="86"/>
      <c r="L26" s="86"/>
      <c r="M26" s="86"/>
      <c r="N26" s="85"/>
      <c r="O26" s="86"/>
      <c r="P26" s="86"/>
      <c r="Q26" s="6" t="s">
        <v>103</v>
      </c>
    </row>
    <row r="27" spans="1:17" s="51" customFormat="1" x14ac:dyDescent="0.15">
      <c r="A27" s="51" t="s">
        <v>18</v>
      </c>
      <c r="B27" s="53"/>
      <c r="C27" s="52"/>
      <c r="D27" s="52"/>
      <c r="E27" s="52"/>
      <c r="F27" s="53">
        <f t="shared" ref="F27:I27" si="59">IFERROR((F8/B8)-1,0)</f>
        <v>0.44902386117136661</v>
      </c>
      <c r="G27" s="52">
        <f t="shared" si="59"/>
        <v>0.47731397459165148</v>
      </c>
      <c r="H27" s="52">
        <f t="shared" si="59"/>
        <v>0.50769230769230766</v>
      </c>
      <c r="I27" s="54">
        <f t="shared" si="59"/>
        <v>0.51298701298701288</v>
      </c>
      <c r="J27" s="53">
        <f t="shared" ref="J27:Q27" si="60">IFERROR((J8/F8)-1,0)</f>
        <v>0.43712574850299402</v>
      </c>
      <c r="K27" s="52">
        <f t="shared" si="60"/>
        <v>0.44226044226044237</v>
      </c>
      <c r="L27" s="52">
        <f t="shared" si="60"/>
        <v>0.43650793650793651</v>
      </c>
      <c r="M27" s="52">
        <f t="shared" si="60"/>
        <v>0.4095804721030043</v>
      </c>
      <c r="N27" s="53">
        <f>IFERROR((N8/J8)-1,0)</f>
        <v>0.43865520833333327</v>
      </c>
      <c r="O27" s="52">
        <f t="shared" si="60"/>
        <v>0.63852214650766603</v>
      </c>
      <c r="P27" s="52">
        <f t="shared" si="60"/>
        <v>1.3945335438042621</v>
      </c>
      <c r="Q27" s="52">
        <f t="shared" si="60"/>
        <v>1.4045826802940335</v>
      </c>
    </row>
    <row r="28" spans="1:17" x14ac:dyDescent="0.15">
      <c r="A28" s="32" t="s">
        <v>42</v>
      </c>
      <c r="B28" s="56"/>
      <c r="C28" s="55"/>
      <c r="D28" s="55"/>
      <c r="E28" s="55"/>
      <c r="F28" s="56">
        <f t="shared" ref="F28:I30" si="61">F11/B11-1</f>
        <v>0.52173913043478271</v>
      </c>
      <c r="G28" s="55">
        <f t="shared" si="61"/>
        <v>0.47435897435897445</v>
      </c>
      <c r="H28" s="55">
        <f t="shared" si="61"/>
        <v>0.63855421686746983</v>
      </c>
      <c r="I28" s="57">
        <f t="shared" si="61"/>
        <v>0.5268817204301075</v>
      </c>
      <c r="J28" s="56">
        <f t="shared" ref="J28:Q30" si="62">J11/F11-1</f>
        <v>0.46666666666666656</v>
      </c>
      <c r="K28" s="55">
        <f t="shared" si="62"/>
        <v>0.51304347826086949</v>
      </c>
      <c r="L28" s="55">
        <f t="shared" si="62"/>
        <v>0.24264705882352944</v>
      </c>
      <c r="M28" s="55">
        <f t="shared" si="62"/>
        <v>0.22030985915492951</v>
      </c>
      <c r="N28" s="56">
        <f t="shared" si="62"/>
        <v>0.26623376623376616</v>
      </c>
      <c r="O28" s="55">
        <f t="shared" si="62"/>
        <v>0.18965517241379315</v>
      </c>
      <c r="P28" s="55">
        <f t="shared" si="62"/>
        <v>0.34319526627218933</v>
      </c>
      <c r="Q28" s="55">
        <f t="shared" si="62"/>
        <v>0.46003093188061217</v>
      </c>
    </row>
    <row r="29" spans="1:17" x14ac:dyDescent="0.15">
      <c r="A29" s="32" t="s">
        <v>43</v>
      </c>
      <c r="B29" s="56"/>
      <c r="C29" s="55"/>
      <c r="D29" s="55"/>
      <c r="E29" s="55"/>
      <c r="F29" s="56">
        <f t="shared" si="61"/>
        <v>0.54</v>
      </c>
      <c r="G29" s="55">
        <f t="shared" si="61"/>
        <v>0.6333333333333333</v>
      </c>
      <c r="H29" s="55">
        <f t="shared" si="61"/>
        <v>0.73134328358208944</v>
      </c>
      <c r="I29" s="57">
        <f t="shared" si="61"/>
        <v>0.54545454545454541</v>
      </c>
      <c r="J29" s="56">
        <f t="shared" si="62"/>
        <v>0.74025974025974017</v>
      </c>
      <c r="K29" s="55">
        <f t="shared" si="62"/>
        <v>0.59183673469387754</v>
      </c>
      <c r="L29" s="55">
        <f t="shared" si="62"/>
        <v>0.28448275862068972</v>
      </c>
      <c r="M29" s="55">
        <f t="shared" si="62"/>
        <v>0.55656302521008394</v>
      </c>
      <c r="N29" s="56">
        <f t="shared" si="62"/>
        <v>0.45522388059701502</v>
      </c>
      <c r="O29" s="55">
        <f t="shared" si="62"/>
        <v>0.52564102564102555</v>
      </c>
      <c r="P29" s="55">
        <f t="shared" si="62"/>
        <v>1.3355704697986579</v>
      </c>
      <c r="Q29" s="55">
        <f t="shared" si="62"/>
        <v>0.77616057787303427</v>
      </c>
    </row>
    <row r="30" spans="1:17" x14ac:dyDescent="0.15">
      <c r="A30" s="32" t="s">
        <v>44</v>
      </c>
      <c r="B30" s="56"/>
      <c r="C30" s="55"/>
      <c r="D30" s="55"/>
      <c r="E30" s="55"/>
      <c r="F30" s="56">
        <f t="shared" si="61"/>
        <v>0.3623188405797102</v>
      </c>
      <c r="G30" s="55">
        <f t="shared" si="61"/>
        <v>0.29629629629629628</v>
      </c>
      <c r="H30" s="55">
        <f t="shared" si="61"/>
        <v>0.3214285714285714</v>
      </c>
      <c r="I30" s="57">
        <f t="shared" si="61"/>
        <v>0.45783132530120474</v>
      </c>
      <c r="J30" s="56">
        <f t="shared" si="62"/>
        <v>0.4042553191489362</v>
      </c>
      <c r="K30" s="55">
        <f t="shared" si="62"/>
        <v>0.2952380952380953</v>
      </c>
      <c r="L30" s="55">
        <f t="shared" si="62"/>
        <v>0.35135135135135132</v>
      </c>
      <c r="M30" s="55">
        <f t="shared" si="62"/>
        <v>0.24793388429752072</v>
      </c>
      <c r="N30" s="56">
        <f t="shared" si="62"/>
        <v>0.81060606060606055</v>
      </c>
      <c r="O30" s="55">
        <f t="shared" si="62"/>
        <v>0.28676470588235303</v>
      </c>
      <c r="P30" s="55">
        <f t="shared" si="62"/>
        <v>0.1333333333333333</v>
      </c>
      <c r="Q30" s="55">
        <f t="shared" si="62"/>
        <v>0.16556291390728473</v>
      </c>
    </row>
    <row r="31" spans="1:17" x14ac:dyDescent="0.15">
      <c r="A31" s="67" t="s">
        <v>83</v>
      </c>
      <c r="B31" s="56"/>
      <c r="C31" s="55"/>
      <c r="D31" s="55"/>
      <c r="E31" s="55"/>
      <c r="F31" s="56">
        <f t="shared" ref="F31:Q31" si="63">F14/B14-1</f>
        <v>0.46808510638297873</v>
      </c>
      <c r="G31" s="55">
        <f t="shared" si="63"/>
        <v>0.45205479452054798</v>
      </c>
      <c r="H31" s="55">
        <f t="shared" si="63"/>
        <v>0.55128205128205132</v>
      </c>
      <c r="I31" s="55">
        <f t="shared" si="63"/>
        <v>0.50988142292490113</v>
      </c>
      <c r="J31" s="56">
        <f t="shared" si="63"/>
        <v>0.52173913043478271</v>
      </c>
      <c r="K31" s="55">
        <f t="shared" si="63"/>
        <v>0.46540880503144644</v>
      </c>
      <c r="L31" s="55">
        <f t="shared" si="63"/>
        <v>0.28925619834710736</v>
      </c>
      <c r="M31" s="55">
        <f t="shared" si="63"/>
        <v>0.33380890052356027</v>
      </c>
      <c r="N31" s="56">
        <f t="shared" si="63"/>
        <v>0.49761904761904763</v>
      </c>
      <c r="O31" s="55">
        <f t="shared" si="63"/>
        <v>0.33047210300429186</v>
      </c>
      <c r="P31" s="55">
        <f t="shared" si="63"/>
        <v>0.59188034188034178</v>
      </c>
      <c r="Q31" s="55">
        <f t="shared" si="63"/>
        <v>0.4876892731322926</v>
      </c>
    </row>
    <row r="32" spans="1:17" x14ac:dyDescent="0.15">
      <c r="C32" s="58"/>
      <c r="D32" s="58"/>
      <c r="G32" s="58"/>
      <c r="H32" s="58"/>
      <c r="I32" s="59"/>
      <c r="J32" s="27"/>
      <c r="K32" s="58"/>
      <c r="L32" s="58"/>
      <c r="M32" s="58"/>
      <c r="N32" s="27"/>
      <c r="P32" s="58"/>
    </row>
    <row r="33" spans="1:17" s="38" customFormat="1" x14ac:dyDescent="0.15">
      <c r="A33" s="38" t="s">
        <v>25</v>
      </c>
      <c r="B33" s="28"/>
      <c r="C33" s="36"/>
      <c r="D33" s="36"/>
      <c r="E33" s="29"/>
      <c r="F33" s="28"/>
      <c r="G33" s="36"/>
      <c r="H33" s="36"/>
      <c r="I33" s="39">
        <f t="shared" ref="I33:N33" si="64">I34-I35</f>
        <v>689</v>
      </c>
      <c r="J33" s="40">
        <f t="shared" si="64"/>
        <v>661</v>
      </c>
      <c r="K33" s="39">
        <f t="shared" si="64"/>
        <v>731</v>
      </c>
      <c r="L33" s="39">
        <f t="shared" si="64"/>
        <v>806</v>
      </c>
      <c r="M33" s="39">
        <f t="shared" si="64"/>
        <v>1137</v>
      </c>
      <c r="N33" s="40">
        <f t="shared" si="64"/>
        <v>1252</v>
      </c>
      <c r="O33" s="39">
        <f t="shared" ref="O33:Q33" si="65">O34-O35</f>
        <v>1356</v>
      </c>
      <c r="P33" s="39">
        <f t="shared" si="65"/>
        <v>1521</v>
      </c>
      <c r="Q33" s="39">
        <f t="shared" si="65"/>
        <v>1730</v>
      </c>
    </row>
    <row r="34" spans="1:17" s="35" customFormat="1" x14ac:dyDescent="0.15">
      <c r="A34" s="35" t="s">
        <v>26</v>
      </c>
      <c r="B34" s="28"/>
      <c r="C34" s="36"/>
      <c r="D34" s="36"/>
      <c r="E34" s="29"/>
      <c r="F34" s="28"/>
      <c r="G34" s="36"/>
      <c r="H34" s="36"/>
      <c r="I34" s="36">
        <f>583+541+465</f>
        <v>1589</v>
      </c>
      <c r="J34" s="28">
        <f>522+567+481</f>
        <v>1570</v>
      </c>
      <c r="K34" s="36">
        <f>617+572+461</f>
        <v>1650</v>
      </c>
      <c r="L34" s="36">
        <f>612+558+565</f>
        <v>1735</v>
      </c>
      <c r="M34" s="36">
        <f>1047+492+537</f>
        <v>2076</v>
      </c>
      <c r="N34" s="28">
        <f>1962+522+529</f>
        <v>3013</v>
      </c>
      <c r="O34" s="36">
        <f>1973+714+447</f>
        <v>3134</v>
      </c>
      <c r="P34" s="36">
        <f>2119+762+399</f>
        <v>3280</v>
      </c>
      <c r="Q34" s="35">
        <f>3158+695+464</f>
        <v>4317</v>
      </c>
    </row>
    <row r="35" spans="1:17" s="35" customFormat="1" x14ac:dyDescent="0.15">
      <c r="A35" s="35" t="s">
        <v>27</v>
      </c>
      <c r="B35" s="28"/>
      <c r="C35" s="36"/>
      <c r="D35" s="36"/>
      <c r="E35" s="29"/>
      <c r="F35" s="28"/>
      <c r="G35" s="36"/>
      <c r="H35" s="36"/>
      <c r="I35" s="36">
        <v>900</v>
      </c>
      <c r="J35" s="28">
        <v>909</v>
      </c>
      <c r="K35" s="36">
        <v>919</v>
      </c>
      <c r="L35" s="36">
        <v>929</v>
      </c>
      <c r="M35" s="36">
        <v>939</v>
      </c>
      <c r="N35" s="28">
        <v>1761</v>
      </c>
      <c r="O35" s="36">
        <v>1778</v>
      </c>
      <c r="P35" s="36">
        <v>1759</v>
      </c>
      <c r="Q35" s="35">
        <v>2587</v>
      </c>
    </row>
    <row r="36" spans="1:17" s="35" customFormat="1" x14ac:dyDescent="0.15">
      <c r="B36" s="28"/>
      <c r="C36" s="36"/>
      <c r="D36" s="36"/>
      <c r="E36" s="29"/>
      <c r="F36" s="28"/>
      <c r="G36" s="36"/>
      <c r="H36" s="36"/>
      <c r="I36" s="36"/>
      <c r="J36" s="28"/>
      <c r="K36" s="36"/>
      <c r="L36" s="36"/>
      <c r="M36" s="36"/>
      <c r="N36" s="28"/>
      <c r="P36" s="36"/>
    </row>
    <row r="37" spans="1:17" s="35" customFormat="1" x14ac:dyDescent="0.15">
      <c r="A37" s="35" t="s">
        <v>54</v>
      </c>
      <c r="B37" s="28"/>
      <c r="C37" s="36"/>
      <c r="D37" s="36"/>
      <c r="E37" s="29"/>
      <c r="F37" s="28"/>
      <c r="G37" s="36"/>
      <c r="H37" s="36"/>
      <c r="I37" s="36">
        <f>262+77</f>
        <v>339</v>
      </c>
      <c r="J37" s="28">
        <f>267+80</f>
        <v>347</v>
      </c>
      <c r="K37" s="36">
        <f>270+84</f>
        <v>354</v>
      </c>
      <c r="L37" s="36">
        <f>266+73</f>
        <v>339</v>
      </c>
      <c r="M37" s="36">
        <f>266+69</f>
        <v>335</v>
      </c>
      <c r="N37" s="28">
        <f>289+82</f>
        <v>371</v>
      </c>
      <c r="O37" s="35">
        <f>296+100</f>
        <v>396</v>
      </c>
      <c r="P37" s="36">
        <f>301+108</f>
        <v>409</v>
      </c>
      <c r="Q37" s="35">
        <f>317+138</f>
        <v>455</v>
      </c>
    </row>
    <row r="38" spans="1:17" s="35" customFormat="1" x14ac:dyDescent="0.15">
      <c r="A38" s="35" t="s">
        <v>55</v>
      </c>
      <c r="B38" s="28"/>
      <c r="C38" s="36"/>
      <c r="D38" s="36"/>
      <c r="E38" s="29"/>
      <c r="F38" s="28"/>
      <c r="G38" s="36"/>
      <c r="H38" s="36"/>
      <c r="I38" s="36">
        <v>3281</v>
      </c>
      <c r="J38" s="28">
        <v>4403</v>
      </c>
      <c r="K38" s="36">
        <v>4654</v>
      </c>
      <c r="L38" s="36">
        <v>4001</v>
      </c>
      <c r="M38" s="36">
        <v>4551</v>
      </c>
      <c r="N38" s="28">
        <v>6004</v>
      </c>
      <c r="O38" s="74">
        <v>7812</v>
      </c>
      <c r="P38" s="36">
        <v>8114</v>
      </c>
      <c r="Q38" s="35">
        <v>9870</v>
      </c>
    </row>
    <row r="39" spans="1:17" s="35" customFormat="1" x14ac:dyDescent="0.15">
      <c r="A39" s="35" t="s">
        <v>56</v>
      </c>
      <c r="B39" s="28"/>
      <c r="C39" s="36"/>
      <c r="D39" s="36"/>
      <c r="E39" s="29"/>
      <c r="F39" s="28"/>
      <c r="G39" s="36"/>
      <c r="H39" s="36"/>
      <c r="I39" s="36">
        <v>2161</v>
      </c>
      <c r="J39" s="28">
        <v>3281</v>
      </c>
      <c r="K39" s="36">
        <v>3470</v>
      </c>
      <c r="L39" s="36">
        <v>2751</v>
      </c>
      <c r="M39" s="36">
        <v>2836</v>
      </c>
      <c r="N39" s="28">
        <v>4196</v>
      </c>
      <c r="O39" s="74">
        <v>5886</v>
      </c>
      <c r="P39" s="36">
        <v>6051</v>
      </c>
      <c r="Q39" s="35">
        <v>7188</v>
      </c>
    </row>
    <row r="40" spans="1:17" s="35" customFormat="1" x14ac:dyDescent="0.15">
      <c r="B40" s="28"/>
      <c r="C40" s="36"/>
      <c r="D40" s="36"/>
      <c r="E40" s="29"/>
      <c r="F40" s="28"/>
      <c r="G40" s="36"/>
      <c r="H40" s="36"/>
      <c r="I40" s="36"/>
      <c r="J40" s="28"/>
      <c r="K40" s="36"/>
      <c r="L40" s="36"/>
      <c r="M40" s="36"/>
      <c r="N40" s="28"/>
      <c r="P40" s="36"/>
    </row>
    <row r="41" spans="1:17" s="35" customFormat="1" x14ac:dyDescent="0.15">
      <c r="A41" s="35" t="s">
        <v>57</v>
      </c>
      <c r="B41" s="28"/>
      <c r="C41" s="36"/>
      <c r="D41" s="36"/>
      <c r="E41" s="29"/>
      <c r="F41" s="28"/>
      <c r="G41" s="36"/>
      <c r="H41" s="36"/>
      <c r="I41" s="41">
        <f t="shared" ref="I41:N41" si="66">I38-I37-I34</f>
        <v>1353</v>
      </c>
      <c r="J41" s="42">
        <f t="shared" si="66"/>
        <v>2486</v>
      </c>
      <c r="K41" s="41">
        <f t="shared" si="66"/>
        <v>2650</v>
      </c>
      <c r="L41" s="41">
        <f t="shared" si="66"/>
        <v>1927</v>
      </c>
      <c r="M41" s="41">
        <f t="shared" si="66"/>
        <v>2140</v>
      </c>
      <c r="N41" s="42">
        <f t="shared" si="66"/>
        <v>2620</v>
      </c>
      <c r="O41" s="41">
        <f t="shared" ref="O41:P41" si="67">O38-O37-O34</f>
        <v>4282</v>
      </c>
      <c r="P41" s="41">
        <f t="shared" si="67"/>
        <v>4425</v>
      </c>
      <c r="Q41" s="41">
        <f t="shared" ref="Q41" si="68">Q38-Q37-Q34</f>
        <v>5098</v>
      </c>
    </row>
    <row r="42" spans="1:17" s="35" customFormat="1" x14ac:dyDescent="0.15">
      <c r="A42" s="35" t="s">
        <v>58</v>
      </c>
      <c r="B42" s="28"/>
      <c r="C42" s="36"/>
      <c r="D42" s="36"/>
      <c r="E42" s="29"/>
      <c r="F42" s="28"/>
      <c r="G42" s="36"/>
      <c r="H42" s="36"/>
      <c r="I42" s="41">
        <f t="shared" ref="I42:N42" si="69">I38-I39</f>
        <v>1120</v>
      </c>
      <c r="J42" s="42">
        <f t="shared" si="69"/>
        <v>1122</v>
      </c>
      <c r="K42" s="41">
        <f t="shared" si="69"/>
        <v>1184</v>
      </c>
      <c r="L42" s="41">
        <f t="shared" si="69"/>
        <v>1250</v>
      </c>
      <c r="M42" s="41">
        <f t="shared" si="69"/>
        <v>1715</v>
      </c>
      <c r="N42" s="42">
        <f t="shared" si="69"/>
        <v>1808</v>
      </c>
      <c r="O42" s="41">
        <f t="shared" ref="O42:P42" si="70">O38-O39</f>
        <v>1926</v>
      </c>
      <c r="P42" s="41">
        <f t="shared" si="70"/>
        <v>2063</v>
      </c>
      <c r="Q42" s="41">
        <f t="shared" ref="Q42" si="71">Q38-Q39</f>
        <v>2682</v>
      </c>
    </row>
    <row r="43" spans="1:17" s="35" customFormat="1" x14ac:dyDescent="0.15">
      <c r="B43" s="28"/>
      <c r="C43" s="36"/>
      <c r="D43" s="36"/>
      <c r="E43" s="29"/>
      <c r="F43" s="28"/>
      <c r="G43" s="36"/>
      <c r="H43" s="36"/>
      <c r="I43" s="36"/>
      <c r="J43" s="28"/>
      <c r="K43" s="36"/>
      <c r="L43" s="36"/>
      <c r="M43" s="36"/>
      <c r="N43" s="28"/>
      <c r="P43" s="36"/>
      <c r="Q43" s="36"/>
    </row>
    <row r="44" spans="1:17" s="38" customFormat="1" x14ac:dyDescent="0.15">
      <c r="A44" s="38" t="s">
        <v>63</v>
      </c>
      <c r="B44" s="61"/>
      <c r="C44" s="60"/>
      <c r="D44" s="60"/>
      <c r="E44" s="29"/>
      <c r="F44" s="28"/>
      <c r="G44" s="36"/>
      <c r="H44" s="36"/>
      <c r="I44" s="39">
        <f t="shared" ref="I44:O44" si="72">SUM(F19:I19)</f>
        <v>-36</v>
      </c>
      <c r="J44" s="40">
        <f t="shared" si="72"/>
        <v>-51</v>
      </c>
      <c r="K44" s="39">
        <f t="shared" si="72"/>
        <v>-52</v>
      </c>
      <c r="L44" s="39">
        <f t="shared" si="72"/>
        <v>-43</v>
      </c>
      <c r="M44" s="39">
        <f t="shared" si="72"/>
        <v>371.83400000000006</v>
      </c>
      <c r="N44" s="40">
        <f t="shared" si="72"/>
        <v>303.94299999999998</v>
      </c>
      <c r="O44" s="39">
        <f t="shared" si="72"/>
        <v>299.7059999999999</v>
      </c>
      <c r="P44" s="39">
        <f>SUM(M19:P19)</f>
        <v>307.16099999999983</v>
      </c>
      <c r="Q44" s="39">
        <f>SUM(N19:Q19)</f>
        <v>213.01699999999983</v>
      </c>
    </row>
    <row r="45" spans="1:17" s="64" customFormat="1" x14ac:dyDescent="0.15">
      <c r="A45" s="62" t="s">
        <v>59</v>
      </c>
      <c r="B45" s="46"/>
      <c r="C45" s="45"/>
      <c r="D45" s="45"/>
      <c r="E45" s="26"/>
      <c r="F45" s="27"/>
      <c r="G45" s="58"/>
      <c r="H45" s="58"/>
      <c r="I45" s="45">
        <f t="shared" ref="I45:N45" si="73">I44/I42</f>
        <v>-3.214285714285714E-2</v>
      </c>
      <c r="J45" s="46">
        <f t="shared" si="73"/>
        <v>-4.5454545454545456E-2</v>
      </c>
      <c r="K45" s="45">
        <f t="shared" si="73"/>
        <v>-4.3918918918918921E-2</v>
      </c>
      <c r="L45" s="45">
        <f t="shared" si="73"/>
        <v>-3.44E-2</v>
      </c>
      <c r="M45" s="45">
        <f t="shared" si="73"/>
        <v>0.21681282798833823</v>
      </c>
      <c r="N45" s="46">
        <f t="shared" si="73"/>
        <v>0.16811006637168141</v>
      </c>
      <c r="O45" s="45">
        <f t="shared" ref="O45:P45" si="74">O44/O42</f>
        <v>0.15561059190031148</v>
      </c>
      <c r="P45" s="45">
        <f t="shared" si="74"/>
        <v>0.14889045079980603</v>
      </c>
      <c r="Q45" s="45">
        <f t="shared" ref="Q45" si="75">Q44/Q42</f>
        <v>7.942468307233401E-2</v>
      </c>
    </row>
    <row r="46" spans="1:17" s="64" customFormat="1" x14ac:dyDescent="0.15">
      <c r="A46" s="62" t="s">
        <v>60</v>
      </c>
      <c r="B46" s="46"/>
      <c r="C46" s="45"/>
      <c r="D46" s="45"/>
      <c r="E46" s="26"/>
      <c r="F46" s="27"/>
      <c r="G46" s="58"/>
      <c r="H46" s="58"/>
      <c r="I46" s="45">
        <f t="shared" ref="I46:N46" si="76">I44/I38</f>
        <v>-1.0972264553489789E-2</v>
      </c>
      <c r="J46" s="46">
        <f t="shared" si="76"/>
        <v>-1.1583011583011582E-2</v>
      </c>
      <c r="K46" s="45">
        <f t="shared" si="76"/>
        <v>-1.11731843575419E-2</v>
      </c>
      <c r="L46" s="45">
        <f t="shared" si="76"/>
        <v>-1.0747313171707074E-2</v>
      </c>
      <c r="M46" s="45">
        <f t="shared" si="76"/>
        <v>8.1703801362337958E-2</v>
      </c>
      <c r="N46" s="46">
        <f t="shared" si="76"/>
        <v>5.0623417721518987E-2</v>
      </c>
      <c r="O46" s="45">
        <f t="shared" ref="O46:P46" si="77">O44/O38</f>
        <v>3.8364823348694302E-2</v>
      </c>
      <c r="P46" s="45">
        <f t="shared" si="77"/>
        <v>3.7855681538082303E-2</v>
      </c>
      <c r="Q46" s="45">
        <f t="shared" ref="Q46" si="78">Q44/Q38</f>
        <v>2.1582269503546081E-2</v>
      </c>
    </row>
    <row r="47" spans="1:17" s="64" customFormat="1" x14ac:dyDescent="0.15">
      <c r="A47" s="62" t="s">
        <v>61</v>
      </c>
      <c r="B47" s="46"/>
      <c r="C47" s="45"/>
      <c r="D47" s="45"/>
      <c r="E47" s="26"/>
      <c r="F47" s="27"/>
      <c r="G47" s="58"/>
      <c r="H47" s="58"/>
      <c r="I47" s="45">
        <f t="shared" ref="I47:N47" si="79">I44/(I42-I37)</f>
        <v>-4.6094750320102434E-2</v>
      </c>
      <c r="J47" s="46">
        <f t="shared" si="79"/>
        <v>-6.580645161290323E-2</v>
      </c>
      <c r="K47" s="45">
        <f t="shared" si="79"/>
        <v>-6.2650602409638559E-2</v>
      </c>
      <c r="L47" s="45">
        <f t="shared" si="79"/>
        <v>-4.7200878155872671E-2</v>
      </c>
      <c r="M47" s="45">
        <f t="shared" si="79"/>
        <v>0.26944492753623195</v>
      </c>
      <c r="N47" s="46">
        <f t="shared" si="79"/>
        <v>0.21151217814892134</v>
      </c>
      <c r="O47" s="45">
        <f t="shared" ref="O47:P47" si="80">O44/(O42-O37)</f>
        <v>0.19588627450980386</v>
      </c>
      <c r="P47" s="45">
        <f t="shared" si="80"/>
        <v>0.1857079806529624</v>
      </c>
      <c r="Q47" s="45">
        <f t="shared" ref="Q47" si="81">Q44/(Q42-Q37)</f>
        <v>9.5651998203861624E-2</v>
      </c>
    </row>
    <row r="48" spans="1:17" s="64" customFormat="1" x14ac:dyDescent="0.15">
      <c r="A48" s="62" t="s">
        <v>62</v>
      </c>
      <c r="B48" s="46"/>
      <c r="C48" s="45"/>
      <c r="D48" s="45"/>
      <c r="E48" s="26"/>
      <c r="F48" s="27"/>
      <c r="G48" s="58"/>
      <c r="H48" s="58"/>
      <c r="I48" s="45">
        <f t="shared" ref="I48:N48" si="82">I44/I41</f>
        <v>-2.6607538802660754E-2</v>
      </c>
      <c r="J48" s="46">
        <f t="shared" si="82"/>
        <v>-2.0514883346741754E-2</v>
      </c>
      <c r="K48" s="45">
        <f t="shared" si="82"/>
        <v>-1.9622641509433963E-2</v>
      </c>
      <c r="L48" s="45">
        <f t="shared" si="82"/>
        <v>-2.2314478463933574E-2</v>
      </c>
      <c r="M48" s="45">
        <f t="shared" si="82"/>
        <v>0.17375420560747667</v>
      </c>
      <c r="N48" s="46">
        <f t="shared" si="82"/>
        <v>0.1160087786259542</v>
      </c>
      <c r="O48" s="45">
        <f t="shared" ref="O48:P48" si="83">O44/O41</f>
        <v>6.9992059785147109E-2</v>
      </c>
      <c r="P48" s="45">
        <f t="shared" si="83"/>
        <v>6.941491525423725E-2</v>
      </c>
      <c r="Q48" s="45">
        <f t="shared" ref="Q48" si="84">Q44/Q41</f>
        <v>4.1784425264809695E-2</v>
      </c>
    </row>
    <row r="49" spans="1:17" x14ac:dyDescent="0.15">
      <c r="B49" s="28"/>
      <c r="C49" s="36"/>
      <c r="D49" s="36"/>
      <c r="F49" s="28"/>
      <c r="G49" s="36"/>
      <c r="H49" s="36"/>
      <c r="I49" s="36"/>
      <c r="J49" s="28"/>
      <c r="K49" s="36"/>
      <c r="L49" s="36"/>
      <c r="M49" s="36"/>
      <c r="N49" s="28"/>
      <c r="O49" s="36"/>
      <c r="P49" s="36"/>
      <c r="Q49" s="36"/>
    </row>
    <row r="50" spans="1:17" x14ac:dyDescent="0.15">
      <c r="A50" s="35" t="s">
        <v>77</v>
      </c>
      <c r="B50" s="28"/>
      <c r="C50" s="36"/>
      <c r="D50" s="36"/>
      <c r="F50" s="46">
        <f t="shared" ref="F50:Q52" si="85">F3/B3-1</f>
        <v>0.29776674937965253</v>
      </c>
      <c r="G50" s="45">
        <f t="shared" si="85"/>
        <v>0.29668049792531126</v>
      </c>
      <c r="H50" s="45">
        <f t="shared" si="85"/>
        <v>0.28431372549019618</v>
      </c>
      <c r="I50" s="45">
        <f t="shared" si="85"/>
        <v>0.27238095238095239</v>
      </c>
      <c r="J50" s="46">
        <f t="shared" si="85"/>
        <v>0.25621414913957929</v>
      </c>
      <c r="K50" s="45">
        <f t="shared" si="85"/>
        <v>0.24160000000000004</v>
      </c>
      <c r="L50" s="45">
        <f t="shared" si="85"/>
        <v>0.24732824427480926</v>
      </c>
      <c r="M50" s="45">
        <f t="shared" si="85"/>
        <v>0.24577844311377239</v>
      </c>
      <c r="N50" s="46">
        <f t="shared" si="85"/>
        <v>0.15388280060882797</v>
      </c>
      <c r="O50" s="45">
        <f t="shared" si="85"/>
        <v>-0.12039690721649488</v>
      </c>
      <c r="P50" s="45">
        <f t="shared" si="85"/>
        <v>0.13255079559363514</v>
      </c>
      <c r="Q50" s="45">
        <f t="shared" si="85"/>
        <v>0.11635823980388871</v>
      </c>
    </row>
    <row r="51" spans="1:17" x14ac:dyDescent="0.15">
      <c r="A51" s="35" t="s">
        <v>78</v>
      </c>
      <c r="B51" s="28"/>
      <c r="C51" s="36"/>
      <c r="D51" s="36"/>
      <c r="F51" s="46">
        <f t="shared" si="85"/>
        <v>0.97959183673469385</v>
      </c>
      <c r="G51" s="45">
        <f t="shared" si="85"/>
        <v>1.2711864406779663</v>
      </c>
      <c r="H51" s="45">
        <f t="shared" si="85"/>
        <v>1.5538461538461537</v>
      </c>
      <c r="I51" s="45">
        <f t="shared" si="85"/>
        <v>1.4556962025316458</v>
      </c>
      <c r="J51" s="46">
        <f t="shared" si="85"/>
        <v>1.2577319587628866</v>
      </c>
      <c r="K51" s="45">
        <f t="shared" si="85"/>
        <v>0.87313432835820892</v>
      </c>
      <c r="L51" s="45">
        <f t="shared" si="85"/>
        <v>0.68674698795180733</v>
      </c>
      <c r="M51" s="45">
        <f t="shared" si="85"/>
        <v>0.45059278350515464</v>
      </c>
      <c r="N51" s="46">
        <f t="shared" si="85"/>
        <v>0.35267123287671232</v>
      </c>
      <c r="O51" s="45">
        <f t="shared" si="85"/>
        <v>0.37958167330677273</v>
      </c>
      <c r="P51" s="45">
        <f t="shared" si="85"/>
        <v>0.59829285714285718</v>
      </c>
      <c r="Q51" s="45">
        <f t="shared" si="85"/>
        <v>0.5968267505285787</v>
      </c>
    </row>
    <row r="52" spans="1:17" x14ac:dyDescent="0.15">
      <c r="A52" s="35" t="s">
        <v>79</v>
      </c>
      <c r="B52" s="28"/>
      <c r="C52" s="36"/>
      <c r="D52" s="36"/>
      <c r="E52" s="45"/>
      <c r="F52" s="46">
        <f t="shared" si="85"/>
        <v>0.55555555555555558</v>
      </c>
      <c r="G52" s="45">
        <f t="shared" si="85"/>
        <v>0.8</v>
      </c>
      <c r="H52" s="45">
        <f t="shared" si="85"/>
        <v>0.8</v>
      </c>
      <c r="I52" s="45">
        <f t="shared" si="85"/>
        <v>0.5</v>
      </c>
      <c r="J52" s="46">
        <f t="shared" si="85"/>
        <v>0.28571428571428581</v>
      </c>
      <c r="K52" s="45">
        <f t="shared" si="85"/>
        <v>0.22222222222222232</v>
      </c>
      <c r="L52" s="45">
        <f t="shared" si="85"/>
        <v>0.22222222222222232</v>
      </c>
      <c r="M52" s="45">
        <f t="shared" si="85"/>
        <v>0.25372222222222218</v>
      </c>
      <c r="N52" s="46">
        <f t="shared" si="85"/>
        <v>0.14861111111111125</v>
      </c>
      <c r="O52" s="45">
        <f t="shared" si="85"/>
        <v>-0.1217272727272728</v>
      </c>
      <c r="P52" s="45">
        <f t="shared" si="85"/>
        <v>0.24063636363636376</v>
      </c>
      <c r="Q52" s="45">
        <f t="shared" si="85"/>
        <v>7.9585235077768379E-2</v>
      </c>
    </row>
    <row r="53" spans="1:17" x14ac:dyDescent="0.15">
      <c r="A53" s="35" t="s">
        <v>80</v>
      </c>
      <c r="B53" s="28"/>
      <c r="C53" s="36"/>
      <c r="D53" s="36"/>
      <c r="E53" s="45"/>
      <c r="F53" s="46"/>
      <c r="G53" s="45"/>
      <c r="H53" s="45"/>
      <c r="I53" s="45"/>
      <c r="J53" s="46">
        <f t="shared" ref="J53:Q53" si="86">J6/F6-1</f>
        <v>0.94117647058823528</v>
      </c>
      <c r="K53" s="45">
        <f t="shared" si="86"/>
        <v>2.3783783783783785</v>
      </c>
      <c r="L53" s="45">
        <f t="shared" si="86"/>
        <v>2.441860465116279</v>
      </c>
      <c r="M53" s="45">
        <f t="shared" si="86"/>
        <v>2.4147500000000002</v>
      </c>
      <c r="N53" s="46">
        <f t="shared" si="86"/>
        <v>3.6378484848484849</v>
      </c>
      <c r="O53" s="45">
        <f t="shared" si="86"/>
        <v>6.0036480000000001</v>
      </c>
      <c r="P53" s="45">
        <f t="shared" si="86"/>
        <v>10.038945945945946</v>
      </c>
      <c r="Q53" s="45">
        <f t="shared" si="86"/>
        <v>8.890492039624478</v>
      </c>
    </row>
    <row r="54" spans="1:17" x14ac:dyDescent="0.15">
      <c r="B54" s="28"/>
      <c r="C54" s="36"/>
      <c r="D54" s="36"/>
      <c r="E54" s="29"/>
      <c r="F54" s="28"/>
      <c r="G54" s="36"/>
      <c r="H54" s="36"/>
      <c r="I54" s="37"/>
      <c r="J54" s="28"/>
      <c r="K54" s="36"/>
      <c r="L54" s="36"/>
      <c r="M54" s="36"/>
      <c r="P54" s="36"/>
    </row>
    <row r="55" spans="1:17" s="35" customFormat="1" x14ac:dyDescent="0.15">
      <c r="A55" s="75" t="s">
        <v>97</v>
      </c>
      <c r="B55" s="28">
        <v>13647</v>
      </c>
      <c r="C55" s="29">
        <v>16421</v>
      </c>
      <c r="D55" s="29">
        <v>17386</v>
      </c>
      <c r="E55" s="29">
        <v>17888</v>
      </c>
      <c r="F55" s="28">
        <v>17827</v>
      </c>
      <c r="G55" s="29">
        <v>21372</v>
      </c>
      <c r="H55" s="29">
        <v>22498</v>
      </c>
      <c r="I55" s="30">
        <v>22958</v>
      </c>
      <c r="J55" s="70">
        <v>22587</v>
      </c>
      <c r="K55" s="35">
        <v>26785</v>
      </c>
      <c r="L55" s="35">
        <v>28228</v>
      </c>
      <c r="M55" s="35">
        <v>28639</v>
      </c>
      <c r="N55" s="70">
        <v>25743</v>
      </c>
      <c r="O55" s="35">
        <v>22801</v>
      </c>
      <c r="P55" s="35">
        <v>31729</v>
      </c>
      <c r="Q55" s="35">
        <v>32022</v>
      </c>
    </row>
    <row r="56" spans="1:17" x14ac:dyDescent="0.15">
      <c r="A56" s="67" t="s">
        <v>98</v>
      </c>
      <c r="B56" s="65"/>
      <c r="F56" s="63">
        <f t="shared" ref="F56:Q56" si="87">F55/B55-1</f>
        <v>0.30629442368286064</v>
      </c>
      <c r="G56" s="64">
        <f t="shared" si="87"/>
        <v>0.30150417148772912</v>
      </c>
      <c r="H56" s="64">
        <f t="shared" si="87"/>
        <v>0.29402967905211086</v>
      </c>
      <c r="I56" s="64">
        <f t="shared" si="87"/>
        <v>0.28343023255813948</v>
      </c>
      <c r="J56" s="63">
        <f t="shared" si="87"/>
        <v>0.26701071408537613</v>
      </c>
      <c r="K56" s="64">
        <f t="shared" si="87"/>
        <v>0.25327531349429155</v>
      </c>
      <c r="L56" s="64">
        <f t="shared" si="87"/>
        <v>0.25468930571606374</v>
      </c>
      <c r="M56" s="64">
        <f t="shared" si="87"/>
        <v>0.24745186862967161</v>
      </c>
      <c r="N56" s="63">
        <f t="shared" si="87"/>
        <v>0.13972639128702347</v>
      </c>
      <c r="O56" s="64">
        <f t="shared" si="87"/>
        <v>-0.14873996639910403</v>
      </c>
      <c r="P56" s="64">
        <f t="shared" si="87"/>
        <v>0.12402578999574887</v>
      </c>
      <c r="Q56" s="64">
        <f t="shared" si="87"/>
        <v>0.11812563287824296</v>
      </c>
    </row>
    <row r="58" spans="1:17" x14ac:dyDescent="0.15">
      <c r="A58" s="67" t="s">
        <v>102</v>
      </c>
      <c r="B58" s="46">
        <f t="shared" ref="B58:Q58" si="88">B8/B55</f>
        <v>3.378031801861215E-2</v>
      </c>
      <c r="C58" s="45">
        <f t="shared" si="88"/>
        <v>3.3554594726265145E-2</v>
      </c>
      <c r="D58" s="45">
        <f t="shared" si="88"/>
        <v>3.364776256758311E-2</v>
      </c>
      <c r="E58" s="45">
        <f t="shared" si="88"/>
        <v>3.4436493738819317E-2</v>
      </c>
      <c r="F58" s="46">
        <f t="shared" si="88"/>
        <v>3.7471251472485555E-2</v>
      </c>
      <c r="G58" s="45">
        <f t="shared" si="88"/>
        <v>3.8087216919333707E-2</v>
      </c>
      <c r="H58" s="45">
        <f t="shared" si="88"/>
        <v>3.9203484754200373E-2</v>
      </c>
      <c r="I58" s="45">
        <f t="shared" si="88"/>
        <v>4.0595870720446035E-2</v>
      </c>
      <c r="J58" s="46">
        <f t="shared" si="88"/>
        <v>4.2502324345862666E-2</v>
      </c>
      <c r="K58" s="45">
        <f t="shared" si="88"/>
        <v>4.3830502146723911E-2</v>
      </c>
      <c r="L58" s="45">
        <f t="shared" si="88"/>
        <v>4.4884511832223327E-2</v>
      </c>
      <c r="M58" s="45">
        <f t="shared" si="88"/>
        <v>4.5872027654596879E-2</v>
      </c>
      <c r="N58" s="46">
        <f t="shared" si="88"/>
        <v>5.3649885405741365E-2</v>
      </c>
      <c r="O58" s="45">
        <f t="shared" si="88"/>
        <v>8.4365817288715408E-2</v>
      </c>
      <c r="P58" s="45">
        <f t="shared" si="88"/>
        <v>9.5618330234170629E-2</v>
      </c>
      <c r="Q58" s="45">
        <f t="shared" si="88"/>
        <v>9.8649990631440893E-2</v>
      </c>
    </row>
  </sheetData>
  <hyperlinks>
    <hyperlink ref="A1" r:id="rId1" display="https://www.sec.gov/cgi-bin/browse-edgar?CIK=SQ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13"/>
  <sheetViews>
    <sheetView zoomScale="130" zoomScaleNormal="130" workbookViewId="0">
      <selection activeCell="C21" sqref="C21"/>
    </sheetView>
  </sheetViews>
  <sheetFormatPr baseColWidth="10" defaultRowHeight="13" x14ac:dyDescent="0.15"/>
  <cols>
    <col min="1" max="1" width="10.83203125" style="1"/>
    <col min="2" max="2" width="13" style="1" bestFit="1" customWidth="1"/>
    <col min="3" max="3" width="49.6640625" style="1" bestFit="1" customWidth="1"/>
    <col min="4" max="16384" width="10.83203125" style="1"/>
  </cols>
  <sheetData>
    <row r="4" spans="2:3" x14ac:dyDescent="0.15">
      <c r="B4" s="80" t="s">
        <v>99</v>
      </c>
    </row>
    <row r="6" spans="2:3" x14ac:dyDescent="0.15">
      <c r="B6" s="67" t="s">
        <v>84</v>
      </c>
      <c r="C6" s="67" t="s">
        <v>85</v>
      </c>
    </row>
    <row r="7" spans="2:3" x14ac:dyDescent="0.15">
      <c r="B7" s="67" t="s">
        <v>86</v>
      </c>
      <c r="C7" s="67" t="s">
        <v>87</v>
      </c>
    </row>
    <row r="8" spans="2:3" s="67" customFormat="1" x14ac:dyDescent="0.15">
      <c r="B8" s="67" t="s">
        <v>88</v>
      </c>
      <c r="C8" s="67" t="s">
        <v>101</v>
      </c>
    </row>
    <row r="9" spans="2:3" x14ac:dyDescent="0.15">
      <c r="B9" s="67"/>
      <c r="C9" s="67"/>
    </row>
    <row r="10" spans="2:3" x14ac:dyDescent="0.15">
      <c r="B10" s="80" t="s">
        <v>100</v>
      </c>
      <c r="C10" s="67"/>
    </row>
    <row r="11" spans="2:3" x14ac:dyDescent="0.15">
      <c r="B11" s="67"/>
      <c r="C11" s="67"/>
    </row>
    <row r="12" spans="2:3" x14ac:dyDescent="0.15">
      <c r="B12" s="67" t="s">
        <v>89</v>
      </c>
      <c r="C12" s="67" t="s">
        <v>90</v>
      </c>
    </row>
    <row r="13" spans="2:3" x14ac:dyDescent="0.15">
      <c r="B13" s="67" t="s">
        <v>91</v>
      </c>
      <c r="C13" s="67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2021-02-23T22:18:36Z</dcterms:modified>
</cp:coreProperties>
</file>