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D1F1044F-E582-F945-9ADF-4943D950C5B3}" xr6:coauthVersionLast="46" xr6:coauthVersionMax="46" xr10:uidLastSave="{00000000-0000-0000-0000-000000000000}"/>
  <bookViews>
    <workbookView xWindow="0" yWindow="460" windowWidth="1470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3" i="2"/>
  <c r="H12" i="2"/>
  <c r="I12" i="2" s="1"/>
  <c r="J12" i="2" s="1"/>
  <c r="K12" i="2" s="1"/>
  <c r="L12" i="2" s="1"/>
  <c r="H11" i="2"/>
  <c r="I11" i="2" s="1"/>
  <c r="J11" i="2" s="1"/>
  <c r="K11" i="2" s="1"/>
  <c r="L11" i="2" s="1"/>
  <c r="H10" i="2"/>
  <c r="H15" i="2" s="1"/>
  <c r="G12" i="2"/>
  <c r="G11" i="2"/>
  <c r="G10" i="2"/>
  <c r="AC28" i="1"/>
  <c r="AB8" i="1"/>
  <c r="AC8" i="1"/>
  <c r="AC5" i="1"/>
  <c r="AB5" i="1"/>
  <c r="AB52" i="1" s="1"/>
  <c r="AC4" i="1"/>
  <c r="AB4" i="1"/>
  <c r="AB51" i="1" s="1"/>
  <c r="AC51" i="1"/>
  <c r="AC3" i="1"/>
  <c r="AB3" i="1"/>
  <c r="AC52" i="1"/>
  <c r="AC50" i="1"/>
  <c r="AB50" i="1"/>
  <c r="AA52" i="1"/>
  <c r="AA51" i="1"/>
  <c r="AA50" i="1"/>
  <c r="AA44" i="1"/>
  <c r="AA45" i="1" s="1"/>
  <c r="AA42" i="1"/>
  <c r="AA41" i="1"/>
  <c r="AA37" i="1"/>
  <c r="AA35" i="1"/>
  <c r="AA33" i="1" s="1"/>
  <c r="AA34" i="1"/>
  <c r="AA31" i="1"/>
  <c r="AA30" i="1"/>
  <c r="AA29" i="1"/>
  <c r="AA28" i="1"/>
  <c r="AA26" i="1"/>
  <c r="AA25" i="1"/>
  <c r="AA24" i="1"/>
  <c r="AA20" i="1"/>
  <c r="AA21" i="1" s="1"/>
  <c r="Z20" i="1"/>
  <c r="Z21" i="1" s="1"/>
  <c r="AA17" i="1"/>
  <c r="AA15" i="1"/>
  <c r="AA14" i="1"/>
  <c r="AA10" i="1"/>
  <c r="Y8" i="1"/>
  <c r="AA8" i="1"/>
  <c r="Z52" i="1"/>
  <c r="Z51" i="1"/>
  <c r="Z50" i="1"/>
  <c r="Z42" i="1"/>
  <c r="Z41" i="1"/>
  <c r="Z37" i="1"/>
  <c r="Z35" i="1"/>
  <c r="Z34" i="1"/>
  <c r="Z33" i="1" s="1"/>
  <c r="Z31" i="1"/>
  <c r="Z30" i="1"/>
  <c r="Z29" i="1"/>
  <c r="Z28" i="1"/>
  <c r="Z26" i="1"/>
  <c r="Z25" i="1"/>
  <c r="Z24" i="1"/>
  <c r="Z17" i="1"/>
  <c r="Z14" i="1"/>
  <c r="Z15" i="1" s="1"/>
  <c r="Z10" i="1"/>
  <c r="Z8" i="1"/>
  <c r="G46" i="2"/>
  <c r="G45" i="2"/>
  <c r="G44" i="2"/>
  <c r="G42" i="2"/>
  <c r="G41" i="2"/>
  <c r="G40" i="2" s="1"/>
  <c r="Y37" i="1"/>
  <c r="Y41" i="1" s="1"/>
  <c r="Y35" i="1"/>
  <c r="Y33" i="1" s="1"/>
  <c r="Y34" i="1"/>
  <c r="Y42" i="1"/>
  <c r="Y10" i="1"/>
  <c r="Y24" i="1" s="1"/>
  <c r="I10" i="2" l="1"/>
  <c r="J10" i="2" s="1"/>
  <c r="K10" i="2" s="1"/>
  <c r="L10" i="2" s="1"/>
  <c r="G15" i="2"/>
  <c r="H34" i="2" s="1"/>
  <c r="AB28" i="1"/>
  <c r="AA47" i="1"/>
  <c r="AA46" i="1"/>
  <c r="AA48" i="1"/>
  <c r="G48" i="2"/>
  <c r="G49" i="2"/>
  <c r="G23" i="2"/>
  <c r="G20" i="2"/>
  <c r="G19" i="2"/>
  <c r="G18" i="2"/>
  <c r="Y14" i="1"/>
  <c r="Y31" i="1"/>
  <c r="Y30" i="1"/>
  <c r="Y29" i="1"/>
  <c r="Y51" i="1"/>
  <c r="Y50" i="1"/>
  <c r="Y52" i="1"/>
  <c r="X52" i="1"/>
  <c r="X51" i="1"/>
  <c r="X50" i="1"/>
  <c r="X44" i="1"/>
  <c r="X45" i="1" s="1"/>
  <c r="X42" i="1"/>
  <c r="X41" i="1"/>
  <c r="X37" i="1"/>
  <c r="X33" i="1"/>
  <c r="X35" i="1"/>
  <c r="X34" i="1"/>
  <c r="X31" i="1"/>
  <c r="X30" i="1"/>
  <c r="X29" i="1"/>
  <c r="X28" i="1"/>
  <c r="X26" i="1"/>
  <c r="X25" i="1"/>
  <c r="X24" i="1"/>
  <c r="X20" i="1"/>
  <c r="X21" i="1" s="1"/>
  <c r="X17" i="1"/>
  <c r="X14" i="1"/>
  <c r="X8" i="1"/>
  <c r="X10" i="1" s="1"/>
  <c r="W52" i="1"/>
  <c r="W51" i="1"/>
  <c r="W50" i="1"/>
  <c r="W42" i="1"/>
  <c r="W37" i="1"/>
  <c r="W41" i="1" s="1"/>
  <c r="W35" i="1"/>
  <c r="W34" i="1"/>
  <c r="W33" i="1" s="1"/>
  <c r="W31" i="1"/>
  <c r="W30" i="1"/>
  <c r="W29" i="1"/>
  <c r="W14" i="1"/>
  <c r="W8" i="1"/>
  <c r="G21" i="2" l="1"/>
  <c r="Y15" i="1"/>
  <c r="Y28" i="1"/>
  <c r="X48" i="1"/>
  <c r="X47" i="1"/>
  <c r="X46" i="1"/>
  <c r="W15" i="1"/>
  <c r="W10" i="1"/>
  <c r="W24" i="1" s="1"/>
  <c r="X15" i="1"/>
  <c r="G16" i="2" l="1"/>
  <c r="G17" i="2" s="1"/>
  <c r="G22" i="2" s="1"/>
  <c r="G24" i="2" s="1"/>
  <c r="Y25" i="1"/>
  <c r="Y17" i="1"/>
  <c r="W25" i="1"/>
  <c r="W17" i="1"/>
  <c r="F4" i="2"/>
  <c r="V37" i="1"/>
  <c r="V35" i="1"/>
  <c r="V34" i="1"/>
  <c r="G28" i="2" l="1"/>
  <c r="G25" i="2"/>
  <c r="Y20" i="1"/>
  <c r="Y26" i="1"/>
  <c r="W26" i="1"/>
  <c r="W20" i="1"/>
  <c r="W21" i="1" s="1"/>
  <c r="V52" i="1"/>
  <c r="V51" i="1"/>
  <c r="V50" i="1"/>
  <c r="V41" i="1"/>
  <c r="V33" i="1"/>
  <c r="V31" i="1"/>
  <c r="V30" i="1"/>
  <c r="V29" i="1"/>
  <c r="V14" i="1"/>
  <c r="V8" i="1"/>
  <c r="Y21" i="1" l="1"/>
  <c r="Z44" i="1"/>
  <c r="Y44" i="1"/>
  <c r="V10" i="1"/>
  <c r="V24" i="1" s="1"/>
  <c r="V15" i="1"/>
  <c r="V25" i="1" s="1"/>
  <c r="V42" i="1"/>
  <c r="F46" i="2"/>
  <c r="F45" i="2"/>
  <c r="F49" i="2" s="1"/>
  <c r="F44" i="2"/>
  <c r="F42" i="2"/>
  <c r="F41" i="2"/>
  <c r="F40" i="2" s="1"/>
  <c r="F28" i="2"/>
  <c r="F25" i="2"/>
  <c r="F23" i="2"/>
  <c r="F20" i="2"/>
  <c r="F19" i="2"/>
  <c r="F18" i="2"/>
  <c r="F16" i="2"/>
  <c r="U37" i="1"/>
  <c r="U35" i="1"/>
  <c r="U34" i="1"/>
  <c r="F12" i="2"/>
  <c r="F11" i="2"/>
  <c r="F10" i="2"/>
  <c r="U52" i="1"/>
  <c r="U51" i="1"/>
  <c r="U50" i="1"/>
  <c r="U42" i="1"/>
  <c r="U41" i="1"/>
  <c r="U31" i="1"/>
  <c r="U30" i="1"/>
  <c r="U29" i="1"/>
  <c r="U14" i="1"/>
  <c r="U8" i="1"/>
  <c r="T37" i="1"/>
  <c r="T52" i="1"/>
  <c r="T51" i="1"/>
  <c r="T50" i="1"/>
  <c r="T42" i="1"/>
  <c r="T35" i="1"/>
  <c r="T34" i="1"/>
  <c r="T41" i="1" s="1"/>
  <c r="T14" i="1"/>
  <c r="T8" i="1"/>
  <c r="T10" i="1" s="1"/>
  <c r="Y48" i="1" l="1"/>
  <c r="Y45" i="1"/>
  <c r="Y46" i="1"/>
  <c r="Y47" i="1"/>
  <c r="Z45" i="1"/>
  <c r="Z46" i="1"/>
  <c r="Z47" i="1"/>
  <c r="Z48" i="1"/>
  <c r="K57" i="2"/>
  <c r="L57" i="2"/>
  <c r="F21" i="2"/>
  <c r="F15" i="2"/>
  <c r="G34" i="2" s="1"/>
  <c r="F17" i="2"/>
  <c r="F22" i="2" s="1"/>
  <c r="F24" i="2" s="1"/>
  <c r="V17" i="1"/>
  <c r="V26" i="1" s="1"/>
  <c r="T33" i="1"/>
  <c r="F48" i="2"/>
  <c r="U33" i="1"/>
  <c r="T15" i="1"/>
  <c r="T17" i="1" s="1"/>
  <c r="T20" i="1" s="1"/>
  <c r="U10" i="1"/>
  <c r="C4" i="2"/>
  <c r="S8" i="1"/>
  <c r="W28" i="1" s="1"/>
  <c r="R8" i="1"/>
  <c r="S37" i="1"/>
  <c r="S35" i="1"/>
  <c r="S34" i="1"/>
  <c r="S33" i="1" s="1"/>
  <c r="S42" i="1"/>
  <c r="S14" i="1"/>
  <c r="H18" i="2"/>
  <c r="H28" i="2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T31" i="1"/>
  <c r="S31" i="1"/>
  <c r="T30" i="1"/>
  <c r="S30" i="1"/>
  <c r="T29" i="1"/>
  <c r="S29" i="1"/>
  <c r="S52" i="1"/>
  <c r="R52" i="1"/>
  <c r="Q52" i="1"/>
  <c r="S51" i="1"/>
  <c r="R51" i="1"/>
  <c r="Q51" i="1"/>
  <c r="S50" i="1"/>
  <c r="R50" i="1"/>
  <c r="Q50" i="1"/>
  <c r="N52" i="1"/>
  <c r="M52" i="1"/>
  <c r="L52" i="1"/>
  <c r="K52" i="1"/>
  <c r="J52" i="1"/>
  <c r="I52" i="1"/>
  <c r="H52" i="1"/>
  <c r="G52" i="1"/>
  <c r="F52" i="1"/>
  <c r="N51" i="1"/>
  <c r="M51" i="1"/>
  <c r="L51" i="1"/>
  <c r="K51" i="1"/>
  <c r="J51" i="1"/>
  <c r="I51" i="1"/>
  <c r="H51" i="1"/>
  <c r="G51" i="1"/>
  <c r="F51" i="1"/>
  <c r="N50" i="1"/>
  <c r="M50" i="1"/>
  <c r="L50" i="1"/>
  <c r="K50" i="1"/>
  <c r="J50" i="1"/>
  <c r="I50" i="1"/>
  <c r="H50" i="1"/>
  <c r="G50" i="1"/>
  <c r="F50" i="1"/>
  <c r="E45" i="2"/>
  <c r="Q37" i="1"/>
  <c r="E44" i="2"/>
  <c r="Q34" i="1"/>
  <c r="E41" i="2" s="1"/>
  <c r="E10" i="2"/>
  <c r="E11" i="2"/>
  <c r="E57" i="2" s="1"/>
  <c r="E12" i="2"/>
  <c r="E16" i="2"/>
  <c r="E18" i="2"/>
  <c r="E19" i="2"/>
  <c r="E20" i="2"/>
  <c r="E23" i="2"/>
  <c r="O8" i="1"/>
  <c r="O10" i="1" s="1"/>
  <c r="O14" i="1"/>
  <c r="N8" i="1"/>
  <c r="N10" i="1" s="1"/>
  <c r="N14" i="1"/>
  <c r="E46" i="2"/>
  <c r="Q35" i="1"/>
  <c r="E42" i="2" s="1"/>
  <c r="D12" i="2"/>
  <c r="D11" i="2"/>
  <c r="D10" i="2"/>
  <c r="C12" i="2"/>
  <c r="B12" i="2"/>
  <c r="C11" i="2"/>
  <c r="B11" i="2"/>
  <c r="C10" i="2"/>
  <c r="B10" i="2"/>
  <c r="C56" i="2" s="1"/>
  <c r="D16" i="2"/>
  <c r="D18" i="2"/>
  <c r="D19" i="2"/>
  <c r="M13" i="1"/>
  <c r="M14" i="1" s="1"/>
  <c r="D23" i="2"/>
  <c r="D25" i="2"/>
  <c r="D45" i="2"/>
  <c r="M37" i="1"/>
  <c r="D44" i="2" s="1"/>
  <c r="M34" i="1"/>
  <c r="D46" i="2"/>
  <c r="M35" i="1"/>
  <c r="M33" i="1" s="1"/>
  <c r="B25" i="2"/>
  <c r="B13" i="2"/>
  <c r="B16" i="2"/>
  <c r="B18" i="2"/>
  <c r="B19" i="2"/>
  <c r="B20" i="2"/>
  <c r="B23" i="2"/>
  <c r="E28" i="2"/>
  <c r="D28" i="2"/>
  <c r="C28" i="2"/>
  <c r="C25" i="2"/>
  <c r="C23" i="2"/>
  <c r="C20" i="2"/>
  <c r="C19" i="2"/>
  <c r="C18" i="2"/>
  <c r="C16" i="2"/>
  <c r="C13" i="2"/>
  <c r="B28" i="2"/>
  <c r="R34" i="1"/>
  <c r="R35" i="1"/>
  <c r="P8" i="1"/>
  <c r="P10" i="1" s="1"/>
  <c r="P14" i="1"/>
  <c r="Q8" i="1"/>
  <c r="U28" i="1" s="1"/>
  <c r="Q14" i="1"/>
  <c r="R14" i="1"/>
  <c r="N37" i="1"/>
  <c r="N35" i="1"/>
  <c r="N34" i="1"/>
  <c r="K8" i="1"/>
  <c r="K10" i="1"/>
  <c r="K24" i="1" s="1"/>
  <c r="K14" i="1"/>
  <c r="L8" i="1"/>
  <c r="L14" i="1"/>
  <c r="M8" i="1"/>
  <c r="M10" i="1" s="1"/>
  <c r="N41" i="1"/>
  <c r="N42" i="1"/>
  <c r="N33" i="1"/>
  <c r="N31" i="1"/>
  <c r="N30" i="1"/>
  <c r="N29" i="1"/>
  <c r="J8" i="1"/>
  <c r="N28" i="1" s="1"/>
  <c r="O37" i="1"/>
  <c r="O35" i="1"/>
  <c r="O34" i="1"/>
  <c r="O52" i="1"/>
  <c r="O51" i="1"/>
  <c r="O50" i="1"/>
  <c r="O41" i="1"/>
  <c r="O42" i="1"/>
  <c r="O31" i="1"/>
  <c r="O30" i="1"/>
  <c r="O29" i="1"/>
  <c r="Q30" i="1"/>
  <c r="Q29" i="1"/>
  <c r="J14" i="1"/>
  <c r="M42" i="1"/>
  <c r="M30" i="1"/>
  <c r="M29" i="1"/>
  <c r="I8" i="1"/>
  <c r="P37" i="1"/>
  <c r="P35" i="1"/>
  <c r="P34" i="1"/>
  <c r="P33" i="1" s="1"/>
  <c r="P52" i="1"/>
  <c r="P51" i="1"/>
  <c r="P50" i="1"/>
  <c r="P41" i="1"/>
  <c r="P42" i="1"/>
  <c r="P31" i="1"/>
  <c r="P30" i="1"/>
  <c r="P29" i="1"/>
  <c r="Q42" i="1"/>
  <c r="R38" i="1"/>
  <c r="R42" i="1" s="1"/>
  <c r="R37" i="1"/>
  <c r="R31" i="1"/>
  <c r="R30" i="1"/>
  <c r="R29" i="1"/>
  <c r="I10" i="1"/>
  <c r="H8" i="1"/>
  <c r="H28" i="1" s="1"/>
  <c r="H10" i="1"/>
  <c r="H24" i="1" s="1"/>
  <c r="G8" i="1"/>
  <c r="G28" i="1" s="1"/>
  <c r="G10" i="1"/>
  <c r="G24" i="1" s="1"/>
  <c r="F8" i="1"/>
  <c r="F10" i="1" s="1"/>
  <c r="E8" i="1"/>
  <c r="E10" i="1" s="1"/>
  <c r="D8" i="1"/>
  <c r="D10" i="1" s="1"/>
  <c r="C8" i="1"/>
  <c r="C10" i="1"/>
  <c r="B8" i="1"/>
  <c r="B10" i="1" s="1"/>
  <c r="B24" i="1" s="1"/>
  <c r="H14" i="1"/>
  <c r="I14" i="1"/>
  <c r="B14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G14" i="1"/>
  <c r="D20" i="1"/>
  <c r="D21" i="1" s="1"/>
  <c r="F14" i="1"/>
  <c r="E14" i="1"/>
  <c r="D14" i="1"/>
  <c r="D26" i="1"/>
  <c r="C14" i="1"/>
  <c r="T21" i="1" l="1"/>
  <c r="G15" i="1"/>
  <c r="I28" i="1"/>
  <c r="J28" i="1"/>
  <c r="Q28" i="1"/>
  <c r="M28" i="1"/>
  <c r="S10" i="1"/>
  <c r="S15" i="1" s="1"/>
  <c r="S17" i="1" s="1"/>
  <c r="Q10" i="1"/>
  <c r="Q24" i="1" s="1"/>
  <c r="R10" i="1"/>
  <c r="R15" i="1" s="1"/>
  <c r="V28" i="1"/>
  <c r="E36" i="2"/>
  <c r="E56" i="2"/>
  <c r="E21" i="2"/>
  <c r="F38" i="2" s="1"/>
  <c r="V20" i="1"/>
  <c r="F24" i="1"/>
  <c r="F15" i="1"/>
  <c r="R24" i="1"/>
  <c r="J10" i="1"/>
  <c r="Q15" i="1"/>
  <c r="Q17" i="1" s="1"/>
  <c r="S24" i="1"/>
  <c r="E49" i="2"/>
  <c r="S41" i="1"/>
  <c r="R33" i="1"/>
  <c r="B21" i="2"/>
  <c r="L28" i="1"/>
  <c r="I15" i="1"/>
  <c r="I25" i="1" s="1"/>
  <c r="D42" i="2"/>
  <c r="K28" i="1"/>
  <c r="R28" i="1"/>
  <c r="C15" i="1"/>
  <c r="C25" i="1" s="1"/>
  <c r="K15" i="1"/>
  <c r="K25" i="1" s="1"/>
  <c r="M31" i="1"/>
  <c r="O33" i="1"/>
  <c r="D36" i="2"/>
  <c r="D49" i="2"/>
  <c r="C37" i="2"/>
  <c r="M41" i="1"/>
  <c r="E35" i="2"/>
  <c r="I15" i="2"/>
  <c r="B15" i="1"/>
  <c r="B17" i="1" s="1"/>
  <c r="F28" i="1"/>
  <c r="D35" i="2"/>
  <c r="C24" i="1"/>
  <c r="C57" i="2"/>
  <c r="B15" i="2"/>
  <c r="B17" i="2" s="1"/>
  <c r="B30" i="2" s="1"/>
  <c r="C21" i="2"/>
  <c r="C58" i="2"/>
  <c r="C35" i="2"/>
  <c r="D58" i="2"/>
  <c r="E15" i="2"/>
  <c r="E17" i="2" s="1"/>
  <c r="E40" i="2"/>
  <c r="C36" i="2"/>
  <c r="D56" i="2"/>
  <c r="D57" i="2"/>
  <c r="U15" i="1"/>
  <c r="U24" i="1"/>
  <c r="F35" i="2"/>
  <c r="F58" i="2"/>
  <c r="M24" i="1"/>
  <c r="M15" i="1"/>
  <c r="C6" i="2"/>
  <c r="C7" i="2" s="1"/>
  <c r="O15" i="1"/>
  <c r="O24" i="1"/>
  <c r="E24" i="1"/>
  <c r="E15" i="1"/>
  <c r="P15" i="1"/>
  <c r="P24" i="1"/>
  <c r="E48" i="2"/>
  <c r="I18" i="2"/>
  <c r="H35" i="2"/>
  <c r="F37" i="2"/>
  <c r="D15" i="1"/>
  <c r="D25" i="1" s="1"/>
  <c r="D24" i="1"/>
  <c r="N24" i="1"/>
  <c r="N15" i="1"/>
  <c r="C17" i="1"/>
  <c r="G58" i="2"/>
  <c r="D20" i="2"/>
  <c r="L10" i="1"/>
  <c r="E58" i="2"/>
  <c r="Q31" i="1"/>
  <c r="G35" i="2"/>
  <c r="D41" i="2"/>
  <c r="D15" i="2"/>
  <c r="H15" i="1"/>
  <c r="P28" i="1"/>
  <c r="O28" i="1"/>
  <c r="I24" i="1"/>
  <c r="C15" i="2"/>
  <c r="S28" i="1"/>
  <c r="R41" i="1"/>
  <c r="Q41" i="1"/>
  <c r="Q33" i="1"/>
  <c r="R17" i="1" l="1"/>
  <c r="R25" i="1"/>
  <c r="Q25" i="1"/>
  <c r="K17" i="1"/>
  <c r="G25" i="1"/>
  <c r="G17" i="1"/>
  <c r="B22" i="2"/>
  <c r="S25" i="1"/>
  <c r="E34" i="2"/>
  <c r="V21" i="1"/>
  <c r="C38" i="2"/>
  <c r="J15" i="2"/>
  <c r="B25" i="1"/>
  <c r="I17" i="1"/>
  <c r="I20" i="1" s="1"/>
  <c r="I21" i="1" s="1"/>
  <c r="F17" i="1"/>
  <c r="F25" i="1"/>
  <c r="J15" i="1"/>
  <c r="J24" i="1"/>
  <c r="U25" i="1"/>
  <c r="U17" i="1"/>
  <c r="H25" i="1"/>
  <c r="H17" i="1"/>
  <c r="O17" i="1"/>
  <c r="O25" i="1"/>
  <c r="B31" i="2"/>
  <c r="B24" i="2"/>
  <c r="K20" i="1"/>
  <c r="K26" i="1"/>
  <c r="J18" i="2"/>
  <c r="I35" i="2"/>
  <c r="B26" i="1"/>
  <c r="B20" i="1"/>
  <c r="B21" i="1" s="1"/>
  <c r="C20" i="1"/>
  <c r="C21" i="1" s="1"/>
  <c r="C26" i="1"/>
  <c r="N25" i="1"/>
  <c r="N17" i="1"/>
  <c r="Q26" i="1"/>
  <c r="Q20" i="1"/>
  <c r="F57" i="2"/>
  <c r="D40" i="2"/>
  <c r="D48" i="2"/>
  <c r="P17" i="1"/>
  <c r="P25" i="1"/>
  <c r="R26" i="1"/>
  <c r="R20" i="1"/>
  <c r="R21" i="1" s="1"/>
  <c r="E30" i="2"/>
  <c r="E22" i="2"/>
  <c r="L24" i="1"/>
  <c r="L15" i="1"/>
  <c r="D34" i="2"/>
  <c r="D17" i="2"/>
  <c r="T28" i="1"/>
  <c r="H20" i="2"/>
  <c r="G37" i="2"/>
  <c r="D37" i="2"/>
  <c r="D21" i="2"/>
  <c r="E37" i="2"/>
  <c r="E25" i="1"/>
  <c r="E17" i="1"/>
  <c r="M17" i="1"/>
  <c r="M25" i="1"/>
  <c r="C34" i="2"/>
  <c r="C17" i="2"/>
  <c r="H58" i="2"/>
  <c r="F36" i="2"/>
  <c r="S26" i="1"/>
  <c r="S20" i="1"/>
  <c r="K58" i="2" l="1"/>
  <c r="S21" i="1"/>
  <c r="I26" i="1"/>
  <c r="G20" i="1"/>
  <c r="G21" i="1" s="1"/>
  <c r="G26" i="1"/>
  <c r="K18" i="2"/>
  <c r="Q21" i="1"/>
  <c r="T44" i="1"/>
  <c r="L56" i="2"/>
  <c r="J25" i="1"/>
  <c r="J17" i="1"/>
  <c r="D38" i="2"/>
  <c r="E38" i="2"/>
  <c r="F26" i="1"/>
  <c r="F20" i="1"/>
  <c r="F21" i="1" s="1"/>
  <c r="U20" i="1"/>
  <c r="W44" i="1" s="1"/>
  <c r="U26" i="1"/>
  <c r="E31" i="2"/>
  <c r="E24" i="2"/>
  <c r="P20" i="1"/>
  <c r="P26" i="1"/>
  <c r="F56" i="2"/>
  <c r="J35" i="2"/>
  <c r="G36" i="2"/>
  <c r="H19" i="2"/>
  <c r="G38" i="2"/>
  <c r="I20" i="2"/>
  <c r="H37" i="2"/>
  <c r="G57" i="2"/>
  <c r="T24" i="1"/>
  <c r="K21" i="1"/>
  <c r="J58" i="2"/>
  <c r="I58" i="2"/>
  <c r="B32" i="2"/>
  <c r="B26" i="2"/>
  <c r="C30" i="2"/>
  <c r="C22" i="2"/>
  <c r="D30" i="2"/>
  <c r="D22" i="2"/>
  <c r="N20" i="1"/>
  <c r="N26" i="1"/>
  <c r="O18" i="1"/>
  <c r="O20" i="1" s="1"/>
  <c r="M26" i="1"/>
  <c r="M20" i="1"/>
  <c r="L25" i="1"/>
  <c r="L17" i="1"/>
  <c r="H26" i="1"/>
  <c r="H20" i="1"/>
  <c r="H21" i="1" s="1"/>
  <c r="E20" i="1"/>
  <c r="E21" i="1" s="1"/>
  <c r="E26" i="1"/>
  <c r="L18" i="2" l="1"/>
  <c r="K15" i="2"/>
  <c r="L58" i="2"/>
  <c r="L15" i="2"/>
  <c r="W48" i="1"/>
  <c r="W45" i="1"/>
  <c r="W46" i="1"/>
  <c r="W47" i="1"/>
  <c r="V44" i="1"/>
  <c r="B27" i="2"/>
  <c r="K56" i="2"/>
  <c r="J20" i="1"/>
  <c r="J21" i="1" s="1"/>
  <c r="J26" i="1"/>
  <c r="T46" i="1"/>
  <c r="T45" i="1"/>
  <c r="T47" i="1"/>
  <c r="T48" i="1"/>
  <c r="U21" i="1"/>
  <c r="U44" i="1"/>
  <c r="P21" i="1"/>
  <c r="S44" i="1"/>
  <c r="K35" i="2"/>
  <c r="J20" i="2"/>
  <c r="K20" i="2" s="1"/>
  <c r="L20" i="2" s="1"/>
  <c r="I37" i="2"/>
  <c r="M21" i="1"/>
  <c r="P44" i="1"/>
  <c r="R44" i="1"/>
  <c r="O21" i="1"/>
  <c r="C24" i="2"/>
  <c r="C31" i="2"/>
  <c r="F34" i="2"/>
  <c r="L20" i="1"/>
  <c r="L26" i="1"/>
  <c r="G56" i="2"/>
  <c r="T25" i="1"/>
  <c r="O26" i="1"/>
  <c r="E25" i="2"/>
  <c r="E32" i="2" s="1"/>
  <c r="H57" i="2"/>
  <c r="N21" i="1"/>
  <c r="Q44" i="1"/>
  <c r="D24" i="2"/>
  <c r="D31" i="2"/>
  <c r="I19" i="2"/>
  <c r="H36" i="2"/>
  <c r="H21" i="2"/>
  <c r="H38" i="2" s="1"/>
  <c r="V48" i="1" l="1"/>
  <c r="V46" i="1"/>
  <c r="V47" i="1"/>
  <c r="V45" i="1"/>
  <c r="U48" i="1"/>
  <c r="U47" i="1"/>
  <c r="U45" i="1"/>
  <c r="U46" i="1"/>
  <c r="F30" i="2"/>
  <c r="D26" i="2"/>
  <c r="D32" i="2"/>
  <c r="Q48" i="1"/>
  <c r="Q46" i="1"/>
  <c r="Q45" i="1"/>
  <c r="Q47" i="1"/>
  <c r="H56" i="2"/>
  <c r="S48" i="1"/>
  <c r="S47" i="1"/>
  <c r="S46" i="1"/>
  <c r="S45" i="1"/>
  <c r="C32" i="2"/>
  <c r="C26" i="2"/>
  <c r="J19" i="2"/>
  <c r="K19" i="2" s="1"/>
  <c r="L19" i="2" s="1"/>
  <c r="I36" i="2"/>
  <c r="I21" i="2"/>
  <c r="I38" i="2" s="1"/>
  <c r="P45" i="1"/>
  <c r="P47" i="1"/>
  <c r="P46" i="1"/>
  <c r="P48" i="1"/>
  <c r="L35" i="2"/>
  <c r="M18" i="2"/>
  <c r="L21" i="1"/>
  <c r="O44" i="1"/>
  <c r="N44" i="1"/>
  <c r="M44" i="1"/>
  <c r="I57" i="2"/>
  <c r="J57" i="2"/>
  <c r="J37" i="2"/>
  <c r="E26" i="2"/>
  <c r="R48" i="1"/>
  <c r="R47" i="1"/>
  <c r="R46" i="1"/>
  <c r="R45" i="1"/>
  <c r="C27" i="2" l="1"/>
  <c r="M35" i="2"/>
  <c r="N18" i="2"/>
  <c r="D27" i="2"/>
  <c r="D52" i="2"/>
  <c r="D54" i="2"/>
  <c r="D51" i="2"/>
  <c r="D53" i="2"/>
  <c r="O45" i="1"/>
  <c r="O46" i="1"/>
  <c r="O48" i="1"/>
  <c r="O47" i="1"/>
  <c r="I56" i="2"/>
  <c r="E53" i="2"/>
  <c r="E52" i="2"/>
  <c r="E51" i="2"/>
  <c r="E27" i="2"/>
  <c r="E54" i="2"/>
  <c r="J36" i="2"/>
  <c r="J21" i="2"/>
  <c r="J38" i="2" s="1"/>
  <c r="M47" i="1"/>
  <c r="M48" i="1"/>
  <c r="M46" i="1"/>
  <c r="M45" i="1"/>
  <c r="T26" i="1"/>
  <c r="K37" i="2"/>
  <c r="N47" i="1"/>
  <c r="N48" i="1"/>
  <c r="N46" i="1"/>
  <c r="N45" i="1"/>
  <c r="F31" i="2"/>
  <c r="G30" i="2" l="1"/>
  <c r="H17" i="2" s="1"/>
  <c r="H22" i="2" s="1"/>
  <c r="K36" i="2"/>
  <c r="K21" i="2"/>
  <c r="K38" i="2" s="1"/>
  <c r="G31" i="2"/>
  <c r="J56" i="2"/>
  <c r="N35" i="2"/>
  <c r="O18" i="2"/>
  <c r="M20" i="2"/>
  <c r="L37" i="2"/>
  <c r="I34" i="2"/>
  <c r="H16" i="2" l="1"/>
  <c r="H30" i="2"/>
  <c r="I17" i="2" s="1"/>
  <c r="I30" i="2" s="1"/>
  <c r="J17" i="2" s="1"/>
  <c r="M37" i="2"/>
  <c r="N20" i="2"/>
  <c r="O35" i="2"/>
  <c r="P18" i="2"/>
  <c r="J34" i="2"/>
  <c r="L36" i="2"/>
  <c r="M19" i="2"/>
  <c r="L21" i="2"/>
  <c r="L38" i="2" s="1"/>
  <c r="H31" i="2"/>
  <c r="I16" i="2" l="1"/>
  <c r="I22" i="2"/>
  <c r="I31" i="2" s="1"/>
  <c r="J30" i="2"/>
  <c r="K17" i="2" s="1"/>
  <c r="J22" i="2"/>
  <c r="K34" i="2"/>
  <c r="J16" i="2"/>
  <c r="P35" i="2"/>
  <c r="Q18" i="2"/>
  <c r="R18" i="2" s="1"/>
  <c r="M36" i="2"/>
  <c r="N19" i="2"/>
  <c r="M21" i="2"/>
  <c r="M38" i="2" s="1"/>
  <c r="N37" i="2"/>
  <c r="O20" i="2"/>
  <c r="S18" i="2" l="1"/>
  <c r="R35" i="2"/>
  <c r="N36" i="2"/>
  <c r="O19" i="2"/>
  <c r="N21" i="2"/>
  <c r="N38" i="2" s="1"/>
  <c r="P20" i="2"/>
  <c r="O37" i="2"/>
  <c r="Q35" i="2"/>
  <c r="K30" i="2"/>
  <c r="L17" i="2" s="1"/>
  <c r="L16" i="2" s="1"/>
  <c r="K22" i="2"/>
  <c r="K16" i="2"/>
  <c r="L34" i="2"/>
  <c r="M15" i="2"/>
  <c r="J31" i="2"/>
  <c r="S35" i="2" l="1"/>
  <c r="T18" i="2"/>
  <c r="F32" i="2"/>
  <c r="F26" i="2"/>
  <c r="M34" i="2"/>
  <c r="N15" i="2"/>
  <c r="L22" i="2"/>
  <c r="L30" i="2"/>
  <c r="M17" i="2" s="1"/>
  <c r="K31" i="2"/>
  <c r="O36" i="2"/>
  <c r="P19" i="2"/>
  <c r="O21" i="2"/>
  <c r="O38" i="2" s="1"/>
  <c r="Q20" i="2"/>
  <c r="P37" i="2"/>
  <c r="Q37" i="2" l="1"/>
  <c r="R20" i="2"/>
  <c r="T35" i="2"/>
  <c r="U18" i="2"/>
  <c r="F27" i="2"/>
  <c r="F52" i="2"/>
  <c r="F51" i="2"/>
  <c r="F53" i="2"/>
  <c r="F54" i="2"/>
  <c r="M22" i="2"/>
  <c r="M30" i="2"/>
  <c r="N17" i="2" s="1"/>
  <c r="M16" i="2"/>
  <c r="P36" i="2"/>
  <c r="Q19" i="2"/>
  <c r="R19" i="2" s="1"/>
  <c r="P21" i="2"/>
  <c r="P38" i="2" s="1"/>
  <c r="O15" i="2"/>
  <c r="N34" i="2"/>
  <c r="L31" i="2"/>
  <c r="R36" i="2" l="1"/>
  <c r="S19" i="2"/>
  <c r="R21" i="2"/>
  <c r="V18" i="2"/>
  <c r="U35" i="2"/>
  <c r="R37" i="2"/>
  <c r="S20" i="2"/>
  <c r="N30" i="2"/>
  <c r="O17" i="2" s="1"/>
  <c r="O16" i="2" s="1"/>
  <c r="N22" i="2"/>
  <c r="N16" i="2"/>
  <c r="P15" i="2"/>
  <c r="O34" i="2"/>
  <c r="Q36" i="2"/>
  <c r="Q21" i="2"/>
  <c r="Q38" i="2" s="1"/>
  <c r="G32" i="2"/>
  <c r="M31" i="2"/>
  <c r="S37" i="2" l="1"/>
  <c r="T20" i="2"/>
  <c r="V35" i="2"/>
  <c r="R38" i="2"/>
  <c r="S36" i="2"/>
  <c r="T19" i="2"/>
  <c r="S21" i="2"/>
  <c r="G26" i="2"/>
  <c r="P34" i="2"/>
  <c r="Q15" i="2"/>
  <c r="R15" i="2" s="1"/>
  <c r="N31" i="2"/>
  <c r="O30" i="2"/>
  <c r="P17" i="2" s="1"/>
  <c r="O22" i="2"/>
  <c r="G52" i="2" l="1"/>
  <c r="G54" i="2"/>
  <c r="G51" i="2"/>
  <c r="G53" i="2"/>
  <c r="H23" i="2"/>
  <c r="H24" i="2" s="1"/>
  <c r="G27" i="2"/>
  <c r="S15" i="2"/>
  <c r="R34" i="2"/>
  <c r="U19" i="2"/>
  <c r="T36" i="2"/>
  <c r="T21" i="2"/>
  <c r="S38" i="2"/>
  <c r="U20" i="2"/>
  <c r="T37" i="2"/>
  <c r="P22" i="2"/>
  <c r="P30" i="2"/>
  <c r="Q17" i="2" s="1"/>
  <c r="Q16" i="2" s="1"/>
  <c r="P16" i="2"/>
  <c r="O31" i="2"/>
  <c r="Q34" i="2"/>
  <c r="S34" i="2" l="1"/>
  <c r="T15" i="2"/>
  <c r="U37" i="2"/>
  <c r="V20" i="2"/>
  <c r="V37" i="2" s="1"/>
  <c r="T38" i="2"/>
  <c r="V19" i="2"/>
  <c r="U36" i="2"/>
  <c r="U21" i="2"/>
  <c r="H25" i="2"/>
  <c r="H32" i="2" s="1"/>
  <c r="Q22" i="2"/>
  <c r="Q30" i="2"/>
  <c r="R17" i="2" s="1"/>
  <c r="P31" i="2"/>
  <c r="H26" i="2" l="1"/>
  <c r="R30" i="2"/>
  <c r="S17" i="2" s="1"/>
  <c r="R22" i="2"/>
  <c r="R31" i="2" s="1"/>
  <c r="R16" i="2"/>
  <c r="U15" i="2"/>
  <c r="T34" i="2"/>
  <c r="U38" i="2"/>
  <c r="V36" i="2"/>
  <c r="V21" i="2"/>
  <c r="Q31" i="2"/>
  <c r="U34" i="2" l="1"/>
  <c r="V15" i="2"/>
  <c r="S30" i="2"/>
  <c r="T17" i="2" s="1"/>
  <c r="S22" i="2"/>
  <c r="S31" i="2" s="1"/>
  <c r="S16" i="2"/>
  <c r="V38" i="2"/>
  <c r="H27" i="2"/>
  <c r="H40" i="2"/>
  <c r="T30" i="2" l="1"/>
  <c r="U17" i="2" s="1"/>
  <c r="T22" i="2"/>
  <c r="T31" i="2" s="1"/>
  <c r="T16" i="2"/>
  <c r="V34" i="2"/>
  <c r="I23" i="2"/>
  <c r="I24" i="2" s="1"/>
  <c r="U30" i="2" l="1"/>
  <c r="V17" i="2" s="1"/>
  <c r="U22" i="2"/>
  <c r="U31" i="2" s="1"/>
  <c r="U16" i="2"/>
  <c r="I25" i="2"/>
  <c r="I32" i="2" s="1"/>
  <c r="V30" i="2" l="1"/>
  <c r="V22" i="2"/>
  <c r="V31" i="2" s="1"/>
  <c r="V16" i="2"/>
  <c r="I26" i="2"/>
  <c r="I40" i="2" l="1"/>
  <c r="I27" i="2"/>
  <c r="J23" i="2"/>
  <c r="J24" i="2" s="1"/>
  <c r="J25" i="2" l="1"/>
  <c r="J32" i="2" s="1"/>
  <c r="J26" i="2" l="1"/>
  <c r="J27" i="2" l="1"/>
  <c r="J40" i="2"/>
  <c r="K23" i="2" s="1"/>
  <c r="K24" i="2" s="1"/>
  <c r="K25" i="2" l="1"/>
  <c r="K32" i="2" s="1"/>
  <c r="K26" i="2" l="1"/>
  <c r="K27" i="2" l="1"/>
  <c r="K40" i="2"/>
  <c r="L23" i="2" l="1"/>
  <c r="L24" i="2" s="1"/>
  <c r="L25" i="2" l="1"/>
  <c r="L32" i="2" s="1"/>
  <c r="L26" i="2" l="1"/>
  <c r="L27" i="2"/>
  <c r="L40" i="2"/>
  <c r="M23" i="2" l="1"/>
  <c r="M24" i="2" s="1"/>
  <c r="M25" i="2" l="1"/>
  <c r="M32" i="2" s="1"/>
  <c r="M26" i="2" l="1"/>
  <c r="M27" i="2" l="1"/>
  <c r="M40" i="2"/>
  <c r="N23" i="2" s="1"/>
  <c r="N24" i="2" s="1"/>
  <c r="N25" i="2" l="1"/>
  <c r="N32" i="2" s="1"/>
  <c r="N26" i="2" l="1"/>
  <c r="N40" i="2"/>
  <c r="N27" i="2" l="1"/>
  <c r="O23" i="2"/>
  <c r="O24" i="2" s="1"/>
  <c r="O25" i="2" l="1"/>
  <c r="O32" i="2" s="1"/>
  <c r="O26" i="2"/>
  <c r="O27" i="2" l="1"/>
  <c r="O40" i="2"/>
  <c r="P23" i="2" l="1"/>
  <c r="P24" i="2" s="1"/>
  <c r="P25" i="2" l="1"/>
  <c r="P32" i="2" s="1"/>
  <c r="P26" i="2"/>
  <c r="P27" i="2" l="1"/>
  <c r="P40" i="2"/>
  <c r="Q23" i="2" l="1"/>
  <c r="Q24" i="2" s="1"/>
  <c r="Q25" i="2" l="1"/>
  <c r="Q32" i="2" s="1"/>
  <c r="Q26" i="2" l="1"/>
  <c r="Q27" i="2" s="1"/>
  <c r="Q40" i="2" l="1"/>
  <c r="R23" i="2" l="1"/>
  <c r="R24" i="2" s="1"/>
  <c r="R25" i="2" l="1"/>
  <c r="R32" i="2" s="1"/>
  <c r="R26" i="2"/>
  <c r="R27" i="2" l="1"/>
  <c r="R40" i="2"/>
  <c r="S23" i="2" l="1"/>
  <c r="S24" i="2" s="1"/>
  <c r="S25" i="2" l="1"/>
  <c r="S32" i="2" s="1"/>
  <c r="S26" i="2"/>
  <c r="S27" i="2" l="1"/>
  <c r="S40" i="2"/>
  <c r="T23" i="2" l="1"/>
  <c r="T24" i="2" s="1"/>
  <c r="T25" i="2" l="1"/>
  <c r="T32" i="2" s="1"/>
  <c r="T26" i="2"/>
  <c r="T27" i="2" l="1"/>
  <c r="T40" i="2"/>
  <c r="U23" i="2" l="1"/>
  <c r="U24" i="2" s="1"/>
  <c r="U25" i="2" l="1"/>
  <c r="U32" i="2" s="1"/>
  <c r="U26" i="2" l="1"/>
  <c r="U27" i="2"/>
  <c r="U40" i="2"/>
  <c r="V23" i="2" l="1"/>
  <c r="V24" i="2" s="1"/>
  <c r="V25" i="2" l="1"/>
  <c r="V32" i="2" s="1"/>
  <c r="V26" i="2"/>
  <c r="V27" i="2" l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V40" i="2"/>
  <c r="DS26" i="2" l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l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HW26" i="2" s="1"/>
  <c r="HX26" i="2" s="1"/>
  <c r="HY26" i="2" s="1"/>
  <c r="HZ26" i="2" s="1"/>
  <c r="IA26" i="2" s="1"/>
  <c r="F5" i="2" s="1"/>
  <c r="F6" i="2" s="1"/>
  <c r="F7" i="2" s="1"/>
  <c r="G7" i="2" s="1"/>
</calcChain>
</file>

<file path=xl/sharedStrings.xml><?xml version="1.0" encoding="utf-8"?>
<sst xmlns="http://schemas.openxmlformats.org/spreadsheetml/2006/main" count="197" uniqueCount="149">
  <si>
    <t>Revenue</t>
  </si>
  <si>
    <t>Q115</t>
  </si>
  <si>
    <t>Q215</t>
  </si>
  <si>
    <t>Q315</t>
  </si>
  <si>
    <t>Q415</t>
  </si>
  <si>
    <t>Q116</t>
  </si>
  <si>
    <t>Q216</t>
  </si>
  <si>
    <t>Q316</t>
  </si>
  <si>
    <t>Q416</t>
  </si>
  <si>
    <t>COGS</t>
  </si>
  <si>
    <t>Gross Profit</t>
  </si>
  <si>
    <t>Gross Margin</t>
  </si>
  <si>
    <t>R&amp;D</t>
  </si>
  <si>
    <t>S&amp;M</t>
  </si>
  <si>
    <t>G&amp;A</t>
  </si>
  <si>
    <t>Operating Expenses</t>
  </si>
  <si>
    <t>Operating Income</t>
  </si>
  <si>
    <t>Operating Margin</t>
  </si>
  <si>
    <t>Interest Income</t>
  </si>
  <si>
    <t>Pretax Income</t>
  </si>
  <si>
    <t>Taxes</t>
  </si>
  <si>
    <t>Net Income</t>
  </si>
  <si>
    <t>EPS</t>
  </si>
  <si>
    <t>Shares</t>
  </si>
  <si>
    <t>Tax Rate</t>
  </si>
  <si>
    <t>Revenue y/y</t>
  </si>
  <si>
    <t>Net Cash</t>
  </si>
  <si>
    <t>Cash</t>
  </si>
  <si>
    <t>Other</t>
  </si>
  <si>
    <t>Debt</t>
  </si>
  <si>
    <t>Productivity</t>
  </si>
  <si>
    <t>Q117</t>
  </si>
  <si>
    <t>Q217</t>
  </si>
  <si>
    <t>Q317</t>
  </si>
  <si>
    <t>Q417</t>
  </si>
  <si>
    <t>ROIC</t>
  </si>
  <si>
    <t>Discount</t>
  </si>
  <si>
    <t>NPV</t>
  </si>
  <si>
    <t>Maturity</t>
  </si>
  <si>
    <t>Value</t>
  </si>
  <si>
    <t>Q118</t>
  </si>
  <si>
    <t>Q218</t>
  </si>
  <si>
    <t>30/9/2014</t>
  </si>
  <si>
    <t>31/12/2014</t>
  </si>
  <si>
    <t>31/3/2015</t>
  </si>
  <si>
    <t>30/6/2015</t>
  </si>
  <si>
    <t>30/9/2015</t>
  </si>
  <si>
    <t>31/12/2015</t>
  </si>
  <si>
    <t>31/3/2016</t>
  </si>
  <si>
    <t>30/6/2016</t>
  </si>
  <si>
    <t>30/9/2016</t>
  </si>
  <si>
    <t>31/12/2016</t>
  </si>
  <si>
    <t>31/3/2017</t>
  </si>
  <si>
    <t>30/6/2017</t>
  </si>
  <si>
    <t>30/9/2017</t>
  </si>
  <si>
    <t>31/12/2017</t>
  </si>
  <si>
    <t>Q318</t>
  </si>
  <si>
    <t>31/3/2018</t>
  </si>
  <si>
    <t>Q418</t>
  </si>
  <si>
    <t>30/6/2018</t>
  </si>
  <si>
    <t>Investor Relations</t>
  </si>
  <si>
    <t>CEO</t>
  </si>
  <si>
    <t>Founder</t>
  </si>
  <si>
    <t>Microsoft Corp (MSFT)</t>
  </si>
  <si>
    <t>EDGAR</t>
  </si>
  <si>
    <t>Satya Nadella</t>
  </si>
  <si>
    <t>Bill Gates</t>
  </si>
  <si>
    <t>Paul Allen</t>
  </si>
  <si>
    <t>Price</t>
  </si>
  <si>
    <t>Expected return on invested capital (innovation grade)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</si>
  <si>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</si>
  <si>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</si>
  <si>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</si>
  <si>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</si>
  <si>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</si>
  <si>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</si>
  <si>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</si>
  <si>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</si>
  <si>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</si>
  <si>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</si>
  <si>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</si>
  <si>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</si>
  <si>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Productivity y/y</t>
  </si>
  <si>
    <t>Intelligent cloud y/y</t>
  </si>
  <si>
    <t>Personal computing y/y</t>
  </si>
  <si>
    <t>Intelligent cloud</t>
  </si>
  <si>
    <t>Personal computing</t>
  </si>
  <si>
    <t>R&amp;D y/y</t>
  </si>
  <si>
    <t>S&amp;M y/y</t>
  </si>
  <si>
    <t>G&amp;A y/y</t>
  </si>
  <si>
    <t>NI 12M</t>
  </si>
  <si>
    <t>Q119</t>
  </si>
  <si>
    <t>Q219</t>
  </si>
  <si>
    <t>Q319</t>
  </si>
  <si>
    <t>Q419</t>
  </si>
  <si>
    <t>30/9/2018</t>
  </si>
  <si>
    <t>31/12/2018</t>
  </si>
  <si>
    <t>31/3/2019</t>
  </si>
  <si>
    <t>30/6/2019</t>
  </si>
  <si>
    <t>LinkedIn</t>
  </si>
  <si>
    <t>Microsoft Dynamics</t>
  </si>
  <si>
    <t>Microsoft SQL Server</t>
  </si>
  <si>
    <t>Windows Server</t>
  </si>
  <si>
    <t>Visual Studio</t>
  </si>
  <si>
    <t>Microsoft Azure</t>
  </si>
  <si>
    <t>Windows</t>
  </si>
  <si>
    <t>Microsoft Surface</t>
  </si>
  <si>
    <t>Xbox</t>
  </si>
  <si>
    <t>Xbox Live</t>
  </si>
  <si>
    <t>Tax anomaly</t>
  </si>
  <si>
    <t>Q120</t>
  </si>
  <si>
    <t>Q220</t>
  </si>
  <si>
    <t>Q320</t>
  </si>
  <si>
    <t>Q420</t>
  </si>
  <si>
    <t>OE y/y</t>
  </si>
  <si>
    <t>http://www.worldgovernmentbonds.com/country/united-states/</t>
  </si>
  <si>
    <t>Microsoft Office</t>
  </si>
  <si>
    <t>Net present value on future net income (terminal value)</t>
  </si>
  <si>
    <t>Risk-free rate + market premium (opportunity cost)</t>
  </si>
  <si>
    <t>Productivity and office applications</t>
  </si>
  <si>
    <t>Professional social network</t>
  </si>
  <si>
    <t>Enterprise resource planning and CRM</t>
  </si>
  <si>
    <t>Relational database management system</t>
  </si>
  <si>
    <t>https://www.microsoft.com/en-us/sql-server/default.aspx</t>
  </si>
  <si>
    <t>https://dynamics.microsoft.com/en-us/</t>
  </si>
  <si>
    <t>https://www.linkedin.com/</t>
  </si>
  <si>
    <t>https://www.office.com/</t>
  </si>
  <si>
    <t>https://www.microsoft.com/en-us/windows-server</t>
  </si>
  <si>
    <t>Development tool</t>
  </si>
  <si>
    <t>https://visualstudio.microsoft.com/</t>
  </si>
  <si>
    <t>Cloud computing</t>
  </si>
  <si>
    <t>https://azure.microsoft.com/en-gb/</t>
  </si>
  <si>
    <t>Personal computer OS</t>
  </si>
  <si>
    <t>https://www.microsoft.com/en-us/windows</t>
  </si>
  <si>
    <t>On-premise infrastructure OS</t>
  </si>
  <si>
    <t>Personal computer and devices</t>
  </si>
  <si>
    <t>https://www.microsoft.com/en-us/surface</t>
  </si>
  <si>
    <t>Concole gaming platform</t>
  </si>
  <si>
    <t>https://www.xbox.com/en-GB/</t>
  </si>
  <si>
    <t>Multiplayer network</t>
  </si>
  <si>
    <t>https://www.xbox.com/en-US/live</t>
  </si>
  <si>
    <t>GitHub</t>
  </si>
  <si>
    <t>Software hosting and version control</t>
  </si>
  <si>
    <t>https://github.com/</t>
  </si>
  <si>
    <t>Aquisitions</t>
  </si>
  <si>
    <t>ZeniMax Media</t>
  </si>
  <si>
    <t>Incl. Game publisher Bethesda Softworks</t>
  </si>
  <si>
    <t>Q121</t>
  </si>
  <si>
    <t>Q221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</si>
</sst>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2" applyFont="1"/>
    <xf numFmtId="0" fontId="3" fillId="0" borderId="0" xfId="0" applyFont="1"/>
    <xf numFmtId="3" fontId="3" fillId="0" borderId="0" xfId="0" applyNumberFormat="1" applyFont="1"/>
    <xf numFmtId="3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Border="1"/>
    <xf numFmtId="9" fontId="3" fillId="0" borderId="0" xfId="0" applyNumberFormat="1" applyFont="1"/>
    <xf numFmtId="9" fontId="3" fillId="0" borderId="0" xfId="0" applyNumberFormat="1" applyFont="1" applyBorder="1"/>
    <xf numFmtId="9" fontId="3" fillId="0" borderId="0" xfId="1" applyFont="1" applyBorder="1"/>
    <xf numFmtId="10" fontId="3" fillId="0" borderId="0" xfId="0" applyNumberFormat="1" applyFont="1"/>
    <xf numFmtId="0" fontId="4" fillId="0" borderId="0" xfId="0" applyFont="1" applyBorder="1"/>
    <xf numFmtId="164" fontId="3" fillId="2" borderId="0" xfId="0" applyNumberFormat="1" applyFont="1" applyFill="1"/>
    <xf numFmtId="0" fontId="2" fillId="0" borderId="0" xfId="2" applyFont="1" applyBorder="1"/>
    <xf numFmtId="3" fontId="6" fillId="0" borderId="0" xfId="0" applyNumberFormat="1" applyFont="1" applyBorder="1"/>
    <xf numFmtId="3" fontId="6" fillId="0" borderId="0" xfId="0" applyNumberFormat="1" applyFont="1"/>
    <xf numFmtId="3" fontId="3" fillId="2" borderId="0" xfId="0" applyNumberFormat="1" applyFont="1" applyFill="1" applyBorder="1"/>
    <xf numFmtId="9" fontId="4" fillId="0" borderId="0" xfId="1" applyFont="1" applyBorder="1"/>
    <xf numFmtId="4" fontId="3" fillId="0" borderId="0" xfId="0" applyNumberFormat="1" applyFont="1" applyBorder="1"/>
    <xf numFmtId="0" fontId="7" fillId="0" borderId="0" xfId="0" applyFont="1"/>
    <xf numFmtId="164" fontId="4" fillId="2" borderId="0" xfId="0" applyNumberFormat="1" applyFont="1" applyFill="1"/>
    <xf numFmtId="4" fontId="3" fillId="2" borderId="0" xfId="0" applyNumberFormat="1" applyFont="1" applyFill="1" applyBorder="1"/>
    <xf numFmtId="0" fontId="7" fillId="0" borderId="0" xfId="0" applyFont="1" applyBorder="1"/>
    <xf numFmtId="4" fontId="3" fillId="2" borderId="0" xfId="0" applyNumberFormat="1" applyFont="1" applyFill="1"/>
    <xf numFmtId="3" fontId="5" fillId="0" borderId="0" xfId="0" applyNumberFormat="1" applyFont="1" applyFill="1" applyBorder="1"/>
    <xf numFmtId="3" fontId="4" fillId="2" borderId="0" xfId="0" applyNumberFormat="1" applyFont="1" applyFill="1" applyBorder="1"/>
    <xf numFmtId="3" fontId="5" fillId="2" borderId="0" xfId="0" applyNumberFormat="1" applyFont="1" applyFill="1" applyBorder="1"/>
    <xf numFmtId="3" fontId="6" fillId="2" borderId="0" xfId="0" applyNumberFormat="1" applyFont="1" applyFill="1" applyBorder="1"/>
    <xf numFmtId="0" fontId="3" fillId="0" borderId="0" xfId="0" applyFont="1" applyFill="1" applyBorder="1"/>
    <xf numFmtId="3" fontId="4" fillId="2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1" applyNumberFormat="1" applyFont="1" applyAlignment="1">
      <alignment horizontal="right"/>
    </xf>
    <xf numFmtId="9" fontId="4" fillId="0" borderId="1" xfId="1" applyNumberFormat="1" applyFont="1" applyBorder="1" applyAlignment="1">
      <alignment horizontal="right"/>
    </xf>
    <xf numFmtId="9" fontId="4" fillId="0" borderId="0" xfId="1" applyNumberFormat="1" applyFont="1" applyBorder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9" fontId="3" fillId="0" borderId="0" xfId="1" applyFont="1" applyAlignment="1">
      <alignment horizontal="right"/>
    </xf>
    <xf numFmtId="9" fontId="3" fillId="0" borderId="1" xfId="1" applyFont="1" applyBorder="1" applyAlignment="1">
      <alignment horizontal="right"/>
    </xf>
    <xf numFmtId="9" fontId="3" fillId="0" borderId="0" xfId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9" fontId="3" fillId="0" borderId="0" xfId="1" applyFont="1" applyFill="1" applyBorder="1" applyAlignment="1">
      <alignment horizontal="right"/>
    </xf>
    <xf numFmtId="9" fontId="4" fillId="0" borderId="0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4" fontId="3" fillId="0" borderId="0" xfId="0" applyNumberFormat="1" applyFont="1"/>
    <xf numFmtId="4" fontId="6" fillId="2" borderId="0" xfId="0" applyNumberFormat="1" applyFont="1" applyFill="1" applyBorder="1"/>
    <xf numFmtId="0" fontId="3" fillId="0" borderId="0" xfId="0" applyFont="1" applyAlignment="1">
      <alignment horizontal="left"/>
    </xf>
    <xf numFmtId="9" fontId="7" fillId="0" borderId="0" xfId="0" applyNumberFormat="1" applyFont="1" applyBorder="1"/>
    <xf numFmtId="9" fontId="7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right"/>
    </xf>
    <xf numFmtId="3" fontId="7" fillId="0" borderId="0" xfId="0" applyNumberFormat="1" applyFont="1"/>
    <xf numFmtId="4" fontId="3" fillId="2" borderId="0" xfId="0" applyNumberFormat="1" applyFont="1" applyFill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4" fontId="3" fillId="2" borderId="0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Border="1"/>
    <xf numFmtId="0" fontId="0" fillId="0" borderId="0" xfId="0" applyFont="1"/>
    <xf numFmtId="0" fontId="2" fillId="0" borderId="0" xfId="2"/>
    <xf numFmtId="0" fontId="0" fillId="0" borderId="0" xfId="0" applyFont="1" applyFill="1" applyBorder="1" applyAlignment="1">
      <alignment horizontal="right"/>
    </xf>
    <xf numFmtId="14" fontId="3" fillId="0" borderId="0" xfId="0" applyNumberFormat="1" applyFont="1"/>
    <xf numFmtId="0" fontId="0" fillId="0" borderId="1" xfId="0" applyFont="1" applyFill="1" applyBorder="1" applyAlignment="1">
      <alignment horizontal="right"/>
    </xf>
    <xf numFmtId="14" fontId="3" fillId="0" borderId="1" xfId="0" applyNumberFormat="1" applyFont="1" applyBorder="1"/>
    <xf numFmtId="3" fontId="3" fillId="0" borderId="1" xfId="0" applyNumberFormat="1" applyFont="1" applyBorder="1"/>
  </cellXfs>
  <cellStyles count="3">
    <cellStyle name="Hyperlink" xfId="2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8</xdr:row>
      <xdr:rowOff>12700</xdr:rowOff>
    </xdr:from>
    <xdr:to>
      <xdr:col>7</xdr:col>
      <xdr:colOff>177800</xdr:colOff>
      <xdr:row>59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553200" y="1333500"/>
          <a:ext cx="0" cy="9398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239184</xdr:colOff>
      <xdr:row>1</xdr:row>
      <xdr:rowOff>12700</xdr:rowOff>
    </xdr:from>
    <xdr:to>
      <xdr:col>27</xdr:col>
      <xdr:colOff>239184</xdr:colOff>
      <xdr:row>53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3120351" y="182033"/>
          <a:ext cx="0" cy="87926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rosoft.com/en-us/investor" TargetMode="External"/><Relationship Id="rId2" Type="http://schemas.openxmlformats.org/officeDocument/2006/relationships/hyperlink" Target="https://en.wikipedia.org/wiki/Bill_Gates" TargetMode="External"/><Relationship Id="rId1" Type="http://schemas.openxmlformats.org/officeDocument/2006/relationships/hyperlink" Target="https://en.wikipedia.org/wiki/Satya_Nadella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worldgovernmentbonds.com/country/united-states/" TargetMode="External"/><Relationship Id="rId4" Type="http://schemas.openxmlformats.org/officeDocument/2006/relationships/hyperlink" Target="https://en.wikipedia.org/wiki/Paul_All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0789019&amp;owner=exclude&amp;count=40&amp;hidefilings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rosoft.com/en-us/windows" TargetMode="External"/><Relationship Id="rId3" Type="http://schemas.openxmlformats.org/officeDocument/2006/relationships/hyperlink" Target="https://www.linkedin.com/" TargetMode="External"/><Relationship Id="rId7" Type="http://schemas.openxmlformats.org/officeDocument/2006/relationships/hyperlink" Target="https://azure.microsoft.com/en-gb/" TargetMode="External"/><Relationship Id="rId12" Type="http://schemas.openxmlformats.org/officeDocument/2006/relationships/hyperlink" Target="https://github.com/" TargetMode="External"/><Relationship Id="rId2" Type="http://schemas.openxmlformats.org/officeDocument/2006/relationships/hyperlink" Target="https://dynamics.microsoft.com/en-us/" TargetMode="External"/><Relationship Id="rId1" Type="http://schemas.openxmlformats.org/officeDocument/2006/relationships/hyperlink" Target="https://www.microsoft.com/en-us/sql-server/default.aspx" TargetMode="External"/><Relationship Id="rId6" Type="http://schemas.openxmlformats.org/officeDocument/2006/relationships/hyperlink" Target="https://visualstudio.microsoft.com/" TargetMode="External"/><Relationship Id="rId11" Type="http://schemas.openxmlformats.org/officeDocument/2006/relationships/hyperlink" Target="https://www.xbox.com/en-US/live" TargetMode="External"/><Relationship Id="rId5" Type="http://schemas.openxmlformats.org/officeDocument/2006/relationships/hyperlink" Target="https://www.microsoft.com/en-us/windows-server" TargetMode="External"/><Relationship Id="rId10" Type="http://schemas.openxmlformats.org/officeDocument/2006/relationships/hyperlink" Target="https://www.xbox.com/en-GB/" TargetMode="External"/><Relationship Id="rId4" Type="http://schemas.openxmlformats.org/officeDocument/2006/relationships/hyperlink" Target="https://www.office.com/" TargetMode="External"/><Relationship Id="rId9" Type="http://schemas.openxmlformats.org/officeDocument/2006/relationships/hyperlink" Target="https://www.microsoft.com/en-us/surf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58"/>
  <sheetViews>
    <sheetView tabSelected="1" zoomScale="120" zoomScaleNormal="120" workbookViewId="0">
      <pane xSplit="1" ySplit="9" topLeftCell="F10" activePane="bottomRight" state="frozen"/>
      <selection pane="topRight" activeCell="B1" sqref="B1"/>
      <selection pane="bottomLeft" activeCell="A11" sqref="A11"/>
      <selection pane="bottomRight" activeCell="J14" sqref="J14"/>
    </sheetView>
  </sheetViews>
  <sheetFormatPr baseColWidth="10" defaultRowHeight="13" x14ac:dyDescent="0.15"/>
  <cols>
    <col min="1" max="1" width="19.33203125" style="2" bestFit="1" customWidth="1"/>
    <col min="2" max="16384" width="10.83203125" style="2"/>
  </cols>
  <sheetData>
    <row r="1" spans="1:22" x14ac:dyDescent="0.15">
      <c r="A1" s="1" t="s">
        <v>60</v>
      </c>
      <c r="B1" s="7" t="s">
        <v>63</v>
      </c>
    </row>
    <row r="2" spans="1:22" x14ac:dyDescent="0.15">
      <c r="A2" s="6"/>
      <c r="B2" s="2" t="s">
        <v>68</v>
      </c>
      <c r="C2" s="21">
        <v>242.2</v>
      </c>
      <c r="D2" s="79">
        <v>44232</v>
      </c>
      <c r="E2" s="6" t="s">
        <v>38</v>
      </c>
      <c r="F2" s="13">
        <v>-0.01</v>
      </c>
      <c r="I2" s="3"/>
      <c r="L2" s="7"/>
    </row>
    <row r="3" spans="1:22" x14ac:dyDescent="0.15">
      <c r="A3" s="14" t="s">
        <v>61</v>
      </c>
      <c r="B3" s="2" t="s">
        <v>23</v>
      </c>
      <c r="C3" s="4">
        <f>Reports!AA22</f>
        <v>7616</v>
      </c>
      <c r="D3" s="80" t="s">
        <v>148</v>
      </c>
      <c r="E3" s="6" t="s">
        <v>35</v>
      </c>
      <c r="F3" s="13">
        <v>0.02</v>
      </c>
      <c r="G3" s="22" t="s">
        <v>69</v>
      </c>
      <c r="I3" s="3"/>
    </row>
    <row r="4" spans="1:22" x14ac:dyDescent="0.15">
      <c r="A4" s="1" t="s">
        <v>65</v>
      </c>
      <c r="B4" s="2" t="s">
        <v>70</v>
      </c>
      <c r="C4" s="19">
        <f>C2*C3</f>
        <v>1844595.2</v>
      </c>
      <c r="D4" s="70"/>
      <c r="E4" s="6" t="s">
        <v>36</v>
      </c>
      <c r="F4" s="13">
        <f>5%</f>
        <v>0.05</v>
      </c>
      <c r="G4" s="22" t="s">
        <v>118</v>
      </c>
      <c r="I4" s="10"/>
      <c r="L4" s="1" t="s">
        <v>115</v>
      </c>
    </row>
    <row r="5" spans="1:22" x14ac:dyDescent="0.15">
      <c r="A5" s="6"/>
      <c r="B5" s="2" t="s">
        <v>26</v>
      </c>
      <c r="C5" s="4">
        <f>Reports!AA33</f>
        <v>71445</v>
      </c>
      <c r="D5" s="80" t="s">
        <v>148</v>
      </c>
      <c r="E5" s="6" t="s">
        <v>37</v>
      </c>
      <c r="F5" s="15">
        <f>NPV(F4,H26:IA26)</f>
        <v>3102766.525616121</v>
      </c>
      <c r="G5" s="22" t="s">
        <v>117</v>
      </c>
      <c r="I5" s="10"/>
    </row>
    <row r="6" spans="1:22" x14ac:dyDescent="0.15">
      <c r="A6" s="14" t="s">
        <v>62</v>
      </c>
      <c r="B6" s="2" t="s">
        <v>71</v>
      </c>
      <c r="C6" s="19">
        <f>C4-C5</f>
        <v>1773150.2</v>
      </c>
      <c r="D6" s="70"/>
      <c r="E6" s="14" t="s">
        <v>39</v>
      </c>
      <c r="F6" s="23">
        <f>F5+C5</f>
        <v>3174211.525616121</v>
      </c>
      <c r="I6" s="10"/>
    </row>
    <row r="7" spans="1:22" x14ac:dyDescent="0.15">
      <c r="A7" s="1" t="s">
        <v>66</v>
      </c>
      <c r="B7" s="22" t="s">
        <v>72</v>
      </c>
      <c r="C7" s="24">
        <f>C6/C3</f>
        <v>232.81909138655462</v>
      </c>
      <c r="D7" s="70"/>
      <c r="E7" s="25" t="s">
        <v>72</v>
      </c>
      <c r="F7" s="26">
        <f>F6/C3</f>
        <v>416.78197552732684</v>
      </c>
      <c r="G7" s="72">
        <f>F7/C2-1</f>
        <v>0.72081740514998693</v>
      </c>
    </row>
    <row r="8" spans="1:22" x14ac:dyDescent="0.15">
      <c r="A8" s="16" t="s">
        <v>67</v>
      </c>
    </row>
    <row r="9" spans="1:22" x14ac:dyDescent="0.15">
      <c r="B9" s="2">
        <v>2015</v>
      </c>
      <c r="C9" s="2">
        <v>2016</v>
      </c>
      <c r="D9" s="2">
        <f>C9+1</f>
        <v>2017</v>
      </c>
      <c r="E9" s="2">
        <f t="shared" ref="E9:V9" si="0">D9+1</f>
        <v>2018</v>
      </c>
      <c r="F9" s="2">
        <f t="shared" si="0"/>
        <v>2019</v>
      </c>
      <c r="G9" s="2">
        <f t="shared" si="0"/>
        <v>2020</v>
      </c>
      <c r="H9" s="2">
        <f t="shared" si="0"/>
        <v>2021</v>
      </c>
      <c r="I9" s="2">
        <f t="shared" si="0"/>
        <v>2022</v>
      </c>
      <c r="J9" s="2">
        <f t="shared" si="0"/>
        <v>2023</v>
      </c>
      <c r="K9" s="2">
        <f t="shared" si="0"/>
        <v>2024</v>
      </c>
      <c r="L9" s="2">
        <f t="shared" si="0"/>
        <v>2025</v>
      </c>
      <c r="M9" s="2">
        <f t="shared" si="0"/>
        <v>2026</v>
      </c>
      <c r="N9" s="2">
        <f t="shared" si="0"/>
        <v>2027</v>
      </c>
      <c r="O9" s="2">
        <f t="shared" si="0"/>
        <v>2028</v>
      </c>
      <c r="P9" s="2">
        <f t="shared" si="0"/>
        <v>2029</v>
      </c>
      <c r="Q9" s="2">
        <f t="shared" si="0"/>
        <v>2030</v>
      </c>
      <c r="R9" s="2">
        <f t="shared" si="0"/>
        <v>2031</v>
      </c>
      <c r="S9" s="2">
        <f t="shared" si="0"/>
        <v>2032</v>
      </c>
      <c r="T9" s="2">
        <f t="shared" si="0"/>
        <v>2033</v>
      </c>
      <c r="U9" s="2">
        <f t="shared" si="0"/>
        <v>2034</v>
      </c>
      <c r="V9" s="2">
        <f t="shared" si="0"/>
        <v>2035</v>
      </c>
    </row>
    <row r="10" spans="1:22" x14ac:dyDescent="0.15">
      <c r="A10" s="2" t="s">
        <v>30</v>
      </c>
      <c r="B10" s="4">
        <f>SUM(Reports!B3:E3)</f>
        <v>26430</v>
      </c>
      <c r="C10" s="4">
        <f>SUM(Reports!F3:I3)</f>
        <v>26486</v>
      </c>
      <c r="D10" s="3">
        <f>SUM(Reports!J3:M3)</f>
        <v>29870</v>
      </c>
      <c r="E10" s="3">
        <f>SUM(Reports!N3:Q3)</f>
        <v>35865</v>
      </c>
      <c r="F10" s="3">
        <f>SUM(Reports!R3:U3)</f>
        <v>41160</v>
      </c>
      <c r="G10" s="3">
        <f>SUM(Reports!V3:Y3)</f>
        <v>46398</v>
      </c>
      <c r="H10" s="3">
        <f>SUM(Reports!Z3:AC3)</f>
        <v>52691.25</v>
      </c>
      <c r="I10" s="3">
        <f>H10*1.15</f>
        <v>60594.937499999993</v>
      </c>
      <c r="J10" s="3">
        <f t="shared" ref="J10:L10" si="1">I10*1.15</f>
        <v>69684.178124999991</v>
      </c>
      <c r="K10" s="3">
        <f t="shared" si="1"/>
        <v>80136.804843749982</v>
      </c>
      <c r="L10" s="3">
        <f t="shared" si="1"/>
        <v>92157.325570312474</v>
      </c>
    </row>
    <row r="11" spans="1:22" x14ac:dyDescent="0.15">
      <c r="A11" s="2" t="s">
        <v>85</v>
      </c>
      <c r="B11" s="4">
        <f>SUM(Reports!B4:E4)</f>
        <v>23715</v>
      </c>
      <c r="C11" s="4">
        <f>SUM(Reports!F4:I4)</f>
        <v>25042</v>
      </c>
      <c r="D11" s="3">
        <f>SUM(Reports!J4:M4)</f>
        <v>27407</v>
      </c>
      <c r="E11" s="3">
        <f>SUM(Reports!N4:Q4)</f>
        <v>32219</v>
      </c>
      <c r="F11" s="3">
        <f>SUM(Reports!R4:U4)</f>
        <v>38985</v>
      </c>
      <c r="G11" s="3">
        <f>SUM(Reports!V4:Y4)</f>
        <v>48366</v>
      </c>
      <c r="H11" s="3">
        <f>SUM(Reports!Z4:AC4)</f>
        <v>58369.399999999994</v>
      </c>
      <c r="I11" s="3">
        <f>H11*1.2</f>
        <v>70043.279999999984</v>
      </c>
      <c r="J11" s="3">
        <f t="shared" ref="J11:L11" si="2">I11*1.2</f>
        <v>84051.935999999972</v>
      </c>
      <c r="K11" s="3">
        <f t="shared" si="2"/>
        <v>100862.32319999997</v>
      </c>
      <c r="L11" s="3">
        <f t="shared" si="2"/>
        <v>121034.78783999996</v>
      </c>
    </row>
    <row r="12" spans="1:22" x14ac:dyDescent="0.15">
      <c r="A12" s="2" t="s">
        <v>86</v>
      </c>
      <c r="B12" s="4">
        <f>SUM(Reports!B5:E5)</f>
        <v>43130</v>
      </c>
      <c r="C12" s="4">
        <f>SUM(Reports!F5:I5)</f>
        <v>40477</v>
      </c>
      <c r="D12" s="3">
        <f>SUM(Reports!J5:M5)</f>
        <v>39294</v>
      </c>
      <c r="E12" s="3">
        <f>SUM(Reports!N5:Q5)</f>
        <v>42276</v>
      </c>
      <c r="F12" s="3">
        <f>SUM(Reports!R5:U5)</f>
        <v>45698</v>
      </c>
      <c r="G12" s="3">
        <f>SUM(Reports!V5:Y5)</f>
        <v>48251</v>
      </c>
      <c r="H12" s="3">
        <f>SUM(Reports!Z5:AC5)</f>
        <v>53268.7</v>
      </c>
      <c r="I12" s="3">
        <f>H12*0.98</f>
        <v>52203.325999999994</v>
      </c>
      <c r="J12" s="3">
        <f t="shared" ref="J12:L12" si="3">I12*0.98</f>
        <v>51159.259479999993</v>
      </c>
      <c r="K12" s="3">
        <f t="shared" si="3"/>
        <v>50136.074290399993</v>
      </c>
      <c r="L12" s="3">
        <f t="shared" si="3"/>
        <v>49133.352804591988</v>
      </c>
    </row>
    <row r="13" spans="1:22" x14ac:dyDescent="0.15">
      <c r="A13" s="2" t="s">
        <v>28</v>
      </c>
      <c r="B13" s="4">
        <f>SUM(Reports!B6:E6)</f>
        <v>305</v>
      </c>
      <c r="C13" s="4">
        <f>SUM(Reports!F6:I6)</f>
        <v>-6685</v>
      </c>
      <c r="D13" s="3"/>
      <c r="E13" s="3"/>
      <c r="F13" s="3"/>
    </row>
    <row r="14" spans="1:22" x14ac:dyDescent="0.15">
      <c r="E14" s="3"/>
    </row>
    <row r="15" spans="1:22" s="7" customFormat="1" x14ac:dyDescent="0.15">
      <c r="A15" s="7" t="s">
        <v>0</v>
      </c>
      <c r="B15" s="29">
        <f t="shared" ref="B15:E15" si="4">SUM(B10:B13)</f>
        <v>93580</v>
      </c>
      <c r="C15" s="29">
        <f t="shared" si="4"/>
        <v>85320</v>
      </c>
      <c r="D15" s="29">
        <f t="shared" si="4"/>
        <v>96571</v>
      </c>
      <c r="E15" s="29">
        <f t="shared" si="4"/>
        <v>110360</v>
      </c>
      <c r="F15" s="29">
        <f>SUM(F10:F13)</f>
        <v>125843</v>
      </c>
      <c r="G15" s="29">
        <f>SUM(G10:G13)</f>
        <v>143015</v>
      </c>
      <c r="H15" s="27">
        <f>SUM(H10:H13)</f>
        <v>164329.34999999998</v>
      </c>
      <c r="I15" s="27">
        <f t="shared" ref="I15:L15" si="5">SUM(I10:I13)</f>
        <v>182841.54349999997</v>
      </c>
      <c r="J15" s="27">
        <f t="shared" si="5"/>
        <v>204895.37360499997</v>
      </c>
      <c r="K15" s="27">
        <f t="shared" si="5"/>
        <v>231135.20233414994</v>
      </c>
      <c r="L15" s="27">
        <f t="shared" si="5"/>
        <v>262325.46621490445</v>
      </c>
      <c r="M15" s="8">
        <f t="shared" ref="M15:V15" si="6">L15*1.05</f>
        <v>275441.7395256497</v>
      </c>
      <c r="N15" s="8">
        <f t="shared" si="6"/>
        <v>289213.82650193217</v>
      </c>
      <c r="O15" s="8">
        <f t="shared" si="6"/>
        <v>303674.51782702882</v>
      </c>
      <c r="P15" s="8">
        <f t="shared" si="6"/>
        <v>318858.24371838028</v>
      </c>
      <c r="Q15" s="8">
        <f t="shared" si="6"/>
        <v>334801.15590429929</v>
      </c>
      <c r="R15" s="8">
        <f t="shared" si="6"/>
        <v>351541.21369951428</v>
      </c>
      <c r="S15" s="8">
        <f t="shared" si="6"/>
        <v>369118.27438448998</v>
      </c>
      <c r="T15" s="8">
        <f t="shared" si="6"/>
        <v>387574.18810371449</v>
      </c>
      <c r="U15" s="8">
        <f t="shared" si="6"/>
        <v>406952.89750890021</v>
      </c>
      <c r="V15" s="8">
        <f t="shared" si="6"/>
        <v>427300.54238434526</v>
      </c>
    </row>
    <row r="16" spans="1:22" x14ac:dyDescent="0.15">
      <c r="A16" s="2" t="s">
        <v>9</v>
      </c>
      <c r="B16" s="4">
        <f>SUM(Reports!B9:E9)</f>
        <v>33038</v>
      </c>
      <c r="C16" s="4">
        <f>SUM(Reports!F9:I9)</f>
        <v>32780</v>
      </c>
      <c r="D16" s="3">
        <f>SUM(Reports!J9:M9)</f>
        <v>34261</v>
      </c>
      <c r="E16" s="3">
        <f>SUM(Reports!N9:Q9)</f>
        <v>38353</v>
      </c>
      <c r="F16" s="3">
        <f>SUM(Reports!R9:U9)</f>
        <v>42910</v>
      </c>
      <c r="G16" s="3">
        <f>SUM(Reports!V9:Y9)</f>
        <v>46078</v>
      </c>
      <c r="H16" s="3">
        <f t="shared" ref="H16:Q16" si="7">H15-H17</f>
        <v>52945.270001748053</v>
      </c>
      <c r="I16" s="3">
        <f t="shared" si="7"/>
        <v>58909.713256602437</v>
      </c>
      <c r="J16" s="3">
        <f t="shared" si="7"/>
        <v>66015.236338644114</v>
      </c>
      <c r="K16" s="3">
        <f t="shared" si="7"/>
        <v>74469.446233982162</v>
      </c>
      <c r="L16" s="3">
        <f t="shared" si="7"/>
        <v>84518.636732163519</v>
      </c>
      <c r="M16" s="3">
        <f t="shared" si="7"/>
        <v>88744.568568771705</v>
      </c>
      <c r="N16" s="3">
        <f t="shared" si="7"/>
        <v>93181.796997210273</v>
      </c>
      <c r="O16" s="3">
        <f t="shared" si="7"/>
        <v>97840.886847070797</v>
      </c>
      <c r="P16" s="3">
        <f t="shared" si="7"/>
        <v>102732.93118942436</v>
      </c>
      <c r="Q16" s="3">
        <f t="shared" si="7"/>
        <v>107869.57774889556</v>
      </c>
      <c r="R16" s="3">
        <f t="shared" ref="R16:V16" si="8">R15-R17</f>
        <v>113263.05663634036</v>
      </c>
      <c r="S16" s="3">
        <f t="shared" si="8"/>
        <v>118926.20946815738</v>
      </c>
      <c r="T16" s="3">
        <f t="shared" si="8"/>
        <v>124872.51994156523</v>
      </c>
      <c r="U16" s="3">
        <f t="shared" si="8"/>
        <v>131116.14593864349</v>
      </c>
      <c r="V16" s="3">
        <f t="shared" si="8"/>
        <v>137671.9532355757</v>
      </c>
    </row>
    <row r="17" spans="1:235" x14ac:dyDescent="0.15">
      <c r="A17" s="2" t="s">
        <v>10</v>
      </c>
      <c r="B17" s="30">
        <f t="shared" ref="B17:G17" si="9">B15-B16</f>
        <v>60542</v>
      </c>
      <c r="C17" s="30">
        <f t="shared" si="9"/>
        <v>52540</v>
      </c>
      <c r="D17" s="30">
        <f t="shared" si="9"/>
        <v>62310</v>
      </c>
      <c r="E17" s="30">
        <f t="shared" si="9"/>
        <v>72007</v>
      </c>
      <c r="F17" s="30">
        <f t="shared" si="9"/>
        <v>82933</v>
      </c>
      <c r="G17" s="30">
        <f t="shared" si="9"/>
        <v>96937</v>
      </c>
      <c r="H17" s="3">
        <f t="shared" ref="H17:V17" si="10">H15*G30</f>
        <v>111384.07999825192</v>
      </c>
      <c r="I17" s="3">
        <f t="shared" si="10"/>
        <v>123931.83024339753</v>
      </c>
      <c r="J17" s="3">
        <f t="shared" si="10"/>
        <v>138880.13726635586</v>
      </c>
      <c r="K17" s="3">
        <f t="shared" si="10"/>
        <v>156665.75610016778</v>
      </c>
      <c r="L17" s="3">
        <f t="shared" si="10"/>
        <v>177806.82948274093</v>
      </c>
      <c r="M17" s="3">
        <f t="shared" si="10"/>
        <v>186697.17095687799</v>
      </c>
      <c r="N17" s="3">
        <f t="shared" si="10"/>
        <v>196032.0295047219</v>
      </c>
      <c r="O17" s="3">
        <f t="shared" si="10"/>
        <v>205833.63097995802</v>
      </c>
      <c r="P17" s="3">
        <f t="shared" si="10"/>
        <v>216125.31252895592</v>
      </c>
      <c r="Q17" s="3">
        <f t="shared" si="10"/>
        <v>226931.57815540372</v>
      </c>
      <c r="R17" s="3">
        <f t="shared" si="10"/>
        <v>238278.15706317392</v>
      </c>
      <c r="S17" s="3">
        <f t="shared" si="10"/>
        <v>250192.0649163326</v>
      </c>
      <c r="T17" s="3">
        <f t="shared" si="10"/>
        <v>262701.66816214926</v>
      </c>
      <c r="U17" s="3">
        <f t="shared" si="10"/>
        <v>275836.75157025672</v>
      </c>
      <c r="V17" s="3">
        <f t="shared" si="10"/>
        <v>289628.58914876956</v>
      </c>
    </row>
    <row r="18" spans="1:235" x14ac:dyDescent="0.15">
      <c r="A18" s="2" t="s">
        <v>12</v>
      </c>
      <c r="B18" s="4">
        <f>SUM(Reports!B11:E11)</f>
        <v>12046</v>
      </c>
      <c r="C18" s="4">
        <f>SUM(Reports!F11:I11)</f>
        <v>11988</v>
      </c>
      <c r="D18" s="3">
        <f>SUM(Reports!J11:M11)</f>
        <v>13037</v>
      </c>
      <c r="E18" s="3">
        <f>SUM(Reports!N11:Q11)</f>
        <v>14726</v>
      </c>
      <c r="F18" s="3">
        <f>SUM(Reports!R11:U11)</f>
        <v>16876</v>
      </c>
      <c r="G18" s="3">
        <f>SUM(Reports!V11:Y11)</f>
        <v>19269</v>
      </c>
      <c r="H18" s="3">
        <f t="shared" ref="H18:L18" si="11">G18*1.1</f>
        <v>21195.9</v>
      </c>
      <c r="I18" s="3">
        <f t="shared" si="11"/>
        <v>23315.490000000005</v>
      </c>
      <c r="J18" s="3">
        <f t="shared" si="11"/>
        <v>25647.039000000008</v>
      </c>
      <c r="K18" s="3">
        <f t="shared" si="11"/>
        <v>28211.742900000012</v>
      </c>
      <c r="L18" s="3">
        <f t="shared" si="11"/>
        <v>31032.917190000015</v>
      </c>
      <c r="M18" s="3">
        <f t="shared" ref="M18:V18" si="12">L18*1.02</f>
        <v>31653.575533800016</v>
      </c>
      <c r="N18" s="3">
        <f t="shared" si="12"/>
        <v>32286.647044476016</v>
      </c>
      <c r="O18" s="3">
        <f t="shared" si="12"/>
        <v>32932.379985365536</v>
      </c>
      <c r="P18" s="3">
        <f t="shared" si="12"/>
        <v>33591.02758507285</v>
      </c>
      <c r="Q18" s="3">
        <f t="shared" si="12"/>
        <v>34262.848136774308</v>
      </c>
      <c r="R18" s="3">
        <f t="shared" si="12"/>
        <v>34948.105099509798</v>
      </c>
      <c r="S18" s="3">
        <f t="shared" si="12"/>
        <v>35647.067201499995</v>
      </c>
      <c r="T18" s="3">
        <f t="shared" si="12"/>
        <v>36360.008545529992</v>
      </c>
      <c r="U18" s="3">
        <f t="shared" si="12"/>
        <v>37087.208716440589</v>
      </c>
      <c r="V18" s="3">
        <f t="shared" si="12"/>
        <v>37828.952890769404</v>
      </c>
    </row>
    <row r="19" spans="1:235" x14ac:dyDescent="0.15">
      <c r="A19" s="2" t="s">
        <v>13</v>
      </c>
      <c r="B19" s="4">
        <f>SUM(Reports!B12:E12)</f>
        <v>15713</v>
      </c>
      <c r="C19" s="4">
        <f>SUM(Reports!F12:I12)</f>
        <v>14697</v>
      </c>
      <c r="D19" s="3">
        <f>SUM(Reports!J12:M12)</f>
        <v>15461</v>
      </c>
      <c r="E19" s="3">
        <f>SUM(Reports!N12:Q12)</f>
        <v>17469</v>
      </c>
      <c r="F19" s="3">
        <f>SUM(Reports!R12:U12)</f>
        <v>18213</v>
      </c>
      <c r="G19" s="3">
        <f>SUM(Reports!V12:Y12)</f>
        <v>19598</v>
      </c>
      <c r="H19" s="3">
        <f t="shared" ref="H19:L19" si="13">G19*1.05</f>
        <v>20577.900000000001</v>
      </c>
      <c r="I19" s="3">
        <f t="shared" si="13"/>
        <v>21606.795000000002</v>
      </c>
      <c r="J19" s="3">
        <f t="shared" si="13"/>
        <v>22687.134750000005</v>
      </c>
      <c r="K19" s="3">
        <f t="shared" si="13"/>
        <v>23821.491487500007</v>
      </c>
      <c r="L19" s="3">
        <f t="shared" si="13"/>
        <v>25012.566061875008</v>
      </c>
      <c r="M19" s="3">
        <f t="shared" ref="M19:V19" si="14">L19*0.98</f>
        <v>24512.314740637506</v>
      </c>
      <c r="N19" s="3">
        <f t="shared" si="14"/>
        <v>24022.068445824756</v>
      </c>
      <c r="O19" s="3">
        <f t="shared" si="14"/>
        <v>23541.627076908262</v>
      </c>
      <c r="P19" s="3">
        <f t="shared" si="14"/>
        <v>23070.794535370096</v>
      </c>
      <c r="Q19" s="3">
        <f t="shared" si="14"/>
        <v>22609.378644662695</v>
      </c>
      <c r="R19" s="3">
        <f t="shared" si="14"/>
        <v>22157.191071769441</v>
      </c>
      <c r="S19" s="3">
        <f t="shared" si="14"/>
        <v>21714.047250334053</v>
      </c>
      <c r="T19" s="3">
        <f t="shared" si="14"/>
        <v>21279.766305327372</v>
      </c>
      <c r="U19" s="3">
        <f t="shared" si="14"/>
        <v>20854.170979220824</v>
      </c>
      <c r="V19" s="3">
        <f t="shared" si="14"/>
        <v>20437.087559636406</v>
      </c>
    </row>
    <row r="20" spans="1:235" x14ac:dyDescent="0.15">
      <c r="A20" s="2" t="s">
        <v>14</v>
      </c>
      <c r="B20" s="4">
        <f>SUM(Reports!B13:E13)</f>
        <v>4611</v>
      </c>
      <c r="C20" s="4">
        <f>SUM(Reports!F13:I13)</f>
        <v>4563</v>
      </c>
      <c r="D20" s="3">
        <f>SUM(Reports!J13:M13)</f>
        <v>4787</v>
      </c>
      <c r="E20" s="3">
        <f>SUM(Reports!N13:Q13)</f>
        <v>4754</v>
      </c>
      <c r="F20" s="3">
        <f>SUM(Reports!R13:U13)</f>
        <v>4885</v>
      </c>
      <c r="G20" s="3">
        <f>SUM(Reports!V13:Y13)</f>
        <v>5111</v>
      </c>
      <c r="H20" s="3">
        <f t="shared" ref="H20:L20" si="15">G20*0.98</f>
        <v>5008.78</v>
      </c>
      <c r="I20" s="3">
        <f t="shared" si="15"/>
        <v>4908.6043999999993</v>
      </c>
      <c r="J20" s="3">
        <f t="shared" si="15"/>
        <v>4810.432311999999</v>
      </c>
      <c r="K20" s="3">
        <f t="shared" si="15"/>
        <v>4714.2236657599988</v>
      </c>
      <c r="L20" s="3">
        <f t="shared" si="15"/>
        <v>4619.9391924447991</v>
      </c>
      <c r="M20" s="3">
        <f t="shared" ref="M20:V20" si="16">L20*0.98</f>
        <v>4527.5404085959035</v>
      </c>
      <c r="N20" s="3">
        <f t="shared" si="16"/>
        <v>4436.9896004239854</v>
      </c>
      <c r="O20" s="3">
        <f t="shared" si="16"/>
        <v>4348.2498084155059</v>
      </c>
      <c r="P20" s="3">
        <f t="shared" si="16"/>
        <v>4261.284812247196</v>
      </c>
      <c r="Q20" s="3">
        <f t="shared" si="16"/>
        <v>4176.0591160022523</v>
      </c>
      <c r="R20" s="3">
        <f t="shared" si="16"/>
        <v>4092.537933682207</v>
      </c>
      <c r="S20" s="3">
        <f t="shared" si="16"/>
        <v>4010.6871750085629</v>
      </c>
      <c r="T20" s="3">
        <f t="shared" si="16"/>
        <v>3930.4734315083915</v>
      </c>
      <c r="U20" s="3">
        <f t="shared" si="16"/>
        <v>3851.8639628782234</v>
      </c>
      <c r="V20" s="3">
        <f t="shared" si="16"/>
        <v>3774.826683620659</v>
      </c>
    </row>
    <row r="21" spans="1:235" x14ac:dyDescent="0.15">
      <c r="A21" s="2" t="s">
        <v>15</v>
      </c>
      <c r="B21" s="30">
        <f t="shared" ref="B21:G21" si="17">SUM(B18:B20)</f>
        <v>32370</v>
      </c>
      <c r="C21" s="30">
        <f t="shared" si="17"/>
        <v>31248</v>
      </c>
      <c r="D21" s="30">
        <f t="shared" si="17"/>
        <v>33285</v>
      </c>
      <c r="E21" s="30">
        <f t="shared" si="17"/>
        <v>36949</v>
      </c>
      <c r="F21" s="30">
        <f t="shared" si="17"/>
        <v>39974</v>
      </c>
      <c r="G21" s="30">
        <f t="shared" si="17"/>
        <v>43978</v>
      </c>
      <c r="H21" s="4">
        <f t="shared" ref="H21:Q21" si="18">SUM(H18:H20)</f>
        <v>46782.58</v>
      </c>
      <c r="I21" s="4">
        <f t="shared" si="18"/>
        <v>49830.8894</v>
      </c>
      <c r="J21" s="4">
        <f t="shared" si="18"/>
        <v>53144.606062000013</v>
      </c>
      <c r="K21" s="4">
        <f t="shared" si="18"/>
        <v>56747.458053260023</v>
      </c>
      <c r="L21" s="4">
        <f t="shared" si="18"/>
        <v>60665.422444319818</v>
      </c>
      <c r="M21" s="4">
        <f t="shared" si="18"/>
        <v>60693.430683033424</v>
      </c>
      <c r="N21" s="4">
        <f t="shared" si="18"/>
        <v>60745.705090724761</v>
      </c>
      <c r="O21" s="4">
        <f t="shared" si="18"/>
        <v>60822.256870689307</v>
      </c>
      <c r="P21" s="4">
        <f t="shared" si="18"/>
        <v>60923.106932690142</v>
      </c>
      <c r="Q21" s="4">
        <f t="shared" si="18"/>
        <v>61048.285897439251</v>
      </c>
      <c r="R21" s="4">
        <f t="shared" ref="R21:V21" si="19">SUM(R18:R20)</f>
        <v>61197.834104961446</v>
      </c>
      <c r="S21" s="4">
        <f t="shared" si="19"/>
        <v>61371.801626842607</v>
      </c>
      <c r="T21" s="4">
        <f t="shared" si="19"/>
        <v>61570.248282365756</v>
      </c>
      <c r="U21" s="4">
        <f t="shared" si="19"/>
        <v>61793.243658539635</v>
      </c>
      <c r="V21" s="4">
        <f t="shared" si="19"/>
        <v>62040.86713402647</v>
      </c>
    </row>
    <row r="22" spans="1:235" x14ac:dyDescent="0.15">
      <c r="A22" s="2" t="s">
        <v>16</v>
      </c>
      <c r="B22" s="30">
        <f t="shared" ref="B22:G22" si="20">B17-B21</f>
        <v>28172</v>
      </c>
      <c r="C22" s="30">
        <f t="shared" si="20"/>
        <v>21292</v>
      </c>
      <c r="D22" s="30">
        <f t="shared" si="20"/>
        <v>29025</v>
      </c>
      <c r="E22" s="30">
        <f t="shared" si="20"/>
        <v>35058</v>
      </c>
      <c r="F22" s="30">
        <f t="shared" si="20"/>
        <v>42959</v>
      </c>
      <c r="G22" s="30">
        <f t="shared" si="20"/>
        <v>52959</v>
      </c>
      <c r="H22" s="4">
        <f t="shared" ref="H22:Q22" si="21">H17-H21</f>
        <v>64601.499998251922</v>
      </c>
      <c r="I22" s="4">
        <f t="shared" si="21"/>
        <v>74100.940843397533</v>
      </c>
      <c r="J22" s="4">
        <f t="shared" si="21"/>
        <v>85735.531204355852</v>
      </c>
      <c r="K22" s="4">
        <f t="shared" si="21"/>
        <v>99918.298046907759</v>
      </c>
      <c r="L22" s="4">
        <f t="shared" si="21"/>
        <v>117141.40703842111</v>
      </c>
      <c r="M22" s="4">
        <f t="shared" si="21"/>
        <v>126003.74027384457</v>
      </c>
      <c r="N22" s="4">
        <f t="shared" si="21"/>
        <v>135286.32441399712</v>
      </c>
      <c r="O22" s="4">
        <f t="shared" si="21"/>
        <v>145011.37410926871</v>
      </c>
      <c r="P22" s="4">
        <f t="shared" si="21"/>
        <v>155202.20559626579</v>
      </c>
      <c r="Q22" s="4">
        <f t="shared" si="21"/>
        <v>165883.29225796447</v>
      </c>
      <c r="R22" s="4">
        <f t="shared" ref="R22:V22" si="22">R17-R21</f>
        <v>177080.32295821246</v>
      </c>
      <c r="S22" s="4">
        <f t="shared" si="22"/>
        <v>188820.26328948999</v>
      </c>
      <c r="T22" s="4">
        <f t="shared" si="22"/>
        <v>201131.4198797835</v>
      </c>
      <c r="U22" s="4">
        <f t="shared" si="22"/>
        <v>214043.50791171708</v>
      </c>
      <c r="V22" s="4">
        <f t="shared" si="22"/>
        <v>227587.72201474308</v>
      </c>
    </row>
    <row r="23" spans="1:235" x14ac:dyDescent="0.15">
      <c r="A23" s="2" t="s">
        <v>18</v>
      </c>
      <c r="B23" s="4">
        <f>SUM(Reports!B16:E16)</f>
        <v>346</v>
      </c>
      <c r="C23" s="4">
        <f>SUM(Reports!F16:I16)</f>
        <v>-431</v>
      </c>
      <c r="D23" s="3">
        <f>SUM(Reports!J16:M16)</f>
        <v>876</v>
      </c>
      <c r="E23" s="3">
        <f>SUM(Reports!N16:Q16)</f>
        <v>1416</v>
      </c>
      <c r="F23" s="3">
        <f>SUM(Reports!R16:U16)</f>
        <v>729</v>
      </c>
      <c r="G23" s="3">
        <f>SUM(Reports!V16:Y16)</f>
        <v>77</v>
      </c>
      <c r="H23" s="3">
        <f t="shared" ref="H23:V23" si="23">G40*$F$3</f>
        <v>1342.82</v>
      </c>
      <c r="I23" s="3">
        <f t="shared" si="23"/>
        <v>2463.873439970283</v>
      </c>
      <c r="J23" s="3">
        <f t="shared" si="23"/>
        <v>3765.4752827875359</v>
      </c>
      <c r="K23" s="3">
        <f>J40*$F$3</f>
        <v>5286.9923930689738</v>
      </c>
      <c r="L23" s="3">
        <f t="shared" si="23"/>
        <v>7075.4823305485779</v>
      </c>
      <c r="M23" s="3">
        <f t="shared" si="23"/>
        <v>9187.1694498210636</v>
      </c>
      <c r="N23" s="3">
        <f t="shared" si="23"/>
        <v>11485.41491512338</v>
      </c>
      <c r="O23" s="3">
        <f t="shared" si="23"/>
        <v>13980.534483718428</v>
      </c>
      <c r="P23" s="3">
        <f t="shared" si="23"/>
        <v>16683.396929799208</v>
      </c>
      <c r="Q23" s="3">
        <f t="shared" si="23"/>
        <v>19605.452172742313</v>
      </c>
      <c r="R23" s="3">
        <f t="shared" si="23"/>
        <v>22758.760828064333</v>
      </c>
      <c r="S23" s="3">
        <f t="shared" si="23"/>
        <v>26156.025252431034</v>
      </c>
      <c r="T23" s="3">
        <f t="shared" si="23"/>
        <v>29810.622157643695</v>
      </c>
      <c r="U23" s="3">
        <f t="shared" si="23"/>
        <v>33736.63687227996</v>
      </c>
      <c r="V23" s="3">
        <f t="shared" si="23"/>
        <v>37948.899333607907</v>
      </c>
    </row>
    <row r="24" spans="1:235" x14ac:dyDescent="0.15">
      <c r="A24" s="2" t="s">
        <v>19</v>
      </c>
      <c r="B24" s="30">
        <f t="shared" ref="B24:G24" si="24">B22+B23</f>
        <v>28518</v>
      </c>
      <c r="C24" s="30">
        <f t="shared" si="24"/>
        <v>20861</v>
      </c>
      <c r="D24" s="30">
        <f t="shared" si="24"/>
        <v>29901</v>
      </c>
      <c r="E24" s="30">
        <f t="shared" si="24"/>
        <v>36474</v>
      </c>
      <c r="F24" s="30">
        <f t="shared" si="24"/>
        <v>43688</v>
      </c>
      <c r="G24" s="30">
        <f t="shared" si="24"/>
        <v>53036</v>
      </c>
      <c r="H24" s="4">
        <f t="shared" ref="H24:Q24" si="25">H22+H23</f>
        <v>65944.319998251929</v>
      </c>
      <c r="I24" s="4">
        <f t="shared" si="25"/>
        <v>76564.814283367814</v>
      </c>
      <c r="J24" s="4">
        <f t="shared" si="25"/>
        <v>89501.006487143386</v>
      </c>
      <c r="K24" s="4">
        <f t="shared" si="25"/>
        <v>105205.29043997673</v>
      </c>
      <c r="L24" s="4">
        <f t="shared" si="25"/>
        <v>124216.88936896969</v>
      </c>
      <c r="M24" s="4">
        <f t="shared" si="25"/>
        <v>135190.90972366562</v>
      </c>
      <c r="N24" s="4">
        <f t="shared" si="25"/>
        <v>146771.73932912049</v>
      </c>
      <c r="O24" s="4">
        <f t="shared" si="25"/>
        <v>158991.90859298714</v>
      </c>
      <c r="P24" s="4">
        <f t="shared" si="25"/>
        <v>171885.60252606499</v>
      </c>
      <c r="Q24" s="4">
        <f t="shared" si="25"/>
        <v>185488.74443070678</v>
      </c>
      <c r="R24" s="4">
        <f t="shared" ref="R24:V24" si="26">R22+R23</f>
        <v>199839.08378627681</v>
      </c>
      <c r="S24" s="4">
        <f t="shared" si="26"/>
        <v>214976.28854192101</v>
      </c>
      <c r="T24" s="4">
        <f t="shared" si="26"/>
        <v>230942.04203742719</v>
      </c>
      <c r="U24" s="4">
        <f t="shared" si="26"/>
        <v>247780.14478399704</v>
      </c>
      <c r="V24" s="4">
        <f t="shared" si="26"/>
        <v>265536.62134835101</v>
      </c>
    </row>
    <row r="25" spans="1:235" x14ac:dyDescent="0.15">
      <c r="A25" s="2" t="s">
        <v>20</v>
      </c>
      <c r="B25" s="4">
        <f>SUM(Reports!B18:E18)</f>
        <v>6314</v>
      </c>
      <c r="C25" s="4">
        <f>SUM(Reports!F18:I18)</f>
        <v>3255</v>
      </c>
      <c r="D25" s="3">
        <f>SUM(Reports!J18:M18)</f>
        <v>4412</v>
      </c>
      <c r="E25" s="3">
        <f>SUM(Reports!N18:Q18)</f>
        <v>6048.9779559118233</v>
      </c>
      <c r="F25" s="3">
        <f>SUM(Reports!R18:U18)</f>
        <v>4448</v>
      </c>
      <c r="G25" s="3">
        <f>SUM(Reports!V18:Y18)</f>
        <v>8755</v>
      </c>
      <c r="H25" s="3">
        <f t="shared" ref="H25:Q25" si="27">H24*0.15</f>
        <v>9891.6479997377883</v>
      </c>
      <c r="I25" s="3">
        <f t="shared" si="27"/>
        <v>11484.722142505172</v>
      </c>
      <c r="J25" s="3">
        <f t="shared" si="27"/>
        <v>13425.150973071508</v>
      </c>
      <c r="K25" s="3">
        <f t="shared" si="27"/>
        <v>15780.793565996508</v>
      </c>
      <c r="L25" s="3">
        <f t="shared" si="27"/>
        <v>18632.533405345454</v>
      </c>
      <c r="M25" s="3">
        <f t="shared" si="27"/>
        <v>20278.636458549841</v>
      </c>
      <c r="N25" s="3">
        <f t="shared" si="27"/>
        <v>22015.760899368073</v>
      </c>
      <c r="O25" s="3">
        <f t="shared" si="27"/>
        <v>23848.786288948071</v>
      </c>
      <c r="P25" s="3">
        <f t="shared" si="27"/>
        <v>25782.840378909747</v>
      </c>
      <c r="Q25" s="3">
        <f t="shared" si="27"/>
        <v>27823.311664606015</v>
      </c>
      <c r="R25" s="3">
        <f t="shared" ref="R25:V25" si="28">R24*0.15</f>
        <v>29975.86256794152</v>
      </c>
      <c r="S25" s="3">
        <f t="shared" si="28"/>
        <v>32246.44328128815</v>
      </c>
      <c r="T25" s="3">
        <f t="shared" si="28"/>
        <v>34641.306305614075</v>
      </c>
      <c r="U25" s="3">
        <f t="shared" si="28"/>
        <v>37167.021717599557</v>
      </c>
      <c r="V25" s="3">
        <f t="shared" si="28"/>
        <v>39830.493202252648</v>
      </c>
    </row>
    <row r="26" spans="1:235" s="7" customFormat="1" x14ac:dyDescent="0.15">
      <c r="A26" s="7" t="s">
        <v>21</v>
      </c>
      <c r="B26" s="29">
        <f>B24-B25</f>
        <v>22204</v>
      </c>
      <c r="C26" s="29">
        <f>C24-C25</f>
        <v>17606</v>
      </c>
      <c r="D26" s="29">
        <f>D24-D25</f>
        <v>25489</v>
      </c>
      <c r="E26" s="28">
        <f>E24-E25</f>
        <v>30425.022044088175</v>
      </c>
      <c r="F26" s="28">
        <f t="shared" ref="F26:Q26" si="29">F24-F25</f>
        <v>39240</v>
      </c>
      <c r="G26" s="28">
        <f t="shared" si="29"/>
        <v>44281</v>
      </c>
      <c r="H26" s="28">
        <f>H24-H25</f>
        <v>56052.671998514139</v>
      </c>
      <c r="I26" s="28">
        <f t="shared" si="29"/>
        <v>65080.092140862645</v>
      </c>
      <c r="J26" s="28">
        <f t="shared" si="29"/>
        <v>76075.855514071882</v>
      </c>
      <c r="K26" s="28">
        <f t="shared" si="29"/>
        <v>89424.496873980213</v>
      </c>
      <c r="L26" s="28">
        <f t="shared" si="29"/>
        <v>105584.35596362423</v>
      </c>
      <c r="M26" s="28">
        <f t="shared" si="29"/>
        <v>114912.27326511579</v>
      </c>
      <c r="N26" s="28">
        <f t="shared" si="29"/>
        <v>124755.97842975242</v>
      </c>
      <c r="O26" s="28">
        <f t="shared" si="29"/>
        <v>135143.12230403908</v>
      </c>
      <c r="P26" s="28">
        <f t="shared" si="29"/>
        <v>146102.76214715524</v>
      </c>
      <c r="Q26" s="28">
        <f t="shared" si="29"/>
        <v>157665.43276610077</v>
      </c>
      <c r="R26" s="28">
        <f t="shared" ref="R26:V26" si="30">R24-R25</f>
        <v>169863.2212183353</v>
      </c>
      <c r="S26" s="28">
        <f t="shared" si="30"/>
        <v>182729.84526063286</v>
      </c>
      <c r="T26" s="28">
        <f t="shared" si="30"/>
        <v>196300.73573181313</v>
      </c>
      <c r="U26" s="28">
        <f t="shared" si="30"/>
        <v>210613.12306639747</v>
      </c>
      <c r="V26" s="28">
        <f t="shared" si="30"/>
        <v>225706.12814609834</v>
      </c>
      <c r="W26" s="28">
        <f t="shared" ref="W26:CD26" si="31">V26*($F$2+1)</f>
        <v>223449.06686463737</v>
      </c>
      <c r="X26" s="28">
        <f t="shared" si="31"/>
        <v>221214.57619599099</v>
      </c>
      <c r="Y26" s="28">
        <f t="shared" si="31"/>
        <v>219002.43043403106</v>
      </c>
      <c r="Z26" s="28">
        <f t="shared" si="31"/>
        <v>216812.40612969076</v>
      </c>
      <c r="AA26" s="28">
        <f t="shared" si="31"/>
        <v>214644.28206839386</v>
      </c>
      <c r="AB26" s="28">
        <f t="shared" si="31"/>
        <v>212497.83924770993</v>
      </c>
      <c r="AC26" s="28">
        <f t="shared" si="31"/>
        <v>210372.86085523284</v>
      </c>
      <c r="AD26" s="28">
        <f t="shared" si="31"/>
        <v>208269.1322466805</v>
      </c>
      <c r="AE26" s="28">
        <f t="shared" si="31"/>
        <v>206186.4409242137</v>
      </c>
      <c r="AF26" s="28">
        <f t="shared" si="31"/>
        <v>204124.57651497156</v>
      </c>
      <c r="AG26" s="28">
        <f t="shared" si="31"/>
        <v>202083.33074982185</v>
      </c>
      <c r="AH26" s="28">
        <f t="shared" si="31"/>
        <v>200062.49744232363</v>
      </c>
      <c r="AI26" s="28">
        <f t="shared" si="31"/>
        <v>198061.87246790039</v>
      </c>
      <c r="AJ26" s="28">
        <f t="shared" si="31"/>
        <v>196081.2537432214</v>
      </c>
      <c r="AK26" s="28">
        <f t="shared" si="31"/>
        <v>194120.44120578919</v>
      </c>
      <c r="AL26" s="28">
        <f t="shared" si="31"/>
        <v>192179.23679373131</v>
      </c>
      <c r="AM26" s="28">
        <f t="shared" si="31"/>
        <v>190257.444425794</v>
      </c>
      <c r="AN26" s="28">
        <f t="shared" si="31"/>
        <v>188354.86998153606</v>
      </c>
      <c r="AO26" s="28">
        <f t="shared" si="31"/>
        <v>186471.32128172071</v>
      </c>
      <c r="AP26" s="28">
        <f t="shared" si="31"/>
        <v>184606.6080689035</v>
      </c>
      <c r="AQ26" s="28">
        <f t="shared" si="31"/>
        <v>182760.54198821448</v>
      </c>
      <c r="AR26" s="28">
        <f t="shared" si="31"/>
        <v>180932.93656833234</v>
      </c>
      <c r="AS26" s="28">
        <f t="shared" si="31"/>
        <v>179123.60720264903</v>
      </c>
      <c r="AT26" s="28">
        <f t="shared" si="31"/>
        <v>177332.37113062255</v>
      </c>
      <c r="AU26" s="28">
        <f t="shared" si="31"/>
        <v>175559.04741931631</v>
      </c>
      <c r="AV26" s="28">
        <f t="shared" si="31"/>
        <v>173803.45694512315</v>
      </c>
      <c r="AW26" s="28">
        <f t="shared" si="31"/>
        <v>172065.42237567191</v>
      </c>
      <c r="AX26" s="28">
        <f t="shared" si="31"/>
        <v>170344.7681519152</v>
      </c>
      <c r="AY26" s="28">
        <f t="shared" si="31"/>
        <v>168641.32047039605</v>
      </c>
      <c r="AZ26" s="28">
        <f t="shared" si="31"/>
        <v>166954.90726569208</v>
      </c>
      <c r="BA26" s="28">
        <f t="shared" si="31"/>
        <v>165285.35819303515</v>
      </c>
      <c r="BB26" s="28">
        <f t="shared" si="31"/>
        <v>163632.50461110478</v>
      </c>
      <c r="BC26" s="28">
        <f t="shared" si="31"/>
        <v>161996.17956499374</v>
      </c>
      <c r="BD26" s="28">
        <f t="shared" si="31"/>
        <v>160376.21776934381</v>
      </c>
      <c r="BE26" s="28">
        <f t="shared" si="31"/>
        <v>158772.45559165036</v>
      </c>
      <c r="BF26" s="28">
        <f t="shared" si="31"/>
        <v>157184.73103573386</v>
      </c>
      <c r="BG26" s="28">
        <f t="shared" si="31"/>
        <v>155612.88372537651</v>
      </c>
      <c r="BH26" s="28">
        <f t="shared" si="31"/>
        <v>154056.75488812276</v>
      </c>
      <c r="BI26" s="28">
        <f t="shared" si="31"/>
        <v>152516.18733924153</v>
      </c>
      <c r="BJ26" s="28">
        <f t="shared" si="31"/>
        <v>150991.02546584912</v>
      </c>
      <c r="BK26" s="28">
        <f t="shared" si="31"/>
        <v>149481.11521119063</v>
      </c>
      <c r="BL26" s="28">
        <f t="shared" si="31"/>
        <v>147986.30405907871</v>
      </c>
      <c r="BM26" s="28">
        <f t="shared" si="31"/>
        <v>146506.44101848794</v>
      </c>
      <c r="BN26" s="28">
        <f t="shared" si="31"/>
        <v>145041.37660830305</v>
      </c>
      <c r="BO26" s="28">
        <f t="shared" si="31"/>
        <v>143590.96284222</v>
      </c>
      <c r="BP26" s="28">
        <f t="shared" si="31"/>
        <v>142155.0532137978</v>
      </c>
      <c r="BQ26" s="28">
        <f t="shared" si="31"/>
        <v>140733.50268165983</v>
      </c>
      <c r="BR26" s="28">
        <f t="shared" si="31"/>
        <v>139326.16765484322</v>
      </c>
      <c r="BS26" s="28">
        <f t="shared" si="31"/>
        <v>137932.90597829479</v>
      </c>
      <c r="BT26" s="28">
        <f t="shared" si="31"/>
        <v>136553.57691851183</v>
      </c>
      <c r="BU26" s="28">
        <f t="shared" si="31"/>
        <v>135188.04114932672</v>
      </c>
      <c r="BV26" s="28">
        <f t="shared" si="31"/>
        <v>133836.16073783344</v>
      </c>
      <c r="BW26" s="28">
        <f t="shared" si="31"/>
        <v>132497.7991304551</v>
      </c>
      <c r="BX26" s="28">
        <f t="shared" si="31"/>
        <v>131172.82113915053</v>
      </c>
      <c r="BY26" s="28">
        <f t="shared" si="31"/>
        <v>129861.09292775902</v>
      </c>
      <c r="BZ26" s="28">
        <f t="shared" si="31"/>
        <v>128562.48199848142</v>
      </c>
      <c r="CA26" s="28">
        <f t="shared" si="31"/>
        <v>127276.8571784966</v>
      </c>
      <c r="CB26" s="28">
        <f t="shared" si="31"/>
        <v>126004.08860671164</v>
      </c>
      <c r="CC26" s="28">
        <f t="shared" si="31"/>
        <v>124744.04772064452</v>
      </c>
      <c r="CD26" s="28">
        <f t="shared" si="31"/>
        <v>123496.60724343808</v>
      </c>
      <c r="CE26" s="28">
        <f t="shared" ref="CE26:DR26" si="32">CD26*($F$2+1)</f>
        <v>122261.64117100369</v>
      </c>
      <c r="CF26" s="28">
        <f t="shared" si="32"/>
        <v>121039.02475929365</v>
      </c>
      <c r="CG26" s="28">
        <f t="shared" si="32"/>
        <v>119828.63451170071</v>
      </c>
      <c r="CH26" s="28">
        <f t="shared" si="32"/>
        <v>118630.3481665837</v>
      </c>
      <c r="CI26" s="28">
        <f t="shared" si="32"/>
        <v>117444.04468491787</v>
      </c>
      <c r="CJ26" s="28">
        <f t="shared" si="32"/>
        <v>116269.60423806868</v>
      </c>
      <c r="CK26" s="28">
        <f t="shared" si="32"/>
        <v>115106.908195688</v>
      </c>
      <c r="CL26" s="28">
        <f t="shared" si="32"/>
        <v>113955.83911373111</v>
      </c>
      <c r="CM26" s="28">
        <f t="shared" si="32"/>
        <v>112816.2807225938</v>
      </c>
      <c r="CN26" s="28">
        <f t="shared" si="32"/>
        <v>111688.11791536787</v>
      </c>
      <c r="CO26" s="28">
        <f t="shared" si="32"/>
        <v>110571.23673621418</v>
      </c>
      <c r="CP26" s="28">
        <f t="shared" si="32"/>
        <v>109465.52436885204</v>
      </c>
      <c r="CQ26" s="28">
        <f t="shared" si="32"/>
        <v>108370.86912516352</v>
      </c>
      <c r="CR26" s="28">
        <f t="shared" si="32"/>
        <v>107287.16043391188</v>
      </c>
      <c r="CS26" s="28">
        <f t="shared" si="32"/>
        <v>106214.28882957276</v>
      </c>
      <c r="CT26" s="28">
        <f t="shared" si="32"/>
        <v>105152.14594127703</v>
      </c>
      <c r="CU26" s="28">
        <f t="shared" si="32"/>
        <v>104100.62448186426</v>
      </c>
      <c r="CV26" s="28">
        <f t="shared" si="32"/>
        <v>103059.61823704562</v>
      </c>
      <c r="CW26" s="28">
        <f t="shared" si="32"/>
        <v>102029.02205467517</v>
      </c>
      <c r="CX26" s="28">
        <f t="shared" si="32"/>
        <v>101008.73183412841</v>
      </c>
      <c r="CY26" s="28">
        <f t="shared" si="32"/>
        <v>99998.64451578712</v>
      </c>
      <c r="CZ26" s="28">
        <f t="shared" si="32"/>
        <v>98998.658070629244</v>
      </c>
      <c r="DA26" s="28">
        <f t="shared" si="32"/>
        <v>98008.671489922956</v>
      </c>
      <c r="DB26" s="28">
        <f t="shared" si="32"/>
        <v>97028.58477502373</v>
      </c>
      <c r="DC26" s="28">
        <f t="shared" si="32"/>
        <v>96058.298927273485</v>
      </c>
      <c r="DD26" s="28">
        <f t="shared" si="32"/>
        <v>95097.715938000751</v>
      </c>
      <c r="DE26" s="28">
        <f t="shared" si="32"/>
        <v>94146.73877862074</v>
      </c>
      <c r="DF26" s="28">
        <f t="shared" si="32"/>
        <v>93205.271390834532</v>
      </c>
      <c r="DG26" s="28">
        <f t="shared" si="32"/>
        <v>92273.21867692619</v>
      </c>
      <c r="DH26" s="28">
        <f t="shared" si="32"/>
        <v>91350.486490156924</v>
      </c>
      <c r="DI26" s="28">
        <f t="shared" si="32"/>
        <v>90436.981625255357</v>
      </c>
      <c r="DJ26" s="28">
        <f t="shared" si="32"/>
        <v>89532.611809002803</v>
      </c>
      <c r="DK26" s="28">
        <f t="shared" si="32"/>
        <v>88637.285690912773</v>
      </c>
      <c r="DL26" s="28">
        <f t="shared" si="32"/>
        <v>87750.91283400364</v>
      </c>
      <c r="DM26" s="28">
        <f t="shared" si="32"/>
        <v>86873.403705663601</v>
      </c>
      <c r="DN26" s="28">
        <f t="shared" si="32"/>
        <v>86004.669668606963</v>
      </c>
      <c r="DO26" s="28">
        <f t="shared" si="32"/>
        <v>85144.622971920893</v>
      </c>
      <c r="DP26" s="28">
        <f t="shared" si="32"/>
        <v>84293.176742201686</v>
      </c>
      <c r="DQ26" s="28">
        <f t="shared" si="32"/>
        <v>83450.244974779664</v>
      </c>
      <c r="DR26" s="28">
        <f t="shared" si="32"/>
        <v>82615.742525031863</v>
      </c>
      <c r="DS26" s="28">
        <f t="shared" ref="DS26" si="33">DR26*($F$2+1)</f>
        <v>81789.585099781543</v>
      </c>
      <c r="DT26" s="28">
        <f t="shared" ref="DT26" si="34">DS26*($F$2+1)</f>
        <v>80971.689248783732</v>
      </c>
      <c r="DU26" s="28">
        <f t="shared" ref="DU26" si="35">DT26*($F$2+1)</f>
        <v>80161.972356295897</v>
      </c>
      <c r="DV26" s="28">
        <f t="shared" ref="DV26" si="36">DU26*($F$2+1)</f>
        <v>79360.352632732931</v>
      </c>
      <c r="DW26" s="28">
        <f t="shared" ref="DW26" si="37">DV26*($F$2+1)</f>
        <v>78566.749106405594</v>
      </c>
      <c r="DX26" s="28">
        <f t="shared" ref="DX26" si="38">DW26*($F$2+1)</f>
        <v>77781.081615341536</v>
      </c>
      <c r="DY26" s="28">
        <f t="shared" ref="DY26" si="39">DX26*($F$2+1)</f>
        <v>77003.270799188118</v>
      </c>
      <c r="DZ26" s="28">
        <f t="shared" ref="DZ26" si="40">DY26*($F$2+1)</f>
        <v>76233.238091196239</v>
      </c>
      <c r="EA26" s="28">
        <f t="shared" ref="EA26" si="41">DZ26*($F$2+1)</f>
        <v>75470.905710284278</v>
      </c>
      <c r="EB26" s="28">
        <f t="shared" ref="EB26" si="42">EA26*($F$2+1)</f>
        <v>74716.19665318144</v>
      </c>
      <c r="EC26" s="28">
        <f t="shared" ref="EC26" si="43">EB26*($F$2+1)</f>
        <v>73969.034686649626</v>
      </c>
      <c r="ED26" s="28">
        <f t="shared" ref="ED26" si="44">EC26*($F$2+1)</f>
        <v>73229.344339783129</v>
      </c>
      <c r="EE26" s="28">
        <f t="shared" ref="EE26" si="45">ED26*($F$2+1)</f>
        <v>72497.050896385292</v>
      </c>
      <c r="EF26" s="28">
        <f t="shared" ref="EF26" si="46">EE26*($F$2+1)</f>
        <v>71772.080387421433</v>
      </c>
      <c r="EG26" s="28">
        <f t="shared" ref="EG26" si="47">EF26*($F$2+1)</f>
        <v>71054.359583547222</v>
      </c>
      <c r="EH26" s="28">
        <f t="shared" ref="EH26" si="48">EG26*($F$2+1)</f>
        <v>70343.815987711743</v>
      </c>
      <c r="EI26" s="28">
        <f t="shared" ref="EI26" si="49">EH26*($F$2+1)</f>
        <v>69640.377827834629</v>
      </c>
      <c r="EJ26" s="28">
        <f t="shared" ref="EJ26" si="50">EI26*($F$2+1)</f>
        <v>68943.974049556287</v>
      </c>
      <c r="EK26" s="28">
        <f t="shared" ref="EK26" si="51">EJ26*($F$2+1)</f>
        <v>68254.53430906072</v>
      </c>
      <c r="EL26" s="28">
        <f t="shared" ref="EL26" si="52">EK26*($F$2+1)</f>
        <v>67571.988965970115</v>
      </c>
      <c r="EM26" s="28">
        <f t="shared" ref="EM26" si="53">EL26*($F$2+1)</f>
        <v>66896.269076310418</v>
      </c>
      <c r="EN26" s="28">
        <f t="shared" ref="EN26" si="54">EM26*($F$2+1)</f>
        <v>66227.306385547316</v>
      </c>
      <c r="EO26" s="28">
        <f t="shared" ref="EO26" si="55">EN26*($F$2+1)</f>
        <v>65565.033321691837</v>
      </c>
      <c r="EP26" s="28">
        <f t="shared" ref="EP26" si="56">EO26*($F$2+1)</f>
        <v>64909.382988474921</v>
      </c>
      <c r="EQ26" s="28">
        <f t="shared" ref="EQ26" si="57">EP26*($F$2+1)</f>
        <v>64260.289158590174</v>
      </c>
      <c r="ER26" s="28">
        <f t="shared" ref="ER26" si="58">EQ26*($F$2+1)</f>
        <v>63617.686267004276</v>
      </c>
      <c r="ES26" s="28">
        <f t="shared" ref="ES26" si="59">ER26*($F$2+1)</f>
        <v>62981.509404334232</v>
      </c>
      <c r="ET26" s="28">
        <f t="shared" ref="ET26" si="60">ES26*($F$2+1)</f>
        <v>62351.694310290892</v>
      </c>
      <c r="EU26" s="28">
        <f t="shared" ref="EU26" si="61">ET26*($F$2+1)</f>
        <v>61728.177367187986</v>
      </c>
      <c r="EV26" s="28">
        <f t="shared" ref="EV26" si="62">EU26*($F$2+1)</f>
        <v>61110.895593516107</v>
      </c>
      <c r="EW26" s="28">
        <f t="shared" ref="EW26" si="63">EV26*($F$2+1)</f>
        <v>60499.786637580946</v>
      </c>
      <c r="EX26" s="28">
        <f t="shared" ref="EX26" si="64">EW26*($F$2+1)</f>
        <v>59894.788771205138</v>
      </c>
      <c r="EY26" s="28">
        <f t="shared" ref="EY26" si="65">EX26*($F$2+1)</f>
        <v>59295.840883493089</v>
      </c>
      <c r="EZ26" s="28">
        <f t="shared" ref="EZ26" si="66">EY26*($F$2+1)</f>
        <v>58702.882474658159</v>
      </c>
      <c r="FA26" s="28">
        <f t="shared" ref="FA26" si="67">EZ26*($F$2+1)</f>
        <v>58115.85364991158</v>
      </c>
      <c r="FB26" s="28">
        <f t="shared" ref="FB26" si="68">FA26*($F$2+1)</f>
        <v>57534.695113412461</v>
      </c>
      <c r="FC26" s="28">
        <f t="shared" ref="FC26" si="69">FB26*($F$2+1)</f>
        <v>56959.348162278337</v>
      </c>
      <c r="FD26" s="28">
        <f t="shared" ref="FD26" si="70">FC26*($F$2+1)</f>
        <v>56389.754680655555</v>
      </c>
      <c r="FE26" s="28">
        <f t="shared" ref="FE26" si="71">FD26*($F$2+1)</f>
        <v>55825.857133849</v>
      </c>
      <c r="FF26" s="28">
        <f t="shared" ref="FF26" si="72">FE26*($F$2+1)</f>
        <v>55267.59856251051</v>
      </c>
      <c r="FG26" s="28">
        <f t="shared" ref="FG26" si="73">FF26*($F$2+1)</f>
        <v>54714.922576885401</v>
      </c>
      <c r="FH26" s="28">
        <f t="shared" ref="FH26" si="74">FG26*($F$2+1)</f>
        <v>54167.77335111655</v>
      </c>
      <c r="FI26" s="28">
        <f t="shared" ref="FI26" si="75">FH26*($F$2+1)</f>
        <v>53626.095617605381</v>
      </c>
      <c r="FJ26" s="28">
        <f t="shared" ref="FJ26" si="76">FI26*($F$2+1)</f>
        <v>53089.834661429326</v>
      </c>
      <c r="FK26" s="28">
        <f t="shared" ref="FK26" si="77">FJ26*($F$2+1)</f>
        <v>52558.93631481503</v>
      </c>
      <c r="FL26" s="28">
        <f t="shared" ref="FL26" si="78">FK26*($F$2+1)</f>
        <v>52033.346951666877</v>
      </c>
      <c r="FM26" s="28">
        <f t="shared" ref="FM26" si="79">FL26*($F$2+1)</f>
        <v>51513.013482150207</v>
      </c>
      <c r="FN26" s="28">
        <f t="shared" ref="FN26" si="80">FM26*($F$2+1)</f>
        <v>50997.883347328701</v>
      </c>
      <c r="FO26" s="28">
        <f t="shared" ref="FO26" si="81">FN26*($F$2+1)</f>
        <v>50487.904513855414</v>
      </c>
      <c r="FP26" s="28">
        <f t="shared" ref="FP26" si="82">FO26*($F$2+1)</f>
        <v>49983.025468716856</v>
      </c>
      <c r="FQ26" s="28">
        <f t="shared" ref="FQ26" si="83">FP26*($F$2+1)</f>
        <v>49483.195214029685</v>
      </c>
      <c r="FR26" s="28">
        <f t="shared" ref="FR26" si="84">FQ26*($F$2+1)</f>
        <v>48988.36326188939</v>
      </c>
      <c r="FS26" s="28">
        <f t="shared" ref="FS26" si="85">FR26*($F$2+1)</f>
        <v>48498.479629270492</v>
      </c>
      <c r="FT26" s="28">
        <f t="shared" ref="FT26" si="86">FS26*($F$2+1)</f>
        <v>48013.494832977784</v>
      </c>
      <c r="FU26" s="28">
        <f t="shared" ref="FU26" si="87">FT26*($F$2+1)</f>
        <v>47533.359884648002</v>
      </c>
      <c r="FV26" s="28">
        <f t="shared" ref="FV26" si="88">FU26*($F$2+1)</f>
        <v>47058.026285801519</v>
      </c>
      <c r="FW26" s="28">
        <f t="shared" ref="FW26" si="89">FV26*($F$2+1)</f>
        <v>46587.446022943506</v>
      </c>
      <c r="FX26" s="28">
        <f t="shared" ref="FX26" si="90">FW26*($F$2+1)</f>
        <v>46121.571562714074</v>
      </c>
      <c r="FY26" s="28">
        <f t="shared" ref="FY26" si="91">FX26*($F$2+1)</f>
        <v>45660.355847086932</v>
      </c>
      <c r="FZ26" s="28">
        <f t="shared" ref="FZ26" si="92">FY26*($F$2+1)</f>
        <v>45203.752288616066</v>
      </c>
      <c r="GA26" s="28">
        <f t="shared" ref="GA26" si="93">FZ26*($F$2+1)</f>
        <v>44751.714765729907</v>
      </c>
      <c r="GB26" s="28">
        <f t="shared" ref="GB26" si="94">GA26*($F$2+1)</f>
        <v>44304.197618072605</v>
      </c>
      <c r="GC26" s="28">
        <f t="shared" ref="GC26" si="95">GB26*($F$2+1)</f>
        <v>43861.155641891877</v>
      </c>
      <c r="GD26" s="28">
        <f t="shared" ref="GD26" si="96">GC26*($F$2+1)</f>
        <v>43422.54408547296</v>
      </c>
      <c r="GE26" s="28">
        <f t="shared" ref="GE26" si="97">GD26*($F$2+1)</f>
        <v>42988.31864461823</v>
      </c>
      <c r="GF26" s="28">
        <f t="shared" ref="GF26" si="98">GE26*($F$2+1)</f>
        <v>42558.435458172047</v>
      </c>
      <c r="GG26" s="28">
        <f t="shared" ref="GG26" si="99">GF26*($F$2+1)</f>
        <v>42132.851103590328</v>
      </c>
      <c r="GH26" s="28">
        <f t="shared" ref="GH26" si="100">GG26*($F$2+1)</f>
        <v>41711.522592554422</v>
      </c>
      <c r="GI26" s="28">
        <f t="shared" ref="GI26" si="101">GH26*($F$2+1)</f>
        <v>41294.407366628875</v>
      </c>
      <c r="GJ26" s="28">
        <f t="shared" ref="GJ26" si="102">GI26*($F$2+1)</f>
        <v>40881.463292962588</v>
      </c>
      <c r="GK26" s="28">
        <f t="shared" ref="GK26" si="103">GJ26*($F$2+1)</f>
        <v>40472.648660032959</v>
      </c>
      <c r="GL26" s="28">
        <f t="shared" ref="GL26" si="104">GK26*($F$2+1)</f>
        <v>40067.922173432627</v>
      </c>
      <c r="GM26" s="28">
        <f t="shared" ref="GM26" si="105">GL26*($F$2+1)</f>
        <v>39667.242951698303</v>
      </c>
      <c r="GN26" s="28">
        <f t="shared" ref="GN26" si="106">GM26*($F$2+1)</f>
        <v>39270.570522181319</v>
      </c>
      <c r="GO26" s="28">
        <f t="shared" ref="GO26" si="107">GN26*($F$2+1)</f>
        <v>38877.864816959504</v>
      </c>
      <c r="GP26" s="28">
        <f t="shared" ref="GP26" si="108">GO26*($F$2+1)</f>
        <v>38489.086168789909</v>
      </c>
      <c r="GQ26" s="28">
        <f t="shared" ref="GQ26" si="109">GP26*($F$2+1)</f>
        <v>38104.195307102011</v>
      </c>
      <c r="GR26" s="28">
        <f t="shared" ref="GR26" si="110">GQ26*($F$2+1)</f>
        <v>37723.15335403099</v>
      </c>
      <c r="GS26" s="28">
        <f t="shared" ref="GS26" si="111">GR26*($F$2+1)</f>
        <v>37345.921820490679</v>
      </c>
      <c r="GT26" s="28">
        <f t="shared" ref="GT26" si="112">GS26*($F$2+1)</f>
        <v>36972.46260228577</v>
      </c>
      <c r="GU26" s="28">
        <f t="shared" ref="GU26" si="113">GT26*($F$2+1)</f>
        <v>36602.737976262913</v>
      </c>
      <c r="GV26" s="28">
        <f t="shared" ref="GV26" si="114">GU26*($F$2+1)</f>
        <v>36236.710596500285</v>
      </c>
      <c r="GW26" s="28">
        <f t="shared" ref="GW26" si="115">GV26*($F$2+1)</f>
        <v>35874.343490535284</v>
      </c>
      <c r="GX26" s="28">
        <f t="shared" ref="GX26" si="116">GW26*($F$2+1)</f>
        <v>35515.600055629933</v>
      </c>
      <c r="GY26" s="28">
        <f t="shared" ref="GY26" si="117">GX26*($F$2+1)</f>
        <v>35160.444055073633</v>
      </c>
      <c r="GZ26" s="28">
        <f t="shared" ref="GZ26" si="118">GY26*($F$2+1)</f>
        <v>34808.839614522898</v>
      </c>
      <c r="HA26" s="28">
        <f t="shared" ref="HA26" si="119">GZ26*($F$2+1)</f>
        <v>34460.751218377671</v>
      </c>
      <c r="HB26" s="28">
        <f t="shared" ref="HB26" si="120">HA26*($F$2+1)</f>
        <v>34116.143706193892</v>
      </c>
      <c r="HC26" s="28">
        <f t="shared" ref="HC26" si="121">HB26*($F$2+1)</f>
        <v>33774.98226913195</v>
      </c>
      <c r="HD26" s="28">
        <f t="shared" ref="HD26" si="122">HC26*($F$2+1)</f>
        <v>33437.232446440627</v>
      </c>
      <c r="HE26" s="28">
        <f t="shared" ref="HE26" si="123">HD26*($F$2+1)</f>
        <v>33102.86012197622</v>
      </c>
      <c r="HF26" s="28">
        <f t="shared" ref="HF26" si="124">HE26*($F$2+1)</f>
        <v>32771.831520756459</v>
      </c>
      <c r="HG26" s="28">
        <f t="shared" ref="HG26" si="125">HF26*($F$2+1)</f>
        <v>32444.113205548896</v>
      </c>
      <c r="HH26" s="28">
        <f t="shared" ref="HH26" si="126">HG26*($F$2+1)</f>
        <v>32119.672073493406</v>
      </c>
      <c r="HI26" s="28">
        <f t="shared" ref="HI26" si="127">HH26*($F$2+1)</f>
        <v>31798.475352758473</v>
      </c>
      <c r="HJ26" s="28">
        <f t="shared" ref="HJ26" si="128">HI26*($F$2+1)</f>
        <v>31480.490599230889</v>
      </c>
      <c r="HK26" s="28">
        <f t="shared" ref="HK26" si="129">HJ26*($F$2+1)</f>
        <v>31165.685693238578</v>
      </c>
      <c r="HL26" s="28">
        <f t="shared" ref="HL26" si="130">HK26*($F$2+1)</f>
        <v>30854.028836306192</v>
      </c>
      <c r="HM26" s="28">
        <f t="shared" ref="HM26" si="131">HL26*($F$2+1)</f>
        <v>30545.488547943129</v>
      </c>
      <c r="HN26" s="28">
        <f t="shared" ref="HN26" si="132">HM26*($F$2+1)</f>
        <v>30240.033662463698</v>
      </c>
      <c r="HO26" s="28">
        <f t="shared" ref="HO26" si="133">HN26*($F$2+1)</f>
        <v>29937.633325839062</v>
      </c>
      <c r="HP26" s="28">
        <f t="shared" ref="HP26" si="134">HO26*($F$2+1)</f>
        <v>29638.256992580671</v>
      </c>
      <c r="HQ26" s="28">
        <f t="shared" ref="HQ26" si="135">HP26*($F$2+1)</f>
        <v>29341.874422654862</v>
      </c>
      <c r="HR26" s="28">
        <f t="shared" ref="HR26" si="136">HQ26*($F$2+1)</f>
        <v>29048.455678428312</v>
      </c>
      <c r="HS26" s="28">
        <f t="shared" ref="HS26" si="137">HR26*($F$2+1)</f>
        <v>28757.97112164403</v>
      </c>
      <c r="HT26" s="28">
        <f t="shared" ref="HT26" si="138">HS26*($F$2+1)</f>
        <v>28470.39141042759</v>
      </c>
      <c r="HU26" s="28">
        <f t="shared" ref="HU26" si="139">HT26*($F$2+1)</f>
        <v>28185.687496323313</v>
      </c>
      <c r="HV26" s="28">
        <f t="shared" ref="HV26" si="140">HU26*($F$2+1)</f>
        <v>27903.830621360081</v>
      </c>
      <c r="HW26" s="28">
        <f t="shared" ref="HW26" si="141">HV26*($F$2+1)</f>
        <v>27624.792315146478</v>
      </c>
      <c r="HX26" s="28">
        <f t="shared" ref="HX26" si="142">HW26*($F$2+1)</f>
        <v>27348.544391995012</v>
      </c>
      <c r="HY26" s="28">
        <f t="shared" ref="HY26" si="143">HX26*($F$2+1)</f>
        <v>27075.05894807506</v>
      </c>
      <c r="HZ26" s="28">
        <f t="shared" ref="HZ26" si="144">HY26*($F$2+1)</f>
        <v>26804.30835859431</v>
      </c>
      <c r="IA26" s="28">
        <f t="shared" ref="IA26" si="145">HZ26*($F$2+1)</f>
        <v>26536.265275008365</v>
      </c>
    </row>
    <row r="27" spans="1:235" s="68" customFormat="1" x14ac:dyDescent="0.15">
      <c r="A27" s="68" t="s">
        <v>22</v>
      </c>
      <c r="B27" s="69">
        <f t="shared" ref="B27:G27" si="146">B26/B28</f>
        <v>2.7544969606748544</v>
      </c>
      <c r="C27" s="69">
        <f t="shared" si="146"/>
        <v>2.2204565518980957</v>
      </c>
      <c r="D27" s="69">
        <f t="shared" si="146"/>
        <v>3.2653087368690752</v>
      </c>
      <c r="E27" s="69">
        <f t="shared" si="146"/>
        <v>3.9131861149952636</v>
      </c>
      <c r="F27" s="69">
        <f t="shared" si="146"/>
        <v>5.0763260025873223</v>
      </c>
      <c r="G27" s="69">
        <f t="shared" si="146"/>
        <v>19.946396396396395</v>
      </c>
      <c r="H27" s="21">
        <f t="shared" ref="H27:Q27" si="147">H26/H28</f>
        <v>25.248951350682045</v>
      </c>
      <c r="I27" s="21">
        <f t="shared" si="147"/>
        <v>29.3153568202084</v>
      </c>
      <c r="J27" s="21">
        <f t="shared" si="147"/>
        <v>34.268403384717061</v>
      </c>
      <c r="K27" s="21">
        <f t="shared" si="147"/>
        <v>40.281304898189283</v>
      </c>
      <c r="L27" s="21">
        <f t="shared" si="147"/>
        <v>47.560520704335239</v>
      </c>
      <c r="M27" s="21">
        <f t="shared" si="147"/>
        <v>51.762285254556659</v>
      </c>
      <c r="N27" s="21">
        <f t="shared" si="147"/>
        <v>56.196386680068656</v>
      </c>
      <c r="O27" s="21">
        <f t="shared" si="147"/>
        <v>60.875280317134717</v>
      </c>
      <c r="P27" s="21">
        <f t="shared" si="147"/>
        <v>65.812055021241093</v>
      </c>
      <c r="Q27" s="21">
        <f t="shared" si="147"/>
        <v>71.020465209955304</v>
      </c>
      <c r="R27" s="21">
        <f t="shared" ref="R27:V27" si="148">R26/R28</f>
        <v>76.51496451276364</v>
      </c>
      <c r="S27" s="21">
        <f t="shared" si="148"/>
        <v>82.310741108393188</v>
      </c>
      <c r="T27" s="21">
        <f t="shared" si="148"/>
        <v>88.42375483415006</v>
      </c>
      <c r="U27" s="21">
        <f t="shared" si="148"/>
        <v>94.870776156034893</v>
      </c>
      <c r="V27" s="21">
        <f t="shared" si="148"/>
        <v>101.6694270928371</v>
      </c>
    </row>
    <row r="28" spans="1:235" x14ac:dyDescent="0.15">
      <c r="A28" s="2" t="s">
        <v>23</v>
      </c>
      <c r="B28" s="17">
        <f>Reports!E22</f>
        <v>8061</v>
      </c>
      <c r="C28" s="17">
        <f>Reports!I22</f>
        <v>7929</v>
      </c>
      <c r="D28" s="18">
        <f>Reports!M22</f>
        <v>7806</v>
      </c>
      <c r="E28" s="3">
        <f>Reports!Q22</f>
        <v>7775</v>
      </c>
      <c r="F28" s="3">
        <f>Reports!U22</f>
        <v>7730</v>
      </c>
      <c r="G28" s="3">
        <f>Reports!Y18</f>
        <v>2220</v>
      </c>
      <c r="H28" s="3">
        <f t="shared" ref="H28:V28" si="149">G28</f>
        <v>2220</v>
      </c>
      <c r="I28" s="3">
        <f t="shared" si="149"/>
        <v>2220</v>
      </c>
      <c r="J28" s="3">
        <f t="shared" si="149"/>
        <v>2220</v>
      </c>
      <c r="K28" s="3">
        <f t="shared" si="149"/>
        <v>2220</v>
      </c>
      <c r="L28" s="3">
        <f t="shared" si="149"/>
        <v>2220</v>
      </c>
      <c r="M28" s="3">
        <f t="shared" si="149"/>
        <v>2220</v>
      </c>
      <c r="N28" s="3">
        <f t="shared" si="149"/>
        <v>2220</v>
      </c>
      <c r="O28" s="3">
        <f t="shared" si="149"/>
        <v>2220</v>
      </c>
      <c r="P28" s="3">
        <f t="shared" si="149"/>
        <v>2220</v>
      </c>
      <c r="Q28" s="3">
        <f t="shared" si="149"/>
        <v>2220</v>
      </c>
      <c r="R28" s="3">
        <f t="shared" si="149"/>
        <v>2220</v>
      </c>
      <c r="S28" s="3">
        <f t="shared" si="149"/>
        <v>2220</v>
      </c>
      <c r="T28" s="3">
        <f t="shared" si="149"/>
        <v>2220</v>
      </c>
      <c r="U28" s="3">
        <f t="shared" si="149"/>
        <v>2220</v>
      </c>
      <c r="V28" s="3">
        <f t="shared" si="149"/>
        <v>2220</v>
      </c>
    </row>
    <row r="29" spans="1:235" x14ac:dyDescent="0.15">
      <c r="B29" s="17"/>
      <c r="C29" s="17"/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5" x14ac:dyDescent="0.15">
      <c r="A30" s="2" t="s">
        <v>11</v>
      </c>
      <c r="B30" s="11">
        <f t="shared" ref="B30:Q30" si="150">B17/B15</f>
        <v>0.64695447745244705</v>
      </c>
      <c r="C30" s="11">
        <f t="shared" si="150"/>
        <v>0.61579934364744493</v>
      </c>
      <c r="D30" s="11">
        <f t="shared" si="150"/>
        <v>0.64522475691460168</v>
      </c>
      <c r="E30" s="11">
        <f t="shared" si="150"/>
        <v>0.65247372236317502</v>
      </c>
      <c r="F30" s="11">
        <f t="shared" si="150"/>
        <v>0.65901957200638894</v>
      </c>
      <c r="G30" s="11">
        <f t="shared" si="150"/>
        <v>0.67781001992797962</v>
      </c>
      <c r="H30" s="11">
        <f t="shared" si="150"/>
        <v>0.67781001992797962</v>
      </c>
      <c r="I30" s="11">
        <f t="shared" si="150"/>
        <v>0.67781001992797962</v>
      </c>
      <c r="J30" s="11">
        <f t="shared" si="150"/>
        <v>0.67781001992797962</v>
      </c>
      <c r="K30" s="11">
        <f t="shared" si="150"/>
        <v>0.67781001992797962</v>
      </c>
      <c r="L30" s="11">
        <f t="shared" si="150"/>
        <v>0.67781001992797962</v>
      </c>
      <c r="M30" s="11">
        <f t="shared" si="150"/>
        <v>0.67781001992797962</v>
      </c>
      <c r="N30" s="11">
        <f t="shared" si="150"/>
        <v>0.67781001992797962</v>
      </c>
      <c r="O30" s="11">
        <f t="shared" si="150"/>
        <v>0.67781001992797962</v>
      </c>
      <c r="P30" s="11">
        <f t="shared" si="150"/>
        <v>0.67781001992797962</v>
      </c>
      <c r="Q30" s="11">
        <f t="shared" si="150"/>
        <v>0.67781001992797962</v>
      </c>
      <c r="R30" s="11">
        <f t="shared" ref="R30:V30" si="151">R17/R15</f>
        <v>0.67781001992797962</v>
      </c>
      <c r="S30" s="11">
        <f t="shared" si="151"/>
        <v>0.67781001992797962</v>
      </c>
      <c r="T30" s="11">
        <f t="shared" si="151"/>
        <v>0.67781001992797962</v>
      </c>
      <c r="U30" s="11">
        <f t="shared" si="151"/>
        <v>0.67781001992797962</v>
      </c>
      <c r="V30" s="11">
        <f t="shared" si="151"/>
        <v>0.67781001992797962</v>
      </c>
    </row>
    <row r="31" spans="1:235" x14ac:dyDescent="0.15">
      <c r="A31" s="2" t="s">
        <v>17</v>
      </c>
      <c r="B31" s="12">
        <f t="shared" ref="B31:Q31" si="152">B22/B15</f>
        <v>0.30104723231459712</v>
      </c>
      <c r="C31" s="12">
        <f t="shared" si="152"/>
        <v>0.24955461790904829</v>
      </c>
      <c r="D31" s="12">
        <f t="shared" si="152"/>
        <v>0.30055606755651282</v>
      </c>
      <c r="E31" s="12">
        <f t="shared" si="152"/>
        <v>0.31766944545125048</v>
      </c>
      <c r="F31" s="12">
        <f t="shared" si="152"/>
        <v>0.3413698020549415</v>
      </c>
      <c r="G31" s="12">
        <f t="shared" si="152"/>
        <v>0.37030381428521486</v>
      </c>
      <c r="H31" s="12">
        <f t="shared" si="152"/>
        <v>0.39312210507892797</v>
      </c>
      <c r="I31" s="12">
        <f t="shared" si="152"/>
        <v>0.40527409375866236</v>
      </c>
      <c r="J31" s="12">
        <f t="shared" si="152"/>
        <v>0.41843566155689754</v>
      </c>
      <c r="K31" s="12">
        <f t="shared" si="152"/>
        <v>0.43229372695231788</v>
      </c>
      <c r="L31" s="12">
        <f t="shared" si="152"/>
        <v>0.44654988602004636</v>
      </c>
      <c r="M31" s="12">
        <f t="shared" si="152"/>
        <v>0.45746058854711397</v>
      </c>
      <c r="N31" s="12">
        <f t="shared" si="152"/>
        <v>0.46777267204095202</v>
      </c>
      <c r="O31" s="12">
        <f t="shared" si="152"/>
        <v>0.47752236554753114</v>
      </c>
      <c r="P31" s="12">
        <f t="shared" si="152"/>
        <v>0.48674358795422074</v>
      </c>
      <c r="Q31" s="12">
        <f t="shared" si="152"/>
        <v>0.49546809899718841</v>
      </c>
      <c r="R31" s="12">
        <f t="shared" ref="R31:V31" si="153">R22/R15</f>
        <v>0.50372564028744249</v>
      </c>
      <c r="S31" s="12">
        <f t="shared" si="153"/>
        <v>0.51154406701849287</v>
      </c>
      <c r="T31" s="12">
        <f t="shared" si="153"/>
        <v>0.51894947097447297</v>
      </c>
      <c r="U31" s="12">
        <f t="shared" si="153"/>
        <v>0.52596629541637774</v>
      </c>
      <c r="V31" s="12">
        <f t="shared" si="153"/>
        <v>0.53261744238563147</v>
      </c>
    </row>
    <row r="32" spans="1:235" x14ac:dyDescent="0.15">
      <c r="A32" s="2" t="s">
        <v>24</v>
      </c>
      <c r="B32" s="12">
        <f t="shared" ref="B32:Q32" si="154">B25/B24</f>
        <v>0.22140402552773686</v>
      </c>
      <c r="C32" s="12">
        <f t="shared" si="154"/>
        <v>0.15603278845692919</v>
      </c>
      <c r="D32" s="12">
        <f t="shared" si="154"/>
        <v>0.14755359352530015</v>
      </c>
      <c r="E32" s="12">
        <f t="shared" si="154"/>
        <v>0.1658435585872628</v>
      </c>
      <c r="F32" s="12">
        <f t="shared" si="154"/>
        <v>0.10181285478850027</v>
      </c>
      <c r="G32" s="12">
        <f t="shared" si="154"/>
        <v>0.16507655177615205</v>
      </c>
      <c r="H32" s="12">
        <f t="shared" si="154"/>
        <v>0.15</v>
      </c>
      <c r="I32" s="12">
        <f t="shared" si="154"/>
        <v>0.15</v>
      </c>
      <c r="J32" s="12">
        <f t="shared" si="154"/>
        <v>0.15</v>
      </c>
      <c r="K32" s="12">
        <f t="shared" si="154"/>
        <v>0.15</v>
      </c>
      <c r="L32" s="12">
        <f t="shared" si="154"/>
        <v>0.15</v>
      </c>
      <c r="M32" s="12">
        <f t="shared" si="154"/>
        <v>0.15</v>
      </c>
      <c r="N32" s="12">
        <f t="shared" si="154"/>
        <v>0.15</v>
      </c>
      <c r="O32" s="12">
        <f t="shared" si="154"/>
        <v>0.15</v>
      </c>
      <c r="P32" s="12">
        <f t="shared" si="154"/>
        <v>0.15</v>
      </c>
      <c r="Q32" s="12">
        <f t="shared" si="154"/>
        <v>0.15</v>
      </c>
      <c r="R32" s="12">
        <f t="shared" ref="R32:V32" si="155">R25/R24</f>
        <v>0.15</v>
      </c>
      <c r="S32" s="12">
        <f t="shared" si="155"/>
        <v>0.15</v>
      </c>
      <c r="T32" s="12">
        <f t="shared" si="155"/>
        <v>0.15</v>
      </c>
      <c r="U32" s="12">
        <f t="shared" si="155"/>
        <v>0.15</v>
      </c>
      <c r="V32" s="12">
        <f t="shared" si="155"/>
        <v>0.15</v>
      </c>
    </row>
    <row r="33" spans="1:22" x14ac:dyDescent="0.15">
      <c r="B33" s="6"/>
      <c r="C33" s="6"/>
    </row>
    <row r="34" spans="1:22" s="7" customFormat="1" x14ac:dyDescent="0.15">
      <c r="A34" s="7" t="s">
        <v>25</v>
      </c>
      <c r="B34" s="14"/>
      <c r="C34" s="20">
        <f t="shared" ref="C34:V34" si="156">C15/B15-1</f>
        <v>-8.8266723658901425E-2</v>
      </c>
      <c r="D34" s="20">
        <f t="shared" si="156"/>
        <v>0.1318682606657291</v>
      </c>
      <c r="E34" s="20">
        <f t="shared" si="156"/>
        <v>0.14278613662486661</v>
      </c>
      <c r="F34" s="20">
        <f t="shared" si="156"/>
        <v>0.14029539688292858</v>
      </c>
      <c r="G34" s="20">
        <f>G15/F15-1</f>
        <v>0.13645574247276371</v>
      </c>
      <c r="H34" s="20">
        <f>H15/G15-1</f>
        <v>0.14903576547914543</v>
      </c>
      <c r="I34" s="20">
        <f t="shared" si="156"/>
        <v>0.11265299534136775</v>
      </c>
      <c r="J34" s="20">
        <f t="shared" si="156"/>
        <v>0.12061717311525544</v>
      </c>
      <c r="K34" s="20">
        <f t="shared" si="156"/>
        <v>0.12806452516461131</v>
      </c>
      <c r="L34" s="20">
        <f t="shared" si="156"/>
        <v>0.13494380590137478</v>
      </c>
      <c r="M34" s="20">
        <f t="shared" si="156"/>
        <v>5.0000000000000044E-2</v>
      </c>
      <c r="N34" s="20">
        <f t="shared" si="156"/>
        <v>5.0000000000000044E-2</v>
      </c>
      <c r="O34" s="20">
        <f t="shared" si="156"/>
        <v>5.0000000000000044E-2</v>
      </c>
      <c r="P34" s="20">
        <f t="shared" si="156"/>
        <v>5.0000000000000044E-2</v>
      </c>
      <c r="Q34" s="20">
        <f t="shared" si="156"/>
        <v>5.0000000000000044E-2</v>
      </c>
      <c r="R34" s="20">
        <f t="shared" si="156"/>
        <v>5.0000000000000044E-2</v>
      </c>
      <c r="S34" s="20">
        <f t="shared" si="156"/>
        <v>5.0000000000000044E-2</v>
      </c>
      <c r="T34" s="20">
        <f t="shared" si="156"/>
        <v>5.0000000000000044E-2</v>
      </c>
      <c r="U34" s="20">
        <f t="shared" si="156"/>
        <v>5.0000000000000044E-2</v>
      </c>
      <c r="V34" s="20">
        <f t="shared" si="156"/>
        <v>5.0000000000000044E-2</v>
      </c>
    </row>
    <row r="35" spans="1:22" x14ac:dyDescent="0.15">
      <c r="A35" s="2" t="s">
        <v>87</v>
      </c>
      <c r="B35" s="6"/>
      <c r="C35" s="11">
        <f>C18/B18-1</f>
        <v>-4.814876307488003E-3</v>
      </c>
      <c r="D35" s="11">
        <f t="shared" ref="D35:V35" si="157">D18/C18-1</f>
        <v>8.7504170837504169E-2</v>
      </c>
      <c r="E35" s="11">
        <f t="shared" si="157"/>
        <v>0.12955434532484467</v>
      </c>
      <c r="F35" s="11">
        <f t="shared" si="157"/>
        <v>0.14600027162841234</v>
      </c>
      <c r="G35" s="11">
        <f t="shared" si="157"/>
        <v>0.14179900450343674</v>
      </c>
      <c r="H35" s="11">
        <f t="shared" si="157"/>
        <v>0.10000000000000009</v>
      </c>
      <c r="I35" s="11">
        <f t="shared" si="157"/>
        <v>0.10000000000000009</v>
      </c>
      <c r="J35" s="11">
        <f t="shared" si="157"/>
        <v>0.10000000000000009</v>
      </c>
      <c r="K35" s="11">
        <f t="shared" si="157"/>
        <v>0.10000000000000009</v>
      </c>
      <c r="L35" s="11">
        <f t="shared" si="157"/>
        <v>0.10000000000000009</v>
      </c>
      <c r="M35" s="11">
        <f t="shared" si="157"/>
        <v>2.0000000000000018E-2</v>
      </c>
      <c r="N35" s="11">
        <f t="shared" si="157"/>
        <v>2.0000000000000018E-2</v>
      </c>
      <c r="O35" s="11">
        <f t="shared" si="157"/>
        <v>2.0000000000000018E-2</v>
      </c>
      <c r="P35" s="11">
        <f t="shared" si="157"/>
        <v>2.0000000000000018E-2</v>
      </c>
      <c r="Q35" s="11">
        <f t="shared" si="157"/>
        <v>2.0000000000000018E-2</v>
      </c>
      <c r="R35" s="11">
        <f t="shared" si="157"/>
        <v>2.0000000000000018E-2</v>
      </c>
      <c r="S35" s="11">
        <f t="shared" si="157"/>
        <v>2.0000000000000018E-2</v>
      </c>
      <c r="T35" s="11">
        <f t="shared" si="157"/>
        <v>2.0000000000000018E-2</v>
      </c>
      <c r="U35" s="11">
        <f t="shared" si="157"/>
        <v>2.0000000000000018E-2</v>
      </c>
      <c r="V35" s="11">
        <f t="shared" si="157"/>
        <v>2.0000000000000018E-2</v>
      </c>
    </row>
    <row r="36" spans="1:22" x14ac:dyDescent="0.15">
      <c r="A36" s="2" t="s">
        <v>88</v>
      </c>
      <c r="C36" s="11">
        <f t="shared" ref="C36:V37" si="158">C19/B19-1</f>
        <v>-6.4659835804747656E-2</v>
      </c>
      <c r="D36" s="11">
        <f t="shared" si="158"/>
        <v>5.1983397972375389E-2</v>
      </c>
      <c r="E36" s="11">
        <f t="shared" si="158"/>
        <v>0.12987516978203217</v>
      </c>
      <c r="F36" s="11">
        <f t="shared" si="158"/>
        <v>4.2589730379529511E-2</v>
      </c>
      <c r="G36" s="11">
        <f t="shared" si="158"/>
        <v>7.604458353923027E-2</v>
      </c>
      <c r="H36" s="11">
        <f t="shared" si="158"/>
        <v>5.0000000000000044E-2</v>
      </c>
      <c r="I36" s="11">
        <f t="shared" si="158"/>
        <v>5.0000000000000044E-2</v>
      </c>
      <c r="J36" s="11">
        <f t="shared" si="158"/>
        <v>5.0000000000000044E-2</v>
      </c>
      <c r="K36" s="11">
        <f t="shared" si="158"/>
        <v>5.0000000000000044E-2</v>
      </c>
      <c r="L36" s="11">
        <f t="shared" si="158"/>
        <v>5.0000000000000044E-2</v>
      </c>
      <c r="M36" s="11">
        <f t="shared" si="158"/>
        <v>-2.0000000000000018E-2</v>
      </c>
      <c r="N36" s="11">
        <f t="shared" si="158"/>
        <v>-2.0000000000000018E-2</v>
      </c>
      <c r="O36" s="11">
        <f t="shared" si="158"/>
        <v>-1.9999999999999907E-2</v>
      </c>
      <c r="P36" s="11">
        <f t="shared" si="158"/>
        <v>-2.0000000000000018E-2</v>
      </c>
      <c r="Q36" s="11">
        <f t="shared" si="158"/>
        <v>-2.0000000000000018E-2</v>
      </c>
      <c r="R36" s="11">
        <f t="shared" si="158"/>
        <v>-2.0000000000000018E-2</v>
      </c>
      <c r="S36" s="11">
        <f t="shared" si="158"/>
        <v>-1.9999999999999907E-2</v>
      </c>
      <c r="T36" s="11">
        <f t="shared" si="158"/>
        <v>-2.0000000000000018E-2</v>
      </c>
      <c r="U36" s="11">
        <f t="shared" si="158"/>
        <v>-2.0000000000000018E-2</v>
      </c>
      <c r="V36" s="11">
        <f t="shared" si="158"/>
        <v>-2.0000000000000129E-2</v>
      </c>
    </row>
    <row r="37" spans="1:22" x14ac:dyDescent="0.15">
      <c r="A37" s="2" t="s">
        <v>89</v>
      </c>
      <c r="C37" s="11">
        <f t="shared" si="158"/>
        <v>-1.0409889394925154E-2</v>
      </c>
      <c r="D37" s="11">
        <f t="shared" si="158"/>
        <v>4.9090510628972073E-2</v>
      </c>
      <c r="E37" s="11">
        <f t="shared" si="158"/>
        <v>-6.8936703572174407E-3</v>
      </c>
      <c r="F37" s="11">
        <f t="shared" si="158"/>
        <v>2.7555742532604066E-2</v>
      </c>
      <c r="G37" s="11">
        <f t="shared" si="158"/>
        <v>4.6264073694984642E-2</v>
      </c>
      <c r="H37" s="11">
        <f t="shared" si="158"/>
        <v>-2.0000000000000018E-2</v>
      </c>
      <c r="I37" s="11">
        <f t="shared" si="158"/>
        <v>-2.0000000000000129E-2</v>
      </c>
      <c r="J37" s="11">
        <f t="shared" si="158"/>
        <v>-2.0000000000000018E-2</v>
      </c>
      <c r="K37" s="11">
        <f t="shared" si="158"/>
        <v>-2.0000000000000018E-2</v>
      </c>
      <c r="L37" s="11">
        <f t="shared" si="158"/>
        <v>-1.9999999999999907E-2</v>
      </c>
      <c r="M37" s="11">
        <f t="shared" si="158"/>
        <v>-1.9999999999999907E-2</v>
      </c>
      <c r="N37" s="11">
        <f t="shared" si="158"/>
        <v>-2.0000000000000018E-2</v>
      </c>
      <c r="O37" s="11">
        <f t="shared" si="158"/>
        <v>-1.9999999999999907E-2</v>
      </c>
      <c r="P37" s="11">
        <f t="shared" si="158"/>
        <v>-1.9999999999999907E-2</v>
      </c>
      <c r="Q37" s="11">
        <f t="shared" si="158"/>
        <v>-1.9999999999999907E-2</v>
      </c>
      <c r="R37" s="11">
        <f t="shared" si="158"/>
        <v>-2.0000000000000018E-2</v>
      </c>
      <c r="S37" s="11">
        <f t="shared" si="158"/>
        <v>-2.0000000000000018E-2</v>
      </c>
      <c r="T37" s="11">
        <f t="shared" si="158"/>
        <v>-2.0000000000000018E-2</v>
      </c>
      <c r="U37" s="11">
        <f t="shared" si="158"/>
        <v>-2.0000000000000018E-2</v>
      </c>
      <c r="V37" s="11">
        <f t="shared" si="158"/>
        <v>-2.0000000000000018E-2</v>
      </c>
    </row>
    <row r="38" spans="1:22" s="22" customFormat="1" x14ac:dyDescent="0.15">
      <c r="A38" s="22" t="s">
        <v>114</v>
      </c>
      <c r="C38" s="71">
        <f>C21/B21-1</f>
        <v>-3.466172381835031E-2</v>
      </c>
      <c r="D38" s="71">
        <f t="shared" ref="D38:V38" si="159">D21/C21-1</f>
        <v>6.518817204301075E-2</v>
      </c>
      <c r="E38" s="71">
        <f t="shared" si="159"/>
        <v>0.11007961544239153</v>
      </c>
      <c r="F38" s="71">
        <f t="shared" si="159"/>
        <v>8.1869604048824041E-2</v>
      </c>
      <c r="G38" s="71">
        <f t="shared" si="159"/>
        <v>0.10016510731975781</v>
      </c>
      <c r="H38" s="71">
        <f t="shared" si="159"/>
        <v>6.3772340715812392E-2</v>
      </c>
      <c r="I38" s="71">
        <f t="shared" si="159"/>
        <v>6.5159069893109711E-2</v>
      </c>
      <c r="J38" s="71">
        <f t="shared" si="159"/>
        <v>6.6499247793879723E-2</v>
      </c>
      <c r="K38" s="71">
        <f t="shared" si="159"/>
        <v>6.7793370921910956E-2</v>
      </c>
      <c r="L38" s="71">
        <f t="shared" si="159"/>
        <v>6.9042112641990228E-2</v>
      </c>
      <c r="M38" s="71">
        <f t="shared" si="159"/>
        <v>4.6168373325539136E-4</v>
      </c>
      <c r="N38" s="71">
        <f t="shared" si="159"/>
        <v>8.6128609147717583E-4</v>
      </c>
      <c r="O38" s="71">
        <f t="shared" si="159"/>
        <v>1.2602006981434766E-3</v>
      </c>
      <c r="P38" s="71">
        <f t="shared" si="159"/>
        <v>1.65811114532044E-3</v>
      </c>
      <c r="Q38" s="71">
        <f t="shared" si="159"/>
        <v>2.0547042173573171E-3</v>
      </c>
      <c r="R38" s="71">
        <f t="shared" si="159"/>
        <v>2.4496708682932855E-3</v>
      </c>
      <c r="S38" s="71">
        <f t="shared" si="159"/>
        <v>2.8427071713483798E-3</v>
      </c>
      <c r="T38" s="71">
        <f t="shared" si="159"/>
        <v>3.2335152344029616E-3</v>
      </c>
      <c r="U38" s="71">
        <f t="shared" si="159"/>
        <v>3.6218040757478587E-3</v>
      </c>
      <c r="V38" s="71">
        <f t="shared" si="159"/>
        <v>4.0072904548458244E-3</v>
      </c>
    </row>
    <row r="39" spans="1:22" x14ac:dyDescent="0.15">
      <c r="B39" s="6"/>
      <c r="C39" s="6"/>
    </row>
    <row r="40" spans="1:22" s="7" customFormat="1" x14ac:dyDescent="0.15">
      <c r="A40" s="7" t="s">
        <v>26</v>
      </c>
      <c r="B40" s="9"/>
      <c r="C40" s="9"/>
      <c r="D40" s="32">
        <f>D41-D42</f>
        <v>46787</v>
      </c>
      <c r="E40" s="32">
        <f>E41-E42</f>
        <v>57528</v>
      </c>
      <c r="F40" s="32">
        <f>F41-F42</f>
        <v>61641</v>
      </c>
      <c r="G40" s="32">
        <f>G41-G42</f>
        <v>67141</v>
      </c>
      <c r="H40" s="8">
        <f t="shared" ref="H40:V40" si="160">G40+H26</f>
        <v>123193.67199851414</v>
      </c>
      <c r="I40" s="8">
        <f t="shared" si="160"/>
        <v>188273.76413937678</v>
      </c>
      <c r="J40" s="8">
        <f t="shared" si="160"/>
        <v>264349.6196534487</v>
      </c>
      <c r="K40" s="8">
        <f t="shared" si="160"/>
        <v>353774.11652742891</v>
      </c>
      <c r="L40" s="8">
        <f t="shared" si="160"/>
        <v>459358.47249105317</v>
      </c>
      <c r="M40" s="8">
        <f t="shared" si="160"/>
        <v>574270.74575616897</v>
      </c>
      <c r="N40" s="8">
        <f t="shared" si="160"/>
        <v>699026.72418592137</v>
      </c>
      <c r="O40" s="8">
        <f t="shared" si="160"/>
        <v>834169.84648996044</v>
      </c>
      <c r="P40" s="8">
        <f t="shared" si="160"/>
        <v>980272.60863711569</v>
      </c>
      <c r="Q40" s="8">
        <f t="shared" si="160"/>
        <v>1137938.0414032165</v>
      </c>
      <c r="R40" s="8">
        <f t="shared" si="160"/>
        <v>1307801.2626215518</v>
      </c>
      <c r="S40" s="8">
        <f t="shared" si="160"/>
        <v>1490531.1078821847</v>
      </c>
      <c r="T40" s="8">
        <f t="shared" si="160"/>
        <v>1686831.8436139978</v>
      </c>
      <c r="U40" s="8">
        <f t="shared" si="160"/>
        <v>1897444.9666803952</v>
      </c>
      <c r="V40" s="8">
        <f t="shared" si="160"/>
        <v>2123151.0948264934</v>
      </c>
    </row>
    <row r="41" spans="1:22" x14ac:dyDescent="0.15">
      <c r="A41" s="2" t="s">
        <v>27</v>
      </c>
      <c r="D41" s="3">
        <f>Reports!M34</f>
        <v>132981</v>
      </c>
      <c r="E41" s="3">
        <f>Reports!Q34</f>
        <v>133768</v>
      </c>
      <c r="F41" s="3">
        <f>Reports!U34</f>
        <v>133819</v>
      </c>
      <c r="G41" s="3">
        <f>Reports!V34</f>
        <v>136636</v>
      </c>
    </row>
    <row r="42" spans="1:22" x14ac:dyDescent="0.15">
      <c r="A42" s="2" t="s">
        <v>29</v>
      </c>
      <c r="D42" s="3">
        <f>Reports!M35</f>
        <v>86194</v>
      </c>
      <c r="E42" s="3">
        <f>Reports!Q35</f>
        <v>76240</v>
      </c>
      <c r="F42" s="3">
        <f>Reports!U35</f>
        <v>72178</v>
      </c>
      <c r="G42" s="3">
        <f>Reports!V35</f>
        <v>69495</v>
      </c>
    </row>
    <row r="44" spans="1:22" x14ac:dyDescent="0.15">
      <c r="A44" s="2" t="s">
        <v>73</v>
      </c>
      <c r="D44" s="3">
        <f>Reports!M37</f>
        <v>45228</v>
      </c>
      <c r="E44" s="3">
        <f>Reports!Q37</f>
        <v>43736</v>
      </c>
      <c r="F44" s="3">
        <f>Reports!U37</f>
        <v>49776</v>
      </c>
      <c r="G44" s="3">
        <f>Reports!V37</f>
        <v>49621</v>
      </c>
    </row>
    <row r="45" spans="1:22" x14ac:dyDescent="0.15">
      <c r="A45" s="2" t="s">
        <v>74</v>
      </c>
      <c r="D45" s="3">
        <f>Reports!M38</f>
        <v>250312</v>
      </c>
      <c r="E45" s="3">
        <f>Reports!Q38</f>
        <v>258848</v>
      </c>
      <c r="F45" s="3">
        <f>Reports!U38</f>
        <v>286556</v>
      </c>
      <c r="G45" s="3">
        <f>Reports!V38</f>
        <v>278955</v>
      </c>
    </row>
    <row r="46" spans="1:22" x14ac:dyDescent="0.15">
      <c r="A46" s="2" t="s">
        <v>75</v>
      </c>
      <c r="D46" s="3">
        <f>Reports!M39</f>
        <v>162601</v>
      </c>
      <c r="E46" s="3">
        <f>Reports!Q39</f>
        <v>176130</v>
      </c>
      <c r="F46" s="3">
        <f>Reports!U39</f>
        <v>184226</v>
      </c>
      <c r="G46" s="3">
        <f>Reports!V39</f>
        <v>172894</v>
      </c>
    </row>
    <row r="48" spans="1:22" x14ac:dyDescent="0.15">
      <c r="A48" s="2" t="s">
        <v>76</v>
      </c>
      <c r="D48" s="33">
        <f>D45-D44-D41</f>
        <v>72103</v>
      </c>
      <c r="E48" s="33">
        <f>E45-E44-E41</f>
        <v>81344</v>
      </c>
      <c r="F48" s="33">
        <f>F45-F44-F41</f>
        <v>102961</v>
      </c>
      <c r="G48" s="33">
        <f>G45-G44-G41</f>
        <v>92698</v>
      </c>
    </row>
    <row r="49" spans="1:12" x14ac:dyDescent="0.15">
      <c r="A49" s="2" t="s">
        <v>77</v>
      </c>
      <c r="D49" s="33">
        <f>D45-D46</f>
        <v>87711</v>
      </c>
      <c r="E49" s="33">
        <f>E45-E46</f>
        <v>82718</v>
      </c>
      <c r="F49" s="33">
        <f>F45-F46</f>
        <v>102330</v>
      </c>
      <c r="G49" s="33">
        <f>G45-G46</f>
        <v>106061</v>
      </c>
    </row>
    <row r="51" spans="1:12" x14ac:dyDescent="0.15">
      <c r="A51" s="31" t="s">
        <v>78</v>
      </c>
      <c r="D51" s="10">
        <f>D26/D49</f>
        <v>0.29060209095780459</v>
      </c>
      <c r="E51" s="10">
        <f>E26/E49</f>
        <v>0.36781621949380033</v>
      </c>
      <c r="F51" s="10">
        <f>F26/F49</f>
        <v>0.38346525945470539</v>
      </c>
      <c r="G51" s="10">
        <f>G26/G49</f>
        <v>0.41750502069563744</v>
      </c>
    </row>
    <row r="52" spans="1:12" x14ac:dyDescent="0.15">
      <c r="A52" s="31" t="s">
        <v>79</v>
      </c>
      <c r="D52" s="10">
        <f>D26/D45</f>
        <v>0.10182891751094635</v>
      </c>
      <c r="E52" s="10">
        <f>E26/E45</f>
        <v>0.1175401086509773</v>
      </c>
      <c r="F52" s="10">
        <f>F26/F45</f>
        <v>0.13693658482111698</v>
      </c>
      <c r="G52" s="10">
        <f>G26/G45</f>
        <v>0.15873886469143769</v>
      </c>
    </row>
    <row r="53" spans="1:12" x14ac:dyDescent="0.15">
      <c r="A53" s="31" t="s">
        <v>80</v>
      </c>
      <c r="D53" s="10">
        <f>D26/(D49-D44)</f>
        <v>0.59998116893816356</v>
      </c>
      <c r="E53" s="10">
        <f>E26/(E49-E44)</f>
        <v>0.78048899605172062</v>
      </c>
      <c r="F53" s="10">
        <f>F26/(F49-F44)</f>
        <v>0.74666057769151728</v>
      </c>
      <c r="G53" s="10">
        <f>G26/(G49-G44)</f>
        <v>0.78456768249468467</v>
      </c>
    </row>
    <row r="54" spans="1:12" x14ac:dyDescent="0.15">
      <c r="A54" s="31" t="s">
        <v>81</v>
      </c>
      <c r="D54" s="10">
        <f>D26/D48</f>
        <v>0.35350817580405808</v>
      </c>
      <c r="E54" s="10">
        <f>E26/E48</f>
        <v>0.37402908689132786</v>
      </c>
      <c r="F54" s="10">
        <f>F26/F48</f>
        <v>0.38111517953399832</v>
      </c>
      <c r="G54" s="10">
        <f>G26/G48</f>
        <v>0.47769099656950526</v>
      </c>
    </row>
    <row r="55" spans="1:12" x14ac:dyDescent="0.15">
      <c r="A55" s="31"/>
      <c r="D55" s="10"/>
      <c r="E55" s="10"/>
      <c r="F55" s="10"/>
      <c r="G55" s="10"/>
    </row>
    <row r="56" spans="1:12" x14ac:dyDescent="0.15">
      <c r="A56" s="2" t="s">
        <v>82</v>
      </c>
      <c r="C56" s="10">
        <f>C10/B10-1</f>
        <v>2.1188043889519559E-3</v>
      </c>
      <c r="D56" s="10">
        <f>D10/C10-1</f>
        <v>0.12776561202144521</v>
      </c>
      <c r="E56" s="10">
        <f t="shared" ref="E56:L56" si="161">E10/D10-1</f>
        <v>0.20070304653498483</v>
      </c>
      <c r="F56" s="10">
        <f t="shared" si="161"/>
        <v>0.14763697197825176</v>
      </c>
      <c r="G56" s="10">
        <f t="shared" si="161"/>
        <v>0.12725947521865888</v>
      </c>
      <c r="H56" s="10">
        <f t="shared" si="161"/>
        <v>0.13563623432044492</v>
      </c>
      <c r="I56" s="10">
        <f t="shared" si="161"/>
        <v>0.14999999999999991</v>
      </c>
      <c r="J56" s="10">
        <f t="shared" si="161"/>
        <v>0.14999999999999991</v>
      </c>
      <c r="K56" s="10">
        <f t="shared" si="161"/>
        <v>0.14999999999999991</v>
      </c>
      <c r="L56" s="10">
        <f t="shared" si="161"/>
        <v>0.14999999999999991</v>
      </c>
    </row>
    <row r="57" spans="1:12" x14ac:dyDescent="0.15">
      <c r="A57" s="2" t="s">
        <v>83</v>
      </c>
      <c r="C57" s="10">
        <f t="shared" ref="C57:D58" si="162">C11/B11-1</f>
        <v>5.5956145899219933E-2</v>
      </c>
      <c r="D57" s="10">
        <f t="shared" si="162"/>
        <v>9.4441338551233933E-2</v>
      </c>
      <c r="E57" s="10">
        <f t="shared" ref="E57:L57" si="163">E11/D11-1</f>
        <v>0.17557558288028607</v>
      </c>
      <c r="F57" s="10">
        <f t="shared" si="163"/>
        <v>0.2100003103758652</v>
      </c>
      <c r="G57" s="10">
        <f t="shared" si="163"/>
        <v>0.24063101192766445</v>
      </c>
      <c r="H57" s="10">
        <f t="shared" si="163"/>
        <v>0.2068271099532728</v>
      </c>
      <c r="I57" s="10">
        <f t="shared" si="163"/>
        <v>0.19999999999999996</v>
      </c>
      <c r="J57" s="10">
        <f t="shared" si="163"/>
        <v>0.19999999999999996</v>
      </c>
      <c r="K57" s="10">
        <f t="shared" si="163"/>
        <v>0.19999999999999996</v>
      </c>
      <c r="L57" s="10">
        <f t="shared" si="163"/>
        <v>0.19999999999999996</v>
      </c>
    </row>
    <row r="58" spans="1:12" x14ac:dyDescent="0.15">
      <c r="A58" s="2" t="s">
        <v>84</v>
      </c>
      <c r="C58" s="10">
        <f t="shared" si="162"/>
        <v>-6.1511708787386987E-2</v>
      </c>
      <c r="D58" s="10">
        <f t="shared" si="162"/>
        <v>-2.922647429404357E-2</v>
      </c>
      <c r="E58" s="10">
        <f t="shared" ref="E58:L58" si="164">E12/D12-1</f>
        <v>7.5889448770804613E-2</v>
      </c>
      <c r="F58" s="10">
        <f t="shared" si="164"/>
        <v>8.0944270981171407E-2</v>
      </c>
      <c r="G58" s="10">
        <f t="shared" si="164"/>
        <v>5.5866777539498536E-2</v>
      </c>
      <c r="H58" s="10">
        <f t="shared" si="164"/>
        <v>0.10399162711653642</v>
      </c>
      <c r="I58" s="10">
        <f t="shared" si="164"/>
        <v>-2.0000000000000018E-2</v>
      </c>
      <c r="J58" s="10">
        <f t="shared" si="164"/>
        <v>-2.0000000000000018E-2</v>
      </c>
      <c r="K58" s="10">
        <f t="shared" si="164"/>
        <v>-2.0000000000000018E-2</v>
      </c>
      <c r="L58" s="10">
        <f t="shared" si="164"/>
        <v>-2.0000000000000129E-2</v>
      </c>
    </row>
  </sheetData>
  <hyperlinks>
    <hyperlink ref="A4" r:id="rId1" display="Satya Nadella (CEO)" xr:uid="{00000000-0004-0000-0000-000000000000}"/>
    <hyperlink ref="A7" r:id="rId2" display="Bill Gates (Technology Advisor)" xr:uid="{00000000-0004-0000-0000-000001000000}"/>
    <hyperlink ref="A1" r:id="rId3" xr:uid="{00000000-0004-0000-0000-000002000000}"/>
    <hyperlink ref="A8" r:id="rId4" xr:uid="{00000000-0004-0000-0000-000003000000}"/>
    <hyperlink ref="L4" r:id="rId5" xr:uid="{96DB7DB3-5DAF-D749-AE4E-16370F5C5188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7"/>
  <sheetViews>
    <sheetView zoomScale="120" zoomScaleNormal="120" workbookViewId="0">
      <pane xSplit="1" ySplit="2" topLeftCell="W3" activePane="bottomRight" state="frozen"/>
      <selection pane="topRight" activeCell="C1" sqref="C1"/>
      <selection pane="bottomLeft" activeCell="A3" sqref="A3"/>
      <selection pane="bottomRight" activeCell="AE8" sqref="AE8"/>
    </sheetView>
  </sheetViews>
  <sheetFormatPr baseColWidth="10" defaultRowHeight="13" x14ac:dyDescent="0.15"/>
  <cols>
    <col min="1" max="1" width="18.6640625" style="2" customWidth="1"/>
    <col min="2" max="5" width="10.83203125" style="35"/>
    <col min="6" max="6" width="10.83203125" style="38"/>
    <col min="7" max="9" width="10.83203125" style="35"/>
    <col min="10" max="10" width="10.83203125" style="38" customWidth="1"/>
    <col min="11" max="13" width="10.83203125" style="35"/>
    <col min="14" max="14" width="10.83203125" style="38"/>
    <col min="15" max="17" width="10.83203125" style="35"/>
    <col min="18" max="18" width="10.83203125" style="38"/>
    <col min="19" max="21" width="10.83203125" style="61"/>
    <col min="22" max="22" width="10.83203125" style="5"/>
    <col min="23" max="25" width="10.83203125" style="2"/>
    <col min="26" max="26" width="10.83203125" style="5"/>
    <col min="27" max="16384" width="10.83203125" style="2"/>
  </cols>
  <sheetData>
    <row r="1" spans="1:29" x14ac:dyDescent="0.15">
      <c r="A1" s="1" t="s">
        <v>64</v>
      </c>
      <c r="B1" s="34" t="s">
        <v>1</v>
      </c>
      <c r="C1" s="34" t="s">
        <v>2</v>
      </c>
      <c r="D1" s="34" t="s">
        <v>3</v>
      </c>
      <c r="E1" s="34" t="s">
        <v>4</v>
      </c>
      <c r="F1" s="36" t="s">
        <v>5</v>
      </c>
      <c r="G1" s="34" t="s">
        <v>6</v>
      </c>
      <c r="H1" s="34" t="s">
        <v>7</v>
      </c>
      <c r="I1" s="34" t="s">
        <v>8</v>
      </c>
      <c r="J1" s="36" t="s">
        <v>31</v>
      </c>
      <c r="K1" s="34" t="s">
        <v>32</v>
      </c>
      <c r="L1" s="34" t="s">
        <v>33</v>
      </c>
      <c r="M1" s="34" t="s">
        <v>34</v>
      </c>
      <c r="N1" s="36" t="s">
        <v>40</v>
      </c>
      <c r="O1" s="34" t="s">
        <v>41</v>
      </c>
      <c r="P1" s="34" t="s">
        <v>56</v>
      </c>
      <c r="Q1" s="34" t="s">
        <v>58</v>
      </c>
      <c r="R1" s="38" t="s">
        <v>91</v>
      </c>
      <c r="S1" s="61" t="s">
        <v>92</v>
      </c>
      <c r="T1" s="61" t="s">
        <v>93</v>
      </c>
      <c r="U1" s="61" t="s">
        <v>94</v>
      </c>
      <c r="V1" s="38" t="s">
        <v>110</v>
      </c>
      <c r="W1" s="61" t="s">
        <v>111</v>
      </c>
      <c r="X1" s="61" t="s">
        <v>112</v>
      </c>
      <c r="Y1" s="61" t="s">
        <v>113</v>
      </c>
      <c r="Z1" s="86" t="s">
        <v>147</v>
      </c>
      <c r="AA1" s="84" t="s">
        <v>148</v>
      </c>
    </row>
    <row r="2" spans="1:29" x14ac:dyDescent="0.15">
      <c r="A2" s="1"/>
      <c r="B2" s="35" t="s">
        <v>42</v>
      </c>
      <c r="C2" s="35" t="s">
        <v>43</v>
      </c>
      <c r="D2" s="35" t="s">
        <v>44</v>
      </c>
      <c r="E2" s="35" t="s">
        <v>45</v>
      </c>
      <c r="F2" s="38" t="s">
        <v>46</v>
      </c>
      <c r="G2" s="35" t="s">
        <v>47</v>
      </c>
      <c r="H2" s="35" t="s">
        <v>48</v>
      </c>
      <c r="I2" s="35" t="s">
        <v>49</v>
      </c>
      <c r="J2" s="38" t="s">
        <v>50</v>
      </c>
      <c r="K2" s="35" t="s">
        <v>51</v>
      </c>
      <c r="L2" s="35" t="s">
        <v>52</v>
      </c>
      <c r="M2" s="35" t="s">
        <v>53</v>
      </c>
      <c r="N2" s="38" t="s">
        <v>54</v>
      </c>
      <c r="O2" s="35" t="s">
        <v>55</v>
      </c>
      <c r="P2" s="35" t="s">
        <v>57</v>
      </c>
      <c r="Q2" s="35" t="s">
        <v>59</v>
      </c>
      <c r="R2" s="38" t="s">
        <v>95</v>
      </c>
      <c r="S2" s="61" t="s">
        <v>96</v>
      </c>
      <c r="T2" s="61" t="s">
        <v>97</v>
      </c>
      <c r="U2" s="61" t="s">
        <v>98</v>
      </c>
      <c r="V2" s="78">
        <v>43738</v>
      </c>
      <c r="W2" s="73">
        <v>43830</v>
      </c>
      <c r="X2" s="73">
        <v>43921</v>
      </c>
      <c r="Y2" s="73">
        <v>44012</v>
      </c>
      <c r="Z2" s="87">
        <v>44104</v>
      </c>
      <c r="AA2" s="85">
        <v>44196</v>
      </c>
    </row>
    <row r="3" spans="1:29" s="3" customFormat="1" x14ac:dyDescent="0.15">
      <c r="A3" s="3" t="s">
        <v>30</v>
      </c>
      <c r="B3" s="34">
        <v>6490</v>
      </c>
      <c r="C3" s="34">
        <v>6822</v>
      </c>
      <c r="D3" s="34">
        <v>6457</v>
      </c>
      <c r="E3" s="34">
        <v>6661</v>
      </c>
      <c r="F3" s="36">
        <v>6306</v>
      </c>
      <c r="G3" s="37">
        <v>6690</v>
      </c>
      <c r="H3" s="37">
        <v>6521</v>
      </c>
      <c r="I3" s="37">
        <v>6969</v>
      </c>
      <c r="J3" s="36">
        <v>6436</v>
      </c>
      <c r="K3" s="37">
        <v>7179</v>
      </c>
      <c r="L3" s="37">
        <v>7707</v>
      </c>
      <c r="M3" s="37">
        <v>8548</v>
      </c>
      <c r="N3" s="36">
        <v>8238</v>
      </c>
      <c r="O3" s="37">
        <v>8953</v>
      </c>
      <c r="P3" s="37">
        <v>9006</v>
      </c>
      <c r="Q3" s="37">
        <v>9668</v>
      </c>
      <c r="R3" s="36">
        <v>9771</v>
      </c>
      <c r="S3" s="62">
        <v>10100</v>
      </c>
      <c r="T3" s="62">
        <v>10242</v>
      </c>
      <c r="U3" s="62">
        <v>11047</v>
      </c>
      <c r="V3" s="36">
        <v>11077</v>
      </c>
      <c r="W3" s="3">
        <v>11826</v>
      </c>
      <c r="X3" s="3">
        <v>11743</v>
      </c>
      <c r="Y3" s="3">
        <v>11752</v>
      </c>
      <c r="Z3" s="88">
        <v>12319</v>
      </c>
      <c r="AA3" s="3">
        <v>13353</v>
      </c>
      <c r="AB3" s="3">
        <f>X3*1.15</f>
        <v>13504.449999999999</v>
      </c>
      <c r="AC3" s="3">
        <f>Y3*1.15</f>
        <v>13514.8</v>
      </c>
    </row>
    <row r="4" spans="1:29" s="3" customFormat="1" x14ac:dyDescent="0.15">
      <c r="A4" s="3" t="s">
        <v>85</v>
      </c>
      <c r="B4" s="34">
        <v>5475</v>
      </c>
      <c r="C4" s="34">
        <v>6041</v>
      </c>
      <c r="D4" s="34">
        <v>5903</v>
      </c>
      <c r="E4" s="34">
        <v>6296</v>
      </c>
      <c r="F4" s="36">
        <v>5892</v>
      </c>
      <c r="G4" s="37">
        <v>6343</v>
      </c>
      <c r="H4" s="37">
        <v>6096</v>
      </c>
      <c r="I4" s="37">
        <v>6711</v>
      </c>
      <c r="J4" s="36">
        <v>6097</v>
      </c>
      <c r="K4" s="37">
        <v>6758</v>
      </c>
      <c r="L4" s="37">
        <v>6730</v>
      </c>
      <c r="M4" s="37">
        <v>7822</v>
      </c>
      <c r="N4" s="36">
        <v>6922</v>
      </c>
      <c r="O4" s="37">
        <v>7795</v>
      </c>
      <c r="P4" s="37">
        <v>7896</v>
      </c>
      <c r="Q4" s="37">
        <v>9606</v>
      </c>
      <c r="R4" s="36">
        <v>8567</v>
      </c>
      <c r="S4" s="62">
        <v>9378</v>
      </c>
      <c r="T4" s="62">
        <v>9649</v>
      </c>
      <c r="U4" s="62">
        <v>11391</v>
      </c>
      <c r="V4" s="36">
        <v>10845</v>
      </c>
      <c r="W4" s="3">
        <v>11869</v>
      </c>
      <c r="X4" s="3">
        <v>12281</v>
      </c>
      <c r="Y4" s="3">
        <v>13371</v>
      </c>
      <c r="Z4" s="88">
        <v>12986</v>
      </c>
      <c r="AA4" s="3">
        <v>14601</v>
      </c>
      <c r="AB4" s="3">
        <f>X4*1.2</f>
        <v>14737.199999999999</v>
      </c>
      <c r="AC4" s="3">
        <f>Y4*1.2</f>
        <v>16045.199999999999</v>
      </c>
    </row>
    <row r="5" spans="1:29" s="3" customFormat="1" x14ac:dyDescent="0.15">
      <c r="A5" s="3" t="s">
        <v>86</v>
      </c>
      <c r="B5" s="34">
        <v>11236</v>
      </c>
      <c r="C5" s="34">
        <v>13282</v>
      </c>
      <c r="D5" s="34">
        <v>9369</v>
      </c>
      <c r="E5" s="34">
        <v>9243</v>
      </c>
      <c r="F5" s="36">
        <v>9381</v>
      </c>
      <c r="G5" s="37">
        <v>12660</v>
      </c>
      <c r="H5" s="37">
        <v>9539</v>
      </c>
      <c r="I5" s="37">
        <v>8897</v>
      </c>
      <c r="J5" s="36">
        <v>9395</v>
      </c>
      <c r="K5" s="37">
        <v>11889</v>
      </c>
      <c r="L5" s="37">
        <v>8775</v>
      </c>
      <c r="M5" s="37">
        <v>9235</v>
      </c>
      <c r="N5" s="36">
        <v>9378</v>
      </c>
      <c r="O5" s="37">
        <v>12170</v>
      </c>
      <c r="P5" s="37">
        <v>9917</v>
      </c>
      <c r="Q5" s="37">
        <v>10811</v>
      </c>
      <c r="R5" s="36">
        <v>10746</v>
      </c>
      <c r="S5" s="62">
        <v>12993</v>
      </c>
      <c r="T5" s="62">
        <v>10680</v>
      </c>
      <c r="U5" s="62">
        <v>11279</v>
      </c>
      <c r="V5" s="36">
        <v>11133</v>
      </c>
      <c r="W5" s="3">
        <v>13211</v>
      </c>
      <c r="X5" s="3">
        <v>10997</v>
      </c>
      <c r="Y5" s="3">
        <v>12910</v>
      </c>
      <c r="Z5" s="88">
        <v>11849</v>
      </c>
      <c r="AA5" s="3">
        <v>15122</v>
      </c>
      <c r="AB5" s="3">
        <f>X5*1.1</f>
        <v>12096.7</v>
      </c>
      <c r="AC5" s="3">
        <f>Y5*1.1</f>
        <v>14201.000000000002</v>
      </c>
    </row>
    <row r="6" spans="1:29" s="3" customFormat="1" x14ac:dyDescent="0.15">
      <c r="A6" s="3" t="s">
        <v>28</v>
      </c>
      <c r="B6" s="34">
        <v>0</v>
      </c>
      <c r="C6" s="34">
        <v>325</v>
      </c>
      <c r="D6" s="34">
        <v>0</v>
      </c>
      <c r="E6" s="34">
        <v>-20</v>
      </c>
      <c r="F6" s="36">
        <v>-1200</v>
      </c>
      <c r="G6" s="37">
        <v>-1897</v>
      </c>
      <c r="H6" s="37">
        <v>-1625</v>
      </c>
      <c r="I6" s="37">
        <v>-1963</v>
      </c>
      <c r="J6" s="36"/>
      <c r="K6" s="37"/>
      <c r="L6" s="37"/>
      <c r="M6" s="37"/>
      <c r="N6" s="36"/>
      <c r="O6" s="37"/>
      <c r="P6" s="37"/>
      <c r="Q6" s="37"/>
      <c r="R6" s="36"/>
      <c r="S6" s="67"/>
      <c r="T6" s="67"/>
      <c r="U6" s="67"/>
      <c r="V6" s="36"/>
      <c r="Z6" s="88"/>
    </row>
    <row r="7" spans="1:29" s="3" customFormat="1" x14ac:dyDescent="0.15">
      <c r="B7" s="34"/>
      <c r="C7" s="34"/>
      <c r="D7" s="34"/>
      <c r="E7" s="34"/>
      <c r="F7" s="36"/>
      <c r="G7" s="37"/>
      <c r="H7" s="37"/>
      <c r="I7" s="37"/>
      <c r="J7" s="36"/>
      <c r="K7" s="37"/>
      <c r="L7" s="37"/>
      <c r="M7" s="37"/>
      <c r="N7" s="36"/>
      <c r="O7" s="37"/>
      <c r="P7" s="37"/>
      <c r="Q7" s="37"/>
      <c r="R7" s="36"/>
      <c r="S7" s="62"/>
      <c r="T7" s="67"/>
      <c r="U7" s="67"/>
      <c r="V7" s="36"/>
      <c r="Z7" s="88"/>
    </row>
    <row r="8" spans="1:29" s="8" customFormat="1" x14ac:dyDescent="0.15">
      <c r="A8" s="8" t="s">
        <v>0</v>
      </c>
      <c r="B8" s="40">
        <f t="shared" ref="B8:H8" si="0">SUM(B3:B6)</f>
        <v>23201</v>
      </c>
      <c r="C8" s="40">
        <f t="shared" si="0"/>
        <v>26470</v>
      </c>
      <c r="D8" s="40">
        <f t="shared" si="0"/>
        <v>21729</v>
      </c>
      <c r="E8" s="40">
        <f t="shared" si="0"/>
        <v>22180</v>
      </c>
      <c r="F8" s="41">
        <f t="shared" si="0"/>
        <v>20379</v>
      </c>
      <c r="G8" s="42">
        <f t="shared" si="0"/>
        <v>23796</v>
      </c>
      <c r="H8" s="42">
        <f t="shared" si="0"/>
        <v>20531</v>
      </c>
      <c r="I8" s="42">
        <f t="shared" ref="I8:L8" si="1">SUM(I3:I6)</f>
        <v>20614</v>
      </c>
      <c r="J8" s="41">
        <f t="shared" si="1"/>
        <v>21928</v>
      </c>
      <c r="K8" s="42">
        <f t="shared" si="1"/>
        <v>25826</v>
      </c>
      <c r="L8" s="42">
        <f t="shared" si="1"/>
        <v>23212</v>
      </c>
      <c r="M8" s="42">
        <f>SUM(M3:M6)</f>
        <v>25605</v>
      </c>
      <c r="N8" s="41">
        <f>SUM(N3:N6)</f>
        <v>24538</v>
      </c>
      <c r="O8" s="42">
        <f t="shared" ref="O8" si="2">SUM(O3:O6)</f>
        <v>28918</v>
      </c>
      <c r="P8" s="42">
        <f t="shared" ref="P8" si="3">SUM(P3:P6)</f>
        <v>26819</v>
      </c>
      <c r="Q8" s="42">
        <f t="shared" ref="Q8" si="4">SUM(Q3:Q6)</f>
        <v>30085</v>
      </c>
      <c r="R8" s="41">
        <f t="shared" ref="R8:Z8" si="5">SUM(R3:R6)</f>
        <v>29084</v>
      </c>
      <c r="S8" s="42">
        <f t="shared" si="5"/>
        <v>32471</v>
      </c>
      <c r="T8" s="42">
        <f t="shared" si="5"/>
        <v>30571</v>
      </c>
      <c r="U8" s="42">
        <f t="shared" si="5"/>
        <v>33717</v>
      </c>
      <c r="V8" s="41">
        <f t="shared" si="5"/>
        <v>33055</v>
      </c>
      <c r="W8" s="42">
        <f t="shared" si="5"/>
        <v>36906</v>
      </c>
      <c r="X8" s="42">
        <f t="shared" si="5"/>
        <v>35021</v>
      </c>
      <c r="Y8" s="42">
        <f>SUM(Y3:Y6)</f>
        <v>38033</v>
      </c>
      <c r="Z8" s="41">
        <f>SUM(Z3:Z6)</f>
        <v>37154</v>
      </c>
      <c r="AA8" s="42">
        <f>SUM(AA3:AA6)</f>
        <v>43076</v>
      </c>
      <c r="AB8" s="42">
        <f>SUM(AB3:AB6)</f>
        <v>40338.35</v>
      </c>
      <c r="AC8" s="42">
        <f>SUM(AC3:AC6)</f>
        <v>43761</v>
      </c>
    </row>
    <row r="9" spans="1:29" s="3" customFormat="1" x14ac:dyDescent="0.15">
      <c r="A9" s="3" t="s">
        <v>9</v>
      </c>
      <c r="B9" s="34">
        <v>8273</v>
      </c>
      <c r="C9" s="34">
        <v>10136</v>
      </c>
      <c r="D9" s="34">
        <v>7161</v>
      </c>
      <c r="E9" s="34">
        <v>7468</v>
      </c>
      <c r="F9" s="36">
        <v>7207</v>
      </c>
      <c r="G9" s="37">
        <v>9872</v>
      </c>
      <c r="H9" s="37">
        <v>7722</v>
      </c>
      <c r="I9" s="37">
        <v>7979</v>
      </c>
      <c r="J9" s="36">
        <v>7844</v>
      </c>
      <c r="K9" s="37">
        <v>9901</v>
      </c>
      <c r="L9" s="37">
        <v>8060</v>
      </c>
      <c r="M9" s="37">
        <v>8456</v>
      </c>
      <c r="N9" s="36">
        <v>8278</v>
      </c>
      <c r="O9" s="37">
        <v>11064</v>
      </c>
      <c r="P9" s="37">
        <v>9269</v>
      </c>
      <c r="Q9" s="37">
        <v>9742</v>
      </c>
      <c r="R9" s="36">
        <v>9905</v>
      </c>
      <c r="S9" s="62">
        <v>12423</v>
      </c>
      <c r="T9" s="62">
        <v>10170</v>
      </c>
      <c r="U9" s="62">
        <v>10412</v>
      </c>
      <c r="V9" s="36">
        <v>10406</v>
      </c>
      <c r="W9" s="3">
        <v>12358</v>
      </c>
      <c r="X9" s="3">
        <v>10975</v>
      </c>
      <c r="Y9" s="3">
        <v>12339</v>
      </c>
      <c r="Z9" s="88">
        <v>11002</v>
      </c>
      <c r="AA9" s="3">
        <v>14194</v>
      </c>
    </row>
    <row r="10" spans="1:29" s="3" customFormat="1" x14ac:dyDescent="0.15">
      <c r="A10" s="3" t="s">
        <v>10</v>
      </c>
      <c r="B10" s="44">
        <f>B8-B9</f>
        <v>14928</v>
      </c>
      <c r="C10" s="44">
        <f t="shared" ref="C10:Q10" si="6">C8-C9</f>
        <v>16334</v>
      </c>
      <c r="D10" s="44">
        <f t="shared" si="6"/>
        <v>14568</v>
      </c>
      <c r="E10" s="44">
        <f t="shared" si="6"/>
        <v>14712</v>
      </c>
      <c r="F10" s="45">
        <f t="shared" si="6"/>
        <v>13172</v>
      </c>
      <c r="G10" s="44">
        <f t="shared" si="6"/>
        <v>13924</v>
      </c>
      <c r="H10" s="44">
        <f t="shared" si="6"/>
        <v>12809</v>
      </c>
      <c r="I10" s="44">
        <f t="shared" si="6"/>
        <v>12635</v>
      </c>
      <c r="J10" s="45">
        <f t="shared" si="6"/>
        <v>14084</v>
      </c>
      <c r="K10" s="44">
        <f t="shared" si="6"/>
        <v>15925</v>
      </c>
      <c r="L10" s="44">
        <f t="shared" si="6"/>
        <v>15152</v>
      </c>
      <c r="M10" s="44">
        <f t="shared" si="6"/>
        <v>17149</v>
      </c>
      <c r="N10" s="45">
        <f t="shared" si="6"/>
        <v>16260</v>
      </c>
      <c r="O10" s="44">
        <f t="shared" si="6"/>
        <v>17854</v>
      </c>
      <c r="P10" s="44">
        <f t="shared" si="6"/>
        <v>17550</v>
      </c>
      <c r="Q10" s="44">
        <f t="shared" si="6"/>
        <v>20343</v>
      </c>
      <c r="R10" s="45">
        <f t="shared" ref="R10:AA10" si="7">R8-R9</f>
        <v>19179</v>
      </c>
      <c r="S10" s="46">
        <f t="shared" si="7"/>
        <v>20048</v>
      </c>
      <c r="T10" s="46">
        <f t="shared" si="7"/>
        <v>20401</v>
      </c>
      <c r="U10" s="46">
        <f t="shared" si="7"/>
        <v>23305</v>
      </c>
      <c r="V10" s="45">
        <f t="shared" si="7"/>
        <v>22649</v>
      </c>
      <c r="W10" s="46">
        <f t="shared" si="7"/>
        <v>24548</v>
      </c>
      <c r="X10" s="46">
        <f t="shared" si="7"/>
        <v>24046</v>
      </c>
      <c r="Y10" s="46">
        <f t="shared" si="7"/>
        <v>25694</v>
      </c>
      <c r="Z10" s="45">
        <f t="shared" si="7"/>
        <v>26152</v>
      </c>
      <c r="AA10" s="46">
        <f t="shared" si="7"/>
        <v>28882</v>
      </c>
    </row>
    <row r="11" spans="1:29" s="3" customFormat="1" x14ac:dyDescent="0.15">
      <c r="A11" s="3" t="s">
        <v>12</v>
      </c>
      <c r="B11" s="34">
        <v>3065</v>
      </c>
      <c r="C11" s="34">
        <v>2903</v>
      </c>
      <c r="D11" s="34">
        <v>2984</v>
      </c>
      <c r="E11" s="34">
        <v>3094</v>
      </c>
      <c r="F11" s="36">
        <v>2962</v>
      </c>
      <c r="G11" s="37">
        <v>2900</v>
      </c>
      <c r="H11" s="37">
        <v>2980</v>
      </c>
      <c r="I11" s="37">
        <v>3146</v>
      </c>
      <c r="J11" s="36">
        <v>3106</v>
      </c>
      <c r="K11" s="37">
        <v>3062</v>
      </c>
      <c r="L11" s="37">
        <v>3355</v>
      </c>
      <c r="M11" s="37">
        <v>3514</v>
      </c>
      <c r="N11" s="36">
        <v>3574</v>
      </c>
      <c r="O11" s="37">
        <v>3504</v>
      </c>
      <c r="P11" s="37">
        <v>3715</v>
      </c>
      <c r="Q11" s="37">
        <v>3933</v>
      </c>
      <c r="R11" s="36">
        <v>3977</v>
      </c>
      <c r="S11" s="62">
        <v>4070</v>
      </c>
      <c r="T11" s="62">
        <v>4316</v>
      </c>
      <c r="U11" s="62">
        <v>4513</v>
      </c>
      <c r="V11" s="36">
        <v>4565</v>
      </c>
      <c r="W11" s="3">
        <v>4603</v>
      </c>
      <c r="X11" s="3">
        <v>4887</v>
      </c>
      <c r="Y11" s="3">
        <v>5214</v>
      </c>
      <c r="Z11" s="88">
        <v>4926</v>
      </c>
      <c r="AA11" s="3">
        <v>4899</v>
      </c>
    </row>
    <row r="12" spans="1:29" s="3" customFormat="1" x14ac:dyDescent="0.15">
      <c r="A12" s="3" t="s">
        <v>13</v>
      </c>
      <c r="B12" s="34">
        <v>3728</v>
      </c>
      <c r="C12" s="34">
        <v>4315</v>
      </c>
      <c r="D12" s="34">
        <v>3709</v>
      </c>
      <c r="E12" s="34">
        <v>3961</v>
      </c>
      <c r="F12" s="36">
        <v>3333</v>
      </c>
      <c r="G12" s="37">
        <v>3960</v>
      </c>
      <c r="H12" s="37">
        <v>3406</v>
      </c>
      <c r="I12" s="37">
        <v>3998</v>
      </c>
      <c r="J12" s="36">
        <v>3218</v>
      </c>
      <c r="K12" s="37">
        <v>4079</v>
      </c>
      <c r="L12" s="37">
        <v>3872</v>
      </c>
      <c r="M12" s="37">
        <v>4292</v>
      </c>
      <c r="N12" s="36">
        <v>3812</v>
      </c>
      <c r="O12" s="37">
        <v>4562</v>
      </c>
      <c r="P12" s="37">
        <v>4335</v>
      </c>
      <c r="Q12" s="37">
        <v>4760</v>
      </c>
      <c r="R12" s="36">
        <v>4098</v>
      </c>
      <c r="S12" s="62">
        <v>4588</v>
      </c>
      <c r="T12" s="62">
        <v>4565</v>
      </c>
      <c r="U12" s="62">
        <v>4962</v>
      </c>
      <c r="V12" s="36">
        <v>4337</v>
      </c>
      <c r="W12" s="3">
        <v>4933</v>
      </c>
      <c r="X12" s="3">
        <v>4911</v>
      </c>
      <c r="Y12" s="3">
        <v>5417</v>
      </c>
      <c r="Z12" s="88">
        <v>4231</v>
      </c>
      <c r="AA12" s="3">
        <v>4947</v>
      </c>
    </row>
    <row r="13" spans="1:29" s="3" customFormat="1" x14ac:dyDescent="0.15">
      <c r="A13" s="3" t="s">
        <v>14</v>
      </c>
      <c r="B13" s="34">
        <v>1151</v>
      </c>
      <c r="C13" s="34">
        <v>1097</v>
      </c>
      <c r="D13" s="34">
        <v>1091</v>
      </c>
      <c r="E13" s="34">
        <v>1272</v>
      </c>
      <c r="F13" s="36">
        <v>1084</v>
      </c>
      <c r="G13" s="37">
        <v>1038</v>
      </c>
      <c r="H13" s="37">
        <v>1140</v>
      </c>
      <c r="I13" s="37">
        <v>1301</v>
      </c>
      <c r="J13" s="36">
        <v>1045</v>
      </c>
      <c r="K13" s="37">
        <v>879</v>
      </c>
      <c r="L13" s="37">
        <v>1202</v>
      </c>
      <c r="M13" s="37">
        <f>1355+306</f>
        <v>1661</v>
      </c>
      <c r="N13" s="36">
        <v>1166</v>
      </c>
      <c r="O13" s="37">
        <v>1109</v>
      </c>
      <c r="P13" s="37">
        <v>1208</v>
      </c>
      <c r="Q13" s="37">
        <v>1271</v>
      </c>
      <c r="R13" s="36">
        <v>1149</v>
      </c>
      <c r="S13" s="62">
        <v>1132</v>
      </c>
      <c r="T13" s="62">
        <v>1179</v>
      </c>
      <c r="U13" s="62">
        <v>1425</v>
      </c>
      <c r="V13" s="36">
        <v>1061</v>
      </c>
      <c r="W13" s="3">
        <v>1121</v>
      </c>
      <c r="X13" s="3">
        <v>1273</v>
      </c>
      <c r="Y13" s="3">
        <v>1656</v>
      </c>
      <c r="Z13" s="88">
        <v>1119</v>
      </c>
      <c r="AA13" s="3">
        <v>1139</v>
      </c>
    </row>
    <row r="14" spans="1:29" s="3" customFormat="1" x14ac:dyDescent="0.15">
      <c r="A14" s="3" t="s">
        <v>15</v>
      </c>
      <c r="B14" s="44">
        <f t="shared" ref="B14:H14" si="8">SUM(B11:B13)</f>
        <v>7944</v>
      </c>
      <c r="C14" s="44">
        <f t="shared" si="8"/>
        <v>8315</v>
      </c>
      <c r="D14" s="44">
        <f t="shared" si="8"/>
        <v>7784</v>
      </c>
      <c r="E14" s="44">
        <f t="shared" si="8"/>
        <v>8327</v>
      </c>
      <c r="F14" s="45">
        <f t="shared" si="8"/>
        <v>7379</v>
      </c>
      <c r="G14" s="46">
        <f t="shared" si="8"/>
        <v>7898</v>
      </c>
      <c r="H14" s="46">
        <f t="shared" si="8"/>
        <v>7526</v>
      </c>
      <c r="I14" s="46">
        <f t="shared" ref="I14:M14" si="9">SUM(I11:I13)</f>
        <v>8445</v>
      </c>
      <c r="J14" s="45">
        <f t="shared" si="9"/>
        <v>7369</v>
      </c>
      <c r="K14" s="46">
        <f t="shared" si="9"/>
        <v>8020</v>
      </c>
      <c r="L14" s="46">
        <f t="shared" si="9"/>
        <v>8429</v>
      </c>
      <c r="M14" s="46">
        <f t="shared" si="9"/>
        <v>9467</v>
      </c>
      <c r="N14" s="45">
        <f>SUM(N11:N13)</f>
        <v>8552</v>
      </c>
      <c r="O14" s="46">
        <f t="shared" ref="O14" si="10">SUM(O11:O13)</f>
        <v>9175</v>
      </c>
      <c r="P14" s="46">
        <f t="shared" ref="P14:Q14" si="11">SUM(P11:P13)</f>
        <v>9258</v>
      </c>
      <c r="Q14" s="46">
        <f t="shared" si="11"/>
        <v>9964</v>
      </c>
      <c r="R14" s="45">
        <f t="shared" ref="R14:Y14" si="12">SUM(R11:R13)</f>
        <v>9224</v>
      </c>
      <c r="S14" s="46">
        <f t="shared" si="12"/>
        <v>9790</v>
      </c>
      <c r="T14" s="46">
        <f t="shared" si="12"/>
        <v>10060</v>
      </c>
      <c r="U14" s="46">
        <f t="shared" si="12"/>
        <v>10900</v>
      </c>
      <c r="V14" s="45">
        <f t="shared" si="12"/>
        <v>9963</v>
      </c>
      <c r="W14" s="46">
        <f t="shared" si="12"/>
        <v>10657</v>
      </c>
      <c r="X14" s="46">
        <f t="shared" si="12"/>
        <v>11071</v>
      </c>
      <c r="Y14" s="46">
        <f t="shared" si="12"/>
        <v>12287</v>
      </c>
      <c r="Z14" s="45">
        <f t="shared" ref="Z14:AA14" si="13">SUM(Z11:Z13)</f>
        <v>10276</v>
      </c>
      <c r="AA14" s="46">
        <f t="shared" si="13"/>
        <v>10985</v>
      </c>
    </row>
    <row r="15" spans="1:29" s="3" customFormat="1" x14ac:dyDescent="0.15">
      <c r="A15" s="3" t="s">
        <v>16</v>
      </c>
      <c r="B15" s="44">
        <f t="shared" ref="B15:H15" si="14">B10-B14</f>
        <v>6984</v>
      </c>
      <c r="C15" s="44">
        <f t="shared" si="14"/>
        <v>8019</v>
      </c>
      <c r="D15" s="44">
        <f t="shared" si="14"/>
        <v>6784</v>
      </c>
      <c r="E15" s="44">
        <f t="shared" si="14"/>
        <v>6385</v>
      </c>
      <c r="F15" s="45">
        <f t="shared" si="14"/>
        <v>5793</v>
      </c>
      <c r="G15" s="46">
        <f t="shared" si="14"/>
        <v>6026</v>
      </c>
      <c r="H15" s="46">
        <f t="shared" si="14"/>
        <v>5283</v>
      </c>
      <c r="I15" s="46">
        <f t="shared" ref="I15:M15" si="15">I10-I14</f>
        <v>4190</v>
      </c>
      <c r="J15" s="45">
        <f t="shared" si="15"/>
        <v>6715</v>
      </c>
      <c r="K15" s="46">
        <f t="shared" si="15"/>
        <v>7905</v>
      </c>
      <c r="L15" s="46">
        <f t="shared" si="15"/>
        <v>6723</v>
      </c>
      <c r="M15" s="46">
        <f t="shared" si="15"/>
        <v>7682</v>
      </c>
      <c r="N15" s="45">
        <f t="shared" ref="N15:O15" si="16">N10-N14</f>
        <v>7708</v>
      </c>
      <c r="O15" s="46">
        <f t="shared" si="16"/>
        <v>8679</v>
      </c>
      <c r="P15" s="46">
        <f t="shared" ref="P15:Q15" si="17">P10-P14</f>
        <v>8292</v>
      </c>
      <c r="Q15" s="46">
        <f t="shared" si="17"/>
        <v>10379</v>
      </c>
      <c r="R15" s="45">
        <f t="shared" ref="R15" si="18">R10-R14</f>
        <v>9955</v>
      </c>
      <c r="S15" s="46">
        <f t="shared" ref="S15:T15" si="19">S10-S14</f>
        <v>10258</v>
      </c>
      <c r="T15" s="46">
        <f t="shared" si="19"/>
        <v>10341</v>
      </c>
      <c r="U15" s="46">
        <f t="shared" ref="U15:V15" si="20">U10-U14</f>
        <v>12405</v>
      </c>
      <c r="V15" s="45">
        <f t="shared" si="20"/>
        <v>12686</v>
      </c>
      <c r="W15" s="46">
        <f t="shared" ref="W15:X15" si="21">W10-W14</f>
        <v>13891</v>
      </c>
      <c r="X15" s="46">
        <f t="shared" si="21"/>
        <v>12975</v>
      </c>
      <c r="Y15" s="46">
        <f t="shared" ref="Y15:AA15" si="22">Y10-Y14</f>
        <v>13407</v>
      </c>
      <c r="Z15" s="45">
        <f t="shared" si="22"/>
        <v>15876</v>
      </c>
      <c r="AA15" s="46">
        <f t="shared" si="22"/>
        <v>17897</v>
      </c>
    </row>
    <row r="16" spans="1:29" s="3" customFormat="1" x14ac:dyDescent="0.15">
      <c r="A16" s="3" t="s">
        <v>18</v>
      </c>
      <c r="B16" s="34">
        <v>52</v>
      </c>
      <c r="C16" s="34">
        <v>74</v>
      </c>
      <c r="D16" s="34">
        <v>-77</v>
      </c>
      <c r="E16" s="34">
        <v>297</v>
      </c>
      <c r="F16" s="36">
        <v>-280</v>
      </c>
      <c r="G16" s="37">
        <v>-171</v>
      </c>
      <c r="H16" s="37">
        <v>-247</v>
      </c>
      <c r="I16" s="37">
        <v>267</v>
      </c>
      <c r="J16" s="36">
        <v>112</v>
      </c>
      <c r="K16" s="37">
        <v>117</v>
      </c>
      <c r="L16" s="37">
        <v>371</v>
      </c>
      <c r="M16" s="37">
        <v>276</v>
      </c>
      <c r="N16" s="36">
        <v>276</v>
      </c>
      <c r="O16" s="37">
        <v>490</v>
      </c>
      <c r="P16" s="37">
        <v>349</v>
      </c>
      <c r="Q16" s="37">
        <v>301</v>
      </c>
      <c r="R16" s="36">
        <v>266</v>
      </c>
      <c r="S16" s="62">
        <v>127</v>
      </c>
      <c r="T16" s="62">
        <v>145</v>
      </c>
      <c r="U16" s="62">
        <v>191</v>
      </c>
      <c r="V16" s="36">
        <v>0</v>
      </c>
      <c r="W16" s="3">
        <v>194</v>
      </c>
      <c r="X16" s="3">
        <v>-132</v>
      </c>
      <c r="Y16" s="3">
        <v>15</v>
      </c>
      <c r="Z16" s="88">
        <v>248</v>
      </c>
      <c r="AA16" s="3">
        <v>440</v>
      </c>
    </row>
    <row r="17" spans="1:29" s="3" customFormat="1" x14ac:dyDescent="0.15">
      <c r="A17" s="3" t="s">
        <v>19</v>
      </c>
      <c r="B17" s="44">
        <f>B15+B16</f>
        <v>7036</v>
      </c>
      <c r="C17" s="44">
        <f>C15+C16</f>
        <v>8093</v>
      </c>
      <c r="D17" s="44">
        <v>6517</v>
      </c>
      <c r="E17" s="44">
        <f>E15+E16</f>
        <v>6682</v>
      </c>
      <c r="F17" s="45">
        <f>F15+F16</f>
        <v>5513</v>
      </c>
      <c r="G17" s="46">
        <f>G15+G16</f>
        <v>5855</v>
      </c>
      <c r="H17" s="46">
        <f>H15+H16</f>
        <v>5036</v>
      </c>
      <c r="I17" s="46">
        <f>I15+I16</f>
        <v>4457</v>
      </c>
      <c r="J17" s="45">
        <f t="shared" ref="J17:L17" si="23">J15+J16</f>
        <v>6827</v>
      </c>
      <c r="K17" s="46">
        <f t="shared" si="23"/>
        <v>8022</v>
      </c>
      <c r="L17" s="46">
        <f t="shared" si="23"/>
        <v>7094</v>
      </c>
      <c r="M17" s="46">
        <f>M15+M16</f>
        <v>7958</v>
      </c>
      <c r="N17" s="45">
        <f>N15+N16</f>
        <v>7984</v>
      </c>
      <c r="O17" s="46">
        <f t="shared" ref="O17" si="24">O15+O16</f>
        <v>9169</v>
      </c>
      <c r="P17" s="46">
        <f t="shared" ref="P17:Q17" si="25">P15+P16</f>
        <v>8641</v>
      </c>
      <c r="Q17" s="46">
        <f t="shared" si="25"/>
        <v>10680</v>
      </c>
      <c r="R17" s="45">
        <f t="shared" ref="R17:AA17" si="26">R15+R16</f>
        <v>10221</v>
      </c>
      <c r="S17" s="46">
        <f t="shared" si="26"/>
        <v>10385</v>
      </c>
      <c r="T17" s="46">
        <f t="shared" si="26"/>
        <v>10486</v>
      </c>
      <c r="U17" s="46">
        <f t="shared" si="26"/>
        <v>12596</v>
      </c>
      <c r="V17" s="45">
        <f t="shared" si="26"/>
        <v>12686</v>
      </c>
      <c r="W17" s="46">
        <f t="shared" si="26"/>
        <v>14085</v>
      </c>
      <c r="X17" s="46">
        <f t="shared" si="26"/>
        <v>12843</v>
      </c>
      <c r="Y17" s="46">
        <f t="shared" si="26"/>
        <v>13422</v>
      </c>
      <c r="Z17" s="45">
        <f t="shared" si="26"/>
        <v>16124</v>
      </c>
      <c r="AA17" s="46">
        <f t="shared" si="26"/>
        <v>18337</v>
      </c>
    </row>
    <row r="18" spans="1:29" s="3" customFormat="1" x14ac:dyDescent="0.15">
      <c r="A18" s="3" t="s">
        <v>20</v>
      </c>
      <c r="B18" s="34">
        <v>1356</v>
      </c>
      <c r="C18" s="34">
        <v>1987</v>
      </c>
      <c r="D18" s="34">
        <v>1532</v>
      </c>
      <c r="E18" s="34">
        <v>1439</v>
      </c>
      <c r="F18" s="36">
        <v>893</v>
      </c>
      <c r="G18" s="37">
        <v>857</v>
      </c>
      <c r="H18" s="37">
        <v>1280</v>
      </c>
      <c r="I18" s="37">
        <v>225</v>
      </c>
      <c r="J18" s="36">
        <v>1160</v>
      </c>
      <c r="K18" s="37">
        <v>1755</v>
      </c>
      <c r="L18" s="37">
        <v>1608</v>
      </c>
      <c r="M18" s="37">
        <v>-111</v>
      </c>
      <c r="N18" s="36">
        <v>1408</v>
      </c>
      <c r="O18" s="37">
        <f>O17*N26</f>
        <v>1616.9779559118238</v>
      </c>
      <c r="P18" s="37">
        <v>1217</v>
      </c>
      <c r="Q18" s="37">
        <v>1807</v>
      </c>
      <c r="R18" s="36">
        <v>1397</v>
      </c>
      <c r="S18" s="62">
        <v>1965</v>
      </c>
      <c r="T18" s="62">
        <v>1677</v>
      </c>
      <c r="U18" s="62">
        <v>-591</v>
      </c>
      <c r="V18" s="36">
        <v>2008</v>
      </c>
      <c r="W18" s="3">
        <v>2436</v>
      </c>
      <c r="X18" s="3">
        <v>2091</v>
      </c>
      <c r="Y18" s="3">
        <v>2220</v>
      </c>
      <c r="Z18" s="88">
        <v>2231</v>
      </c>
      <c r="AA18" s="3">
        <v>2874</v>
      </c>
    </row>
    <row r="19" spans="1:29" s="3" customFormat="1" x14ac:dyDescent="0.15">
      <c r="A19" s="74" t="s">
        <v>109</v>
      </c>
      <c r="B19" s="34"/>
      <c r="C19" s="34"/>
      <c r="D19" s="34"/>
      <c r="E19" s="34"/>
      <c r="F19" s="36"/>
      <c r="G19" s="37"/>
      <c r="H19" s="37"/>
      <c r="I19" s="37"/>
      <c r="J19" s="36"/>
      <c r="K19" s="37"/>
      <c r="L19" s="37"/>
      <c r="M19" s="37"/>
      <c r="N19" s="36"/>
      <c r="O19" s="37">
        <v>15471</v>
      </c>
      <c r="P19" s="37"/>
      <c r="Q19" s="37"/>
      <c r="R19" s="36"/>
      <c r="S19" s="62"/>
      <c r="T19" s="62"/>
      <c r="U19" s="62"/>
      <c r="V19" s="36"/>
      <c r="Z19" s="88"/>
    </row>
    <row r="20" spans="1:29" s="8" customFormat="1" x14ac:dyDescent="0.15">
      <c r="A20" s="8" t="s">
        <v>21</v>
      </c>
      <c r="B20" s="40">
        <f>B17-B18</f>
        <v>5680</v>
      </c>
      <c r="C20" s="40">
        <f t="shared" ref="C20:H20" si="27">C17-C18</f>
        <v>6106</v>
      </c>
      <c r="D20" s="40">
        <f t="shared" si="27"/>
        <v>4985</v>
      </c>
      <c r="E20" s="40">
        <f t="shared" si="27"/>
        <v>5243</v>
      </c>
      <c r="F20" s="41">
        <f t="shared" si="27"/>
        <v>4620</v>
      </c>
      <c r="G20" s="42">
        <f t="shared" si="27"/>
        <v>4998</v>
      </c>
      <c r="H20" s="42">
        <f t="shared" si="27"/>
        <v>3756</v>
      </c>
      <c r="I20" s="42">
        <f t="shared" ref="I20:M20" si="28">I17-I18</f>
        <v>4232</v>
      </c>
      <c r="J20" s="41">
        <f t="shared" si="28"/>
        <v>5667</v>
      </c>
      <c r="K20" s="42">
        <f t="shared" si="28"/>
        <v>6267</v>
      </c>
      <c r="L20" s="42">
        <f t="shared" si="28"/>
        <v>5486</v>
      </c>
      <c r="M20" s="42">
        <f t="shared" si="28"/>
        <v>8069</v>
      </c>
      <c r="N20" s="41">
        <f t="shared" ref="N20:O20" si="29">N17-N18</f>
        <v>6576</v>
      </c>
      <c r="O20" s="42">
        <f t="shared" si="29"/>
        <v>7552.0220440881767</v>
      </c>
      <c r="P20" s="42">
        <f t="shared" ref="P20:Q20" si="30">P17-P18</f>
        <v>7424</v>
      </c>
      <c r="Q20" s="42">
        <f t="shared" si="30"/>
        <v>8873</v>
      </c>
      <c r="R20" s="41">
        <f t="shared" ref="R20" si="31">R17-R18</f>
        <v>8824</v>
      </c>
      <c r="S20" s="42">
        <f t="shared" ref="S20:T20" si="32">S17-S18</f>
        <v>8420</v>
      </c>
      <c r="T20" s="42">
        <f t="shared" si="32"/>
        <v>8809</v>
      </c>
      <c r="U20" s="42">
        <f t="shared" ref="U20:V20" si="33">U17-U18</f>
        <v>13187</v>
      </c>
      <c r="V20" s="41">
        <f t="shared" si="33"/>
        <v>10678</v>
      </c>
      <c r="W20" s="42">
        <f>W17-W18</f>
        <v>11649</v>
      </c>
      <c r="X20" s="42">
        <f>X17-X18</f>
        <v>10752</v>
      </c>
      <c r="Y20" s="42">
        <f>Y17-Y18</f>
        <v>11202</v>
      </c>
      <c r="Z20" s="41">
        <f>Z17-Z18</f>
        <v>13893</v>
      </c>
      <c r="AA20" s="42">
        <f>AA17-AA18</f>
        <v>15463</v>
      </c>
    </row>
    <row r="21" spans="1:29" s="68" customFormat="1" x14ac:dyDescent="0.15">
      <c r="A21" s="68" t="s">
        <v>22</v>
      </c>
      <c r="B21" s="75">
        <f>B20/B22</f>
        <v>0.68015806490240693</v>
      </c>
      <c r="C21" s="75">
        <f t="shared" ref="C21:H21" si="34">C20/C22</f>
        <v>0.73592864890924425</v>
      </c>
      <c r="D21" s="75">
        <f t="shared" si="34"/>
        <v>0.60519606652907609</v>
      </c>
      <c r="E21" s="75">
        <f t="shared" si="34"/>
        <v>0.65041558119340037</v>
      </c>
      <c r="F21" s="76">
        <f t="shared" si="34"/>
        <v>0.57277460947185721</v>
      </c>
      <c r="G21" s="77">
        <f t="shared" si="34"/>
        <v>0.62257100149476829</v>
      </c>
      <c r="H21" s="77">
        <f t="shared" si="34"/>
        <v>0.47038196618659989</v>
      </c>
      <c r="I21" s="77">
        <f t="shared" ref="I21:M21" si="35">I20/I22</f>
        <v>0.53373691512170518</v>
      </c>
      <c r="J21" s="76">
        <f t="shared" si="35"/>
        <v>0.71952767902488568</v>
      </c>
      <c r="K21" s="77">
        <f t="shared" si="35"/>
        <v>0.80038314176245207</v>
      </c>
      <c r="L21" s="77">
        <f t="shared" si="35"/>
        <v>0.70216306156405994</v>
      </c>
      <c r="M21" s="77">
        <f t="shared" si="35"/>
        <v>1.033692031770433</v>
      </c>
      <c r="N21" s="76">
        <f t="shared" ref="N21:O21" si="36">N20/N22</f>
        <v>0.84318502372098991</v>
      </c>
      <c r="O21" s="77">
        <f t="shared" si="36"/>
        <v>0.97950999274814221</v>
      </c>
      <c r="P21" s="77">
        <f t="shared" ref="P21:Q21" si="37">P20/P22</f>
        <v>0.95252758532204262</v>
      </c>
      <c r="Q21" s="77">
        <f t="shared" si="37"/>
        <v>1.1412218649517685</v>
      </c>
      <c r="R21" s="76">
        <f t="shared" ref="R21" si="38">R20/R22</f>
        <v>1.1362348699459182</v>
      </c>
      <c r="S21" s="77">
        <f>S20/S22</f>
        <v>1.0839340885684861</v>
      </c>
      <c r="T21" s="77">
        <f>T20/T22</f>
        <v>1.1375258264462811</v>
      </c>
      <c r="U21" s="77">
        <f>U20/U22</f>
        <v>1.7059508408796895</v>
      </c>
      <c r="V21" s="76">
        <f t="shared" ref="V21:W21" si="39">V20/V22</f>
        <v>1.3849546044098573</v>
      </c>
      <c r="W21" s="77">
        <f t="shared" si="39"/>
        <v>1.5146274866727343</v>
      </c>
      <c r="X21" s="77">
        <f t="shared" ref="X21:Y21" si="40">X20/X22</f>
        <v>1.4009120521172638</v>
      </c>
      <c r="Y21" s="77">
        <f t="shared" si="40"/>
        <v>1.4643137254901961</v>
      </c>
      <c r="Z21" s="76">
        <f t="shared" ref="Z21:AA21" si="41">Z20/Z22</f>
        <v>1.8191698310855047</v>
      </c>
      <c r="AA21" s="77">
        <f t="shared" si="41"/>
        <v>2.0303308823529411</v>
      </c>
    </row>
    <row r="22" spans="1:29" s="3" customFormat="1" x14ac:dyDescent="0.15">
      <c r="A22" s="3" t="s">
        <v>23</v>
      </c>
      <c r="B22" s="34">
        <v>8351</v>
      </c>
      <c r="C22" s="34">
        <v>8297</v>
      </c>
      <c r="D22" s="34">
        <v>8237</v>
      </c>
      <c r="E22" s="34">
        <v>8061</v>
      </c>
      <c r="F22" s="36">
        <v>8066</v>
      </c>
      <c r="G22" s="37">
        <v>8028</v>
      </c>
      <c r="H22" s="37">
        <v>7985</v>
      </c>
      <c r="I22" s="37">
        <v>7929</v>
      </c>
      <c r="J22" s="36">
        <v>7876</v>
      </c>
      <c r="K22" s="37">
        <v>7830</v>
      </c>
      <c r="L22" s="37">
        <v>7813</v>
      </c>
      <c r="M22" s="37">
        <v>7806</v>
      </c>
      <c r="N22" s="36">
        <v>7799</v>
      </c>
      <c r="O22" s="37">
        <v>7710</v>
      </c>
      <c r="P22" s="37">
        <v>7794</v>
      </c>
      <c r="Q22" s="37">
        <v>7775</v>
      </c>
      <c r="R22" s="36">
        <v>7766</v>
      </c>
      <c r="S22" s="62">
        <v>7768</v>
      </c>
      <c r="T22" s="62">
        <v>7744</v>
      </c>
      <c r="U22" s="62">
        <v>7730</v>
      </c>
      <c r="V22" s="36">
        <v>7710</v>
      </c>
      <c r="W22" s="3">
        <v>7691</v>
      </c>
      <c r="X22" s="3">
        <v>7675</v>
      </c>
      <c r="Y22" s="3">
        <v>7650</v>
      </c>
      <c r="Z22" s="88">
        <v>7637</v>
      </c>
      <c r="AA22" s="3">
        <v>7616</v>
      </c>
    </row>
    <row r="23" spans="1:29" x14ac:dyDescent="0.15">
      <c r="C23" s="34"/>
      <c r="D23" s="34"/>
      <c r="E23" s="34"/>
      <c r="F23" s="36"/>
      <c r="G23" s="37"/>
      <c r="H23" s="39"/>
      <c r="I23" s="39"/>
      <c r="K23" s="39"/>
      <c r="L23" s="39"/>
      <c r="M23" s="39"/>
      <c r="O23" s="39"/>
      <c r="P23" s="39"/>
      <c r="Q23" s="39"/>
      <c r="V23" s="38"/>
    </row>
    <row r="24" spans="1:29" x14ac:dyDescent="0.15">
      <c r="A24" s="2" t="s">
        <v>11</v>
      </c>
      <c r="B24" s="52">
        <f t="shared" ref="B24:R24" si="42">B10/B8</f>
        <v>0.64342054221800782</v>
      </c>
      <c r="C24" s="52">
        <f t="shared" si="42"/>
        <v>0.61707593502077829</v>
      </c>
      <c r="D24" s="52">
        <f t="shared" si="42"/>
        <v>0.67044042523816094</v>
      </c>
      <c r="E24" s="52">
        <f t="shared" si="42"/>
        <v>0.66330027051397655</v>
      </c>
      <c r="F24" s="53">
        <f t="shared" si="42"/>
        <v>0.6463516364885421</v>
      </c>
      <c r="G24" s="54">
        <f t="shared" si="42"/>
        <v>0.58514035972432343</v>
      </c>
      <c r="H24" s="54">
        <f t="shared" si="42"/>
        <v>0.62388583118211483</v>
      </c>
      <c r="I24" s="54">
        <f t="shared" si="42"/>
        <v>0.61293295818375859</v>
      </c>
      <c r="J24" s="53">
        <f t="shared" si="42"/>
        <v>0.64228383801532285</v>
      </c>
      <c r="K24" s="54">
        <f t="shared" si="42"/>
        <v>0.61662665530860372</v>
      </c>
      <c r="L24" s="54">
        <f t="shared" si="42"/>
        <v>0.65276581078752371</v>
      </c>
      <c r="M24" s="54">
        <f t="shared" si="42"/>
        <v>0.66975200156219483</v>
      </c>
      <c r="N24" s="53">
        <f t="shared" si="42"/>
        <v>0.66264569239546822</v>
      </c>
      <c r="O24" s="54">
        <f t="shared" si="42"/>
        <v>0.6174009267584204</v>
      </c>
      <c r="P24" s="54">
        <f t="shared" si="42"/>
        <v>0.65438681531749876</v>
      </c>
      <c r="Q24" s="54">
        <f t="shared" si="42"/>
        <v>0.67618414492271894</v>
      </c>
      <c r="R24" s="53">
        <f t="shared" si="42"/>
        <v>0.65943474075092834</v>
      </c>
      <c r="S24" s="63">
        <f t="shared" ref="S24:T24" si="43">S10/S8</f>
        <v>0.61741246034923469</v>
      </c>
      <c r="T24" s="63">
        <f t="shared" si="43"/>
        <v>0.66733178502502366</v>
      </c>
      <c r="U24" s="63">
        <f t="shared" ref="U24" si="44">U10/U8</f>
        <v>0.69119435299700449</v>
      </c>
      <c r="V24" s="53">
        <f>V10/V8</f>
        <v>0.6851913477537438</v>
      </c>
      <c r="W24" s="54">
        <f>W10/W8</f>
        <v>0.66514929821709212</v>
      </c>
      <c r="X24" s="54">
        <f>X10/X8</f>
        <v>0.68661660146769077</v>
      </c>
      <c r="Y24" s="54">
        <f>Y10/Y8</f>
        <v>0.67557121447164303</v>
      </c>
      <c r="Z24" s="53">
        <f>Z10/Z8</f>
        <v>0.70388114334930285</v>
      </c>
      <c r="AA24" s="54">
        <f>AA10/AA8</f>
        <v>0.67048936762930633</v>
      </c>
    </row>
    <row r="25" spans="1:29" x14ac:dyDescent="0.15">
      <c r="A25" s="2" t="s">
        <v>17</v>
      </c>
      <c r="B25" s="55">
        <f t="shared" ref="B25:R25" si="45">B15/B8</f>
        <v>0.30102150769363389</v>
      </c>
      <c r="C25" s="55">
        <f t="shared" si="45"/>
        <v>0.30294673214960333</v>
      </c>
      <c r="D25" s="55">
        <f t="shared" si="45"/>
        <v>0.31220948962216394</v>
      </c>
      <c r="E25" s="55">
        <f t="shared" si="45"/>
        <v>0.28787195671776378</v>
      </c>
      <c r="F25" s="56">
        <f t="shared" si="45"/>
        <v>0.28426321213013395</v>
      </c>
      <c r="G25" s="57">
        <f t="shared" si="45"/>
        <v>0.253235837955959</v>
      </c>
      <c r="H25" s="57">
        <f t="shared" si="45"/>
        <v>0.25731820174370462</v>
      </c>
      <c r="I25" s="57">
        <f t="shared" si="45"/>
        <v>0.20325992044241778</v>
      </c>
      <c r="J25" s="56">
        <f t="shared" si="45"/>
        <v>0.30622947829259395</v>
      </c>
      <c r="K25" s="57">
        <f t="shared" si="45"/>
        <v>0.30608688918144505</v>
      </c>
      <c r="L25" s="57">
        <f t="shared" si="45"/>
        <v>0.28963467172152335</v>
      </c>
      <c r="M25" s="57">
        <f t="shared" si="45"/>
        <v>0.30001952743604765</v>
      </c>
      <c r="N25" s="56">
        <f t="shared" si="45"/>
        <v>0.3141250305648382</v>
      </c>
      <c r="O25" s="57">
        <f t="shared" si="45"/>
        <v>0.30012448993706342</v>
      </c>
      <c r="P25" s="57">
        <f t="shared" si="45"/>
        <v>0.30918378761325926</v>
      </c>
      <c r="Q25" s="57">
        <f t="shared" si="45"/>
        <v>0.3449891972743892</v>
      </c>
      <c r="R25" s="56">
        <f t="shared" si="45"/>
        <v>0.34228441754916794</v>
      </c>
      <c r="S25" s="64">
        <f t="shared" ref="S25:T25" si="46">S15/S8</f>
        <v>0.3159126605278556</v>
      </c>
      <c r="T25" s="64">
        <f t="shared" si="46"/>
        <v>0.3382617513329626</v>
      </c>
      <c r="U25" s="64">
        <f t="shared" ref="U25" si="47">U15/U8</f>
        <v>0.3679152949550672</v>
      </c>
      <c r="V25" s="56">
        <f>V15/V8</f>
        <v>0.38378460142187265</v>
      </c>
      <c r="W25" s="57">
        <f>W15/W8</f>
        <v>0.37638866309001245</v>
      </c>
      <c r="X25" s="57">
        <f>X15/X8</f>
        <v>0.37049199051997372</v>
      </c>
      <c r="Y25" s="57">
        <f>Y15/Y8</f>
        <v>0.35250966266137301</v>
      </c>
      <c r="Z25" s="56">
        <f>Z15/Z8</f>
        <v>0.42730257845723207</v>
      </c>
      <c r="AA25" s="57">
        <f>AA15/AA8</f>
        <v>0.41547497446373849</v>
      </c>
    </row>
    <row r="26" spans="1:29" x14ac:dyDescent="0.15">
      <c r="A26" s="2" t="s">
        <v>24</v>
      </c>
      <c r="B26" s="55">
        <f t="shared" ref="B26:R26" si="48">B18/B17</f>
        <v>0.19272313814667424</v>
      </c>
      <c r="C26" s="55">
        <f t="shared" si="48"/>
        <v>0.24552082046212775</v>
      </c>
      <c r="D26" s="55">
        <f t="shared" si="48"/>
        <v>0.23507748964247352</v>
      </c>
      <c r="E26" s="55">
        <f t="shared" si="48"/>
        <v>0.21535468422627957</v>
      </c>
      <c r="F26" s="56">
        <f t="shared" si="48"/>
        <v>0.16198077271902775</v>
      </c>
      <c r="G26" s="57">
        <f t="shared" si="48"/>
        <v>0.14637062339880444</v>
      </c>
      <c r="H26" s="57">
        <f t="shared" si="48"/>
        <v>0.25416997617156473</v>
      </c>
      <c r="I26" s="57">
        <f t="shared" si="48"/>
        <v>5.0482387256001793E-2</v>
      </c>
      <c r="J26" s="56">
        <f t="shared" si="48"/>
        <v>0.16991357843855281</v>
      </c>
      <c r="K26" s="57">
        <f t="shared" si="48"/>
        <v>0.21877337322363499</v>
      </c>
      <c r="L26" s="57">
        <f t="shared" si="48"/>
        <v>0.22667042571186918</v>
      </c>
      <c r="M26" s="57">
        <f t="shared" si="48"/>
        <v>-1.3948228198039708E-2</v>
      </c>
      <c r="N26" s="56">
        <f t="shared" si="48"/>
        <v>0.17635270541082165</v>
      </c>
      <c r="O26" s="57">
        <f t="shared" si="48"/>
        <v>0.17635270541082165</v>
      </c>
      <c r="P26" s="57">
        <f t="shared" si="48"/>
        <v>0.14084018053466035</v>
      </c>
      <c r="Q26" s="57">
        <f t="shared" si="48"/>
        <v>0.16919475655430713</v>
      </c>
      <c r="R26" s="56">
        <f t="shared" si="48"/>
        <v>0.13667938557871051</v>
      </c>
      <c r="S26" s="64">
        <f t="shared" ref="S26:Y26" si="49">S18/S17</f>
        <v>0.18921521425132404</v>
      </c>
      <c r="T26" s="64">
        <f t="shared" si="49"/>
        <v>0.15992752241083349</v>
      </c>
      <c r="U26" s="64">
        <f t="shared" si="49"/>
        <v>-4.6919657033979038E-2</v>
      </c>
      <c r="V26" s="56">
        <f t="shared" si="49"/>
        <v>0.15828472331704241</v>
      </c>
      <c r="W26" s="57">
        <f t="shared" si="49"/>
        <v>0.17294994675186368</v>
      </c>
      <c r="X26" s="57">
        <f t="shared" si="49"/>
        <v>0.16281242700303666</v>
      </c>
      <c r="Y26" s="57">
        <f t="shared" si="49"/>
        <v>0.16540008940545373</v>
      </c>
      <c r="Z26" s="56">
        <f t="shared" ref="Z26:AA26" si="50">Z18/Z17</f>
        <v>0.13836516993301909</v>
      </c>
      <c r="AA26" s="57">
        <f t="shared" si="50"/>
        <v>0.15673228990565524</v>
      </c>
    </row>
    <row r="27" spans="1:29" x14ac:dyDescent="0.15">
      <c r="C27" s="34"/>
      <c r="D27" s="34"/>
      <c r="E27" s="34"/>
      <c r="F27" s="36"/>
      <c r="G27" s="37"/>
      <c r="H27" s="39"/>
      <c r="I27" s="39"/>
      <c r="K27" s="39"/>
      <c r="L27" s="39"/>
      <c r="M27" s="39"/>
      <c r="O27" s="39"/>
      <c r="P27" s="39"/>
      <c r="Q27" s="39"/>
      <c r="V27" s="38"/>
      <c r="W27" s="39"/>
      <c r="X27" s="39"/>
      <c r="Y27" s="39"/>
      <c r="Z27" s="38"/>
      <c r="AA27" s="39"/>
    </row>
    <row r="28" spans="1:29" s="7" customFormat="1" x14ac:dyDescent="0.15">
      <c r="A28" s="7" t="s">
        <v>25</v>
      </c>
      <c r="B28" s="47"/>
      <c r="C28" s="48"/>
      <c r="D28" s="49"/>
      <c r="E28" s="49"/>
      <c r="F28" s="50">
        <f t="shared" ref="F28:R28" si="51">(F8/B8)-1</f>
        <v>-0.12163268824619633</v>
      </c>
      <c r="G28" s="51">
        <f t="shared" si="51"/>
        <v>-0.10102002266717036</v>
      </c>
      <c r="H28" s="51">
        <f t="shared" si="51"/>
        <v>-5.5133692300612047E-2</v>
      </c>
      <c r="I28" s="51">
        <f t="shared" si="51"/>
        <v>-7.06041478809738E-2</v>
      </c>
      <c r="J28" s="50">
        <f t="shared" si="51"/>
        <v>7.600961774375592E-2</v>
      </c>
      <c r="K28" s="51">
        <f t="shared" si="51"/>
        <v>8.5308455202555145E-2</v>
      </c>
      <c r="L28" s="51">
        <f t="shared" si="51"/>
        <v>0.13058302079781803</v>
      </c>
      <c r="M28" s="51">
        <f t="shared" si="51"/>
        <v>0.24211700785873669</v>
      </c>
      <c r="N28" s="50">
        <f t="shared" si="51"/>
        <v>0.11902590295512594</v>
      </c>
      <c r="O28" s="51">
        <f t="shared" si="51"/>
        <v>0.11972430883605667</v>
      </c>
      <c r="P28" s="51">
        <f t="shared" si="51"/>
        <v>0.15539376184732046</v>
      </c>
      <c r="Q28" s="51">
        <f t="shared" si="51"/>
        <v>0.17496582698691654</v>
      </c>
      <c r="R28" s="50">
        <f t="shared" si="51"/>
        <v>0.18526367267095933</v>
      </c>
      <c r="S28" s="65">
        <f t="shared" ref="S28:U28" si="52">(S8/O8)-1</f>
        <v>0.12286465177398154</v>
      </c>
      <c r="T28" s="65">
        <f t="shared" si="52"/>
        <v>0.13990081658525666</v>
      </c>
      <c r="U28" s="65">
        <f t="shared" si="52"/>
        <v>0.12072461359481479</v>
      </c>
      <c r="V28" s="50">
        <f>(V8/R8)-1</f>
        <v>0.13653555219364599</v>
      </c>
      <c r="W28" s="51">
        <f>(W8/S8)-1</f>
        <v>0.13658341289150311</v>
      </c>
      <c r="X28" s="51">
        <f>(X8/T8)-1</f>
        <v>0.14556278826338698</v>
      </c>
      <c r="Y28" s="51">
        <f>(Y8/U8)-1</f>
        <v>0.12800664353293589</v>
      </c>
      <c r="Z28" s="50">
        <f>(Z8/V8)-1</f>
        <v>0.12400544546967174</v>
      </c>
      <c r="AA28" s="51">
        <f>(AA8/W8)-1</f>
        <v>0.16718148810491518</v>
      </c>
      <c r="AB28" s="51">
        <f>(AB8/X8)-1</f>
        <v>0.15183318580280392</v>
      </c>
      <c r="AC28" s="51">
        <f>(AC8/Y8)-1</f>
        <v>0.15060605263849824</v>
      </c>
    </row>
    <row r="29" spans="1:29" x14ac:dyDescent="0.15">
      <c r="A29" s="2" t="s">
        <v>87</v>
      </c>
      <c r="G29" s="39"/>
      <c r="H29" s="39"/>
      <c r="I29" s="39"/>
      <c r="K29" s="39"/>
      <c r="L29" s="39"/>
      <c r="M29" s="54">
        <f t="shared" ref="M29:R31" si="53">M11/I11-1</f>
        <v>0.11697393515575327</v>
      </c>
      <c r="N29" s="53">
        <f t="shared" si="53"/>
        <v>0.1506761107533805</v>
      </c>
      <c r="O29" s="54">
        <f t="shared" si="53"/>
        <v>0.14435009797517973</v>
      </c>
      <c r="P29" s="54">
        <f t="shared" si="53"/>
        <v>0.10730253353204167</v>
      </c>
      <c r="Q29" s="54">
        <f t="shared" si="53"/>
        <v>0.1192373363688104</v>
      </c>
      <c r="R29" s="53">
        <f t="shared" si="53"/>
        <v>0.11275881365416907</v>
      </c>
      <c r="S29" s="63">
        <f t="shared" ref="S29:AA31" si="54">S11/O11-1</f>
        <v>0.1615296803652968</v>
      </c>
      <c r="T29" s="63">
        <f t="shared" si="54"/>
        <v>0.16177658142664875</v>
      </c>
      <c r="U29" s="63">
        <f t="shared" si="54"/>
        <v>0.14747012458682929</v>
      </c>
      <c r="V29" s="53">
        <f t="shared" si="54"/>
        <v>0.14785013829519733</v>
      </c>
      <c r="W29" s="54">
        <f t="shared" si="54"/>
        <v>0.13095823095823089</v>
      </c>
      <c r="X29" s="54">
        <f t="shared" si="54"/>
        <v>0.13229842446709927</v>
      </c>
      <c r="Y29" s="54">
        <f t="shared" si="54"/>
        <v>0.15532904941280745</v>
      </c>
      <c r="Z29" s="53">
        <f t="shared" si="54"/>
        <v>7.9079956188389922E-2</v>
      </c>
      <c r="AA29" s="54">
        <f t="shared" si="54"/>
        <v>6.4305887464696898E-2</v>
      </c>
    </row>
    <row r="30" spans="1:29" x14ac:dyDescent="0.15">
      <c r="A30" s="2" t="s">
        <v>88</v>
      </c>
      <c r="M30" s="54">
        <f t="shared" si="53"/>
        <v>7.3536768384192097E-2</v>
      </c>
      <c r="N30" s="53">
        <f t="shared" si="53"/>
        <v>0.1845866998135488</v>
      </c>
      <c r="O30" s="54">
        <f t="shared" si="53"/>
        <v>0.11841137533709234</v>
      </c>
      <c r="P30" s="54">
        <f t="shared" si="53"/>
        <v>0.11957644628099184</v>
      </c>
      <c r="Q30" s="54">
        <f t="shared" si="53"/>
        <v>0.1090400745573159</v>
      </c>
      <c r="R30" s="53">
        <f t="shared" si="53"/>
        <v>7.5026232948583349E-2</v>
      </c>
      <c r="S30" s="63">
        <f t="shared" ref="S30:U30" si="55">S12/O12-1</f>
        <v>5.6992547128451587E-3</v>
      </c>
      <c r="T30" s="63">
        <f t="shared" si="55"/>
        <v>5.3056516724336866E-2</v>
      </c>
      <c r="U30" s="63">
        <f t="shared" si="55"/>
        <v>4.2436974789916038E-2</v>
      </c>
      <c r="V30" s="53">
        <f t="shared" si="54"/>
        <v>5.8321132259638864E-2</v>
      </c>
      <c r="W30" s="54">
        <f t="shared" si="54"/>
        <v>7.5196163905841384E-2</v>
      </c>
      <c r="X30" s="54">
        <f t="shared" si="54"/>
        <v>7.5794085432639546E-2</v>
      </c>
      <c r="Y30" s="54">
        <f t="shared" si="54"/>
        <v>9.1696896412736706E-2</v>
      </c>
      <c r="Z30" s="53">
        <f t="shared" si="54"/>
        <v>-2.44408577357621E-2</v>
      </c>
      <c r="AA30" s="54">
        <f t="shared" si="54"/>
        <v>2.8380295965944047E-3</v>
      </c>
    </row>
    <row r="31" spans="1:29" x14ac:dyDescent="0.15">
      <c r="A31" s="2" t="s">
        <v>89</v>
      </c>
      <c r="M31" s="54">
        <f t="shared" si="53"/>
        <v>0.27671022290545744</v>
      </c>
      <c r="N31" s="53">
        <f t="shared" si="53"/>
        <v>0.11578947368421044</v>
      </c>
      <c r="O31" s="54">
        <f t="shared" si="53"/>
        <v>0.26166097838452784</v>
      </c>
      <c r="P31" s="54">
        <f t="shared" si="53"/>
        <v>4.991680532445919E-3</v>
      </c>
      <c r="Q31" s="54">
        <f t="shared" si="53"/>
        <v>-0.23479831426851294</v>
      </c>
      <c r="R31" s="53">
        <f t="shared" si="53"/>
        <v>-1.4579759862778707E-2</v>
      </c>
      <c r="S31" s="63">
        <f t="shared" ref="S31:U31" si="56">S13/O13-1</f>
        <v>2.0739404869251521E-2</v>
      </c>
      <c r="T31" s="63">
        <f t="shared" si="56"/>
        <v>-2.4006622516556275E-2</v>
      </c>
      <c r="U31" s="63">
        <f t="shared" si="56"/>
        <v>0.12116443745082606</v>
      </c>
      <c r="V31" s="53">
        <f t="shared" si="54"/>
        <v>-7.6588337684943442E-2</v>
      </c>
      <c r="W31" s="54">
        <f t="shared" si="54"/>
        <v>-9.7173144876324669E-3</v>
      </c>
      <c r="X31" s="54">
        <f t="shared" si="54"/>
        <v>7.9728583545377374E-2</v>
      </c>
      <c r="Y31" s="54">
        <f t="shared" si="54"/>
        <v>0.16210526315789475</v>
      </c>
      <c r="Z31" s="53">
        <f t="shared" si="54"/>
        <v>5.4665409990575009E-2</v>
      </c>
      <c r="AA31" s="54">
        <f t="shared" si="54"/>
        <v>1.605709188224802E-2</v>
      </c>
    </row>
    <row r="32" spans="1:29" x14ac:dyDescent="0.15">
      <c r="G32" s="39"/>
      <c r="H32" s="39"/>
      <c r="I32" s="39"/>
      <c r="K32" s="39"/>
      <c r="L32" s="39"/>
      <c r="M32" s="39"/>
      <c r="O32" s="39"/>
      <c r="P32" s="39"/>
      <c r="Q32" s="39"/>
      <c r="V32" s="38"/>
    </row>
    <row r="33" spans="1:27" s="8" customFormat="1" x14ac:dyDescent="0.15">
      <c r="A33" s="8" t="s">
        <v>26</v>
      </c>
      <c r="B33" s="48"/>
      <c r="C33" s="48"/>
      <c r="D33" s="48"/>
      <c r="E33" s="48"/>
      <c r="F33" s="58"/>
      <c r="G33" s="48"/>
      <c r="H33" s="48"/>
      <c r="I33" s="48"/>
      <c r="J33" s="58"/>
      <c r="K33" s="48"/>
      <c r="L33" s="48"/>
      <c r="M33" s="42">
        <f t="shared" ref="M33:S33" si="57">M34-M35</f>
        <v>46787</v>
      </c>
      <c r="N33" s="41">
        <f t="shared" si="57"/>
        <v>52996</v>
      </c>
      <c r="O33" s="42">
        <f t="shared" si="57"/>
        <v>53520</v>
      </c>
      <c r="P33" s="42">
        <f t="shared" si="57"/>
        <v>55113</v>
      </c>
      <c r="Q33" s="42">
        <f t="shared" si="57"/>
        <v>57528</v>
      </c>
      <c r="R33" s="41">
        <f t="shared" si="57"/>
        <v>59750</v>
      </c>
      <c r="S33" s="42">
        <f t="shared" si="57"/>
        <v>54493</v>
      </c>
      <c r="T33" s="42">
        <f t="shared" ref="T33:X33" si="58">T34-T35</f>
        <v>58518</v>
      </c>
      <c r="U33" s="42">
        <f t="shared" si="58"/>
        <v>61641</v>
      </c>
      <c r="V33" s="41">
        <f t="shared" si="58"/>
        <v>67141</v>
      </c>
      <c r="W33" s="42">
        <f t="shared" si="58"/>
        <v>64645</v>
      </c>
      <c r="X33" s="42">
        <f t="shared" si="58"/>
        <v>71016</v>
      </c>
      <c r="Y33" s="42">
        <f t="shared" ref="Y33:AA33" si="59">Y34-Y35</f>
        <v>73200</v>
      </c>
      <c r="Z33" s="41">
        <f t="shared" si="59"/>
        <v>74425</v>
      </c>
      <c r="AA33" s="42">
        <f t="shared" si="59"/>
        <v>71445</v>
      </c>
    </row>
    <row r="34" spans="1:27" s="3" customFormat="1" x14ac:dyDescent="0.15">
      <c r="A34" s="3" t="s">
        <v>27</v>
      </c>
      <c r="B34" s="34"/>
      <c r="C34" s="34"/>
      <c r="D34" s="34"/>
      <c r="E34" s="34"/>
      <c r="F34" s="36"/>
      <c r="G34" s="34"/>
      <c r="H34" s="34"/>
      <c r="I34" s="34"/>
      <c r="J34" s="36"/>
      <c r="K34" s="34"/>
      <c r="L34" s="34"/>
      <c r="M34" s="37">
        <f>7663+125318</f>
        <v>132981</v>
      </c>
      <c r="N34" s="36">
        <f>6884+131587</f>
        <v>138471</v>
      </c>
      <c r="O34" s="37">
        <f>12859+129921</f>
        <v>142780</v>
      </c>
      <c r="P34" s="37">
        <f>9221+123049</f>
        <v>132270</v>
      </c>
      <c r="Q34" s="37">
        <f>11946+121822</f>
        <v>133768</v>
      </c>
      <c r="R34" s="36">
        <f>15137+120743</f>
        <v>135880</v>
      </c>
      <c r="S34" s="37">
        <f>6638+121024</f>
        <v>127662</v>
      </c>
      <c r="T34" s="37">
        <f>11212+120406</f>
        <v>131618</v>
      </c>
      <c r="U34" s="37">
        <f>11356+122463</f>
        <v>133819</v>
      </c>
      <c r="V34" s="36">
        <f>13117+123519</f>
        <v>136636</v>
      </c>
      <c r="W34" s="3">
        <f>8864+125389</f>
        <v>134253</v>
      </c>
      <c r="X34" s="3">
        <f>11710+125916</f>
        <v>137626</v>
      </c>
      <c r="Y34" s="3">
        <f>13576+122951</f>
        <v>136527</v>
      </c>
      <c r="Z34" s="88">
        <f>17205+120772</f>
        <v>137977</v>
      </c>
      <c r="AA34" s="3">
        <f>14432+117536</f>
        <v>131968</v>
      </c>
    </row>
    <row r="35" spans="1:27" s="3" customFormat="1" x14ac:dyDescent="0.15">
      <c r="A35" s="3" t="s">
        <v>29</v>
      </c>
      <c r="B35" s="34"/>
      <c r="C35" s="34"/>
      <c r="D35" s="34"/>
      <c r="E35" s="34"/>
      <c r="F35" s="36"/>
      <c r="G35" s="34"/>
      <c r="H35" s="34"/>
      <c r="I35" s="34"/>
      <c r="J35" s="36"/>
      <c r="K35" s="34"/>
      <c r="L35" s="34"/>
      <c r="M35" s="37">
        <f>9072+1049+76073</f>
        <v>86194</v>
      </c>
      <c r="N35" s="36">
        <f>8170+1050+76255</f>
        <v>85475</v>
      </c>
      <c r="O35" s="37">
        <f>12466+3446+73348</f>
        <v>89260</v>
      </c>
      <c r="P35" s="37">
        <f>230+3447+73480</f>
        <v>77157</v>
      </c>
      <c r="Q35" s="37">
        <f>3998+72242</f>
        <v>76240</v>
      </c>
      <c r="R35" s="36">
        <f>6397+69733</f>
        <v>76130</v>
      </c>
      <c r="S35" s="37">
        <f>3516+69653</f>
        <v>73169</v>
      </c>
      <c r="T35" s="37">
        <f>6515+66585</f>
        <v>73100</v>
      </c>
      <c r="U35" s="37">
        <f>5516+66662</f>
        <v>72178</v>
      </c>
      <c r="V35" s="36">
        <f>3017+66478</f>
        <v>69495</v>
      </c>
      <c r="W35" s="3">
        <f>6247+63361</f>
        <v>69608</v>
      </c>
      <c r="X35" s="3">
        <f>3748+62862</f>
        <v>66610</v>
      </c>
      <c r="Y35" s="3">
        <f>3749+59578</f>
        <v>63327</v>
      </c>
      <c r="Z35" s="88">
        <f>6497+57055</f>
        <v>63552</v>
      </c>
      <c r="AA35" s="3">
        <f>5387+55136</f>
        <v>60523</v>
      </c>
    </row>
    <row r="36" spans="1:27" s="3" customFormat="1" x14ac:dyDescent="0.15">
      <c r="B36" s="34"/>
      <c r="C36" s="34"/>
      <c r="D36" s="34"/>
      <c r="E36" s="34"/>
      <c r="F36" s="36"/>
      <c r="G36" s="34"/>
      <c r="H36" s="34"/>
      <c r="I36" s="34"/>
      <c r="J36" s="36"/>
      <c r="K36" s="34"/>
      <c r="L36" s="34"/>
      <c r="M36" s="37"/>
      <c r="N36" s="36"/>
      <c r="O36" s="37"/>
      <c r="P36" s="37"/>
      <c r="Q36" s="37"/>
      <c r="R36" s="36"/>
      <c r="S36" s="37"/>
      <c r="T36" s="62"/>
      <c r="U36" s="62"/>
      <c r="V36" s="36"/>
      <c r="Z36" s="88"/>
    </row>
    <row r="37" spans="1:27" s="3" customFormat="1" x14ac:dyDescent="0.15">
      <c r="A37" s="3" t="s">
        <v>73</v>
      </c>
      <c r="B37" s="34"/>
      <c r="C37" s="34"/>
      <c r="D37" s="34"/>
      <c r="E37" s="34"/>
      <c r="F37" s="36"/>
      <c r="G37" s="34"/>
      <c r="H37" s="34"/>
      <c r="I37" s="34"/>
      <c r="J37" s="36"/>
      <c r="K37" s="34"/>
      <c r="L37" s="34"/>
      <c r="M37" s="37">
        <f>35122+10106</f>
        <v>45228</v>
      </c>
      <c r="N37" s="36">
        <f>35389+9598</f>
        <v>44987</v>
      </c>
      <c r="O37" s="37">
        <f>35355+9034</f>
        <v>44389</v>
      </c>
      <c r="P37" s="37">
        <f>35582+8544</f>
        <v>44126</v>
      </c>
      <c r="Q37" s="37">
        <f>35683+8053</f>
        <v>43736</v>
      </c>
      <c r="R37" s="36">
        <f>35855+7579</f>
        <v>43434</v>
      </c>
      <c r="S37" s="37">
        <f>41577+8482</f>
        <v>50059</v>
      </c>
      <c r="T37" s="37">
        <f>41861+8103</f>
        <v>49964</v>
      </c>
      <c r="U37" s="37">
        <f>42026+7750</f>
        <v>49776</v>
      </c>
      <c r="V37" s="36">
        <f>42113+7508</f>
        <v>49621</v>
      </c>
      <c r="W37" s="3">
        <f>42248+7126</f>
        <v>49374</v>
      </c>
      <c r="X37" s="3">
        <f>42064+6855</f>
        <v>48919</v>
      </c>
      <c r="Y37" s="3">
        <f>43351+7038</f>
        <v>50389</v>
      </c>
      <c r="Z37" s="88">
        <f>43890+6923</f>
        <v>50813</v>
      </c>
      <c r="AA37" s="3">
        <f>44219+6555</f>
        <v>50774</v>
      </c>
    </row>
    <row r="38" spans="1:27" s="3" customFormat="1" x14ac:dyDescent="0.15">
      <c r="A38" s="3" t="s">
        <v>74</v>
      </c>
      <c r="B38" s="34"/>
      <c r="C38" s="34"/>
      <c r="D38" s="34"/>
      <c r="E38" s="34"/>
      <c r="F38" s="36"/>
      <c r="G38" s="34"/>
      <c r="H38" s="34"/>
      <c r="I38" s="34"/>
      <c r="J38" s="36"/>
      <c r="K38" s="34"/>
      <c r="L38" s="34"/>
      <c r="M38" s="37">
        <v>250312</v>
      </c>
      <c r="N38" s="36">
        <v>249097</v>
      </c>
      <c r="O38" s="37">
        <v>256003</v>
      </c>
      <c r="P38" s="37">
        <v>245497</v>
      </c>
      <c r="Q38" s="37">
        <v>258848</v>
      </c>
      <c r="R38" s="36">
        <f>257619</f>
        <v>257619</v>
      </c>
      <c r="S38" s="37">
        <v>258859</v>
      </c>
      <c r="T38" s="37">
        <v>263281</v>
      </c>
      <c r="U38" s="37">
        <v>286556</v>
      </c>
      <c r="V38" s="36">
        <v>278955</v>
      </c>
      <c r="W38" s="3">
        <v>282794</v>
      </c>
      <c r="X38" s="3">
        <v>285449</v>
      </c>
      <c r="Y38" s="3">
        <v>301311</v>
      </c>
      <c r="Z38" s="88">
        <v>301001</v>
      </c>
      <c r="AA38" s="3">
        <v>304137</v>
      </c>
    </row>
    <row r="39" spans="1:27" s="3" customFormat="1" x14ac:dyDescent="0.15">
      <c r="A39" s="3" t="s">
        <v>75</v>
      </c>
      <c r="B39" s="34"/>
      <c r="C39" s="34"/>
      <c r="D39" s="34"/>
      <c r="E39" s="34"/>
      <c r="F39" s="36"/>
      <c r="G39" s="34"/>
      <c r="H39" s="34"/>
      <c r="I39" s="34"/>
      <c r="J39" s="36"/>
      <c r="K39" s="34"/>
      <c r="L39" s="34"/>
      <c r="M39" s="37">
        <v>162601</v>
      </c>
      <c r="N39" s="36">
        <v>159450</v>
      </c>
      <c r="O39" s="37">
        <v>177643</v>
      </c>
      <c r="P39" s="37">
        <v>166258</v>
      </c>
      <c r="Q39" s="37">
        <v>176130</v>
      </c>
      <c r="R39" s="36">
        <v>171652</v>
      </c>
      <c r="S39" s="37">
        <v>166731</v>
      </c>
      <c r="T39" s="37">
        <v>168417</v>
      </c>
      <c r="U39" s="37">
        <v>184226</v>
      </c>
      <c r="V39" s="36">
        <v>172894</v>
      </c>
      <c r="W39" s="3">
        <v>172685</v>
      </c>
      <c r="X39" s="3">
        <v>170948</v>
      </c>
      <c r="Y39" s="3">
        <v>183007</v>
      </c>
      <c r="Z39" s="88">
        <v>177609</v>
      </c>
      <c r="AA39" s="3">
        <v>173901</v>
      </c>
    </row>
    <row r="40" spans="1:27" s="3" customFormat="1" x14ac:dyDescent="0.15">
      <c r="B40" s="34"/>
      <c r="C40" s="34"/>
      <c r="D40" s="34"/>
      <c r="E40" s="34"/>
      <c r="F40" s="36"/>
      <c r="G40" s="34"/>
      <c r="H40" s="34"/>
      <c r="I40" s="34"/>
      <c r="J40" s="36"/>
      <c r="K40" s="34"/>
      <c r="L40" s="34"/>
      <c r="M40" s="37"/>
      <c r="N40" s="36"/>
      <c r="O40" s="37"/>
      <c r="P40" s="37"/>
      <c r="Q40" s="37"/>
      <c r="R40" s="36"/>
      <c r="S40" s="37"/>
      <c r="T40" s="37"/>
      <c r="U40" s="37"/>
      <c r="V40" s="36"/>
      <c r="Z40" s="88"/>
    </row>
    <row r="41" spans="1:27" s="3" customFormat="1" x14ac:dyDescent="0.15">
      <c r="A41" s="3" t="s">
        <v>76</v>
      </c>
      <c r="B41" s="34"/>
      <c r="C41" s="34"/>
      <c r="D41" s="34"/>
      <c r="E41" s="34"/>
      <c r="F41" s="36"/>
      <c r="G41" s="34"/>
      <c r="H41" s="34"/>
      <c r="I41" s="34"/>
      <c r="J41" s="36"/>
      <c r="K41" s="34"/>
      <c r="L41" s="34"/>
      <c r="M41" s="46">
        <f t="shared" ref="M41:R41" si="60">M38-M37-M34</f>
        <v>72103</v>
      </c>
      <c r="N41" s="45">
        <f t="shared" si="60"/>
        <v>65639</v>
      </c>
      <c r="O41" s="46">
        <f t="shared" si="60"/>
        <v>68834</v>
      </c>
      <c r="P41" s="46">
        <f t="shared" si="60"/>
        <v>69101</v>
      </c>
      <c r="Q41" s="46">
        <f t="shared" si="60"/>
        <v>81344</v>
      </c>
      <c r="R41" s="45">
        <f t="shared" si="60"/>
        <v>78305</v>
      </c>
      <c r="S41" s="46">
        <f t="shared" ref="S41:T41" si="61">S38-S37-S34</f>
        <v>81138</v>
      </c>
      <c r="T41" s="46">
        <f t="shared" si="61"/>
        <v>81699</v>
      </c>
      <c r="U41" s="46">
        <f t="shared" ref="U41:V41" si="62">U38-U37-U34</f>
        <v>102961</v>
      </c>
      <c r="V41" s="45">
        <f t="shared" si="62"/>
        <v>92698</v>
      </c>
      <c r="W41" s="46">
        <f t="shared" ref="W41:X41" si="63">W38-W37-W34</f>
        <v>99167</v>
      </c>
      <c r="X41" s="46">
        <f t="shared" si="63"/>
        <v>98904</v>
      </c>
      <c r="Y41" s="46">
        <f t="shared" ref="Y41:AA41" si="64">Y38-Y37-Y34</f>
        <v>114395</v>
      </c>
      <c r="Z41" s="45">
        <f t="shared" si="64"/>
        <v>112211</v>
      </c>
      <c r="AA41" s="46">
        <f t="shared" si="64"/>
        <v>121395</v>
      </c>
    </row>
    <row r="42" spans="1:27" s="3" customFormat="1" x14ac:dyDescent="0.15">
      <c r="A42" s="3" t="s">
        <v>77</v>
      </c>
      <c r="B42" s="34"/>
      <c r="C42" s="34"/>
      <c r="D42" s="34"/>
      <c r="E42" s="34"/>
      <c r="F42" s="36"/>
      <c r="G42" s="34"/>
      <c r="H42" s="34"/>
      <c r="I42" s="34"/>
      <c r="J42" s="36"/>
      <c r="K42" s="34"/>
      <c r="L42" s="34"/>
      <c r="M42" s="46">
        <f t="shared" ref="M42:R42" si="65">M38-M39</f>
        <v>87711</v>
      </c>
      <c r="N42" s="45">
        <f t="shared" si="65"/>
        <v>89647</v>
      </c>
      <c r="O42" s="46">
        <f t="shared" si="65"/>
        <v>78360</v>
      </c>
      <c r="P42" s="46">
        <f t="shared" si="65"/>
        <v>79239</v>
      </c>
      <c r="Q42" s="46">
        <f t="shared" si="65"/>
        <v>82718</v>
      </c>
      <c r="R42" s="45">
        <f t="shared" si="65"/>
        <v>85967</v>
      </c>
      <c r="S42" s="46">
        <f t="shared" ref="S42:T42" si="66">S38-S39</f>
        <v>92128</v>
      </c>
      <c r="T42" s="46">
        <f t="shared" si="66"/>
        <v>94864</v>
      </c>
      <c r="U42" s="46">
        <f t="shared" ref="U42:V42" si="67">U38-U39</f>
        <v>102330</v>
      </c>
      <c r="V42" s="45">
        <f t="shared" si="67"/>
        <v>106061</v>
      </c>
      <c r="W42" s="46">
        <f t="shared" ref="W42:X42" si="68">W38-W39</f>
        <v>110109</v>
      </c>
      <c r="X42" s="46">
        <f t="shared" si="68"/>
        <v>114501</v>
      </c>
      <c r="Y42" s="46">
        <f t="shared" ref="Y42:AA42" si="69">Y38-Y39</f>
        <v>118304</v>
      </c>
      <c r="Z42" s="45">
        <f t="shared" si="69"/>
        <v>123392</v>
      </c>
      <c r="AA42" s="46">
        <f t="shared" si="69"/>
        <v>130236</v>
      </c>
    </row>
    <row r="43" spans="1:27" s="3" customFormat="1" x14ac:dyDescent="0.15">
      <c r="B43" s="34"/>
      <c r="C43" s="34"/>
      <c r="D43" s="34"/>
      <c r="E43" s="34"/>
      <c r="F43" s="36"/>
      <c r="G43" s="34"/>
      <c r="H43" s="34"/>
      <c r="I43" s="34"/>
      <c r="J43" s="36"/>
      <c r="K43" s="34"/>
      <c r="L43" s="34"/>
      <c r="M43" s="37"/>
      <c r="N43" s="36"/>
      <c r="O43" s="37"/>
      <c r="P43" s="37"/>
      <c r="Q43" s="37"/>
      <c r="R43" s="36"/>
      <c r="S43" s="37"/>
      <c r="T43" s="37"/>
      <c r="U43" s="37"/>
      <c r="V43" s="36"/>
      <c r="W43" s="37"/>
      <c r="Z43" s="88"/>
    </row>
    <row r="44" spans="1:27" s="8" customFormat="1" x14ac:dyDescent="0.15">
      <c r="A44" s="8" t="s">
        <v>90</v>
      </c>
      <c r="B44" s="48"/>
      <c r="C44" s="48"/>
      <c r="D44" s="48"/>
      <c r="E44" s="48"/>
      <c r="F44" s="58"/>
      <c r="G44" s="48"/>
      <c r="H44" s="48"/>
      <c r="I44" s="48"/>
      <c r="J44" s="58"/>
      <c r="K44" s="48"/>
      <c r="L44" s="48"/>
      <c r="M44" s="42">
        <f t="shared" ref="M44:R44" si="70">SUM(J20:M20)</f>
        <v>25489</v>
      </c>
      <c r="N44" s="41">
        <f t="shared" si="70"/>
        <v>26398</v>
      </c>
      <c r="O44" s="42">
        <f t="shared" si="70"/>
        <v>27683.022044088175</v>
      </c>
      <c r="P44" s="42">
        <f t="shared" si="70"/>
        <v>29621.022044088175</v>
      </c>
      <c r="Q44" s="42">
        <f t="shared" si="70"/>
        <v>30425.022044088175</v>
      </c>
      <c r="R44" s="41">
        <f t="shared" si="70"/>
        <v>32673.022044088175</v>
      </c>
      <c r="S44" s="42">
        <f t="shared" ref="S44:AA44" si="71">SUM(P20:S20)</f>
        <v>33541</v>
      </c>
      <c r="T44" s="42">
        <f t="shared" si="71"/>
        <v>34926</v>
      </c>
      <c r="U44" s="42">
        <f t="shared" si="71"/>
        <v>39240</v>
      </c>
      <c r="V44" s="41">
        <f t="shared" si="71"/>
        <v>41094</v>
      </c>
      <c r="W44" s="42">
        <f t="shared" si="71"/>
        <v>44323</v>
      </c>
      <c r="X44" s="42">
        <f t="shared" si="71"/>
        <v>46266</v>
      </c>
      <c r="Y44" s="42">
        <f t="shared" si="71"/>
        <v>44281</v>
      </c>
      <c r="Z44" s="41">
        <f t="shared" si="71"/>
        <v>47496</v>
      </c>
      <c r="AA44" s="42">
        <f t="shared" si="71"/>
        <v>51310</v>
      </c>
    </row>
    <row r="45" spans="1:27" x14ac:dyDescent="0.15">
      <c r="A45" s="31" t="s">
        <v>78</v>
      </c>
      <c r="M45" s="54">
        <f t="shared" ref="M45:S45" si="72">M44/M42</f>
        <v>0.29060209095780459</v>
      </c>
      <c r="N45" s="53">
        <f t="shared" si="72"/>
        <v>0.29446607248429951</v>
      </c>
      <c r="O45" s="54">
        <f t="shared" si="72"/>
        <v>0.35328001587657193</v>
      </c>
      <c r="P45" s="54">
        <f t="shared" si="72"/>
        <v>0.37381872618392681</v>
      </c>
      <c r="Q45" s="54">
        <f t="shared" si="72"/>
        <v>0.36781621949380033</v>
      </c>
      <c r="R45" s="53">
        <f t="shared" si="72"/>
        <v>0.38006469975790913</v>
      </c>
      <c r="S45" s="54">
        <f t="shared" si="72"/>
        <v>0.36406955540118097</v>
      </c>
      <c r="T45" s="54">
        <f t="shared" ref="T45:V45" si="73">T44/T42</f>
        <v>0.36816916849384385</v>
      </c>
      <c r="U45" s="54">
        <f t="shared" si="73"/>
        <v>0.38346525945470539</v>
      </c>
      <c r="V45" s="53">
        <f t="shared" si="73"/>
        <v>0.38745627516240655</v>
      </c>
      <c r="W45" s="54">
        <f t="shared" ref="W45:X45" si="74">W44/W42</f>
        <v>0.40253748558246827</v>
      </c>
      <c r="X45" s="54">
        <f t="shared" si="74"/>
        <v>0.40406634003196479</v>
      </c>
      <c r="Y45" s="54">
        <f t="shared" ref="Y45:AA45" si="75">Y44/Y42</f>
        <v>0.37429841763592103</v>
      </c>
      <c r="Z45" s="53">
        <f t="shared" si="75"/>
        <v>0.38491960580912865</v>
      </c>
      <c r="AA45" s="54">
        <f t="shared" si="75"/>
        <v>0.39397708774839524</v>
      </c>
    </row>
    <row r="46" spans="1:27" x14ac:dyDescent="0.15">
      <c r="A46" s="31" t="s">
        <v>79</v>
      </c>
      <c r="M46" s="54">
        <f t="shared" ref="M46:R46" si="76">M44/M38</f>
        <v>0.10182891751094635</v>
      </c>
      <c r="N46" s="53">
        <f t="shared" si="76"/>
        <v>0.10597478090864201</v>
      </c>
      <c r="O46" s="54">
        <f t="shared" si="76"/>
        <v>0.10813553764638764</v>
      </c>
      <c r="P46" s="54">
        <f t="shared" si="76"/>
        <v>0.12065736870140235</v>
      </c>
      <c r="Q46" s="54">
        <f t="shared" si="76"/>
        <v>0.1175401086509773</v>
      </c>
      <c r="R46" s="53">
        <f t="shared" si="76"/>
        <v>0.12682691122971587</v>
      </c>
      <c r="S46" s="54">
        <f t="shared" ref="S46:T46" si="77">S44/S38</f>
        <v>0.12957246995468574</v>
      </c>
      <c r="T46" s="54">
        <f t="shared" si="77"/>
        <v>0.13265674317554249</v>
      </c>
      <c r="U46" s="54">
        <f t="shared" ref="U46:V46" si="78">U44/U38</f>
        <v>0.13693658482111698</v>
      </c>
      <c r="V46" s="53">
        <f t="shared" si="78"/>
        <v>0.14731408291659945</v>
      </c>
      <c r="W46" s="54">
        <f t="shared" ref="W46:X46" si="79">W44/W38</f>
        <v>0.15673246249920436</v>
      </c>
      <c r="X46" s="54">
        <f t="shared" si="79"/>
        <v>0.16208149266594032</v>
      </c>
      <c r="Y46" s="54">
        <f t="shared" ref="Y46:AA46" si="80">Y44/Y38</f>
        <v>0.14696111326835065</v>
      </c>
      <c r="Z46" s="53">
        <f t="shared" si="80"/>
        <v>0.15779349570267209</v>
      </c>
      <c r="AA46" s="54">
        <f t="shared" si="80"/>
        <v>0.16870686565593795</v>
      </c>
    </row>
    <row r="47" spans="1:27" x14ac:dyDescent="0.15">
      <c r="A47" s="31" t="s">
        <v>80</v>
      </c>
      <c r="M47" s="54">
        <f t="shared" ref="M47:R47" si="81">M44/(M42-M37)</f>
        <v>0.59998116893816356</v>
      </c>
      <c r="N47" s="53">
        <f t="shared" si="81"/>
        <v>0.59108822212270484</v>
      </c>
      <c r="O47" s="54">
        <f t="shared" si="81"/>
        <v>0.81490159383262706</v>
      </c>
      <c r="P47" s="54">
        <f t="shared" si="81"/>
        <v>0.84359132070994147</v>
      </c>
      <c r="Q47" s="54">
        <f t="shared" si="81"/>
        <v>0.78048899605172062</v>
      </c>
      <c r="R47" s="53">
        <f t="shared" si="81"/>
        <v>0.76818051969266632</v>
      </c>
      <c r="S47" s="54">
        <f t="shared" ref="S47:T47" si="82">S44/(S42-S37)</f>
        <v>0.79728541206113768</v>
      </c>
      <c r="T47" s="54">
        <f t="shared" si="82"/>
        <v>0.77786191536748328</v>
      </c>
      <c r="U47" s="54">
        <f t="shared" ref="U47:V47" si="83">U44/(U42-U37)</f>
        <v>0.74666057769151728</v>
      </c>
      <c r="V47" s="53">
        <f t="shared" si="83"/>
        <v>0.72810063784549961</v>
      </c>
      <c r="W47" s="54">
        <f t="shared" ref="W47:X47" si="84">W44/(W42-W37)</f>
        <v>0.72977689964600312</v>
      </c>
      <c r="X47" s="54">
        <f t="shared" si="84"/>
        <v>0.70546796377054677</v>
      </c>
      <c r="Y47" s="54">
        <f t="shared" ref="Y47:AA47" si="85">Y44/(Y42-Y37)</f>
        <v>0.65200618420083933</v>
      </c>
      <c r="Z47" s="53">
        <f t="shared" si="85"/>
        <v>0.65440416649444055</v>
      </c>
      <c r="AA47" s="54">
        <f t="shared" si="85"/>
        <v>0.64571744985024293</v>
      </c>
    </row>
    <row r="48" spans="1:27" x14ac:dyDescent="0.15">
      <c r="A48" s="31" t="s">
        <v>81</v>
      </c>
      <c r="M48" s="54">
        <f t="shared" ref="M48:R48" si="86">M44/M41</f>
        <v>0.35350817580405808</v>
      </c>
      <c r="N48" s="53">
        <f t="shared" si="86"/>
        <v>0.40216944194762261</v>
      </c>
      <c r="O48" s="54">
        <f t="shared" si="86"/>
        <v>0.40217075927722018</v>
      </c>
      <c r="P48" s="54">
        <f t="shared" si="86"/>
        <v>0.42866271174206128</v>
      </c>
      <c r="Q48" s="54">
        <f t="shared" si="86"/>
        <v>0.37402908689132786</v>
      </c>
      <c r="R48" s="53">
        <f t="shared" si="86"/>
        <v>0.41725333049087765</v>
      </c>
      <c r="S48" s="54">
        <f t="shared" ref="S48:T48" si="87">S44/S41</f>
        <v>0.41338213907170501</v>
      </c>
      <c r="T48" s="54">
        <f t="shared" si="87"/>
        <v>0.42749605258326295</v>
      </c>
      <c r="U48" s="54">
        <f t="shared" ref="U48:V48" si="88">U44/U41</f>
        <v>0.38111517953399832</v>
      </c>
      <c r="V48" s="53">
        <f t="shared" si="88"/>
        <v>0.44331053528662973</v>
      </c>
      <c r="W48" s="54">
        <f t="shared" ref="W48:X48" si="89">W44/W41</f>
        <v>0.44695311948531263</v>
      </c>
      <c r="X48" s="54">
        <f t="shared" si="89"/>
        <v>0.46778694491628248</v>
      </c>
      <c r="Y48" s="54">
        <f t="shared" ref="Y48:AA48" si="90">Y44/Y41</f>
        <v>0.38708859652956862</v>
      </c>
      <c r="Z48" s="53">
        <f t="shared" si="90"/>
        <v>0.42327401056937375</v>
      </c>
      <c r="AA48" s="54">
        <f t="shared" si="90"/>
        <v>0.42266979694386098</v>
      </c>
    </row>
    <row r="49" spans="1:29" x14ac:dyDescent="0.15">
      <c r="M49" s="39"/>
      <c r="O49" s="39"/>
      <c r="P49" s="39"/>
      <c r="Q49" s="39"/>
      <c r="V49" s="38"/>
      <c r="W49" s="39"/>
      <c r="X49" s="39"/>
      <c r="AA49" s="39"/>
    </row>
    <row r="50" spans="1:29" x14ac:dyDescent="0.15">
      <c r="A50" s="2" t="s">
        <v>82</v>
      </c>
      <c r="F50" s="53">
        <f t="shared" ref="F50:N50" si="91">F3/B3-1</f>
        <v>-2.8351309707241867E-2</v>
      </c>
      <c r="G50" s="54">
        <f t="shared" si="91"/>
        <v>-1.9349164467898028E-2</v>
      </c>
      <c r="H50" s="54">
        <f t="shared" si="91"/>
        <v>9.9117237107015921E-3</v>
      </c>
      <c r="I50" s="54">
        <f t="shared" si="91"/>
        <v>4.6239303407896726E-2</v>
      </c>
      <c r="J50" s="53">
        <f t="shared" si="91"/>
        <v>2.0615287028227014E-2</v>
      </c>
      <c r="K50" s="54">
        <f t="shared" si="91"/>
        <v>7.3094170403587455E-2</v>
      </c>
      <c r="L50" s="54">
        <f t="shared" si="91"/>
        <v>0.18187394571384763</v>
      </c>
      <c r="M50" s="54">
        <f t="shared" si="91"/>
        <v>0.22657483139618306</v>
      </c>
      <c r="N50" s="53">
        <f t="shared" si="91"/>
        <v>0.27998756991920448</v>
      </c>
      <c r="O50" s="54">
        <f t="shared" ref="O50:P52" si="92">O3/K3-1</f>
        <v>0.24710962529600233</v>
      </c>
      <c r="P50" s="54">
        <f t="shared" si="92"/>
        <v>0.1685480731802258</v>
      </c>
      <c r="Q50" s="54">
        <f t="shared" ref="Q50:AC50" si="93">Q3/M3-1</f>
        <v>0.13102480112306969</v>
      </c>
      <c r="R50" s="53">
        <f t="shared" si="93"/>
        <v>0.18608885651857254</v>
      </c>
      <c r="S50" s="63">
        <f t="shared" si="93"/>
        <v>0.12811348151457613</v>
      </c>
      <c r="T50" s="63">
        <f t="shared" si="93"/>
        <v>0.13724183877415053</v>
      </c>
      <c r="U50" s="63">
        <f t="shared" si="93"/>
        <v>0.14263549855192381</v>
      </c>
      <c r="V50" s="53">
        <f t="shared" si="93"/>
        <v>0.13366083307747423</v>
      </c>
      <c r="W50" s="54">
        <f t="shared" si="93"/>
        <v>0.17089108910891082</v>
      </c>
      <c r="X50" s="54">
        <f t="shared" si="93"/>
        <v>0.14655340753759027</v>
      </c>
      <c r="Y50" s="54">
        <f t="shared" si="93"/>
        <v>6.3818231193989217E-2</v>
      </c>
      <c r="Z50" s="53">
        <f t="shared" si="93"/>
        <v>0.11212422135957389</v>
      </c>
      <c r="AA50" s="54">
        <f t="shared" si="93"/>
        <v>0.12912227295788936</v>
      </c>
      <c r="AB50" s="54">
        <f t="shared" si="93"/>
        <v>0.14999999999999991</v>
      </c>
      <c r="AC50" s="54">
        <f t="shared" si="93"/>
        <v>0.14999999999999991</v>
      </c>
    </row>
    <row r="51" spans="1:29" x14ac:dyDescent="0.15">
      <c r="A51" s="2" t="s">
        <v>83</v>
      </c>
      <c r="F51" s="53">
        <f t="shared" ref="F51:N51" si="94">F4/B4-1</f>
        <v>7.61643835616439E-2</v>
      </c>
      <c r="G51" s="54">
        <f t="shared" si="94"/>
        <v>4.9991723224631635E-2</v>
      </c>
      <c r="H51" s="54">
        <f t="shared" si="94"/>
        <v>3.2695239708622648E-2</v>
      </c>
      <c r="I51" s="54">
        <f t="shared" si="94"/>
        <v>6.5914866581956888E-2</v>
      </c>
      <c r="J51" s="53">
        <f t="shared" si="94"/>
        <v>3.4792939579090243E-2</v>
      </c>
      <c r="K51" s="54">
        <f t="shared" si="94"/>
        <v>6.5426454359136077E-2</v>
      </c>
      <c r="L51" s="54">
        <f t="shared" si="94"/>
        <v>0.1040026246719159</v>
      </c>
      <c r="M51" s="54">
        <f t="shared" si="94"/>
        <v>0.1655490984950081</v>
      </c>
      <c r="N51" s="53">
        <f t="shared" si="94"/>
        <v>0.13531244874528459</v>
      </c>
      <c r="O51" s="54">
        <f t="shared" si="92"/>
        <v>0.1534477656111275</v>
      </c>
      <c r="P51" s="54">
        <f t="shared" si="92"/>
        <v>0.17325408618127791</v>
      </c>
      <c r="Q51" s="54">
        <f t="shared" ref="Q51:AC51" si="95">Q4/M4-1</f>
        <v>0.22807466121196618</v>
      </c>
      <c r="R51" s="53">
        <f t="shared" si="95"/>
        <v>0.23764807859000281</v>
      </c>
      <c r="S51" s="63">
        <f t="shared" si="95"/>
        <v>0.2030788967286723</v>
      </c>
      <c r="T51" s="63">
        <f t="shared" si="95"/>
        <v>0.22201114488348539</v>
      </c>
      <c r="U51" s="63">
        <f t="shared" si="95"/>
        <v>0.18582136164896945</v>
      </c>
      <c r="V51" s="53">
        <f t="shared" si="95"/>
        <v>0.26590405042605347</v>
      </c>
      <c r="W51" s="54">
        <f t="shared" si="95"/>
        <v>0.26562166773299212</v>
      </c>
      <c r="X51" s="54">
        <f t="shared" si="95"/>
        <v>0.27277438076484617</v>
      </c>
      <c r="Y51" s="54">
        <f t="shared" si="95"/>
        <v>0.17382143797735061</v>
      </c>
      <c r="Z51" s="53">
        <f t="shared" si="95"/>
        <v>0.19741816505301979</v>
      </c>
      <c r="AA51" s="54">
        <f t="shared" si="95"/>
        <v>0.23017945909512183</v>
      </c>
      <c r="AB51" s="54">
        <f t="shared" si="95"/>
        <v>0.19999999999999996</v>
      </c>
      <c r="AC51" s="54">
        <f t="shared" si="95"/>
        <v>0.19999999999999996</v>
      </c>
    </row>
    <row r="52" spans="1:29" x14ac:dyDescent="0.15">
      <c r="A52" s="2" t="s">
        <v>84</v>
      </c>
      <c r="F52" s="53">
        <f t="shared" ref="F52:N52" si="96">F5/B5-1</f>
        <v>-0.16509433962264153</v>
      </c>
      <c r="G52" s="54">
        <f t="shared" si="96"/>
        <v>-4.6830296642071945E-2</v>
      </c>
      <c r="H52" s="54">
        <f t="shared" si="96"/>
        <v>1.8144946098836545E-2</v>
      </c>
      <c r="I52" s="54">
        <f t="shared" si="96"/>
        <v>-3.7433733636265232E-2</v>
      </c>
      <c r="J52" s="53">
        <f t="shared" si="96"/>
        <v>1.4923782112781225E-3</v>
      </c>
      <c r="K52" s="54">
        <f t="shared" si="96"/>
        <v>-6.090047393364928E-2</v>
      </c>
      <c r="L52" s="54">
        <f t="shared" si="96"/>
        <v>-8.0092252856693524E-2</v>
      </c>
      <c r="M52" s="54">
        <f t="shared" si="96"/>
        <v>3.7990333820388855E-2</v>
      </c>
      <c r="N52" s="53">
        <f t="shared" si="96"/>
        <v>-1.8094731240021478E-3</v>
      </c>
      <c r="O52" s="54">
        <f t="shared" si="92"/>
        <v>2.3635293128101642E-2</v>
      </c>
      <c r="P52" s="54">
        <f t="shared" si="92"/>
        <v>0.13014245014245018</v>
      </c>
      <c r="Q52" s="54">
        <f t="shared" ref="Q52:AC52" si="97">Q5/M5-1</f>
        <v>0.17065511640498099</v>
      </c>
      <c r="R52" s="53">
        <f t="shared" si="97"/>
        <v>0.14587332053742808</v>
      </c>
      <c r="S52" s="63">
        <f t="shared" si="97"/>
        <v>6.7625308134757534E-2</v>
      </c>
      <c r="T52" s="63">
        <f t="shared" si="97"/>
        <v>7.6938590299485687E-2</v>
      </c>
      <c r="U52" s="63">
        <f t="shared" si="97"/>
        <v>4.328924243825738E-2</v>
      </c>
      <c r="V52" s="53">
        <f t="shared" si="97"/>
        <v>3.6013400335008328E-2</v>
      </c>
      <c r="W52" s="54">
        <f t="shared" si="97"/>
        <v>1.677826521973369E-2</v>
      </c>
      <c r="X52" s="54">
        <f t="shared" si="97"/>
        <v>2.9681647940074996E-2</v>
      </c>
      <c r="Y52" s="54">
        <f t="shared" si="97"/>
        <v>0.14460501817537019</v>
      </c>
      <c r="Z52" s="53">
        <f t="shared" si="97"/>
        <v>6.4313302793496785E-2</v>
      </c>
      <c r="AA52" s="54">
        <f t="shared" si="97"/>
        <v>0.14465218378623868</v>
      </c>
      <c r="AB52" s="54">
        <f t="shared" si="97"/>
        <v>0.10000000000000009</v>
      </c>
      <c r="AC52" s="54">
        <f t="shared" si="97"/>
        <v>0.10000000000000009</v>
      </c>
    </row>
    <row r="80" spans="4:17" x14ac:dyDescent="0.15">
      <c r="D80" s="34"/>
      <c r="E80" s="34"/>
      <c r="F80" s="36"/>
      <c r="G80" s="37"/>
      <c r="H80" s="37"/>
      <c r="I80" s="37"/>
      <c r="J80" s="36"/>
      <c r="K80" s="37"/>
      <c r="L80" s="37"/>
      <c r="M80" s="37"/>
      <c r="N80" s="36"/>
      <c r="O80" s="37"/>
      <c r="P80" s="37"/>
      <c r="Q80" s="37"/>
    </row>
    <row r="81" spans="2:26" s="7" customFormat="1" x14ac:dyDescent="0.15">
      <c r="B81" s="48"/>
      <c r="C81" s="48"/>
      <c r="D81" s="48"/>
      <c r="E81" s="48"/>
      <c r="F81" s="58"/>
      <c r="G81" s="43"/>
      <c r="H81" s="43"/>
      <c r="I81" s="43"/>
      <c r="J81" s="58"/>
      <c r="K81" s="43"/>
      <c r="L81" s="43"/>
      <c r="M81" s="43"/>
      <c r="N81" s="58"/>
      <c r="O81" s="43"/>
      <c r="P81" s="43"/>
      <c r="Q81" s="43"/>
      <c r="R81" s="59"/>
      <c r="S81" s="66"/>
      <c r="T81" s="66"/>
      <c r="U81" s="66"/>
      <c r="V81" s="60"/>
      <c r="Z81" s="60"/>
    </row>
    <row r="82" spans="2:26" x14ac:dyDescent="0.15">
      <c r="B82" s="34"/>
      <c r="C82" s="34"/>
      <c r="D82" s="34"/>
      <c r="E82" s="34"/>
      <c r="F82" s="36"/>
      <c r="G82" s="37"/>
      <c r="H82" s="37"/>
      <c r="I82" s="37"/>
      <c r="J82" s="36"/>
      <c r="K82" s="37"/>
      <c r="L82" s="37"/>
      <c r="M82" s="37"/>
      <c r="N82" s="36"/>
      <c r="O82" s="37"/>
      <c r="P82" s="37"/>
      <c r="Q82" s="37"/>
    </row>
    <row r="83" spans="2:26" x14ac:dyDescent="0.15">
      <c r="B83" s="34"/>
      <c r="C83" s="34"/>
      <c r="D83" s="34"/>
      <c r="E83" s="34"/>
      <c r="F83" s="36"/>
      <c r="G83" s="37"/>
      <c r="H83" s="37"/>
      <c r="I83" s="37"/>
      <c r="J83" s="36"/>
      <c r="K83" s="37"/>
      <c r="L83" s="37"/>
      <c r="M83" s="37"/>
      <c r="N83" s="36"/>
      <c r="O83" s="37"/>
      <c r="P83" s="37"/>
      <c r="Q83" s="37"/>
    </row>
    <row r="84" spans="2:26" x14ac:dyDescent="0.15">
      <c r="B84" s="34"/>
      <c r="C84" s="34"/>
      <c r="D84" s="34"/>
      <c r="E84" s="34"/>
      <c r="F84" s="36"/>
      <c r="G84" s="37"/>
      <c r="H84" s="37"/>
      <c r="I84" s="37"/>
      <c r="J84" s="36"/>
      <c r="K84" s="37"/>
      <c r="L84" s="37"/>
      <c r="M84" s="37"/>
      <c r="N84" s="36"/>
      <c r="O84" s="37"/>
      <c r="P84" s="37"/>
      <c r="Q84" s="37"/>
    </row>
    <row r="85" spans="2:26" x14ac:dyDescent="0.15">
      <c r="B85" s="34"/>
      <c r="C85" s="34"/>
      <c r="D85" s="34"/>
      <c r="E85" s="34"/>
      <c r="F85" s="36"/>
      <c r="G85" s="37"/>
      <c r="H85" s="37"/>
      <c r="I85" s="37"/>
      <c r="J85" s="36"/>
      <c r="K85" s="37"/>
      <c r="L85" s="37"/>
      <c r="M85" s="37"/>
      <c r="N85" s="36"/>
      <c r="O85" s="37"/>
      <c r="P85" s="37"/>
      <c r="Q85" s="37"/>
    </row>
    <row r="86" spans="2:26" x14ac:dyDescent="0.15">
      <c r="B86" s="34"/>
      <c r="C86" s="34"/>
      <c r="D86" s="34"/>
      <c r="E86" s="34"/>
      <c r="F86" s="36"/>
      <c r="G86" s="37"/>
      <c r="H86" s="37"/>
      <c r="I86" s="37"/>
      <c r="J86" s="36"/>
      <c r="K86" s="37"/>
      <c r="L86" s="37"/>
      <c r="M86" s="37"/>
      <c r="N86" s="36"/>
      <c r="O86" s="37"/>
      <c r="P86" s="37"/>
      <c r="Q86" s="37"/>
    </row>
    <row r="87" spans="2:26" x14ac:dyDescent="0.15">
      <c r="B87" s="34"/>
      <c r="C87" s="34"/>
      <c r="D87" s="34"/>
      <c r="E87" s="34"/>
      <c r="F87" s="36"/>
      <c r="G87" s="37"/>
      <c r="H87" s="37"/>
      <c r="I87" s="37"/>
      <c r="J87" s="36"/>
      <c r="K87" s="37"/>
      <c r="L87" s="37"/>
      <c r="M87" s="37"/>
      <c r="N87" s="36"/>
      <c r="O87" s="37"/>
      <c r="P87" s="37"/>
      <c r="Q87" s="37"/>
    </row>
    <row r="88" spans="2:26" x14ac:dyDescent="0.15">
      <c r="B88" s="34"/>
      <c r="C88" s="34"/>
      <c r="D88" s="34"/>
      <c r="E88" s="34"/>
      <c r="F88" s="36"/>
      <c r="G88" s="37"/>
      <c r="H88" s="37"/>
      <c r="I88" s="37"/>
      <c r="J88" s="36"/>
      <c r="K88" s="37"/>
      <c r="L88" s="37"/>
      <c r="M88" s="37"/>
      <c r="N88" s="36"/>
      <c r="O88" s="37"/>
      <c r="P88" s="37"/>
      <c r="Q88" s="37"/>
    </row>
    <row r="89" spans="2:26" x14ac:dyDescent="0.15">
      <c r="D89" s="34"/>
      <c r="E89" s="34"/>
      <c r="F89" s="36"/>
      <c r="G89" s="37"/>
      <c r="H89" s="37"/>
      <c r="I89" s="37"/>
      <c r="J89" s="36"/>
      <c r="K89" s="37"/>
      <c r="L89" s="37"/>
      <c r="M89" s="37"/>
      <c r="N89" s="36"/>
      <c r="O89" s="37"/>
      <c r="P89" s="37"/>
      <c r="Q89" s="37"/>
    </row>
    <row r="90" spans="2:26" x14ac:dyDescent="0.15">
      <c r="D90" s="34"/>
      <c r="E90" s="34"/>
      <c r="F90" s="36"/>
      <c r="G90" s="37"/>
      <c r="H90" s="37"/>
      <c r="I90" s="37"/>
      <c r="J90" s="36"/>
      <c r="K90" s="37"/>
      <c r="L90" s="37"/>
      <c r="M90" s="37"/>
      <c r="N90" s="36"/>
      <c r="O90" s="37"/>
      <c r="P90" s="37"/>
      <c r="Q90" s="37"/>
    </row>
    <row r="91" spans="2:26" x14ac:dyDescent="0.15">
      <c r="D91" s="34"/>
      <c r="E91" s="34"/>
      <c r="F91" s="36"/>
      <c r="G91" s="37"/>
      <c r="H91" s="37"/>
      <c r="I91" s="37"/>
      <c r="J91" s="36"/>
      <c r="K91" s="37"/>
      <c r="L91" s="37"/>
      <c r="M91" s="37"/>
      <c r="N91" s="36"/>
      <c r="O91" s="37"/>
      <c r="P91" s="37"/>
      <c r="Q91" s="37"/>
    </row>
    <row r="92" spans="2:26" x14ac:dyDescent="0.15">
      <c r="D92" s="34"/>
      <c r="E92" s="34"/>
      <c r="F92" s="36"/>
      <c r="G92" s="37"/>
      <c r="H92" s="37"/>
      <c r="I92" s="37"/>
      <c r="J92" s="36"/>
      <c r="K92" s="37"/>
      <c r="L92" s="37"/>
      <c r="M92" s="37"/>
      <c r="N92" s="36"/>
      <c r="O92" s="37"/>
      <c r="P92" s="37"/>
      <c r="Q92" s="37"/>
    </row>
    <row r="93" spans="2:26" x14ac:dyDescent="0.15">
      <c r="B93" s="34"/>
      <c r="C93" s="34"/>
      <c r="D93" s="34"/>
      <c r="E93" s="34"/>
      <c r="F93" s="36"/>
      <c r="G93" s="37"/>
      <c r="H93" s="37"/>
      <c r="I93" s="37"/>
      <c r="J93" s="36"/>
      <c r="K93" s="37"/>
      <c r="L93" s="37"/>
      <c r="M93" s="37"/>
      <c r="N93" s="36"/>
      <c r="O93" s="37"/>
      <c r="P93" s="37"/>
      <c r="Q93" s="37"/>
    </row>
    <row r="94" spans="2:26" x14ac:dyDescent="0.15">
      <c r="B94" s="34"/>
      <c r="C94" s="34"/>
      <c r="D94" s="34"/>
      <c r="E94" s="34"/>
      <c r="F94" s="36"/>
      <c r="G94" s="37"/>
      <c r="H94" s="37"/>
      <c r="I94" s="37"/>
      <c r="J94" s="36"/>
      <c r="K94" s="37"/>
      <c r="L94" s="37"/>
      <c r="M94" s="37"/>
      <c r="N94" s="36"/>
      <c r="O94" s="37"/>
      <c r="P94" s="37"/>
      <c r="Q94" s="37"/>
    </row>
    <row r="95" spans="2:26" x14ac:dyDescent="0.15">
      <c r="B95" s="34"/>
      <c r="C95" s="34"/>
      <c r="D95" s="34"/>
      <c r="E95" s="34"/>
      <c r="F95" s="36"/>
      <c r="G95" s="37"/>
      <c r="H95" s="37"/>
      <c r="I95" s="37"/>
      <c r="J95" s="36"/>
      <c r="K95" s="37"/>
      <c r="L95" s="37"/>
      <c r="M95" s="37"/>
      <c r="N95" s="36"/>
      <c r="O95" s="37"/>
      <c r="P95" s="37"/>
      <c r="Q95" s="37"/>
    </row>
    <row r="96" spans="2:26" x14ac:dyDescent="0.15">
      <c r="B96" s="34"/>
      <c r="C96" s="34"/>
      <c r="D96" s="34"/>
      <c r="E96" s="34"/>
      <c r="F96" s="36"/>
      <c r="G96" s="37"/>
      <c r="H96" s="37"/>
      <c r="I96" s="37"/>
      <c r="J96" s="36"/>
      <c r="K96" s="37"/>
      <c r="L96" s="37"/>
      <c r="M96" s="37"/>
      <c r="N96" s="36"/>
      <c r="O96" s="37"/>
      <c r="P96" s="37"/>
      <c r="Q96" s="37"/>
    </row>
    <row r="97" spans="2:26" x14ac:dyDescent="0.15">
      <c r="B97" s="34"/>
      <c r="C97" s="34"/>
      <c r="D97" s="34"/>
      <c r="E97" s="34"/>
      <c r="F97" s="36"/>
      <c r="G97" s="37"/>
      <c r="H97" s="37"/>
      <c r="I97" s="37"/>
      <c r="J97" s="36"/>
      <c r="K97" s="37"/>
      <c r="L97" s="37"/>
      <c r="M97" s="37"/>
      <c r="N97" s="36"/>
      <c r="O97" s="37"/>
      <c r="P97" s="37"/>
      <c r="Q97" s="37"/>
    </row>
    <row r="98" spans="2:26" x14ac:dyDescent="0.15">
      <c r="B98" s="34"/>
      <c r="C98" s="34"/>
      <c r="D98" s="34"/>
      <c r="E98" s="34"/>
      <c r="F98" s="36"/>
      <c r="G98" s="37"/>
      <c r="H98" s="37"/>
      <c r="I98" s="37"/>
      <c r="J98" s="36"/>
      <c r="K98" s="37"/>
      <c r="L98" s="37"/>
      <c r="M98" s="37"/>
      <c r="N98" s="36"/>
      <c r="O98" s="37"/>
      <c r="P98" s="37"/>
      <c r="Q98" s="37"/>
    </row>
    <row r="99" spans="2:26" x14ac:dyDescent="0.15">
      <c r="B99" s="34"/>
      <c r="C99" s="34"/>
      <c r="D99" s="34"/>
      <c r="E99" s="34"/>
      <c r="F99" s="36"/>
      <c r="G99" s="37"/>
      <c r="H99" s="37"/>
      <c r="I99" s="37"/>
      <c r="J99" s="36"/>
      <c r="K99" s="37"/>
      <c r="L99" s="37"/>
      <c r="M99" s="37"/>
      <c r="N99" s="36"/>
      <c r="O99" s="37"/>
      <c r="P99" s="37"/>
      <c r="Q99" s="37"/>
    </row>
    <row r="100" spans="2:26" x14ac:dyDescent="0.15">
      <c r="B100" s="34"/>
      <c r="C100" s="34"/>
      <c r="D100" s="34"/>
      <c r="E100" s="34"/>
      <c r="F100" s="36"/>
      <c r="G100" s="37"/>
      <c r="H100" s="37"/>
      <c r="I100" s="37"/>
      <c r="J100" s="36"/>
      <c r="K100" s="37"/>
      <c r="L100" s="37"/>
      <c r="M100" s="37"/>
      <c r="N100" s="36"/>
      <c r="O100" s="37"/>
      <c r="P100" s="37"/>
      <c r="Q100" s="37"/>
    </row>
    <row r="101" spans="2:26" x14ac:dyDescent="0.15">
      <c r="B101" s="34"/>
      <c r="C101" s="34"/>
      <c r="D101" s="34"/>
      <c r="E101" s="34"/>
      <c r="F101" s="36"/>
      <c r="G101" s="37"/>
      <c r="H101" s="37"/>
      <c r="I101" s="37"/>
      <c r="J101" s="36"/>
      <c r="K101" s="37"/>
      <c r="L101" s="37"/>
      <c r="M101" s="37"/>
      <c r="N101" s="36"/>
      <c r="O101" s="37"/>
      <c r="P101" s="37"/>
      <c r="Q101" s="37"/>
    </row>
    <row r="102" spans="2:26" x14ac:dyDescent="0.15">
      <c r="B102" s="34"/>
      <c r="C102" s="34"/>
      <c r="D102" s="34"/>
      <c r="E102" s="34"/>
      <c r="F102" s="36"/>
      <c r="G102" s="37"/>
      <c r="H102" s="37"/>
      <c r="I102" s="37"/>
      <c r="J102" s="36"/>
      <c r="K102" s="37"/>
      <c r="L102" s="37"/>
      <c r="M102" s="37"/>
      <c r="N102" s="36"/>
      <c r="O102" s="37"/>
      <c r="P102" s="37"/>
      <c r="Q102" s="37"/>
    </row>
    <row r="103" spans="2:26" x14ac:dyDescent="0.15">
      <c r="B103" s="34"/>
      <c r="C103" s="34"/>
      <c r="D103" s="34"/>
      <c r="E103" s="34"/>
      <c r="F103" s="36"/>
      <c r="G103" s="37"/>
      <c r="H103" s="37"/>
      <c r="I103" s="37"/>
      <c r="J103" s="36"/>
      <c r="K103" s="37"/>
      <c r="L103" s="37"/>
      <c r="M103" s="37"/>
      <c r="N103" s="36"/>
      <c r="O103" s="37"/>
      <c r="P103" s="37"/>
      <c r="Q103" s="37"/>
    </row>
    <row r="104" spans="2:26" x14ac:dyDescent="0.15">
      <c r="B104" s="34"/>
      <c r="C104" s="34"/>
      <c r="D104" s="34"/>
      <c r="E104" s="34"/>
      <c r="F104" s="36"/>
      <c r="G104" s="37"/>
      <c r="H104" s="37"/>
      <c r="I104" s="37"/>
      <c r="J104" s="36"/>
      <c r="K104" s="37"/>
      <c r="L104" s="37"/>
      <c r="M104" s="37"/>
      <c r="N104" s="36"/>
      <c r="O104" s="37"/>
      <c r="P104" s="37"/>
      <c r="Q104" s="37"/>
    </row>
    <row r="105" spans="2:26" x14ac:dyDescent="0.15">
      <c r="D105" s="34"/>
      <c r="E105" s="34"/>
      <c r="F105" s="36"/>
      <c r="G105" s="37"/>
      <c r="H105" s="37"/>
      <c r="I105" s="37"/>
      <c r="J105" s="36"/>
      <c r="K105" s="37"/>
      <c r="L105" s="37"/>
      <c r="M105" s="37"/>
      <c r="N105" s="36"/>
      <c r="O105" s="37"/>
      <c r="P105" s="37"/>
      <c r="Q105" s="37"/>
    </row>
    <row r="106" spans="2:26" s="7" customFormat="1" x14ac:dyDescent="0.15">
      <c r="B106" s="48"/>
      <c r="C106" s="48"/>
      <c r="D106" s="48"/>
      <c r="E106" s="48"/>
      <c r="F106" s="58"/>
      <c r="G106" s="43"/>
      <c r="H106" s="43"/>
      <c r="I106" s="43"/>
      <c r="J106" s="58"/>
      <c r="K106" s="43"/>
      <c r="L106" s="43"/>
      <c r="M106" s="43"/>
      <c r="N106" s="58"/>
      <c r="O106" s="43"/>
      <c r="P106" s="43"/>
      <c r="Q106" s="43"/>
      <c r="R106" s="59"/>
      <c r="S106" s="66"/>
      <c r="T106" s="66"/>
      <c r="U106" s="66"/>
      <c r="V106" s="60"/>
      <c r="Z106" s="60"/>
    </row>
    <row r="107" spans="2:26" x14ac:dyDescent="0.15">
      <c r="B107" s="34"/>
      <c r="C107" s="34"/>
      <c r="D107" s="34"/>
      <c r="E107" s="34"/>
      <c r="F107" s="36"/>
      <c r="G107" s="37"/>
      <c r="H107" s="37"/>
      <c r="I107" s="37"/>
      <c r="J107" s="36"/>
      <c r="K107" s="37"/>
      <c r="L107" s="37"/>
      <c r="M107" s="37"/>
      <c r="N107" s="36"/>
      <c r="O107" s="37"/>
      <c r="P107" s="37"/>
      <c r="Q107" s="37"/>
    </row>
    <row r="108" spans="2:26" x14ac:dyDescent="0.15">
      <c r="B108" s="34"/>
      <c r="C108" s="34"/>
      <c r="D108" s="34"/>
      <c r="E108" s="34"/>
      <c r="F108" s="36"/>
      <c r="G108" s="37"/>
      <c r="H108" s="37"/>
      <c r="I108" s="37"/>
      <c r="J108" s="36"/>
      <c r="K108" s="37"/>
      <c r="L108" s="37"/>
      <c r="M108" s="37"/>
      <c r="N108" s="36"/>
      <c r="O108" s="37"/>
      <c r="P108" s="37"/>
      <c r="Q108" s="37"/>
    </row>
    <row r="109" spans="2:26" x14ac:dyDescent="0.15">
      <c r="B109" s="34"/>
      <c r="C109" s="34"/>
      <c r="D109" s="34"/>
      <c r="E109" s="34"/>
      <c r="F109" s="36"/>
      <c r="G109" s="37"/>
      <c r="H109" s="37"/>
      <c r="I109" s="37"/>
      <c r="J109" s="36"/>
      <c r="K109" s="37"/>
      <c r="L109" s="37"/>
      <c r="M109" s="37"/>
      <c r="N109" s="36"/>
      <c r="O109" s="37"/>
      <c r="P109" s="37"/>
      <c r="Q109" s="37"/>
    </row>
    <row r="110" spans="2:26" x14ac:dyDescent="0.15">
      <c r="B110" s="34"/>
      <c r="C110" s="34"/>
      <c r="D110" s="34"/>
      <c r="E110" s="34"/>
      <c r="F110" s="36"/>
      <c r="G110" s="37"/>
      <c r="H110" s="37"/>
      <c r="I110" s="37"/>
      <c r="J110" s="36"/>
      <c r="K110" s="37"/>
      <c r="L110" s="37"/>
      <c r="M110" s="37"/>
      <c r="N110" s="36"/>
      <c r="O110" s="37"/>
      <c r="P110" s="37"/>
      <c r="Q110" s="37"/>
    </row>
    <row r="111" spans="2:26" x14ac:dyDescent="0.15">
      <c r="B111" s="34"/>
      <c r="C111" s="34"/>
      <c r="D111" s="34"/>
      <c r="E111" s="34"/>
      <c r="F111" s="36"/>
      <c r="G111" s="37"/>
      <c r="H111" s="37"/>
      <c r="I111" s="37"/>
      <c r="J111" s="36"/>
      <c r="K111" s="37"/>
      <c r="L111" s="37"/>
      <c r="M111" s="37"/>
      <c r="N111" s="36"/>
      <c r="O111" s="37"/>
      <c r="P111" s="37"/>
      <c r="Q111" s="37"/>
    </row>
    <row r="112" spans="2:26" x14ac:dyDescent="0.15">
      <c r="B112" s="34"/>
      <c r="C112" s="34"/>
      <c r="D112" s="34"/>
      <c r="E112" s="34"/>
      <c r="F112" s="36"/>
      <c r="G112" s="37"/>
      <c r="H112" s="37"/>
      <c r="I112" s="37"/>
      <c r="J112" s="36"/>
      <c r="K112" s="37"/>
      <c r="L112" s="37"/>
      <c r="M112" s="37"/>
      <c r="N112" s="36"/>
      <c r="O112" s="37"/>
      <c r="P112" s="37"/>
      <c r="Q112" s="37"/>
    </row>
    <row r="113" spans="1:26" x14ac:dyDescent="0.15">
      <c r="B113" s="34"/>
      <c r="C113" s="34"/>
      <c r="D113" s="34"/>
      <c r="E113" s="34"/>
      <c r="F113" s="36"/>
      <c r="G113" s="37"/>
      <c r="H113" s="37"/>
      <c r="I113" s="37"/>
      <c r="J113" s="36"/>
      <c r="K113" s="37"/>
      <c r="L113" s="37"/>
      <c r="M113" s="37"/>
      <c r="N113" s="36"/>
      <c r="O113" s="37"/>
      <c r="P113" s="37"/>
      <c r="Q113" s="37"/>
    </row>
    <row r="114" spans="1:26" x14ac:dyDescent="0.15">
      <c r="B114" s="34"/>
      <c r="C114" s="34"/>
      <c r="D114" s="34"/>
      <c r="E114" s="34"/>
      <c r="F114" s="36"/>
      <c r="G114" s="37"/>
      <c r="H114" s="37"/>
      <c r="I114" s="37"/>
      <c r="J114" s="36"/>
      <c r="K114" s="37"/>
      <c r="L114" s="37"/>
      <c r="M114" s="37"/>
      <c r="N114" s="36"/>
      <c r="O114" s="37"/>
      <c r="P114" s="37"/>
      <c r="Q114" s="37"/>
    </row>
    <row r="115" spans="1:26" x14ac:dyDescent="0.15">
      <c r="B115" s="34"/>
      <c r="C115" s="34"/>
      <c r="D115" s="34"/>
      <c r="E115" s="34"/>
      <c r="F115" s="36"/>
      <c r="G115" s="37"/>
      <c r="H115" s="37"/>
      <c r="I115" s="37"/>
      <c r="J115" s="36"/>
      <c r="K115" s="37"/>
      <c r="L115" s="37"/>
      <c r="M115" s="37"/>
      <c r="N115" s="36"/>
      <c r="O115" s="37"/>
      <c r="P115" s="37"/>
      <c r="Q115" s="37"/>
    </row>
    <row r="116" spans="1:26" x14ac:dyDescent="0.15">
      <c r="B116" s="34"/>
      <c r="C116" s="34"/>
      <c r="D116" s="34"/>
      <c r="E116" s="34"/>
      <c r="F116" s="36"/>
      <c r="G116" s="37"/>
      <c r="H116" s="37"/>
      <c r="I116" s="37"/>
      <c r="J116" s="36"/>
      <c r="K116" s="37"/>
      <c r="L116" s="37"/>
      <c r="M116" s="37"/>
      <c r="N116" s="36"/>
      <c r="O116" s="37"/>
      <c r="P116" s="37"/>
      <c r="Q116" s="37"/>
    </row>
    <row r="117" spans="1:26" x14ac:dyDescent="0.15">
      <c r="B117" s="34"/>
      <c r="C117" s="34"/>
      <c r="D117" s="34"/>
      <c r="E117" s="34"/>
      <c r="F117" s="36"/>
      <c r="G117" s="37"/>
      <c r="H117" s="37"/>
      <c r="I117" s="37"/>
      <c r="J117" s="36"/>
      <c r="K117" s="37"/>
      <c r="L117" s="37"/>
      <c r="M117" s="37"/>
      <c r="N117" s="36"/>
      <c r="O117" s="37"/>
      <c r="P117" s="37"/>
      <c r="Q117" s="37"/>
    </row>
    <row r="118" spans="1:26" x14ac:dyDescent="0.15">
      <c r="B118" s="34"/>
      <c r="C118" s="34"/>
      <c r="D118" s="34"/>
      <c r="E118" s="34"/>
      <c r="F118" s="36"/>
      <c r="G118" s="37"/>
      <c r="H118" s="37"/>
      <c r="I118" s="37"/>
      <c r="J118" s="36"/>
      <c r="K118" s="37"/>
      <c r="L118" s="37"/>
      <c r="M118" s="37"/>
      <c r="N118" s="36"/>
      <c r="O118" s="37"/>
      <c r="P118" s="37"/>
      <c r="Q118" s="37"/>
    </row>
    <row r="119" spans="1:26" x14ac:dyDescent="0.15">
      <c r="B119" s="34"/>
      <c r="C119" s="34"/>
      <c r="D119" s="34"/>
      <c r="E119" s="34"/>
      <c r="F119" s="36"/>
      <c r="G119" s="37"/>
      <c r="H119" s="37"/>
      <c r="I119" s="37"/>
      <c r="J119" s="36"/>
      <c r="K119" s="37"/>
      <c r="L119" s="37"/>
      <c r="M119" s="37"/>
      <c r="N119" s="36"/>
      <c r="O119" s="37"/>
      <c r="P119" s="37"/>
      <c r="Q119" s="37"/>
    </row>
    <row r="120" spans="1:26" x14ac:dyDescent="0.15">
      <c r="B120" s="34"/>
      <c r="C120" s="34"/>
      <c r="D120" s="34"/>
      <c r="E120" s="34"/>
      <c r="F120" s="36"/>
      <c r="G120" s="37"/>
      <c r="H120" s="37"/>
      <c r="I120" s="37"/>
      <c r="J120" s="36"/>
      <c r="K120" s="37"/>
      <c r="L120" s="37"/>
      <c r="M120" s="37"/>
      <c r="N120" s="36"/>
      <c r="O120" s="37"/>
      <c r="P120" s="37"/>
      <c r="Q120" s="37"/>
    </row>
    <row r="121" spans="1:26" x14ac:dyDescent="0.15">
      <c r="B121" s="34"/>
      <c r="C121" s="34"/>
      <c r="D121" s="34"/>
      <c r="E121" s="34"/>
      <c r="F121" s="36"/>
      <c r="G121" s="37"/>
      <c r="H121" s="37"/>
      <c r="I121" s="37"/>
      <c r="J121" s="36"/>
      <c r="K121" s="37"/>
      <c r="L121" s="37"/>
      <c r="M121" s="37"/>
      <c r="N121" s="36"/>
      <c r="O121" s="37"/>
      <c r="P121" s="37"/>
      <c r="Q121" s="37"/>
    </row>
    <row r="122" spans="1:26" s="7" customFormat="1" x14ac:dyDescent="0.15">
      <c r="B122" s="48"/>
      <c r="C122" s="48"/>
      <c r="D122" s="48"/>
      <c r="E122" s="48"/>
      <c r="F122" s="58"/>
      <c r="G122" s="43"/>
      <c r="H122" s="43"/>
      <c r="I122" s="43"/>
      <c r="J122" s="58"/>
      <c r="K122" s="43"/>
      <c r="L122" s="43"/>
      <c r="M122" s="43"/>
      <c r="N122" s="58"/>
      <c r="O122" s="43"/>
      <c r="P122" s="43"/>
      <c r="Q122" s="43"/>
      <c r="R122" s="59"/>
      <c r="S122" s="66"/>
      <c r="T122" s="66"/>
      <c r="U122" s="66"/>
      <c r="V122" s="60"/>
      <c r="Z122" s="60"/>
    </row>
    <row r="123" spans="1:26" x14ac:dyDescent="0.15">
      <c r="D123" s="34"/>
      <c r="E123" s="34"/>
      <c r="F123" s="36"/>
      <c r="G123" s="37"/>
      <c r="H123" s="37"/>
      <c r="I123" s="37"/>
      <c r="J123" s="36"/>
      <c r="K123" s="37"/>
      <c r="L123" s="37"/>
      <c r="M123" s="37"/>
      <c r="N123" s="36"/>
      <c r="O123" s="37"/>
      <c r="P123" s="37"/>
      <c r="Q123" s="37"/>
    </row>
    <row r="124" spans="1:26" x14ac:dyDescent="0.15">
      <c r="D124" s="34"/>
      <c r="E124" s="34"/>
      <c r="F124" s="36"/>
      <c r="G124" s="37"/>
      <c r="H124" s="37"/>
      <c r="I124" s="37"/>
      <c r="J124" s="36"/>
      <c r="K124" s="37"/>
      <c r="L124" s="37"/>
      <c r="M124" s="37"/>
      <c r="N124" s="36"/>
      <c r="O124" s="37"/>
      <c r="P124" s="37"/>
      <c r="Q124" s="37"/>
    </row>
    <row r="125" spans="1:26" s="7" customFormat="1" x14ac:dyDescent="0.15">
      <c r="B125" s="47"/>
      <c r="C125" s="47"/>
      <c r="D125" s="48"/>
      <c r="E125" s="48"/>
      <c r="F125" s="58"/>
      <c r="G125" s="43"/>
      <c r="H125" s="43"/>
      <c r="I125" s="43"/>
      <c r="J125" s="58"/>
      <c r="K125" s="43"/>
      <c r="L125" s="43"/>
      <c r="M125" s="43"/>
      <c r="N125" s="58"/>
      <c r="O125" s="43"/>
      <c r="P125" s="43"/>
      <c r="Q125" s="43"/>
      <c r="R125" s="59"/>
      <c r="S125" s="66"/>
      <c r="T125" s="66"/>
      <c r="U125" s="66"/>
      <c r="V125" s="60"/>
      <c r="Z125" s="60"/>
    </row>
    <row r="126" spans="1:26" s="7" customFormat="1" x14ac:dyDescent="0.15">
      <c r="A126" s="2"/>
      <c r="B126" s="35"/>
      <c r="C126" s="35"/>
      <c r="D126" s="34"/>
      <c r="E126" s="34"/>
      <c r="F126" s="36"/>
      <c r="G126" s="37"/>
      <c r="H126" s="37"/>
      <c r="I126" s="37"/>
      <c r="J126" s="36"/>
      <c r="K126" s="37"/>
      <c r="L126" s="37"/>
      <c r="M126" s="37"/>
      <c r="N126" s="36"/>
      <c r="O126" s="43"/>
      <c r="P126" s="43"/>
      <c r="Q126" s="43"/>
      <c r="R126" s="59"/>
      <c r="S126" s="66"/>
      <c r="T126" s="66"/>
      <c r="U126" s="66"/>
      <c r="V126" s="60"/>
      <c r="Z126" s="60"/>
    </row>
    <row r="127" spans="1:26" s="7" customFormat="1" x14ac:dyDescent="0.15">
      <c r="A127" s="2"/>
      <c r="B127" s="35"/>
      <c r="C127" s="35"/>
      <c r="D127" s="34"/>
      <c r="E127" s="34"/>
      <c r="F127" s="36"/>
      <c r="G127" s="37"/>
      <c r="H127" s="37"/>
      <c r="I127" s="37"/>
      <c r="J127" s="36"/>
      <c r="K127" s="37"/>
      <c r="L127" s="37"/>
      <c r="M127" s="37"/>
      <c r="N127" s="36"/>
      <c r="O127" s="43"/>
      <c r="P127" s="43"/>
      <c r="Q127" s="43"/>
      <c r="R127" s="59"/>
      <c r="S127" s="66"/>
      <c r="T127" s="66"/>
      <c r="U127" s="66"/>
      <c r="V127" s="60"/>
      <c r="Z127" s="60"/>
    </row>
  </sheetData>
  <hyperlinks>
    <hyperlink ref="A1" r:id="rId1" xr:uid="{00000000-0004-0000-0100-000000000000}"/>
  </hyperlinks>
  <pageMargins left="0.7" right="0.7" top="0.75" bottom="0.75" header="0.3" footer="0.3"/>
  <pageSetup paperSize="9" orientation="portrait" horizontalDpi="0" verticalDpi="0"/>
  <ignoredErrors>
    <ignoredError sqref="N1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27"/>
  <sheetViews>
    <sheetView workbookViewId="0">
      <selection activeCell="D26" sqref="D26"/>
    </sheetView>
  </sheetViews>
  <sheetFormatPr baseColWidth="10" defaultRowHeight="13" x14ac:dyDescent="0.15"/>
  <cols>
    <col min="1" max="1" width="10.83203125" style="2"/>
    <col min="2" max="2" width="17.6640625" style="2" bestFit="1" customWidth="1"/>
    <col min="3" max="3" width="33.83203125" style="2" bestFit="1" customWidth="1"/>
    <col min="4" max="4" width="44.6640625" style="2" bestFit="1" customWidth="1"/>
    <col min="5" max="16384" width="10.83203125" style="2"/>
  </cols>
  <sheetData>
    <row r="4" spans="2:4" s="14" customFormat="1" x14ac:dyDescent="0.15">
      <c r="B4" s="14" t="s">
        <v>30</v>
      </c>
      <c r="C4" s="81"/>
    </row>
    <row r="5" spans="2:4" s="14" customFormat="1" x14ac:dyDescent="0.15">
      <c r="C5" s="81"/>
    </row>
    <row r="6" spans="2:4" s="7" customFormat="1" x14ac:dyDescent="0.15">
      <c r="B6" s="2" t="s">
        <v>116</v>
      </c>
      <c r="C6" s="82" t="s">
        <v>119</v>
      </c>
      <c r="D6" s="83" t="s">
        <v>126</v>
      </c>
    </row>
    <row r="7" spans="2:4" x14ac:dyDescent="0.15">
      <c r="B7" s="2" t="s">
        <v>99</v>
      </c>
      <c r="C7" s="82" t="s">
        <v>120</v>
      </c>
      <c r="D7" s="83" t="s">
        <v>125</v>
      </c>
    </row>
    <row r="8" spans="2:4" x14ac:dyDescent="0.15">
      <c r="B8" s="2" t="s">
        <v>100</v>
      </c>
      <c r="C8" s="82" t="s">
        <v>121</v>
      </c>
      <c r="D8" s="83" t="s">
        <v>124</v>
      </c>
    </row>
    <row r="9" spans="2:4" x14ac:dyDescent="0.15">
      <c r="B9" s="82" t="s">
        <v>141</v>
      </c>
      <c r="C9" s="82" t="s">
        <v>142</v>
      </c>
      <c r="D9" s="83" t="s">
        <v>143</v>
      </c>
    </row>
    <row r="11" spans="2:4" s="6" customFormat="1" x14ac:dyDescent="0.15">
      <c r="B11" s="14" t="s">
        <v>85</v>
      </c>
      <c r="C11" s="81"/>
    </row>
    <row r="12" spans="2:4" s="6" customFormat="1" x14ac:dyDescent="0.15">
      <c r="B12" s="14"/>
      <c r="C12" s="81"/>
    </row>
    <row r="13" spans="2:4" x14ac:dyDescent="0.15">
      <c r="B13" s="2" t="s">
        <v>101</v>
      </c>
      <c r="C13" s="82" t="s">
        <v>122</v>
      </c>
      <c r="D13" s="83" t="s">
        <v>123</v>
      </c>
    </row>
    <row r="14" spans="2:4" x14ac:dyDescent="0.15">
      <c r="B14" s="2" t="s">
        <v>102</v>
      </c>
      <c r="C14" s="82" t="s">
        <v>134</v>
      </c>
      <c r="D14" s="83" t="s">
        <v>127</v>
      </c>
    </row>
    <row r="15" spans="2:4" x14ac:dyDescent="0.15">
      <c r="B15" s="2" t="s">
        <v>103</v>
      </c>
      <c r="C15" s="82" t="s">
        <v>128</v>
      </c>
      <c r="D15" s="83" t="s">
        <v>129</v>
      </c>
    </row>
    <row r="16" spans="2:4" x14ac:dyDescent="0.15">
      <c r="B16" s="2" t="s">
        <v>104</v>
      </c>
      <c r="C16" s="82" t="s">
        <v>130</v>
      </c>
      <c r="D16" s="83" t="s">
        <v>131</v>
      </c>
    </row>
    <row r="18" spans="2:4" s="6" customFormat="1" x14ac:dyDescent="0.15">
      <c r="B18" s="14" t="s">
        <v>86</v>
      </c>
      <c r="C18" s="81"/>
    </row>
    <row r="19" spans="2:4" s="6" customFormat="1" x14ac:dyDescent="0.15">
      <c r="B19" s="14"/>
      <c r="C19" s="81"/>
    </row>
    <row r="20" spans="2:4" x14ac:dyDescent="0.15">
      <c r="B20" s="2" t="s">
        <v>105</v>
      </c>
      <c r="C20" s="82" t="s">
        <v>132</v>
      </c>
      <c r="D20" s="83" t="s">
        <v>133</v>
      </c>
    </row>
    <row r="21" spans="2:4" x14ac:dyDescent="0.15">
      <c r="B21" s="2" t="s">
        <v>106</v>
      </c>
      <c r="C21" s="82" t="s">
        <v>135</v>
      </c>
      <c r="D21" s="83" t="s">
        <v>136</v>
      </c>
    </row>
    <row r="22" spans="2:4" x14ac:dyDescent="0.15">
      <c r="B22" s="2" t="s">
        <v>107</v>
      </c>
      <c r="C22" s="82" t="s">
        <v>137</v>
      </c>
      <c r="D22" s="83" t="s">
        <v>138</v>
      </c>
    </row>
    <row r="23" spans="2:4" x14ac:dyDescent="0.15">
      <c r="B23" s="2" t="s">
        <v>108</v>
      </c>
      <c r="C23" s="82" t="s">
        <v>139</v>
      </c>
      <c r="D23" s="83" t="s">
        <v>140</v>
      </c>
    </row>
    <row r="25" spans="2:4" x14ac:dyDescent="0.15">
      <c r="B25" s="7" t="s">
        <v>144</v>
      </c>
    </row>
    <row r="27" spans="2:4" x14ac:dyDescent="0.15">
      <c r="B27" s="82" t="s">
        <v>145</v>
      </c>
      <c r="C27" s="2" t="s">
        <v>146</v>
      </c>
    </row>
  </sheetData>
  <hyperlinks>
    <hyperlink ref="D13" r:id="rId1" xr:uid="{D52426DC-A156-F846-9D22-1F807C2A13AB}"/>
    <hyperlink ref="D8" r:id="rId2" xr:uid="{9F25290F-3C6B-E647-9859-81978A49FC54}"/>
    <hyperlink ref="D7" r:id="rId3" xr:uid="{8C094D07-36E0-114B-B6FE-C8B2DEBC8333}"/>
    <hyperlink ref="D6" r:id="rId4" xr:uid="{733064E2-51BB-4C46-ADC4-473E0ADE4F34}"/>
    <hyperlink ref="D14" r:id="rId5" xr:uid="{4008A113-8C09-AF4F-8823-C20F9BAFFF71}"/>
    <hyperlink ref="D15" r:id="rId6" xr:uid="{035446CD-B034-7941-9A60-7BBC029661A5}"/>
    <hyperlink ref="D16" r:id="rId7" xr:uid="{318884DA-E002-C34E-96D1-E097E9FCD1D6}"/>
    <hyperlink ref="D20" r:id="rId8" xr:uid="{FD8E6641-31D5-4A45-9012-23D70C81B0B9}"/>
    <hyperlink ref="D21" r:id="rId9" xr:uid="{AF75905C-6698-B44E-AE40-B4718F32A1C9}"/>
    <hyperlink ref="D22" r:id="rId10" xr:uid="{CCB857DB-2063-744E-A10D-0E2C3F073212}"/>
    <hyperlink ref="D23" r:id="rId11" xr:uid="{ABF8EB81-4625-5C4D-AAF3-B48D56DF531E}"/>
    <hyperlink ref="D9" r:id="rId12" xr:uid="{B39228DF-CFD3-3245-A59D-D1FAC271D4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2017-11-18T19:10:10Z</dcterms:created>
  <dcterms:modified xsi:type="dcterms:W3CDTF">2021-02-06T11:06:09Z</dcterms:modified>
</cp:coreProperties>
</file>