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C2E57A83-0C92-9846-996F-D6FE7400C2D7}" xr6:coauthVersionLast="46" xr6:coauthVersionMax="46" xr10:uidLastSave="{00000000-0000-0000-0000-000000000000}"/>
  <bookViews>
    <workbookView xWindow="-52240" yWindow="-5940" windowWidth="26100" windowHeight="26740" tabRatio="500" xr2:uid="{00000000-000D-0000-FFFF-FFFF00000000}"/>
  </bookViews>
  <sheets>
    <sheet name="Main" sheetId="2" r:id="rId1"/>
    <sheet name="Reports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6" i="2" l="1"/>
  <c r="N16" i="2" s="1"/>
  <c r="O16" i="2" s="1"/>
  <c r="P16" i="2" s="1"/>
  <c r="Q16" i="2" s="1"/>
  <c r="R16" i="2" s="1"/>
  <c r="S16" i="2" s="1"/>
  <c r="T16" i="2" s="1"/>
  <c r="U16" i="2" s="1"/>
  <c r="L16" i="2"/>
  <c r="J20" i="2"/>
  <c r="K20" i="2" s="1"/>
  <c r="I20" i="2"/>
  <c r="H20" i="2"/>
  <c r="J13" i="2"/>
  <c r="K13" i="2" s="1"/>
  <c r="I13" i="2"/>
  <c r="H13" i="2"/>
  <c r="Y4" i="1"/>
  <c r="Y6" i="1"/>
  <c r="G22" i="2"/>
  <c r="G24" i="2"/>
  <c r="G21" i="2"/>
  <c r="G20" i="2"/>
  <c r="G19" i="2"/>
  <c r="G11" i="2"/>
  <c r="G10" i="2"/>
  <c r="C5" i="2"/>
  <c r="C3" i="2"/>
  <c r="Y17" i="1"/>
  <c r="Y15" i="1"/>
  <c r="Y14" i="1"/>
  <c r="Y27" i="1"/>
  <c r="Y13" i="1"/>
  <c r="Y28" i="1"/>
  <c r="Y26" i="1"/>
  <c r="Y25" i="1"/>
  <c r="Y12" i="1"/>
  <c r="Y3" i="1"/>
  <c r="Y52" i="1"/>
  <c r="X52" i="1"/>
  <c r="W52" i="1"/>
  <c r="V52" i="1"/>
  <c r="X51" i="1"/>
  <c r="W51" i="1"/>
  <c r="V51" i="1"/>
  <c r="U52" i="1"/>
  <c r="T52" i="1"/>
  <c r="S52" i="1"/>
  <c r="R52" i="1"/>
  <c r="U51" i="1"/>
  <c r="T51" i="1"/>
  <c r="S51" i="1"/>
  <c r="R51" i="1"/>
  <c r="Q52" i="1"/>
  <c r="P52" i="1"/>
  <c r="O52" i="1"/>
  <c r="N52" i="1"/>
  <c r="Q51" i="1"/>
  <c r="P51" i="1"/>
  <c r="O51" i="1"/>
  <c r="N51" i="1"/>
  <c r="M52" i="1"/>
  <c r="L52" i="1"/>
  <c r="K52" i="1"/>
  <c r="J52" i="1"/>
  <c r="M51" i="1"/>
  <c r="L51" i="1"/>
  <c r="K51" i="1"/>
  <c r="J51" i="1"/>
  <c r="I52" i="1"/>
  <c r="H52" i="1"/>
  <c r="G52" i="1"/>
  <c r="F52" i="1"/>
  <c r="I51" i="1"/>
  <c r="H51" i="1"/>
  <c r="G51" i="1"/>
  <c r="F51" i="1"/>
  <c r="W43" i="1"/>
  <c r="W42" i="1"/>
  <c r="W36" i="1"/>
  <c r="W35" i="1"/>
  <c r="W34" i="1"/>
  <c r="W32" i="1"/>
  <c r="W31" i="1"/>
  <c r="W30" i="1"/>
  <c r="W28" i="1"/>
  <c r="W27" i="1"/>
  <c r="W26" i="1"/>
  <c r="W25" i="1"/>
  <c r="W20" i="1"/>
  <c r="W21" i="1" s="1"/>
  <c r="W18" i="1"/>
  <c r="W15" i="1"/>
  <c r="W16" i="1" s="1"/>
  <c r="W11" i="1"/>
  <c r="W9" i="1"/>
  <c r="W55" i="1"/>
  <c r="W54" i="1"/>
  <c r="W7" i="1"/>
  <c r="W58" i="1"/>
  <c r="X58" i="1"/>
  <c r="X55" i="1"/>
  <c r="X54" i="1"/>
  <c r="X43" i="1"/>
  <c r="X42" i="1"/>
  <c r="X36" i="1"/>
  <c r="X35" i="1"/>
  <c r="X28" i="1"/>
  <c r="X27" i="1"/>
  <c r="X26" i="1"/>
  <c r="X25" i="1"/>
  <c r="X15" i="1"/>
  <c r="X9" i="1"/>
  <c r="X7" i="1"/>
  <c r="V58" i="1"/>
  <c r="V36" i="1"/>
  <c r="V35" i="1"/>
  <c r="V55" i="1"/>
  <c r="V54" i="1"/>
  <c r="V43" i="1"/>
  <c r="V42" i="1"/>
  <c r="V34" i="1"/>
  <c r="V28" i="1"/>
  <c r="V27" i="1"/>
  <c r="V26" i="1"/>
  <c r="V25" i="1"/>
  <c r="V17" i="1"/>
  <c r="V15" i="1"/>
  <c r="V9" i="1"/>
  <c r="V11" i="1" s="1"/>
  <c r="V30" i="1" s="1"/>
  <c r="V7" i="1"/>
  <c r="Y54" i="1" l="1"/>
  <c r="G13" i="2"/>
  <c r="Y7" i="1"/>
  <c r="Y55" i="1" s="1"/>
  <c r="G14" i="2"/>
  <c r="G16" i="2" s="1"/>
  <c r="Y51" i="1"/>
  <c r="V24" i="1"/>
  <c r="X11" i="1"/>
  <c r="X30" i="1" s="1"/>
  <c r="X16" i="1"/>
  <c r="V16" i="1"/>
  <c r="V31" i="1" s="1"/>
  <c r="V18" i="1"/>
  <c r="X34" i="1"/>
  <c r="F4" i="2"/>
  <c r="F63" i="2"/>
  <c r="F47" i="2"/>
  <c r="F46" i="2"/>
  <c r="F50" i="2" s="1"/>
  <c r="F45" i="2"/>
  <c r="F43" i="2"/>
  <c r="F42" i="2"/>
  <c r="F41" i="2" s="1"/>
  <c r="F29" i="2"/>
  <c r="F13" i="2"/>
  <c r="F26" i="2"/>
  <c r="F24" i="2"/>
  <c r="F21" i="2"/>
  <c r="F20" i="2"/>
  <c r="F19" i="2"/>
  <c r="H19" i="2" s="1"/>
  <c r="I19" i="2" s="1"/>
  <c r="J19" i="2" s="1"/>
  <c r="K19" i="2" s="1"/>
  <c r="L19" i="2" s="1"/>
  <c r="M19" i="2" s="1"/>
  <c r="N19" i="2" s="1"/>
  <c r="O19" i="2" s="1"/>
  <c r="P19" i="2" s="1"/>
  <c r="Q19" i="2" s="1"/>
  <c r="R19" i="2" s="1"/>
  <c r="S19" i="2" s="1"/>
  <c r="T19" i="2" s="1"/>
  <c r="U19" i="2" s="1"/>
  <c r="F17" i="2"/>
  <c r="F11" i="2"/>
  <c r="F10" i="2"/>
  <c r="Y9" i="1" l="1"/>
  <c r="V32" i="1"/>
  <c r="V20" i="1"/>
  <c r="V21" i="1" s="1"/>
  <c r="X31" i="1"/>
  <c r="X18" i="1"/>
  <c r="F22" i="2"/>
  <c r="F49" i="2"/>
  <c r="F14" i="2"/>
  <c r="U36" i="1"/>
  <c r="U35" i="1"/>
  <c r="U34" i="1" s="1"/>
  <c r="U55" i="1"/>
  <c r="U54" i="1"/>
  <c r="U43" i="1"/>
  <c r="U28" i="1"/>
  <c r="U27" i="1"/>
  <c r="U26" i="1"/>
  <c r="U25" i="1"/>
  <c r="U15" i="1"/>
  <c r="U9" i="1"/>
  <c r="U11" i="1" s="1"/>
  <c r="U30" i="1" s="1"/>
  <c r="U7" i="1"/>
  <c r="U58" i="1"/>
  <c r="T36" i="1"/>
  <c r="T35" i="1"/>
  <c r="T42" i="1" s="1"/>
  <c r="T55" i="1"/>
  <c r="T54" i="1"/>
  <c r="T43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T25" i="1"/>
  <c r="T27" i="1"/>
  <c r="T26" i="1"/>
  <c r="T15" i="1"/>
  <c r="T9" i="1"/>
  <c r="X24" i="1" s="1"/>
  <c r="T7" i="1"/>
  <c r="T58" i="1"/>
  <c r="S58" i="1"/>
  <c r="S55" i="1"/>
  <c r="S54" i="1"/>
  <c r="S43" i="1"/>
  <c r="S42" i="1"/>
  <c r="S35" i="1"/>
  <c r="S34" i="1" s="1"/>
  <c r="S26" i="1"/>
  <c r="S25" i="1"/>
  <c r="S27" i="1"/>
  <c r="S15" i="1"/>
  <c r="R54" i="1"/>
  <c r="S9" i="1"/>
  <c r="W24" i="1" s="1"/>
  <c r="S7" i="1"/>
  <c r="Y24" i="1" l="1"/>
  <c r="Y11" i="1"/>
  <c r="Y10" i="1" s="1"/>
  <c r="G17" i="2" s="1"/>
  <c r="G18" i="2" s="1"/>
  <c r="G23" i="2" s="1"/>
  <c r="G25" i="2" s="1"/>
  <c r="T11" i="1"/>
  <c r="T30" i="1" s="1"/>
  <c r="S24" i="1"/>
  <c r="T16" i="1"/>
  <c r="U16" i="1"/>
  <c r="T24" i="1"/>
  <c r="U24" i="1"/>
  <c r="F16" i="2"/>
  <c r="X32" i="1"/>
  <c r="X20" i="1"/>
  <c r="X21" i="1" s="1"/>
  <c r="S11" i="1"/>
  <c r="S30" i="1" s="1"/>
  <c r="S16" i="1"/>
  <c r="F18" i="2"/>
  <c r="F23" i="2" s="1"/>
  <c r="F25" i="2" s="1"/>
  <c r="U42" i="1"/>
  <c r="T34" i="1"/>
  <c r="R35" i="1"/>
  <c r="R9" i="1"/>
  <c r="R58" i="1"/>
  <c r="R7" i="1"/>
  <c r="R55" i="1" s="1"/>
  <c r="R11" i="1"/>
  <c r="R30" i="1" s="1"/>
  <c r="R15" i="1"/>
  <c r="R42" i="1"/>
  <c r="R43" i="1"/>
  <c r="R34" i="1"/>
  <c r="R27" i="1"/>
  <c r="R26" i="1"/>
  <c r="R25" i="1"/>
  <c r="B63" i="2"/>
  <c r="E63" i="2"/>
  <c r="F64" i="2" s="1"/>
  <c r="D63" i="2"/>
  <c r="C63" i="2"/>
  <c r="E10" i="2"/>
  <c r="F57" i="2" s="1"/>
  <c r="F3" i="2"/>
  <c r="E47" i="2"/>
  <c r="E46" i="2"/>
  <c r="E45" i="2"/>
  <c r="E43" i="2"/>
  <c r="E42" i="2"/>
  <c r="B43" i="2"/>
  <c r="B42" i="2"/>
  <c r="B41" i="2" s="1"/>
  <c r="C43" i="2"/>
  <c r="D47" i="2"/>
  <c r="D46" i="2"/>
  <c r="D45" i="2"/>
  <c r="D43" i="2"/>
  <c r="E13" i="2"/>
  <c r="D13" i="2"/>
  <c r="C13" i="2"/>
  <c r="B13" i="2"/>
  <c r="E29" i="2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E26" i="2"/>
  <c r="E21" i="2"/>
  <c r="E20" i="2"/>
  <c r="E19" i="2"/>
  <c r="F32" i="2" s="1"/>
  <c r="E17" i="2"/>
  <c r="E11" i="2"/>
  <c r="F58" i="2" s="1"/>
  <c r="Q35" i="1"/>
  <c r="Q17" i="1"/>
  <c r="Q58" i="1"/>
  <c r="Q7" i="1"/>
  <c r="Q55" i="1" s="1"/>
  <c r="M7" i="1"/>
  <c r="Q54" i="1"/>
  <c r="Q9" i="1"/>
  <c r="Q24" i="1" s="1"/>
  <c r="Q15" i="1"/>
  <c r="N7" i="1"/>
  <c r="N9" i="1" s="1"/>
  <c r="N15" i="1"/>
  <c r="N17" i="1"/>
  <c r="O7" i="1"/>
  <c r="O9" i="1"/>
  <c r="O11" i="1"/>
  <c r="O16" i="1" s="1"/>
  <c r="O15" i="1"/>
  <c r="O17" i="1"/>
  <c r="E24" i="2" s="1"/>
  <c r="P7" i="1"/>
  <c r="P9" i="1" s="1"/>
  <c r="P14" i="1"/>
  <c r="P15" i="1"/>
  <c r="P17" i="1"/>
  <c r="Q42" i="1"/>
  <c r="Q43" i="1"/>
  <c r="Q34" i="1"/>
  <c r="Q27" i="1"/>
  <c r="Q26" i="1"/>
  <c r="Q25" i="1"/>
  <c r="M9" i="1"/>
  <c r="P35" i="1"/>
  <c r="P42" i="1" s="1"/>
  <c r="P58" i="1"/>
  <c r="L7" i="1"/>
  <c r="L9" i="1" s="1"/>
  <c r="P54" i="1"/>
  <c r="M11" i="1"/>
  <c r="M16" i="1" s="1"/>
  <c r="M15" i="1"/>
  <c r="M17" i="1"/>
  <c r="P43" i="1"/>
  <c r="P34" i="1"/>
  <c r="P27" i="1"/>
  <c r="P26" i="1"/>
  <c r="P25" i="1"/>
  <c r="O35" i="1"/>
  <c r="O42" i="1" s="1"/>
  <c r="O58" i="1"/>
  <c r="K7" i="1"/>
  <c r="K55" i="1" s="1"/>
  <c r="O54" i="1"/>
  <c r="L15" i="1"/>
  <c r="L17" i="1"/>
  <c r="O43" i="1"/>
  <c r="O30" i="1"/>
  <c r="O27" i="1"/>
  <c r="O26" i="1"/>
  <c r="O25" i="1"/>
  <c r="K9" i="1"/>
  <c r="K11" i="1" s="1"/>
  <c r="O24" i="1"/>
  <c r="N35" i="1"/>
  <c r="N58" i="1"/>
  <c r="J7" i="1"/>
  <c r="N55" i="1"/>
  <c r="N54" i="1"/>
  <c r="K15" i="1"/>
  <c r="K17" i="1"/>
  <c r="D24" i="2" s="1"/>
  <c r="N42" i="1"/>
  <c r="N43" i="1"/>
  <c r="N34" i="1"/>
  <c r="N27" i="1"/>
  <c r="N26" i="1"/>
  <c r="N25" i="1"/>
  <c r="J9" i="1"/>
  <c r="M35" i="1"/>
  <c r="D42" i="2" s="1"/>
  <c r="M42" i="1"/>
  <c r="J11" i="1"/>
  <c r="J16" i="1" s="1"/>
  <c r="J15" i="1"/>
  <c r="J17" i="1"/>
  <c r="M43" i="1"/>
  <c r="M58" i="1"/>
  <c r="I7" i="1"/>
  <c r="I55" i="1" s="1"/>
  <c r="M55" i="1"/>
  <c r="H7" i="1"/>
  <c r="H9" i="1" s="1"/>
  <c r="L55" i="1"/>
  <c r="G7" i="1"/>
  <c r="F7" i="1"/>
  <c r="J55" i="1" s="1"/>
  <c r="B7" i="1"/>
  <c r="B9" i="1" s="1"/>
  <c r="B11" i="1" s="1"/>
  <c r="F55" i="1"/>
  <c r="E7" i="1"/>
  <c r="E9" i="1" s="1"/>
  <c r="D7" i="1"/>
  <c r="D9" i="1" s="1"/>
  <c r="D11" i="1" s="1"/>
  <c r="C7" i="1"/>
  <c r="C9" i="1" s="1"/>
  <c r="C11" i="1" s="1"/>
  <c r="I9" i="1"/>
  <c r="M24" i="1" s="1"/>
  <c r="G9" i="1"/>
  <c r="G24" i="1" s="1"/>
  <c r="F9" i="1"/>
  <c r="F24" i="1" s="1"/>
  <c r="F54" i="1"/>
  <c r="D10" i="2"/>
  <c r="D11" i="2"/>
  <c r="C4" i="2"/>
  <c r="D17" i="2"/>
  <c r="D20" i="2"/>
  <c r="D29" i="2"/>
  <c r="D19" i="2"/>
  <c r="D21" i="2"/>
  <c r="G58" i="1"/>
  <c r="L54" i="1"/>
  <c r="K54" i="1"/>
  <c r="M54" i="1"/>
  <c r="J54" i="1"/>
  <c r="J58" i="1"/>
  <c r="K58" i="1"/>
  <c r="L58" i="1"/>
  <c r="G54" i="1"/>
  <c r="H54" i="1"/>
  <c r="I54" i="1"/>
  <c r="H58" i="1"/>
  <c r="I58" i="1"/>
  <c r="F58" i="1"/>
  <c r="F35" i="1"/>
  <c r="G35" i="1"/>
  <c r="C17" i="1"/>
  <c r="H35" i="1"/>
  <c r="D17" i="1"/>
  <c r="E35" i="1"/>
  <c r="E15" i="1"/>
  <c r="E17" i="1"/>
  <c r="B24" i="2" s="1"/>
  <c r="I35" i="1"/>
  <c r="C42" i="2" s="1"/>
  <c r="J35" i="1"/>
  <c r="J34" i="1" s="1"/>
  <c r="I17" i="1"/>
  <c r="F17" i="1"/>
  <c r="K35" i="1"/>
  <c r="G17" i="1"/>
  <c r="L35" i="1"/>
  <c r="L34" i="1" s="1"/>
  <c r="H17" i="1"/>
  <c r="C10" i="2"/>
  <c r="C11" i="2"/>
  <c r="B10" i="2"/>
  <c r="B11" i="2"/>
  <c r="I11" i="1"/>
  <c r="I30" i="1" s="1"/>
  <c r="I15" i="1"/>
  <c r="I16" i="1"/>
  <c r="I18" i="1" s="1"/>
  <c r="B15" i="1"/>
  <c r="F15" i="1"/>
  <c r="C15" i="1"/>
  <c r="D15" i="1"/>
  <c r="H15" i="1"/>
  <c r="G15" i="1"/>
  <c r="C19" i="2"/>
  <c r="C20" i="2"/>
  <c r="C21" i="2"/>
  <c r="B20" i="2"/>
  <c r="B21" i="2"/>
  <c r="B19" i="2"/>
  <c r="J27" i="1"/>
  <c r="I25" i="1"/>
  <c r="J25" i="1"/>
  <c r="G27" i="1"/>
  <c r="H27" i="1"/>
  <c r="I27" i="1"/>
  <c r="K27" i="1"/>
  <c r="L27" i="1"/>
  <c r="M27" i="1"/>
  <c r="G26" i="1"/>
  <c r="H26" i="1"/>
  <c r="I26" i="1"/>
  <c r="J26" i="1"/>
  <c r="K26" i="1"/>
  <c r="L26" i="1"/>
  <c r="M26" i="1"/>
  <c r="F27" i="1"/>
  <c r="F26" i="1"/>
  <c r="K25" i="1"/>
  <c r="L25" i="1"/>
  <c r="M25" i="1"/>
  <c r="G25" i="1"/>
  <c r="H25" i="1"/>
  <c r="F25" i="1"/>
  <c r="D26" i="2"/>
  <c r="C29" i="2"/>
  <c r="C17" i="2"/>
  <c r="C24" i="2"/>
  <c r="C26" i="2"/>
  <c r="E34" i="1"/>
  <c r="B17" i="2"/>
  <c r="B26" i="2"/>
  <c r="B29" i="2"/>
  <c r="E9" i="2"/>
  <c r="F9" i="2"/>
  <c r="G9" i="2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F34" i="1"/>
  <c r="G34" i="1"/>
  <c r="H34" i="1"/>
  <c r="K34" i="1"/>
  <c r="J30" i="1"/>
  <c r="Y16" i="1" l="1"/>
  <c r="Y30" i="1"/>
  <c r="D34" i="2"/>
  <c r="S18" i="1"/>
  <c r="S31" i="1"/>
  <c r="H14" i="2"/>
  <c r="I14" i="2" s="1"/>
  <c r="J14" i="2" s="1"/>
  <c r="K14" i="2" s="1"/>
  <c r="G31" i="2"/>
  <c r="C60" i="2"/>
  <c r="U18" i="1"/>
  <c r="U31" i="1"/>
  <c r="T18" i="1"/>
  <c r="T31" i="1"/>
  <c r="D64" i="2"/>
  <c r="E64" i="2"/>
  <c r="C34" i="2"/>
  <c r="E49" i="2"/>
  <c r="D57" i="2"/>
  <c r="E57" i="2"/>
  <c r="C64" i="2"/>
  <c r="C41" i="2"/>
  <c r="C57" i="2"/>
  <c r="E58" i="2"/>
  <c r="C6" i="2"/>
  <c r="C7" i="2" s="1"/>
  <c r="B22" i="2"/>
  <c r="E60" i="2"/>
  <c r="D41" i="2"/>
  <c r="D50" i="2"/>
  <c r="C33" i="2"/>
  <c r="B14" i="2"/>
  <c r="B16" i="2" s="1"/>
  <c r="B18" i="2" s="1"/>
  <c r="B37" i="2" s="1"/>
  <c r="D58" i="2"/>
  <c r="E32" i="2"/>
  <c r="E41" i="2"/>
  <c r="C32" i="2"/>
  <c r="D33" i="2"/>
  <c r="E34" i="2"/>
  <c r="D16" i="1"/>
  <c r="D30" i="1"/>
  <c r="K30" i="1"/>
  <c r="K16" i="1"/>
  <c r="P11" i="1"/>
  <c r="P24" i="1"/>
  <c r="B30" i="1"/>
  <c r="B16" i="1"/>
  <c r="M31" i="1"/>
  <c r="M18" i="1"/>
  <c r="L24" i="1"/>
  <c r="L11" i="1"/>
  <c r="F33" i="2"/>
  <c r="J18" i="1"/>
  <c r="J31" i="1"/>
  <c r="O31" i="1"/>
  <c r="O18" i="1"/>
  <c r="R24" i="1"/>
  <c r="H24" i="1"/>
  <c r="H11" i="1"/>
  <c r="N11" i="1"/>
  <c r="N24" i="1"/>
  <c r="I24" i="1"/>
  <c r="E11" i="1"/>
  <c r="I20" i="1"/>
  <c r="I21" i="1" s="1"/>
  <c r="I32" i="1"/>
  <c r="C30" i="1"/>
  <c r="C16" i="1"/>
  <c r="D22" i="2"/>
  <c r="D35" i="2" s="1"/>
  <c r="P55" i="1"/>
  <c r="D49" i="2"/>
  <c r="C58" i="2"/>
  <c r="G11" i="1"/>
  <c r="G55" i="1"/>
  <c r="Q11" i="1"/>
  <c r="R16" i="1"/>
  <c r="H55" i="1"/>
  <c r="E22" i="2"/>
  <c r="J24" i="1"/>
  <c r="O55" i="1"/>
  <c r="D60" i="2"/>
  <c r="K24" i="1"/>
  <c r="F11" i="1"/>
  <c r="O34" i="1"/>
  <c r="D32" i="2"/>
  <c r="I34" i="1"/>
  <c r="F60" i="2"/>
  <c r="C14" i="2"/>
  <c r="E50" i="2"/>
  <c r="M30" i="1"/>
  <c r="E33" i="2"/>
  <c r="D14" i="2"/>
  <c r="D61" i="2" s="1"/>
  <c r="E14" i="2"/>
  <c r="I31" i="1"/>
  <c r="C22" i="2"/>
  <c r="Y18" i="1" l="1"/>
  <c r="Y19" i="1" s="1"/>
  <c r="Y31" i="1"/>
  <c r="U20" i="1"/>
  <c r="U32" i="1"/>
  <c r="T32" i="1"/>
  <c r="T20" i="1"/>
  <c r="C61" i="2"/>
  <c r="S20" i="1"/>
  <c r="S32" i="1"/>
  <c r="C35" i="2"/>
  <c r="E35" i="2"/>
  <c r="F35" i="2"/>
  <c r="B23" i="2"/>
  <c r="B38" i="2" s="1"/>
  <c r="L16" i="1"/>
  <c r="L30" i="1"/>
  <c r="G30" i="1"/>
  <c r="G16" i="1"/>
  <c r="P16" i="1"/>
  <c r="P30" i="1"/>
  <c r="N16" i="1"/>
  <c r="N30" i="1"/>
  <c r="G32" i="2"/>
  <c r="B31" i="1"/>
  <c r="B18" i="1"/>
  <c r="O32" i="1"/>
  <c r="O20" i="1"/>
  <c r="J20" i="1"/>
  <c r="J32" i="1"/>
  <c r="D16" i="2"/>
  <c r="G60" i="2"/>
  <c r="R31" i="1"/>
  <c r="R18" i="1"/>
  <c r="D18" i="1"/>
  <c r="D31" i="1"/>
  <c r="H16" i="1"/>
  <c r="H30" i="1"/>
  <c r="M32" i="1"/>
  <c r="M20" i="1"/>
  <c r="F16" i="1"/>
  <c r="F30" i="1"/>
  <c r="C18" i="1"/>
  <c r="C31" i="1"/>
  <c r="K31" i="1"/>
  <c r="K18" i="1"/>
  <c r="F34" i="2"/>
  <c r="G35" i="2"/>
  <c r="E61" i="2"/>
  <c r="E16" i="2"/>
  <c r="F31" i="2" s="1"/>
  <c r="G33" i="2"/>
  <c r="E16" i="1"/>
  <c r="E30" i="1"/>
  <c r="Q30" i="1"/>
  <c r="Q16" i="1"/>
  <c r="C16" i="2"/>
  <c r="Y20" i="1" l="1"/>
  <c r="Y21" i="1" s="1"/>
  <c r="Y32" i="1"/>
  <c r="G26" i="2"/>
  <c r="S21" i="1"/>
  <c r="V45" i="1"/>
  <c r="T45" i="1"/>
  <c r="S45" i="1"/>
  <c r="U45" i="1"/>
  <c r="T21" i="1"/>
  <c r="W45" i="1"/>
  <c r="X45" i="1"/>
  <c r="U21" i="1"/>
  <c r="J21" i="1"/>
  <c r="C31" i="2"/>
  <c r="C18" i="2"/>
  <c r="E18" i="2"/>
  <c r="E31" i="2"/>
  <c r="D32" i="1"/>
  <c r="D20" i="1"/>
  <c r="D21" i="1" s="1"/>
  <c r="N31" i="1"/>
  <c r="N18" i="1"/>
  <c r="O21" i="1"/>
  <c r="B25" i="2"/>
  <c r="B20" i="1"/>
  <c r="B21" i="1" s="1"/>
  <c r="B32" i="1"/>
  <c r="H32" i="2"/>
  <c r="H31" i="1"/>
  <c r="H18" i="1"/>
  <c r="F61" i="2"/>
  <c r="C20" i="1"/>
  <c r="C21" i="1" s="1"/>
  <c r="C32" i="1"/>
  <c r="F18" i="1"/>
  <c r="F31" i="1"/>
  <c r="P18" i="1"/>
  <c r="P31" i="1"/>
  <c r="G31" i="1"/>
  <c r="G18" i="1"/>
  <c r="Q31" i="1"/>
  <c r="Q18" i="1"/>
  <c r="M21" i="1"/>
  <c r="M34" i="1"/>
  <c r="E31" i="1"/>
  <c r="E18" i="1"/>
  <c r="H33" i="2"/>
  <c r="R32" i="1"/>
  <c r="R20" i="1"/>
  <c r="R21" i="1" s="1"/>
  <c r="G34" i="2"/>
  <c r="H21" i="2"/>
  <c r="H60" i="2"/>
  <c r="K32" i="1"/>
  <c r="K20" i="1"/>
  <c r="D18" i="2"/>
  <c r="D31" i="2"/>
  <c r="L31" i="1"/>
  <c r="L18" i="1"/>
  <c r="X49" i="1" l="1"/>
  <c r="X46" i="1"/>
  <c r="X48" i="1"/>
  <c r="X47" i="1"/>
  <c r="W49" i="1"/>
  <c r="W46" i="1"/>
  <c r="W47" i="1"/>
  <c r="W48" i="1"/>
  <c r="U48" i="1"/>
  <c r="U46" i="1"/>
  <c r="U47" i="1"/>
  <c r="U49" i="1"/>
  <c r="V47" i="1"/>
  <c r="V46" i="1"/>
  <c r="V48" i="1"/>
  <c r="V49" i="1"/>
  <c r="S48" i="1"/>
  <c r="S49" i="1"/>
  <c r="S47" i="1"/>
  <c r="S46" i="1"/>
  <c r="T48" i="1"/>
  <c r="T47" i="1"/>
  <c r="T49" i="1"/>
  <c r="T46" i="1"/>
  <c r="G32" i="1"/>
  <c r="G20" i="1"/>
  <c r="G21" i="1" s="1"/>
  <c r="P20" i="1"/>
  <c r="P32" i="1"/>
  <c r="N32" i="1"/>
  <c r="N20" i="1"/>
  <c r="C23" i="2"/>
  <c r="C37" i="2"/>
  <c r="B27" i="2"/>
  <c r="B28" i="2" s="1"/>
  <c r="B39" i="2"/>
  <c r="H34" i="2"/>
  <c r="I21" i="2"/>
  <c r="F32" i="1"/>
  <c r="F20" i="1"/>
  <c r="F21" i="1" s="1"/>
  <c r="E23" i="2"/>
  <c r="E37" i="2"/>
  <c r="I32" i="2"/>
  <c r="I60" i="2"/>
  <c r="I33" i="2"/>
  <c r="E20" i="1"/>
  <c r="E21" i="1" s="1"/>
  <c r="E32" i="1"/>
  <c r="L20" i="1"/>
  <c r="N45" i="1" s="1"/>
  <c r="L32" i="1"/>
  <c r="G61" i="2"/>
  <c r="H32" i="1"/>
  <c r="H20" i="1"/>
  <c r="H21" i="1" s="1"/>
  <c r="D23" i="2"/>
  <c r="D37" i="2"/>
  <c r="K21" i="1"/>
  <c r="Q32" i="1"/>
  <c r="Q20" i="1"/>
  <c r="Q21" i="1" s="1"/>
  <c r="H22" i="2"/>
  <c r="H35" i="2" s="1"/>
  <c r="K60" i="2" l="1"/>
  <c r="K16" i="2"/>
  <c r="N48" i="1"/>
  <c r="N47" i="1"/>
  <c r="N46" i="1"/>
  <c r="N49" i="1"/>
  <c r="E38" i="2"/>
  <c r="E25" i="2"/>
  <c r="C25" i="2"/>
  <c r="C38" i="2"/>
  <c r="H61" i="2"/>
  <c r="H16" i="2"/>
  <c r="I34" i="2"/>
  <c r="J21" i="2"/>
  <c r="J60" i="2"/>
  <c r="Q45" i="1"/>
  <c r="N21" i="1"/>
  <c r="P45" i="1"/>
  <c r="D38" i="2"/>
  <c r="D25" i="2"/>
  <c r="M45" i="1"/>
  <c r="I22" i="2"/>
  <c r="I35" i="2" s="1"/>
  <c r="P21" i="1"/>
  <c r="R45" i="1"/>
  <c r="J33" i="2"/>
  <c r="J32" i="2"/>
  <c r="O45" i="1"/>
  <c r="L21" i="1"/>
  <c r="J22" i="2" l="1"/>
  <c r="J35" i="2" s="1"/>
  <c r="K21" i="2"/>
  <c r="K22" i="2" s="1"/>
  <c r="H31" i="2"/>
  <c r="K61" i="2"/>
  <c r="I61" i="2"/>
  <c r="I16" i="2"/>
  <c r="R49" i="1"/>
  <c r="R48" i="1"/>
  <c r="R47" i="1"/>
  <c r="R46" i="1"/>
  <c r="C39" i="2"/>
  <c r="C27" i="2"/>
  <c r="C28" i="2" s="1"/>
  <c r="K33" i="2"/>
  <c r="L20" i="2"/>
  <c r="E27" i="2"/>
  <c r="E39" i="2"/>
  <c r="M46" i="1"/>
  <c r="M49" i="1"/>
  <c r="M48" i="1"/>
  <c r="M47" i="1"/>
  <c r="D27" i="2"/>
  <c r="D39" i="2"/>
  <c r="F37" i="2"/>
  <c r="K32" i="2"/>
  <c r="J34" i="2"/>
  <c r="P49" i="1"/>
  <c r="P48" i="1"/>
  <c r="P47" i="1"/>
  <c r="P46" i="1"/>
  <c r="O49" i="1"/>
  <c r="O48" i="1"/>
  <c r="O47" i="1"/>
  <c r="O46" i="1"/>
  <c r="Q47" i="1"/>
  <c r="Q49" i="1"/>
  <c r="Q48" i="1"/>
  <c r="Q46" i="1"/>
  <c r="K35" i="2" l="1"/>
  <c r="E55" i="2"/>
  <c r="E54" i="2"/>
  <c r="E53" i="2"/>
  <c r="E52" i="2"/>
  <c r="E28" i="2"/>
  <c r="I31" i="2"/>
  <c r="L33" i="2"/>
  <c r="M20" i="2"/>
  <c r="L32" i="2"/>
  <c r="J61" i="2"/>
  <c r="J16" i="2"/>
  <c r="K34" i="2"/>
  <c r="L21" i="2"/>
  <c r="L22" i="2" s="1"/>
  <c r="L35" i="2" s="1"/>
  <c r="G37" i="2"/>
  <c r="H18" i="2" s="1"/>
  <c r="F38" i="2"/>
  <c r="D55" i="2"/>
  <c r="D54" i="2"/>
  <c r="D53" i="2"/>
  <c r="D52" i="2"/>
  <c r="D28" i="2"/>
  <c r="M32" i="2" l="1"/>
  <c r="M33" i="2"/>
  <c r="N20" i="2"/>
  <c r="J31" i="2"/>
  <c r="F39" i="2"/>
  <c r="F27" i="2"/>
  <c r="G38" i="2"/>
  <c r="H23" i="2"/>
  <c r="H37" i="2"/>
  <c r="I18" i="2" s="1"/>
  <c r="H17" i="2"/>
  <c r="L34" i="2"/>
  <c r="M21" i="2"/>
  <c r="M22" i="2" s="1"/>
  <c r="M35" i="2" s="1"/>
  <c r="F28" i="2" l="1"/>
  <c r="F53" i="2"/>
  <c r="F55" i="2"/>
  <c r="F52" i="2"/>
  <c r="F54" i="2"/>
  <c r="N33" i="2"/>
  <c r="O20" i="2"/>
  <c r="I23" i="2"/>
  <c r="I37" i="2"/>
  <c r="J18" i="2" s="1"/>
  <c r="I17" i="2"/>
  <c r="K31" i="2"/>
  <c r="H38" i="2"/>
  <c r="M34" i="2"/>
  <c r="N21" i="2"/>
  <c r="N32" i="2"/>
  <c r="J37" i="2" l="1"/>
  <c r="K18" i="2" s="1"/>
  <c r="J23" i="2"/>
  <c r="J17" i="2"/>
  <c r="O33" i="2"/>
  <c r="P20" i="2"/>
  <c r="O21" i="2"/>
  <c r="O22" i="2" s="1"/>
  <c r="N34" i="2"/>
  <c r="L31" i="2"/>
  <c r="N22" i="2"/>
  <c r="N35" i="2" s="1"/>
  <c r="I38" i="2"/>
  <c r="O32" i="2"/>
  <c r="O35" i="2" l="1"/>
  <c r="G39" i="2"/>
  <c r="M31" i="2"/>
  <c r="P33" i="2"/>
  <c r="Q20" i="2"/>
  <c r="O34" i="2"/>
  <c r="P21" i="2"/>
  <c r="P22" i="2" s="1"/>
  <c r="P35" i="2" s="1"/>
  <c r="P32" i="2"/>
  <c r="J38" i="2"/>
  <c r="K37" i="2"/>
  <c r="L18" i="2" s="1"/>
  <c r="K23" i="2"/>
  <c r="K17" i="2"/>
  <c r="L23" i="2" l="1"/>
  <c r="L37" i="2"/>
  <c r="M18" i="2" s="1"/>
  <c r="L17" i="2"/>
  <c r="P34" i="2"/>
  <c r="Q21" i="2"/>
  <c r="Q22" i="2" s="1"/>
  <c r="Q35" i="2" s="1"/>
  <c r="N31" i="2"/>
  <c r="Q33" i="2"/>
  <c r="R20" i="2"/>
  <c r="Q32" i="2"/>
  <c r="K38" i="2"/>
  <c r="G27" i="2"/>
  <c r="G41" i="2" l="1"/>
  <c r="R32" i="2"/>
  <c r="O31" i="2"/>
  <c r="R21" i="2"/>
  <c r="Q34" i="2"/>
  <c r="M37" i="2"/>
  <c r="N18" i="2" s="1"/>
  <c r="M23" i="2"/>
  <c r="M17" i="2"/>
  <c r="S20" i="2"/>
  <c r="R33" i="2"/>
  <c r="G28" i="2"/>
  <c r="L38" i="2"/>
  <c r="T20" i="2" l="1"/>
  <c r="S33" i="2"/>
  <c r="N37" i="2"/>
  <c r="O18" i="2" s="1"/>
  <c r="N23" i="2"/>
  <c r="N17" i="2"/>
  <c r="S32" i="2"/>
  <c r="M38" i="2"/>
  <c r="S21" i="2"/>
  <c r="R34" i="2"/>
  <c r="P31" i="2"/>
  <c r="R22" i="2"/>
  <c r="R35" i="2" s="1"/>
  <c r="H24" i="2"/>
  <c r="H25" i="2" s="1"/>
  <c r="Q31" i="2" l="1"/>
  <c r="O23" i="2"/>
  <c r="O37" i="2"/>
  <c r="P18" i="2" s="1"/>
  <c r="O17" i="2"/>
  <c r="T21" i="2"/>
  <c r="S34" i="2"/>
  <c r="S22" i="2"/>
  <c r="S35" i="2" s="1"/>
  <c r="H26" i="2"/>
  <c r="H39" i="2" s="1"/>
  <c r="T22" i="2"/>
  <c r="T32" i="2"/>
  <c r="N38" i="2"/>
  <c r="T33" i="2"/>
  <c r="U20" i="2"/>
  <c r="T35" i="2" l="1"/>
  <c r="H27" i="2"/>
  <c r="H28" i="2" s="1"/>
  <c r="U32" i="2"/>
  <c r="U21" i="2"/>
  <c r="T34" i="2"/>
  <c r="P23" i="2"/>
  <c r="P37" i="2"/>
  <c r="Q18" i="2" s="1"/>
  <c r="P17" i="2"/>
  <c r="O38" i="2"/>
  <c r="U33" i="2"/>
  <c r="R31" i="2"/>
  <c r="H41" i="2" l="1"/>
  <c r="I24" i="2" s="1"/>
  <c r="I25" i="2" s="1"/>
  <c r="P38" i="2"/>
  <c r="U34" i="2"/>
  <c r="Q23" i="2"/>
  <c r="Q37" i="2"/>
  <c r="R18" i="2" s="1"/>
  <c r="Q17" i="2"/>
  <c r="U22" i="2"/>
  <c r="U35" i="2" s="1"/>
  <c r="S31" i="2"/>
  <c r="T31" i="2" l="1"/>
  <c r="Q38" i="2"/>
  <c r="R37" i="2"/>
  <c r="S18" i="2" s="1"/>
  <c r="R23" i="2"/>
  <c r="R17" i="2"/>
  <c r="I26" i="2"/>
  <c r="I39" i="2" s="1"/>
  <c r="I27" i="2" l="1"/>
  <c r="I41" i="2" s="1"/>
  <c r="R38" i="2"/>
  <c r="S23" i="2"/>
  <c r="S37" i="2"/>
  <c r="T18" i="2" s="1"/>
  <c r="S17" i="2"/>
  <c r="U31" i="2"/>
  <c r="I28" i="2" l="1"/>
  <c r="S38" i="2"/>
  <c r="T37" i="2"/>
  <c r="U18" i="2" s="1"/>
  <c r="T23" i="2"/>
  <c r="T17" i="2"/>
  <c r="J24" i="2"/>
  <c r="J25" i="2" s="1"/>
  <c r="J26" i="2" l="1"/>
  <c r="J39" i="2" s="1"/>
  <c r="T38" i="2"/>
  <c r="U37" i="2"/>
  <c r="U23" i="2"/>
  <c r="U17" i="2"/>
  <c r="J27" i="2" l="1"/>
  <c r="J28" i="2" s="1"/>
  <c r="U38" i="2"/>
  <c r="J41" i="2" l="1"/>
  <c r="K24" i="2" s="1"/>
  <c r="K25" i="2" s="1"/>
  <c r="K26" i="2" l="1"/>
  <c r="K39" i="2" s="1"/>
  <c r="K27" i="2"/>
  <c r="K28" i="2" l="1"/>
  <c r="K41" i="2"/>
  <c r="L24" i="2" l="1"/>
  <c r="L25" i="2" s="1"/>
  <c r="L26" i="2" l="1"/>
  <c r="L39" i="2" s="1"/>
  <c r="L27" i="2" l="1"/>
  <c r="L28" i="2"/>
  <c r="L41" i="2"/>
  <c r="M24" i="2" l="1"/>
  <c r="M25" i="2" s="1"/>
  <c r="M26" i="2" l="1"/>
  <c r="M39" i="2" s="1"/>
  <c r="M27" i="2" l="1"/>
  <c r="M28" i="2"/>
  <c r="M41" i="2"/>
  <c r="N24" i="2" l="1"/>
  <c r="N25" i="2" s="1"/>
  <c r="N26" i="2" l="1"/>
  <c r="N39" i="2" s="1"/>
  <c r="N27" i="2" l="1"/>
  <c r="N28" i="2"/>
  <c r="N41" i="2"/>
  <c r="O24" i="2" l="1"/>
  <c r="O25" i="2" s="1"/>
  <c r="O26" i="2" l="1"/>
  <c r="O39" i="2" s="1"/>
  <c r="O27" i="2"/>
  <c r="O28" i="2" l="1"/>
  <c r="O41" i="2"/>
  <c r="P24" i="2" l="1"/>
  <c r="P25" i="2" s="1"/>
  <c r="P26" i="2" l="1"/>
  <c r="P39" i="2" s="1"/>
  <c r="P27" i="2" l="1"/>
  <c r="P28" i="2"/>
  <c r="P41" i="2"/>
  <c r="Q24" i="2" l="1"/>
  <c r="Q25" i="2" s="1"/>
  <c r="Q26" i="2" l="1"/>
  <c r="Q39" i="2" s="1"/>
  <c r="Q27" i="2" l="1"/>
  <c r="Q28" i="2"/>
  <c r="Q41" i="2"/>
  <c r="R24" i="2" l="1"/>
  <c r="R25" i="2" s="1"/>
  <c r="R26" i="2" l="1"/>
  <c r="R39" i="2" s="1"/>
  <c r="R27" i="2" l="1"/>
  <c r="R28" i="2"/>
  <c r="R41" i="2"/>
  <c r="S24" i="2" l="1"/>
  <c r="S25" i="2" s="1"/>
  <c r="S26" i="2" l="1"/>
  <c r="S39" i="2" s="1"/>
  <c r="S27" i="2" l="1"/>
  <c r="S28" i="2"/>
  <c r="S41" i="2"/>
  <c r="T24" i="2" l="1"/>
  <c r="T25" i="2" s="1"/>
  <c r="T26" i="2" l="1"/>
  <c r="T39" i="2" s="1"/>
  <c r="T27" i="2" l="1"/>
  <c r="T28" i="2" s="1"/>
  <c r="T41" i="2"/>
  <c r="U24" i="2" l="1"/>
  <c r="U25" i="2" s="1"/>
  <c r="U26" i="2" l="1"/>
  <c r="U39" i="2" s="1"/>
  <c r="U27" i="2" l="1"/>
  <c r="V27" i="2" s="1"/>
  <c r="U28" i="2"/>
  <c r="U41" i="2"/>
  <c r="W27" i="2" l="1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AH27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BP27" i="2" s="1"/>
  <c r="BQ27" i="2" s="1"/>
  <c r="BR27" i="2" s="1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CC27" i="2" s="1"/>
  <c r="CD27" i="2" s="1"/>
  <c r="CE27" i="2" s="1"/>
  <c r="CF27" i="2" s="1"/>
  <c r="CG27" i="2" s="1"/>
  <c r="CH27" i="2" s="1"/>
  <c r="CI27" i="2" s="1"/>
  <c r="CJ27" i="2" s="1"/>
  <c r="CK27" i="2" s="1"/>
  <c r="CL27" i="2" s="1"/>
  <c r="CM27" i="2" s="1"/>
  <c r="CN27" i="2" s="1"/>
  <c r="CO27" i="2" s="1"/>
  <c r="CP27" i="2" s="1"/>
  <c r="CQ27" i="2" s="1"/>
  <c r="CR27" i="2" s="1"/>
  <c r="CS27" i="2" s="1"/>
  <c r="CT27" i="2" s="1"/>
  <c r="CU27" i="2" s="1"/>
  <c r="CV27" i="2" s="1"/>
  <c r="CW27" i="2" s="1"/>
  <c r="CX27" i="2" s="1"/>
  <c r="CY27" i="2" s="1"/>
  <c r="CZ27" i="2" s="1"/>
  <c r="DA27" i="2" s="1"/>
  <c r="DB27" i="2" s="1"/>
  <c r="DC27" i="2" s="1"/>
  <c r="DD27" i="2" s="1"/>
  <c r="DE27" i="2" s="1"/>
  <c r="DF27" i="2" s="1"/>
  <c r="DG27" i="2" s="1"/>
  <c r="DH27" i="2" s="1"/>
  <c r="DI27" i="2" s="1"/>
  <c r="DJ27" i="2" s="1"/>
  <c r="DK27" i="2" s="1"/>
  <c r="DL27" i="2" s="1"/>
  <c r="DM27" i="2" s="1"/>
  <c r="DN27" i="2" s="1"/>
  <c r="DO27" i="2" s="1"/>
  <c r="DP27" i="2" s="1"/>
  <c r="DQ27" i="2" s="1"/>
  <c r="DR27" i="2" s="1"/>
  <c r="DS27" i="2" s="1"/>
  <c r="DT27" i="2" s="1"/>
  <c r="DU27" i="2" s="1"/>
  <c r="DV27" i="2" s="1"/>
  <c r="DW27" i="2" s="1"/>
  <c r="DX27" i="2" s="1"/>
  <c r="DY27" i="2" s="1"/>
  <c r="DZ27" i="2" s="1"/>
  <c r="EA27" i="2" s="1"/>
  <c r="EB27" i="2" s="1"/>
  <c r="EC27" i="2" s="1"/>
  <c r="ED27" i="2" s="1"/>
  <c r="EE27" i="2" s="1"/>
  <c r="EF27" i="2" s="1"/>
  <c r="EG27" i="2" s="1"/>
  <c r="EH27" i="2" s="1"/>
  <c r="EI27" i="2" s="1"/>
  <c r="EJ27" i="2" s="1"/>
  <c r="EK27" i="2" s="1"/>
  <c r="EL27" i="2" s="1"/>
  <c r="EM27" i="2" s="1"/>
  <c r="EN27" i="2" s="1"/>
  <c r="EO27" i="2" s="1"/>
  <c r="EP27" i="2" s="1"/>
  <c r="EQ27" i="2" s="1"/>
  <c r="ER27" i="2" s="1"/>
  <c r="ES27" i="2" s="1"/>
  <c r="ET27" i="2" s="1"/>
  <c r="EU27" i="2" s="1"/>
  <c r="EV27" i="2" s="1"/>
  <c r="EW27" i="2" s="1"/>
  <c r="EX27" i="2" s="1"/>
  <c r="EY27" i="2" s="1"/>
  <c r="EZ27" i="2" s="1"/>
  <c r="FA27" i="2" s="1"/>
  <c r="FB27" i="2" s="1"/>
  <c r="FC27" i="2" s="1"/>
  <c r="FD27" i="2" s="1"/>
  <c r="F5" i="2" l="1"/>
  <c r="F6" i="2" s="1"/>
  <c r="F7" i="2" s="1"/>
  <c r="G7" i="2" s="1"/>
</calcChain>
</file>

<file path=xl/sharedStrings.xml><?xml version="1.0" encoding="utf-8"?>
<sst xmlns="http://schemas.openxmlformats.org/spreadsheetml/2006/main" count="157" uniqueCount="110">
  <si>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</si>
  <si>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</si>
  <si>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</si>
  <si>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</si>
  <si>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</si>
  <si>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</si>
  <si>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</si>
  <si>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</si>
  <si>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</si>
  <si>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</si>
  <si>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</si>
  <si>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</si>
  <si>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</si>
  <si>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</si>
  <si>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</si>
  <si>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</si>
  <si>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</si>
  <si>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</si>
  <si>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</si>
  <si>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</si>
  <si>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</si>
  <si>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</si>
  <si>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Q116</t>
  </si>
  <si>
    <t>Q216</t>
  </si>
  <si>
    <t>Q316</t>
  </si>
  <si>
    <t>Q416</t>
  </si>
  <si>
    <t>Net Cash</t>
  </si>
  <si>
    <t>Cash</t>
  </si>
  <si>
    <t>Debt</t>
  </si>
  <si>
    <t>31/12/2017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</si>
  <si>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</si>
  <si>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</si>
  <si>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</si>
  <si>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</si>
  <si>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</si>
  <si>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</si>
  <si>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</si>
  <si>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</si>
  <si>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</si>
  <si>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31/3/2018</t>
  </si>
  <si>
    <t>30/6/2018</t>
  </si>
  <si>
    <t>30/9/2018</t>
  </si>
  <si>
    <t>31/12/2018</t>
  </si>
  <si>
    <t>Q115</t>
  </si>
  <si>
    <t>Q215</t>
  </si>
  <si>
    <t>Q315</t>
  </si>
  <si>
    <t>Q415</t>
  </si>
  <si>
    <t>R&amp;D y/y</t>
  </si>
  <si>
    <t>S&amp;M y/y</t>
  </si>
  <si>
    <t>G&amp;A y/y</t>
  </si>
  <si>
    <t>30/9/2017</t>
  </si>
  <si>
    <t>30/9/2016</t>
  </si>
  <si>
    <t>30/6/2017</t>
  </si>
  <si>
    <t>30/6/2016</t>
  </si>
  <si>
    <t>31/3/2017</t>
  </si>
  <si>
    <t>31/3/2016</t>
  </si>
  <si>
    <t>31/12/2016</t>
  </si>
  <si>
    <t>30/9/2015</t>
  </si>
  <si>
    <t>30/6/2015</t>
  </si>
  <si>
    <t>31/3/2015</t>
  </si>
  <si>
    <t>31/12/2015</t>
  </si>
  <si>
    <t>Weibo Corporation (WB)</t>
  </si>
  <si>
    <t>Advertising and marketing</t>
  </si>
  <si>
    <t>Other</t>
  </si>
  <si>
    <t>DAU</t>
  </si>
  <si>
    <t>MAU</t>
  </si>
  <si>
    <t>DAU y/y</t>
  </si>
  <si>
    <t>MAU y/y</t>
  </si>
  <si>
    <t>Investor Relations</t>
  </si>
  <si>
    <t>CEO</t>
  </si>
  <si>
    <t>Founder</t>
  </si>
  <si>
    <t>Gaofei Wang</t>
  </si>
  <si>
    <t>EDGAR</t>
  </si>
  <si>
    <t>Price</t>
  </si>
  <si>
    <t>Expected return on invested capital (innovation grade)</t>
  </si>
  <si>
    <t>Market Cap</t>
  </si>
  <si>
    <t>EV</t>
  </si>
  <si>
    <t>per share</t>
  </si>
  <si>
    <t>ARPU</t>
  </si>
  <si>
    <t>Intangibles</t>
  </si>
  <si>
    <t>Total assets</t>
  </si>
  <si>
    <t>Total liabilities</t>
  </si>
  <si>
    <t>TWC</t>
  </si>
  <si>
    <t>Equity</t>
  </si>
  <si>
    <t>ROE</t>
  </si>
  <si>
    <t>ROA</t>
  </si>
  <si>
    <t>ROTB</t>
  </si>
  <si>
    <t>ROTWC</t>
  </si>
  <si>
    <t>ARPU y/y</t>
  </si>
  <si>
    <t>Advertising and marketing y/y</t>
  </si>
  <si>
    <t>Other y/y</t>
  </si>
  <si>
    <t>NI 12M</t>
  </si>
  <si>
    <t>Q119</t>
  </si>
  <si>
    <t>Q219</t>
  </si>
  <si>
    <t>Q319</t>
  </si>
  <si>
    <t>Q419</t>
  </si>
  <si>
    <t>31/3/2019</t>
  </si>
  <si>
    <t>30/6/2019</t>
  </si>
  <si>
    <t>30/9/2019</t>
  </si>
  <si>
    <t>31/12/2019</t>
  </si>
  <si>
    <t>Advertising</t>
  </si>
  <si>
    <t>OE y/y</t>
  </si>
  <si>
    <t>Risk-free rate + market premium (opportunity cost)</t>
  </si>
  <si>
    <t>http://www.worldgovernmentbonds.com/country/united-states/</t>
  </si>
  <si>
    <t>Net present value on future net income (terminal value)</t>
  </si>
  <si>
    <t>Q120</t>
  </si>
  <si>
    <t>Q220</t>
  </si>
  <si>
    <t>Q320</t>
  </si>
  <si>
    <t>Q420</t>
  </si>
  <si>
    <t>Advertising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</si>
</sst>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10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8">
    <xf numFmtId="0" fontId="0" fillId="0" borderId="0" xfId="0"/>
    <xf numFmtId="0" fontId="5" fillId="0" borderId="0" xfId="0" applyFont="1"/>
    <xf numFmtId="0" fontId="6" fillId="0" borderId="0" xfId="0" applyFont="1"/>
    <xf numFmtId="0" fontId="5" fillId="0" borderId="0" xfId="0" applyFont="1" applyBorder="1"/>
    <xf numFmtId="10" fontId="5" fillId="0" borderId="0" xfId="0" applyNumberFormat="1" applyFont="1"/>
    <xf numFmtId="0" fontId="7" fillId="0" borderId="0" xfId="4" applyFont="1"/>
    <xf numFmtId="164" fontId="5" fillId="2" borderId="0" xfId="0" applyNumberFormat="1" applyFont="1" applyFill="1"/>
    <xf numFmtId="3" fontId="5" fillId="0" borderId="0" xfId="0" applyNumberFormat="1" applyFont="1"/>
    <xf numFmtId="0" fontId="6" fillId="0" borderId="0" xfId="0" applyFont="1" applyBorder="1"/>
    <xf numFmtId="3" fontId="5" fillId="0" borderId="0" xfId="0" applyNumberFormat="1" applyFont="1" applyBorder="1"/>
    <xf numFmtId="3" fontId="6" fillId="0" borderId="0" xfId="0" applyNumberFormat="1" applyFont="1" applyBorder="1"/>
    <xf numFmtId="3" fontId="5" fillId="2" borderId="0" xfId="0" applyNumberFormat="1" applyFont="1" applyFill="1" applyBorder="1"/>
    <xf numFmtId="2" fontId="5" fillId="0" borderId="0" xfId="0" applyNumberFormat="1" applyFont="1" applyBorder="1"/>
    <xf numFmtId="9" fontId="6" fillId="0" borderId="0" xfId="1" applyFont="1" applyBorder="1"/>
    <xf numFmtId="9" fontId="5" fillId="0" borderId="0" xfId="1" applyFont="1" applyBorder="1"/>
    <xf numFmtId="9" fontId="5" fillId="0" borderId="0" xfId="0" applyNumberFormat="1" applyFont="1" applyBorder="1"/>
    <xf numFmtId="4" fontId="5" fillId="0" borderId="0" xfId="0" applyNumberFormat="1" applyFont="1" applyBorder="1"/>
    <xf numFmtId="0" fontId="8" fillId="0" borderId="0" xfId="0" applyFont="1"/>
    <xf numFmtId="9" fontId="5" fillId="0" borderId="0" xfId="0" applyNumberFormat="1" applyFont="1"/>
    <xf numFmtId="164" fontId="6" fillId="2" borderId="0" xfId="0" applyNumberFormat="1" applyFont="1" applyFill="1"/>
    <xf numFmtId="4" fontId="5" fillId="2" borderId="0" xfId="0" applyNumberFormat="1" applyFont="1" applyFill="1" applyBorder="1"/>
    <xf numFmtId="0" fontId="8" fillId="0" borderId="0" xfId="0" applyFont="1" applyBorder="1"/>
    <xf numFmtId="4" fontId="5" fillId="2" borderId="0" xfId="0" applyNumberFormat="1" applyFont="1" applyFill="1"/>
    <xf numFmtId="3" fontId="6" fillId="2" borderId="0" xfId="0" applyNumberFormat="1" applyFont="1" applyFill="1" applyBorder="1"/>
    <xf numFmtId="2" fontId="5" fillId="2" borderId="0" xfId="0" applyNumberFormat="1" applyFont="1" applyFill="1" applyBorder="1"/>
    <xf numFmtId="0" fontId="5" fillId="0" borderId="0" xfId="0" applyFont="1" applyFill="1" applyBorder="1"/>
    <xf numFmtId="0" fontId="5" fillId="0" borderId="0" xfId="0" applyFont="1" applyAlignment="1">
      <alignment horizontal="right"/>
    </xf>
    <xf numFmtId="3" fontId="5" fillId="0" borderId="0" xfId="0" applyNumberFormat="1" applyFont="1" applyAlignment="1">
      <alignment horizontal="right"/>
    </xf>
    <xf numFmtId="0" fontId="5" fillId="0" borderId="1" xfId="0" applyFont="1" applyBorder="1"/>
    <xf numFmtId="3" fontId="5" fillId="0" borderId="1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5" fillId="0" borderId="0" xfId="0" applyNumberFormat="1" applyFont="1" applyBorder="1" applyAlignment="1">
      <alignment horizontal="right"/>
    </xf>
    <xf numFmtId="9" fontId="5" fillId="0" borderId="1" xfId="0" applyNumberFormat="1" applyFont="1" applyBorder="1" applyAlignment="1">
      <alignment horizontal="right"/>
    </xf>
    <xf numFmtId="9" fontId="5" fillId="0" borderId="0" xfId="0" applyNumberFormat="1" applyFont="1" applyAlignment="1">
      <alignment horizontal="right"/>
    </xf>
    <xf numFmtId="9" fontId="5" fillId="0" borderId="0" xfId="1" applyFont="1" applyBorder="1" applyAlignment="1">
      <alignment horizontal="right"/>
    </xf>
    <xf numFmtId="9" fontId="5" fillId="0" borderId="1" xfId="1" applyFont="1" applyBorder="1" applyAlignment="1">
      <alignment horizontal="right"/>
    </xf>
    <xf numFmtId="9" fontId="5" fillId="0" borderId="0" xfId="1" applyFont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3" fontId="5" fillId="2" borderId="0" xfId="0" applyNumberFormat="1" applyFont="1" applyFill="1" applyAlignment="1">
      <alignment horizontal="right"/>
    </xf>
    <xf numFmtId="4" fontId="5" fillId="2" borderId="0" xfId="0" applyNumberFormat="1" applyFont="1" applyFill="1" applyAlignment="1">
      <alignment horizontal="right"/>
    </xf>
    <xf numFmtId="4" fontId="5" fillId="2" borderId="1" xfId="0" applyNumberFormat="1" applyFont="1" applyFill="1" applyBorder="1" applyAlignment="1">
      <alignment horizontal="right"/>
    </xf>
    <xf numFmtId="4" fontId="5" fillId="2" borderId="0" xfId="0" applyNumberFormat="1" applyFont="1" applyFill="1" applyBorder="1" applyAlignment="1">
      <alignment horizontal="right"/>
    </xf>
    <xf numFmtId="4" fontId="5" fillId="0" borderId="0" xfId="0" applyNumberFormat="1" applyFont="1"/>
    <xf numFmtId="0" fontId="9" fillId="0" borderId="0" xfId="0" applyFont="1"/>
    <xf numFmtId="0" fontId="8" fillId="0" borderId="0" xfId="0" applyFont="1" applyAlignment="1">
      <alignment horizontal="right"/>
    </xf>
    <xf numFmtId="0" fontId="8" fillId="0" borderId="1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9" fontId="8" fillId="0" borderId="0" xfId="1" applyNumberFormat="1" applyFont="1" applyBorder="1" applyAlignment="1">
      <alignment horizontal="right"/>
    </xf>
    <xf numFmtId="9" fontId="8" fillId="0" borderId="1" xfId="1" applyNumberFormat="1" applyFont="1" applyBorder="1" applyAlignment="1">
      <alignment horizontal="right"/>
    </xf>
    <xf numFmtId="0" fontId="7" fillId="0" borderId="0" xfId="4"/>
    <xf numFmtId="0" fontId="9" fillId="0" borderId="0" xfId="0" applyFont="1" applyBorder="1"/>
    <xf numFmtId="9" fontId="8" fillId="0" borderId="0" xfId="1" applyFont="1" applyBorder="1"/>
    <xf numFmtId="1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3" fontId="6" fillId="0" borderId="0" xfId="0" applyNumberFormat="1" applyFont="1"/>
    <xf numFmtId="14" fontId="5" fillId="0" borderId="1" xfId="0" applyNumberFormat="1" applyFont="1" applyBorder="1" applyAlignment="1">
      <alignment horizontal="right"/>
    </xf>
    <xf numFmtId="3" fontId="5" fillId="0" borderId="1" xfId="0" applyNumberFormat="1" applyFont="1" applyBorder="1"/>
    <xf numFmtId="0" fontId="0" fillId="0" borderId="1" xfId="0" applyFont="1" applyFill="1" applyBorder="1"/>
    <xf numFmtId="0" fontId="0" fillId="0" borderId="0" xfId="0" applyFont="1" applyAlignment="1">
      <alignment horizontal="left"/>
    </xf>
    <xf numFmtId="3" fontId="0" fillId="0" borderId="0" xfId="0" applyNumberFormat="1" applyFont="1" applyAlignment="1">
      <alignment horizontal="right"/>
    </xf>
    <xf numFmtId="3" fontId="0" fillId="0" borderId="1" xfId="0" applyNumberFormat="1" applyFont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0" fontId="0" fillId="0" borderId="0" xfId="0" applyFont="1" applyFill="1" applyBorder="1"/>
    <xf numFmtId="14" fontId="5" fillId="0" borderId="0" xfId="0" applyNumberFormat="1" applyFont="1" applyAlignment="1">
      <alignment horizontal="right"/>
    </xf>
    <xf numFmtId="0" fontId="8" fillId="0" borderId="1" xfId="0" applyFont="1" applyBorder="1"/>
    <xf numFmtId="9" fontId="8" fillId="0" borderId="0" xfId="0" applyNumberFormat="1" applyFont="1"/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 customBuiltin="1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8</xdr:row>
      <xdr:rowOff>12700</xdr:rowOff>
    </xdr:from>
    <xdr:to>
      <xdr:col>6</xdr:col>
      <xdr:colOff>228600</xdr:colOff>
      <xdr:row>65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6108700" y="1333500"/>
          <a:ext cx="0" cy="92456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153377</xdr:colOff>
      <xdr:row>1</xdr:row>
      <xdr:rowOff>12700</xdr:rowOff>
    </xdr:from>
    <xdr:to>
      <xdr:col>24</xdr:col>
      <xdr:colOff>153377</xdr:colOff>
      <xdr:row>59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20561300" y="178777"/>
          <a:ext cx="0" cy="9632461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orldgovernmentbonds.com/country/united-states/" TargetMode="External"/><Relationship Id="rId2" Type="http://schemas.openxmlformats.org/officeDocument/2006/relationships/hyperlink" Target="http://ir.weibo.com/" TargetMode="External"/><Relationship Id="rId1" Type="http://schemas.openxmlformats.org/officeDocument/2006/relationships/hyperlink" Target="https://www.crunchbase.com/person/gaofei-wang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ompany=weibo&amp;owner=exclude&amp;action=getcomp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64"/>
  <sheetViews>
    <sheetView tabSelected="1" zoomScale="130" zoomScaleNormal="130" workbookViewId="0">
      <pane xSplit="1" ySplit="9" topLeftCell="B11" activePane="bottomRight" state="frozen"/>
      <selection pane="topRight" activeCell="B1" sqref="B1"/>
      <selection pane="bottomLeft" activeCell="A11" sqref="A11"/>
      <selection pane="bottomRight" activeCell="H45" sqref="H45"/>
    </sheetView>
  </sheetViews>
  <sheetFormatPr baseColWidth="10" defaultRowHeight="13" x14ac:dyDescent="0.15"/>
  <cols>
    <col min="1" max="1" width="23" style="1" customWidth="1"/>
    <col min="2" max="16384" width="10.83203125" style="1"/>
  </cols>
  <sheetData>
    <row r="1" spans="1:21" x14ac:dyDescent="0.15">
      <c r="A1" s="5" t="s">
        <v>68</v>
      </c>
      <c r="B1" s="2" t="s">
        <v>61</v>
      </c>
    </row>
    <row r="2" spans="1:21" x14ac:dyDescent="0.15">
      <c r="B2" s="1" t="s">
        <v>73</v>
      </c>
      <c r="C2" s="16">
        <v>54.87</v>
      </c>
      <c r="D2" s="64">
        <v>44253</v>
      </c>
      <c r="E2" s="3" t="s">
        <v>30</v>
      </c>
      <c r="F2" s="4">
        <v>-0.02</v>
      </c>
      <c r="I2" s="7"/>
    </row>
    <row r="3" spans="1:21" x14ac:dyDescent="0.15">
      <c r="A3" s="2" t="s">
        <v>69</v>
      </c>
      <c r="B3" s="1" t="s">
        <v>17</v>
      </c>
      <c r="C3" s="9">
        <f>Reports!X22</f>
        <v>227.79300000000001</v>
      </c>
      <c r="D3" s="70" t="s">
        <v>107</v>
      </c>
      <c r="E3" s="3" t="s">
        <v>31</v>
      </c>
      <c r="F3" s="4">
        <f>2%</f>
        <v>0.02</v>
      </c>
      <c r="G3" s="17" t="s">
        <v>74</v>
      </c>
      <c r="I3" s="7"/>
    </row>
    <row r="4" spans="1:21" x14ac:dyDescent="0.15">
      <c r="A4" s="5" t="s">
        <v>71</v>
      </c>
      <c r="B4" s="1" t="s">
        <v>75</v>
      </c>
      <c r="C4" s="11">
        <f>C2*C3</f>
        <v>12499.001909999999</v>
      </c>
      <c r="D4" s="65"/>
      <c r="E4" s="3" t="s">
        <v>32</v>
      </c>
      <c r="F4" s="4">
        <f>8%</f>
        <v>0.08</v>
      </c>
      <c r="G4" s="17" t="s">
        <v>102</v>
      </c>
      <c r="I4" s="18"/>
      <c r="L4" s="61" t="s">
        <v>103</v>
      </c>
    </row>
    <row r="5" spans="1:21" x14ac:dyDescent="0.15">
      <c r="B5" s="1" t="s">
        <v>26</v>
      </c>
      <c r="C5" s="9">
        <f>Reports!X34</f>
        <v>1952</v>
      </c>
      <c r="D5" s="70" t="s">
        <v>107</v>
      </c>
      <c r="E5" s="3" t="s">
        <v>33</v>
      </c>
      <c r="F5" s="6">
        <f>NPV(F4,G27:FD27)</f>
        <v>1508.4819355240211</v>
      </c>
      <c r="G5" s="17" t="s">
        <v>104</v>
      </c>
      <c r="I5" s="18"/>
    </row>
    <row r="6" spans="1:21" x14ac:dyDescent="0.15">
      <c r="A6" s="2" t="s">
        <v>70</v>
      </c>
      <c r="B6" s="1" t="s">
        <v>76</v>
      </c>
      <c r="C6" s="11">
        <f>C4-C5</f>
        <v>10547.001909999999</v>
      </c>
      <c r="D6" s="65"/>
      <c r="E6" s="8" t="s">
        <v>34</v>
      </c>
      <c r="F6" s="19">
        <f>F5+C5</f>
        <v>3460.4819355240211</v>
      </c>
      <c r="I6" s="18"/>
    </row>
    <row r="7" spans="1:21" x14ac:dyDescent="0.15">
      <c r="B7" s="17" t="s">
        <v>77</v>
      </c>
      <c r="C7" s="20">
        <f>C6/C3</f>
        <v>46.300816574697201</v>
      </c>
      <c r="D7" s="65"/>
      <c r="E7" s="21" t="s">
        <v>77</v>
      </c>
      <c r="F7" s="22">
        <f>F6/C3</f>
        <v>15.191344490498045</v>
      </c>
      <c r="G7" s="18">
        <f>F7/C2-1</f>
        <v>-0.7231393386094761</v>
      </c>
    </row>
    <row r="9" spans="1:21" x14ac:dyDescent="0.15">
      <c r="B9" s="1">
        <v>2015</v>
      </c>
      <c r="C9" s="1">
        <v>2016</v>
      </c>
      <c r="D9" s="1">
        <v>2017</v>
      </c>
      <c r="E9" s="1">
        <f>D9+1</f>
        <v>2018</v>
      </c>
      <c r="F9" s="1">
        <f t="shared" ref="F9:U9" si="0">E9+1</f>
        <v>2019</v>
      </c>
      <c r="G9" s="1">
        <f t="shared" si="0"/>
        <v>2020</v>
      </c>
      <c r="H9" s="1">
        <f t="shared" si="0"/>
        <v>2021</v>
      </c>
      <c r="I9" s="1">
        <f t="shared" si="0"/>
        <v>2022</v>
      </c>
      <c r="J9" s="1">
        <f t="shared" si="0"/>
        <v>2023</v>
      </c>
      <c r="K9" s="1">
        <f t="shared" si="0"/>
        <v>2024</v>
      </c>
      <c r="L9" s="1">
        <f t="shared" si="0"/>
        <v>2025</v>
      </c>
      <c r="M9" s="1">
        <f t="shared" si="0"/>
        <v>2026</v>
      </c>
      <c r="N9" s="1">
        <f t="shared" si="0"/>
        <v>2027</v>
      </c>
      <c r="O9" s="1">
        <f t="shared" si="0"/>
        <v>2028</v>
      </c>
      <c r="P9" s="1">
        <f t="shared" si="0"/>
        <v>2029</v>
      </c>
      <c r="Q9" s="1">
        <f t="shared" si="0"/>
        <v>2030</v>
      </c>
      <c r="R9" s="1">
        <f t="shared" si="0"/>
        <v>2031</v>
      </c>
      <c r="S9" s="1">
        <f t="shared" si="0"/>
        <v>2032</v>
      </c>
      <c r="T9" s="1">
        <f t="shared" si="0"/>
        <v>2033</v>
      </c>
      <c r="U9" s="1">
        <f t="shared" si="0"/>
        <v>2034</v>
      </c>
    </row>
    <row r="10" spans="1:21" x14ac:dyDescent="0.15">
      <c r="A10" s="1" t="s">
        <v>62</v>
      </c>
      <c r="B10" s="9">
        <f>SUM(Reports!B3:E3)</f>
        <v>402.41499999999996</v>
      </c>
      <c r="C10" s="9">
        <f>SUM(Reports!F3:I3)</f>
        <v>570.98199999999997</v>
      </c>
      <c r="D10" s="7">
        <f>SUM(Reports!J3:M3)</f>
        <v>996.74500000000012</v>
      </c>
      <c r="E10" s="7">
        <f>SUM(Reports!N3:Q3)</f>
        <v>1499.1800000000003</v>
      </c>
      <c r="F10" s="7">
        <f>SUM(Reports!R3:U3)</f>
        <v>1530.1410000000001</v>
      </c>
      <c r="G10" s="7">
        <f>SUM(Reports!V3:Y3)</f>
        <v>1446.7980000000002</v>
      </c>
    </row>
    <row r="11" spans="1:21" x14ac:dyDescent="0.15">
      <c r="A11" s="1" t="s">
        <v>63</v>
      </c>
      <c r="B11" s="9">
        <f>SUM(Reports!B4:E4)</f>
        <v>75.476000000000013</v>
      </c>
      <c r="C11" s="9">
        <f>SUM(Reports!F4:I4)</f>
        <v>84.817999999999998</v>
      </c>
      <c r="D11" s="7">
        <f>SUM(Reports!J4:M4)</f>
        <v>153.309</v>
      </c>
      <c r="E11" s="7">
        <f>SUM(Reports!N4:Q4)</f>
        <v>219.33799999999997</v>
      </c>
      <c r="F11" s="7">
        <f>SUM(Reports!R4:U4)</f>
        <v>236.036</v>
      </c>
      <c r="G11" s="7">
        <f>SUM(Reports!V4:Y4)</f>
        <v>202.74299999999999</v>
      </c>
    </row>
    <row r="12" spans="1:21" x14ac:dyDescent="0.15">
      <c r="B12" s="9"/>
      <c r="C12" s="9"/>
      <c r="D12" s="7"/>
    </row>
    <row r="13" spans="1:21" s="7" customFormat="1" x14ac:dyDescent="0.15">
      <c r="A13" s="7" t="s">
        <v>64</v>
      </c>
      <c r="B13" s="9">
        <f>Reports!E6</f>
        <v>106</v>
      </c>
      <c r="C13" s="9">
        <f>Reports!I6</f>
        <v>139</v>
      </c>
      <c r="D13" s="7">
        <f>Reports!M6</f>
        <v>172</v>
      </c>
      <c r="E13" s="7">
        <f>Reports!Q6</f>
        <v>200</v>
      </c>
      <c r="F13" s="7">
        <f>Reports!U6</f>
        <v>222</v>
      </c>
      <c r="G13" s="7">
        <f>Reports!Y6</f>
        <v>233.10000000000002</v>
      </c>
      <c r="H13" s="7">
        <f>G13*1.05</f>
        <v>244.75500000000002</v>
      </c>
      <c r="I13" s="7">
        <f t="shared" ref="I13:K13" si="1">H13*1.05</f>
        <v>256.99275000000006</v>
      </c>
      <c r="J13" s="7">
        <f t="shared" si="1"/>
        <v>269.84238750000009</v>
      </c>
      <c r="K13" s="7">
        <f t="shared" si="1"/>
        <v>283.3345068750001</v>
      </c>
    </row>
    <row r="14" spans="1:21" s="54" customFormat="1" x14ac:dyDescent="0.15">
      <c r="A14" s="54" t="s">
        <v>78</v>
      </c>
      <c r="B14" s="20">
        <f>SUM(B10:B11)/B13</f>
        <v>4.5084056603773579</v>
      </c>
      <c r="C14" s="20">
        <f t="shared" ref="C14:G14" si="2">SUM(C10:C11)/C13</f>
        <v>4.717985611510791</v>
      </c>
      <c r="D14" s="20">
        <f t="shared" si="2"/>
        <v>6.6863604651162794</v>
      </c>
      <c r="E14" s="20">
        <f t="shared" si="2"/>
        <v>8.5925900000000013</v>
      </c>
      <c r="F14" s="20">
        <f t="shared" si="2"/>
        <v>7.9557522522522532</v>
      </c>
      <c r="G14" s="20">
        <f t="shared" si="2"/>
        <v>7.0765379665379662</v>
      </c>
      <c r="H14" s="54">
        <f t="shared" ref="H14:K14" si="3">G14*0.95</f>
        <v>6.7227110682110673</v>
      </c>
      <c r="I14" s="54">
        <f t="shared" si="3"/>
        <v>6.3865755148005139</v>
      </c>
      <c r="J14" s="54">
        <f t="shared" si="3"/>
        <v>6.0672467390604883</v>
      </c>
      <c r="K14" s="54">
        <f t="shared" si="3"/>
        <v>5.7638844021074638</v>
      </c>
    </row>
    <row r="16" spans="1:21" x14ac:dyDescent="0.15">
      <c r="A16" s="2" t="s">
        <v>4</v>
      </c>
      <c r="B16" s="23">
        <f t="shared" ref="B16:G16" si="4">B13*B14</f>
        <v>477.89099999999996</v>
      </c>
      <c r="C16" s="23">
        <f t="shared" si="4"/>
        <v>655.8</v>
      </c>
      <c r="D16" s="23">
        <f t="shared" si="4"/>
        <v>1150.0540000000001</v>
      </c>
      <c r="E16" s="23">
        <f t="shared" si="4"/>
        <v>1718.5180000000003</v>
      </c>
      <c r="F16" s="23">
        <f t="shared" si="4"/>
        <v>1766.1770000000001</v>
      </c>
      <c r="G16" s="23">
        <f t="shared" si="4"/>
        <v>1649.5410000000002</v>
      </c>
      <c r="H16" s="10">
        <f t="shared" ref="H16:I16" si="5">H13*H14</f>
        <v>1645.4171475000001</v>
      </c>
      <c r="I16" s="10">
        <f t="shared" si="5"/>
        <v>1641.3036046312502</v>
      </c>
      <c r="J16" s="10">
        <f>J13*J14</f>
        <v>1637.2003456196721</v>
      </c>
      <c r="K16" s="10">
        <f>K13*K14</f>
        <v>1633.107344755623</v>
      </c>
      <c r="L16" s="10">
        <f>K16*0.99</f>
        <v>1616.7762713080667</v>
      </c>
      <c r="M16" s="10">
        <f t="shared" ref="M16:U16" si="6">L16*0.99</f>
        <v>1600.608508594986</v>
      </c>
      <c r="N16" s="10">
        <f t="shared" si="6"/>
        <v>1584.602423509036</v>
      </c>
      <c r="O16" s="10">
        <f t="shared" si="6"/>
        <v>1568.7563992739456</v>
      </c>
      <c r="P16" s="10">
        <f t="shared" si="6"/>
        <v>1553.068835281206</v>
      </c>
      <c r="Q16" s="10">
        <f t="shared" si="6"/>
        <v>1537.5381469283939</v>
      </c>
      <c r="R16" s="10">
        <f t="shared" si="6"/>
        <v>1522.16276545911</v>
      </c>
      <c r="S16" s="10">
        <f t="shared" si="6"/>
        <v>1506.9411378045188</v>
      </c>
      <c r="T16" s="10">
        <f t="shared" si="6"/>
        <v>1491.8717264264735</v>
      </c>
      <c r="U16" s="10">
        <f t="shared" si="6"/>
        <v>1476.9530091622087</v>
      </c>
    </row>
    <row r="17" spans="1:160" x14ac:dyDescent="0.15">
      <c r="A17" s="1" t="s">
        <v>5</v>
      </c>
      <c r="B17" s="9">
        <f>SUM(Reports!B10:E10)</f>
        <v>141.96</v>
      </c>
      <c r="C17" s="9">
        <f>SUM(Reports!F10:I10)</f>
        <v>171.23099999999999</v>
      </c>
      <c r="D17" s="7">
        <f>SUM(Reports!J10:M10)</f>
        <v>231.255</v>
      </c>
      <c r="E17" s="7">
        <f>SUM(Reports!N10:Q10)</f>
        <v>277.64800000000002</v>
      </c>
      <c r="F17" s="7">
        <f>SUM(Reports!R10:U10)</f>
        <v>328.81700000000001</v>
      </c>
      <c r="G17" s="7">
        <f>SUM(Reports!V10:Y10)</f>
        <v>293.18685327619113</v>
      </c>
      <c r="H17" s="9">
        <f t="shared" ref="G17:H17" si="7">H16-H18</f>
        <v>292.45388614300077</v>
      </c>
      <c r="I17" s="9">
        <f t="shared" ref="I17:U17" si="8">I16-I18</f>
        <v>291.72275142764329</v>
      </c>
      <c r="J17" s="9">
        <f t="shared" si="8"/>
        <v>290.99344454907418</v>
      </c>
      <c r="K17" s="9">
        <f t="shared" si="8"/>
        <v>290.26596093770149</v>
      </c>
      <c r="L17" s="9">
        <f t="shared" si="8"/>
        <v>287.3633013283245</v>
      </c>
      <c r="M17" s="9">
        <f t="shared" si="8"/>
        <v>284.48966831504117</v>
      </c>
      <c r="N17" s="9">
        <f t="shared" si="8"/>
        <v>281.64477163189076</v>
      </c>
      <c r="O17" s="9">
        <f t="shared" si="8"/>
        <v>278.8283239155719</v>
      </c>
      <c r="P17" s="9">
        <f t="shared" si="8"/>
        <v>276.04004067641608</v>
      </c>
      <c r="Q17" s="9">
        <f t="shared" si="8"/>
        <v>273.27964026965196</v>
      </c>
      <c r="R17" s="9">
        <f t="shared" si="8"/>
        <v>270.54684386695544</v>
      </c>
      <c r="S17" s="9">
        <f t="shared" si="8"/>
        <v>267.8413754282858</v>
      </c>
      <c r="T17" s="9">
        <f t="shared" si="8"/>
        <v>265.1629616740031</v>
      </c>
      <c r="U17" s="9">
        <f t="shared" si="8"/>
        <v>262.51133205726319</v>
      </c>
    </row>
    <row r="18" spans="1:160" x14ac:dyDescent="0.15">
      <c r="A18" s="1" t="s">
        <v>6</v>
      </c>
      <c r="B18" s="11">
        <f>B16-B17</f>
        <v>335.93099999999993</v>
      </c>
      <c r="C18" s="11">
        <f>C16-C17</f>
        <v>484.56899999999996</v>
      </c>
      <c r="D18" s="11">
        <f>D16-D17</f>
        <v>918.79900000000009</v>
      </c>
      <c r="E18" s="11">
        <f>E16-E17</f>
        <v>1440.8700000000003</v>
      </c>
      <c r="F18" s="11">
        <f>F16-F17</f>
        <v>1437.3600000000001</v>
      </c>
      <c r="G18" s="11">
        <f>G16-G17</f>
        <v>1356.354146723809</v>
      </c>
      <c r="H18" s="9">
        <f t="shared" ref="G18:H18" si="9">H16*G37</f>
        <v>1352.9632613569993</v>
      </c>
      <c r="I18" s="9">
        <f t="shared" ref="I18:U18" si="10">I16*H37</f>
        <v>1349.5808532036069</v>
      </c>
      <c r="J18" s="9">
        <f t="shared" si="10"/>
        <v>1346.206901070598</v>
      </c>
      <c r="K18" s="9">
        <f t="shared" si="10"/>
        <v>1342.8413838179215</v>
      </c>
      <c r="L18" s="9">
        <f t="shared" si="10"/>
        <v>1329.4129699797422</v>
      </c>
      <c r="M18" s="9">
        <f t="shared" si="10"/>
        <v>1316.1188402799448</v>
      </c>
      <c r="N18" s="9">
        <f t="shared" si="10"/>
        <v>1302.9576518771453</v>
      </c>
      <c r="O18" s="9">
        <f t="shared" si="10"/>
        <v>1289.9280753583737</v>
      </c>
      <c r="P18" s="9">
        <f t="shared" si="10"/>
        <v>1277.0287946047899</v>
      </c>
      <c r="Q18" s="9">
        <f t="shared" si="10"/>
        <v>1264.2585066587419</v>
      </c>
      <c r="R18" s="9">
        <f t="shared" si="10"/>
        <v>1251.6159215921546</v>
      </c>
      <c r="S18" s="9">
        <f t="shared" si="10"/>
        <v>1239.099762376233</v>
      </c>
      <c r="T18" s="9">
        <f t="shared" si="10"/>
        <v>1226.7087647524704</v>
      </c>
      <c r="U18" s="9">
        <f t="shared" si="10"/>
        <v>1214.4416771049455</v>
      </c>
    </row>
    <row r="19" spans="1:160" x14ac:dyDescent="0.15">
      <c r="A19" s="1" t="s">
        <v>7</v>
      </c>
      <c r="B19" s="9">
        <f>SUM(Reports!B12:E12)</f>
        <v>143.44400000000002</v>
      </c>
      <c r="C19" s="9">
        <f>SUM(Reports!F12:I12)</f>
        <v>154.08799999999999</v>
      </c>
      <c r="D19" s="7">
        <f>SUM(Reports!J12:M12)</f>
        <v>193.393</v>
      </c>
      <c r="E19" s="7">
        <f>SUM(Reports!N12:Q12)</f>
        <v>249.87299999999999</v>
      </c>
      <c r="F19" s="7">
        <f>SUM(Reports!R12:U12)</f>
        <v>283.85300000000001</v>
      </c>
      <c r="G19" s="7">
        <f>SUM(Reports!V12:Y12)</f>
        <v>324</v>
      </c>
      <c r="H19" s="9">
        <f t="shared" ref="H19:K19" si="11">G19*1.1</f>
        <v>356.40000000000003</v>
      </c>
      <c r="I19" s="9">
        <f t="shared" si="11"/>
        <v>392.04000000000008</v>
      </c>
      <c r="J19" s="9">
        <f t="shared" si="11"/>
        <v>431.24400000000014</v>
      </c>
      <c r="K19" s="9">
        <f t="shared" si="11"/>
        <v>474.36840000000018</v>
      </c>
      <c r="L19" s="9">
        <f>K19*1.05</f>
        <v>498.08682000000022</v>
      </c>
      <c r="M19" s="9">
        <f t="shared" ref="M19:U19" si="12">L19*1.05</f>
        <v>522.99116100000026</v>
      </c>
      <c r="N19" s="9">
        <f t="shared" si="12"/>
        <v>549.14071905000026</v>
      </c>
      <c r="O19" s="9">
        <f t="shared" si="12"/>
        <v>576.59775500250032</v>
      </c>
      <c r="P19" s="9">
        <f t="shared" si="12"/>
        <v>605.42764275262539</v>
      </c>
      <c r="Q19" s="9">
        <f t="shared" si="12"/>
        <v>635.69902489025674</v>
      </c>
      <c r="R19" s="9">
        <f t="shared" si="12"/>
        <v>667.48397613476959</v>
      </c>
      <c r="S19" s="9">
        <f t="shared" si="12"/>
        <v>700.85817494150808</v>
      </c>
      <c r="T19" s="9">
        <f t="shared" si="12"/>
        <v>735.90108368858353</v>
      </c>
      <c r="U19" s="9">
        <f t="shared" si="12"/>
        <v>772.69613787301273</v>
      </c>
    </row>
    <row r="20" spans="1:160" x14ac:dyDescent="0.15">
      <c r="A20" s="1" t="s">
        <v>8</v>
      </c>
      <c r="B20" s="9">
        <f>SUM(Reports!B13:E13)</f>
        <v>126.05900000000001</v>
      </c>
      <c r="C20" s="9">
        <f>SUM(Reports!F13:I13)</f>
        <v>148.28299999999999</v>
      </c>
      <c r="D20" s="7">
        <f>SUM(Reports!J13:M13)</f>
        <v>275.53700000000003</v>
      </c>
      <c r="E20" s="7">
        <f>SUM(Reports!N13:Q13)</f>
        <v>527.42399999999998</v>
      </c>
      <c r="F20" s="7">
        <f>SUM(Reports!R13:U13)</f>
        <v>464.15100000000001</v>
      </c>
      <c r="G20" s="7">
        <f>SUM(Reports!V13:Y13)</f>
        <v>426.7</v>
      </c>
      <c r="H20" s="9">
        <f>G20*0.95</f>
        <v>405.36499999999995</v>
      </c>
      <c r="I20" s="9">
        <f t="shared" ref="I20:K20" si="13">H20*0.95</f>
        <v>385.09674999999993</v>
      </c>
      <c r="J20" s="9">
        <f t="shared" si="13"/>
        <v>365.84191249999992</v>
      </c>
      <c r="K20" s="9">
        <f t="shared" si="13"/>
        <v>347.54981687499992</v>
      </c>
      <c r="L20" s="9">
        <f t="shared" ref="L20:U20" si="14">K20*0.98</f>
        <v>340.59882053749993</v>
      </c>
      <c r="M20" s="9">
        <f t="shared" si="14"/>
        <v>333.78684412674994</v>
      </c>
      <c r="N20" s="9">
        <f t="shared" si="14"/>
        <v>327.11110724421496</v>
      </c>
      <c r="O20" s="9">
        <f t="shared" si="14"/>
        <v>320.56888509933066</v>
      </c>
      <c r="P20" s="9">
        <f t="shared" si="14"/>
        <v>314.15750739734403</v>
      </c>
      <c r="Q20" s="9">
        <f t="shared" si="14"/>
        <v>307.87435724939712</v>
      </c>
      <c r="R20" s="9">
        <f t="shared" si="14"/>
        <v>301.71687010440917</v>
      </c>
      <c r="S20" s="9">
        <f t="shared" si="14"/>
        <v>295.682532702321</v>
      </c>
      <c r="T20" s="9">
        <f t="shared" si="14"/>
        <v>289.76888204827458</v>
      </c>
      <c r="U20" s="9">
        <f t="shared" si="14"/>
        <v>283.97350440730906</v>
      </c>
    </row>
    <row r="21" spans="1:160" x14ac:dyDescent="0.15">
      <c r="A21" s="1" t="s">
        <v>9</v>
      </c>
      <c r="B21" s="9">
        <f>SUM(Reports!B14:E14)</f>
        <v>28.925000000000001</v>
      </c>
      <c r="C21" s="9">
        <f>SUM(Reports!F14:I14)</f>
        <v>41.218000000000004</v>
      </c>
      <c r="D21" s="7">
        <f>SUM(Reports!J14:M14)</f>
        <v>42.314999999999998</v>
      </c>
      <c r="E21" s="7">
        <f>SUM(Reports!N14:Q14)</f>
        <v>54.309000000000005</v>
      </c>
      <c r="F21" s="7">
        <f>SUM(Reports!R14:U14)</f>
        <v>90.287000000000006</v>
      </c>
      <c r="G21" s="7">
        <f>SUM(Reports!V14:Y14)</f>
        <v>126.19999999999999</v>
      </c>
      <c r="H21" s="9">
        <f t="shared" ref="G21:K21" si="15">G21*1.3</f>
        <v>164.06</v>
      </c>
      <c r="I21" s="9">
        <f t="shared" si="15"/>
        <v>213.27800000000002</v>
      </c>
      <c r="J21" s="9">
        <f t="shared" si="15"/>
        <v>277.26140000000004</v>
      </c>
      <c r="K21" s="9">
        <f t="shared" si="15"/>
        <v>360.43982000000005</v>
      </c>
      <c r="L21" s="9">
        <f t="shared" ref="L21:U21" si="16">K21*0.98</f>
        <v>353.23102360000007</v>
      </c>
      <c r="M21" s="9">
        <f t="shared" si="16"/>
        <v>346.16640312800007</v>
      </c>
      <c r="N21" s="9">
        <f t="shared" si="16"/>
        <v>339.24307506544005</v>
      </c>
      <c r="O21" s="9">
        <f t="shared" si="16"/>
        <v>332.45821356413126</v>
      </c>
      <c r="P21" s="9">
        <f t="shared" si="16"/>
        <v>325.80904929284861</v>
      </c>
      <c r="Q21" s="9">
        <f t="shared" si="16"/>
        <v>319.29286830699164</v>
      </c>
      <c r="R21" s="9">
        <f t="shared" si="16"/>
        <v>312.90701094085182</v>
      </c>
      <c r="S21" s="9">
        <f t="shared" si="16"/>
        <v>306.64887072203476</v>
      </c>
      <c r="T21" s="9">
        <f t="shared" si="16"/>
        <v>300.51589330759407</v>
      </c>
      <c r="U21" s="9">
        <f t="shared" si="16"/>
        <v>294.5055754414422</v>
      </c>
    </row>
    <row r="22" spans="1:160" x14ac:dyDescent="0.15">
      <c r="A22" s="1" t="s">
        <v>10</v>
      </c>
      <c r="B22" s="11">
        <f>SUM(B19:B21)</f>
        <v>298.42800000000005</v>
      </c>
      <c r="C22" s="11">
        <f>SUM(C19:C21)</f>
        <v>343.589</v>
      </c>
      <c r="D22" s="11">
        <f>SUM(D19:D21)</f>
        <v>511.24500000000006</v>
      </c>
      <c r="E22" s="11">
        <f>SUM(E19:E21)</f>
        <v>831.60599999999999</v>
      </c>
      <c r="F22" s="11">
        <f>SUM(F19:F21)</f>
        <v>838.29100000000005</v>
      </c>
      <c r="G22" s="11">
        <f>SUM(G19:G21)</f>
        <v>876.90000000000009</v>
      </c>
      <c r="H22" s="9">
        <f t="shared" ref="G22:H22" si="17">SUM(H19:H21)</f>
        <v>925.82500000000005</v>
      </c>
      <c r="I22" s="9">
        <f t="shared" ref="I22:U22" si="18">SUM(I19:I21)</f>
        <v>990.41475000000003</v>
      </c>
      <c r="J22" s="9">
        <f t="shared" si="18"/>
        <v>1074.3473125</v>
      </c>
      <c r="K22" s="9">
        <f t="shared" si="18"/>
        <v>1182.3580368750002</v>
      </c>
      <c r="L22" s="9">
        <f t="shared" si="18"/>
        <v>1191.9166641375002</v>
      </c>
      <c r="M22" s="9">
        <f t="shared" si="18"/>
        <v>1202.9444082547502</v>
      </c>
      <c r="N22" s="9">
        <f t="shared" si="18"/>
        <v>1215.4949013596552</v>
      </c>
      <c r="O22" s="9">
        <f t="shared" si="18"/>
        <v>1229.6248536659623</v>
      </c>
      <c r="P22" s="9">
        <f t="shared" si="18"/>
        <v>1245.394199442818</v>
      </c>
      <c r="Q22" s="9">
        <f t="shared" si="18"/>
        <v>1262.8662504466456</v>
      </c>
      <c r="R22" s="9">
        <f t="shared" si="18"/>
        <v>1282.1078571800306</v>
      </c>
      <c r="S22" s="9">
        <f t="shared" si="18"/>
        <v>1303.1895783658638</v>
      </c>
      <c r="T22" s="9">
        <f t="shared" si="18"/>
        <v>1326.1858590444522</v>
      </c>
      <c r="U22" s="9">
        <f t="shared" si="18"/>
        <v>1351.1752177217641</v>
      </c>
    </row>
    <row r="23" spans="1:160" x14ac:dyDescent="0.15">
      <c r="A23" s="1" t="s">
        <v>11</v>
      </c>
      <c r="B23" s="11">
        <f>B18-B22</f>
        <v>37.502999999999872</v>
      </c>
      <c r="C23" s="11">
        <f>C18-C22</f>
        <v>140.97999999999996</v>
      </c>
      <c r="D23" s="11">
        <f>D18-D22</f>
        <v>407.55400000000003</v>
      </c>
      <c r="E23" s="11">
        <f>E18-E22</f>
        <v>609.26400000000035</v>
      </c>
      <c r="F23" s="11">
        <f>F18-F22</f>
        <v>599.06900000000007</v>
      </c>
      <c r="G23" s="11">
        <f>G18-G22</f>
        <v>479.45414672380889</v>
      </c>
      <c r="H23" s="9">
        <f t="shared" ref="G23:H23" si="19">H18-H22</f>
        <v>427.13826135699924</v>
      </c>
      <c r="I23" s="9">
        <f t="shared" ref="I23:U23" si="20">I18-I22</f>
        <v>359.16610320360689</v>
      </c>
      <c r="J23" s="9">
        <f t="shared" si="20"/>
        <v>271.85958857059791</v>
      </c>
      <c r="K23" s="9">
        <f t="shared" si="20"/>
        <v>160.48334694292134</v>
      </c>
      <c r="L23" s="9">
        <f t="shared" si="20"/>
        <v>137.49630584224201</v>
      </c>
      <c r="M23" s="9">
        <f t="shared" si="20"/>
        <v>113.17443202519462</v>
      </c>
      <c r="N23" s="9">
        <f t="shared" si="20"/>
        <v>87.462750517490122</v>
      </c>
      <c r="O23" s="9">
        <f t="shared" si="20"/>
        <v>60.303221692411398</v>
      </c>
      <c r="P23" s="9">
        <f t="shared" si="20"/>
        <v>31.634595161971902</v>
      </c>
      <c r="Q23" s="9">
        <f t="shared" si="20"/>
        <v>1.3922562120962994</v>
      </c>
      <c r="R23" s="9">
        <f t="shared" si="20"/>
        <v>-30.491935587876014</v>
      </c>
      <c r="S23" s="9">
        <f t="shared" si="20"/>
        <v>-64.089815989630779</v>
      </c>
      <c r="T23" s="9">
        <f t="shared" si="20"/>
        <v>-99.477094291981757</v>
      </c>
      <c r="U23" s="9">
        <f t="shared" si="20"/>
        <v>-136.73354061681857</v>
      </c>
    </row>
    <row r="24" spans="1:160" x14ac:dyDescent="0.15">
      <c r="A24" s="1" t="s">
        <v>12</v>
      </c>
      <c r="B24" s="9">
        <f>SUM(Reports!B17:E17)</f>
        <v>-0.72299999999999898</v>
      </c>
      <c r="C24" s="9">
        <f>SUM(Reports!F17:I17)</f>
        <v>-31</v>
      </c>
      <c r="D24" s="7">
        <f>SUM(Reports!J17:M17)</f>
        <v>9.5570000000000022</v>
      </c>
      <c r="E24" s="7">
        <f>SUM(Reports!N17:Q17)</f>
        <v>59.578000000000003</v>
      </c>
      <c r="F24" s="7">
        <f>SUM(Reports!R17:U17)</f>
        <v>4.578000000000003</v>
      </c>
      <c r="G24" s="7">
        <f>SUM(Reports!V17:Y17)</f>
        <v>46.144500000000001</v>
      </c>
      <c r="H24" s="9">
        <f t="shared" ref="G24:U24" si="21">G41*($F$3)</f>
        <v>42.985044514089189</v>
      </c>
      <c r="I24" s="9">
        <f t="shared" si="21"/>
        <v>50.507017408026606</v>
      </c>
      <c r="J24" s="9">
        <f t="shared" si="21"/>
        <v>57.061787337812738</v>
      </c>
      <c r="K24" s="9">
        <f t="shared" si="21"/>
        <v>62.324529352347312</v>
      </c>
      <c r="L24" s="9">
        <f t="shared" si="21"/>
        <v>65.889455373071613</v>
      </c>
      <c r="M24" s="9">
        <f t="shared" si="21"/>
        <v>69.143627552516634</v>
      </c>
      <c r="N24" s="9">
        <f t="shared" si="21"/>
        <v>72.060716505760013</v>
      </c>
      <c r="O24" s="9">
        <f t="shared" si="21"/>
        <v>74.613091978132019</v>
      </c>
      <c r="P24" s="9">
        <f t="shared" si="21"/>
        <v>76.771752996860712</v>
      </c>
      <c r="Q24" s="9">
        <f t="shared" si="21"/>
        <v>78.506254567402038</v>
      </c>
      <c r="R24" s="9">
        <f t="shared" si="21"/>
        <v>79.784630739874018</v>
      </c>
      <c r="S24" s="9">
        <f t="shared" si="21"/>
        <v>80.57331386230598</v>
      </c>
      <c r="T24" s="9">
        <f t="shared" si="21"/>
        <v>80.837049828268789</v>
      </c>
      <c r="U24" s="9">
        <f t="shared" si="21"/>
        <v>80.538809116849379</v>
      </c>
    </row>
    <row r="25" spans="1:160" x14ac:dyDescent="0.15">
      <c r="A25" s="1" t="s">
        <v>13</v>
      </c>
      <c r="B25" s="11">
        <f>SUM(Reports!B18:E18)</f>
        <v>36.780000000000015</v>
      </c>
      <c r="C25" s="11">
        <f>C23+C24</f>
        <v>109.97999999999996</v>
      </c>
      <c r="D25" s="11">
        <f>D23+D24</f>
        <v>417.11100000000005</v>
      </c>
      <c r="E25" s="11">
        <f>E23+E24</f>
        <v>668.84200000000033</v>
      </c>
      <c r="F25" s="11">
        <f>F23+F24</f>
        <v>603.64700000000005</v>
      </c>
      <c r="G25" s="11">
        <f>G23+G24</f>
        <v>525.59864672380888</v>
      </c>
      <c r="H25" s="9">
        <f t="shared" ref="G25:H25" si="22">H23+H24</f>
        <v>470.12330587108841</v>
      </c>
      <c r="I25" s="9">
        <f t="shared" ref="I25:U25" si="23">I23+I24</f>
        <v>409.67312061163352</v>
      </c>
      <c r="J25" s="9">
        <f t="shared" si="23"/>
        <v>328.92137590841065</v>
      </c>
      <c r="K25" s="9">
        <f t="shared" si="23"/>
        <v>222.80787629526867</v>
      </c>
      <c r="L25" s="9">
        <f t="shared" si="23"/>
        <v>203.38576121531361</v>
      </c>
      <c r="M25" s="9">
        <f t="shared" si="23"/>
        <v>182.31805957771127</v>
      </c>
      <c r="N25" s="9">
        <f t="shared" si="23"/>
        <v>159.52346702325013</v>
      </c>
      <c r="O25" s="9">
        <f t="shared" si="23"/>
        <v>134.91631367054342</v>
      </c>
      <c r="P25" s="9">
        <f t="shared" si="23"/>
        <v>108.40634815883261</v>
      </c>
      <c r="Q25" s="9">
        <f t="shared" si="23"/>
        <v>79.898510779498338</v>
      </c>
      <c r="R25" s="9">
        <f t="shared" si="23"/>
        <v>49.292695151998004</v>
      </c>
      <c r="S25" s="9">
        <f t="shared" si="23"/>
        <v>16.483497872675201</v>
      </c>
      <c r="T25" s="9">
        <f t="shared" si="23"/>
        <v>-18.640044463712968</v>
      </c>
      <c r="U25" s="9">
        <f t="shared" si="23"/>
        <v>-56.194731499969194</v>
      </c>
    </row>
    <row r="26" spans="1:160" x14ac:dyDescent="0.15">
      <c r="A26" s="1" t="s">
        <v>14</v>
      </c>
      <c r="B26" s="9">
        <f>SUM(Reports!B19:E19)</f>
        <v>2.6459999999999999</v>
      </c>
      <c r="C26" s="9">
        <f>SUM(Reports!F19:I19)</f>
        <v>4.3159999999999998</v>
      </c>
      <c r="D26" s="7">
        <f>SUM(Reports!J19:M19)</f>
        <v>66.746000000000009</v>
      </c>
      <c r="E26" s="7">
        <f>SUM(Reports!N19:Q19)</f>
        <v>96.221999999999994</v>
      </c>
      <c r="F26" s="7">
        <f>SUM(Reports!R19:U19)</f>
        <v>109.07300000000001</v>
      </c>
      <c r="G26" s="7">
        <f>SUM(Reports!V19:Y19)</f>
        <v>125.3464210193498</v>
      </c>
      <c r="H26" s="9">
        <f t="shared" ref="H26" si="24">H25*0.2</f>
        <v>94.024661174217684</v>
      </c>
      <c r="I26" s="9">
        <f t="shared" ref="I26:U26" si="25">I25*0.2</f>
        <v>81.93462412232671</v>
      </c>
      <c r="J26" s="9">
        <f t="shared" si="25"/>
        <v>65.784275181682133</v>
      </c>
      <c r="K26" s="9">
        <f t="shared" si="25"/>
        <v>44.56157525905374</v>
      </c>
      <c r="L26" s="9">
        <f t="shared" si="25"/>
        <v>40.677152243062721</v>
      </c>
      <c r="M26" s="9">
        <f t="shared" si="25"/>
        <v>36.463611915542252</v>
      </c>
      <c r="N26" s="9">
        <f t="shared" si="25"/>
        <v>31.904693404650029</v>
      </c>
      <c r="O26" s="9">
        <f t="shared" si="25"/>
        <v>26.983262734108685</v>
      </c>
      <c r="P26" s="9">
        <f t="shared" si="25"/>
        <v>21.681269631766526</v>
      </c>
      <c r="Q26" s="9">
        <f t="shared" si="25"/>
        <v>15.979702155899668</v>
      </c>
      <c r="R26" s="9">
        <f t="shared" si="25"/>
        <v>9.8585390303996014</v>
      </c>
      <c r="S26" s="9">
        <f t="shared" si="25"/>
        <v>3.2966995745350403</v>
      </c>
      <c r="T26" s="9">
        <f t="shared" si="25"/>
        <v>-3.7280088927425936</v>
      </c>
      <c r="U26" s="9">
        <f t="shared" si="25"/>
        <v>-11.23894629999384</v>
      </c>
    </row>
    <row r="27" spans="1:160" s="2" customFormat="1" x14ac:dyDescent="0.15">
      <c r="A27" s="2" t="s">
        <v>15</v>
      </c>
      <c r="B27" s="23">
        <f>B25-B26</f>
        <v>34.134000000000015</v>
      </c>
      <c r="C27" s="23">
        <f>C25-C26</f>
        <v>105.66399999999996</v>
      </c>
      <c r="D27" s="23">
        <f>D25-D26</f>
        <v>350.36500000000001</v>
      </c>
      <c r="E27" s="23">
        <f t="shared" ref="E27" si="26">E25-E26</f>
        <v>572.62000000000035</v>
      </c>
      <c r="F27" s="23">
        <f>F25-F26</f>
        <v>494.57400000000007</v>
      </c>
      <c r="G27" s="23">
        <f t="shared" ref="G27:H27" si="27">G25-G26</f>
        <v>400.25222570445908</v>
      </c>
      <c r="H27" s="23">
        <f t="shared" si="27"/>
        <v>376.09864469687074</v>
      </c>
      <c r="I27" s="23">
        <f t="shared" ref="I27:U27" si="28">I25-I26</f>
        <v>327.73849648930684</v>
      </c>
      <c r="J27" s="23">
        <f t="shared" si="28"/>
        <v>263.13710072672853</v>
      </c>
      <c r="K27" s="23">
        <f t="shared" si="28"/>
        <v>178.24630103621493</v>
      </c>
      <c r="L27" s="23">
        <f t="shared" si="28"/>
        <v>162.70860897225089</v>
      </c>
      <c r="M27" s="23">
        <f t="shared" si="28"/>
        <v>145.85444766216901</v>
      </c>
      <c r="N27" s="23">
        <f t="shared" si="28"/>
        <v>127.6187736186001</v>
      </c>
      <c r="O27" s="23">
        <f t="shared" si="28"/>
        <v>107.93305093643474</v>
      </c>
      <c r="P27" s="23">
        <f t="shared" si="28"/>
        <v>86.725078527066088</v>
      </c>
      <c r="Q27" s="23">
        <f t="shared" si="28"/>
        <v>63.918808623598672</v>
      </c>
      <c r="R27" s="23">
        <f t="shared" si="28"/>
        <v>39.434156121598406</v>
      </c>
      <c r="S27" s="23">
        <f t="shared" si="28"/>
        <v>13.186798298140161</v>
      </c>
      <c r="T27" s="23">
        <f t="shared" si="28"/>
        <v>-14.912035570970374</v>
      </c>
      <c r="U27" s="23">
        <f t="shared" si="28"/>
        <v>-44.955785199975352</v>
      </c>
      <c r="V27" s="23">
        <f>U27*($F$2+1)</f>
        <v>-44.056669495975846</v>
      </c>
      <c r="W27" s="23">
        <f t="shared" ref="W27:CH27" si="29">V27*($F$2+1)</f>
        <v>-43.175536106056327</v>
      </c>
      <c r="X27" s="23">
        <f t="shared" si="29"/>
        <v>-42.3120253839352</v>
      </c>
      <c r="Y27" s="23">
        <f t="shared" si="29"/>
        <v>-41.465784876256492</v>
      </c>
      <c r="Z27" s="23">
        <f t="shared" si="29"/>
        <v>-40.63646917873136</v>
      </c>
      <c r="AA27" s="23">
        <f t="shared" si="29"/>
        <v>-39.823739795156733</v>
      </c>
      <c r="AB27" s="23">
        <f t="shared" si="29"/>
        <v>-39.027264999253596</v>
      </c>
      <c r="AC27" s="23">
        <f t="shared" si="29"/>
        <v>-38.246719699268525</v>
      </c>
      <c r="AD27" s="23">
        <f t="shared" si="29"/>
        <v>-37.481785305283154</v>
      </c>
      <c r="AE27" s="23">
        <f t="shared" si="29"/>
        <v>-36.73214959917749</v>
      </c>
      <c r="AF27" s="23">
        <f t="shared" si="29"/>
        <v>-35.997506607193941</v>
      </c>
      <c r="AG27" s="23">
        <f t="shared" si="29"/>
        <v>-35.277556475050062</v>
      </c>
      <c r="AH27" s="23">
        <f t="shared" si="29"/>
        <v>-34.572005345549059</v>
      </c>
      <c r="AI27" s="23">
        <f t="shared" si="29"/>
        <v>-33.880565238638077</v>
      </c>
      <c r="AJ27" s="23">
        <f t="shared" si="29"/>
        <v>-33.202953933865317</v>
      </c>
      <c r="AK27" s="23">
        <f t="shared" si="29"/>
        <v>-32.538894855188012</v>
      </c>
      <c r="AL27" s="23">
        <f t="shared" si="29"/>
        <v>-31.88811695808425</v>
      </c>
      <c r="AM27" s="23">
        <f t="shared" si="29"/>
        <v>-31.250354618922564</v>
      </c>
      <c r="AN27" s="23">
        <f t="shared" si="29"/>
        <v>-30.625347526544111</v>
      </c>
      <c r="AO27" s="23">
        <f t="shared" si="29"/>
        <v>-30.012840576013229</v>
      </c>
      <c r="AP27" s="23">
        <f t="shared" si="29"/>
        <v>-29.412583764492965</v>
      </c>
      <c r="AQ27" s="23">
        <f t="shared" si="29"/>
        <v>-28.824332089203104</v>
      </c>
      <c r="AR27" s="23">
        <f t="shared" si="29"/>
        <v>-28.247845447419042</v>
      </c>
      <c r="AS27" s="23">
        <f t="shared" si="29"/>
        <v>-27.68288853847066</v>
      </c>
      <c r="AT27" s="23">
        <f t="shared" si="29"/>
        <v>-27.129230767701248</v>
      </c>
      <c r="AU27" s="23">
        <f t="shared" si="29"/>
        <v>-26.586646152347221</v>
      </c>
      <c r="AV27" s="23">
        <f t="shared" si="29"/>
        <v>-26.054913229300276</v>
      </c>
      <c r="AW27" s="23">
        <f t="shared" si="29"/>
        <v>-25.533814964714271</v>
      </c>
      <c r="AX27" s="23">
        <f t="shared" si="29"/>
        <v>-25.023138665419985</v>
      </c>
      <c r="AY27" s="23">
        <f t="shared" si="29"/>
        <v>-24.522675892111586</v>
      </c>
      <c r="AZ27" s="23">
        <f t="shared" si="29"/>
        <v>-24.032222374269352</v>
      </c>
      <c r="BA27" s="23">
        <f t="shared" si="29"/>
        <v>-23.551577926783963</v>
      </c>
      <c r="BB27" s="23">
        <f t="shared" si="29"/>
        <v>-23.080546368248285</v>
      </c>
      <c r="BC27" s="23">
        <f t="shared" si="29"/>
        <v>-22.61893544088332</v>
      </c>
      <c r="BD27" s="23">
        <f t="shared" si="29"/>
        <v>-22.166556732065654</v>
      </c>
      <c r="BE27" s="23">
        <f t="shared" si="29"/>
        <v>-21.723225597424342</v>
      </c>
      <c r="BF27" s="23">
        <f t="shared" si="29"/>
        <v>-21.288761085475855</v>
      </c>
      <c r="BG27" s="23">
        <f t="shared" si="29"/>
        <v>-20.862985863766337</v>
      </c>
      <c r="BH27" s="23">
        <f t="shared" si="29"/>
        <v>-20.445726146491008</v>
      </c>
      <c r="BI27" s="23">
        <f t="shared" si="29"/>
        <v>-20.036811623561189</v>
      </c>
      <c r="BJ27" s="23">
        <f t="shared" si="29"/>
        <v>-19.636075391089964</v>
      </c>
      <c r="BK27" s="23">
        <f t="shared" si="29"/>
        <v>-19.243353883268163</v>
      </c>
      <c r="BL27" s="23">
        <f t="shared" si="29"/>
        <v>-18.858486805602801</v>
      </c>
      <c r="BM27" s="23">
        <f t="shared" si="29"/>
        <v>-18.481317069490746</v>
      </c>
      <c r="BN27" s="23">
        <f t="shared" si="29"/>
        <v>-18.111690728100932</v>
      </c>
      <c r="BO27" s="23">
        <f t="shared" si="29"/>
        <v>-17.749456913538914</v>
      </c>
      <c r="BP27" s="23">
        <f t="shared" si="29"/>
        <v>-17.394467775268136</v>
      </c>
      <c r="BQ27" s="23">
        <f t="shared" si="29"/>
        <v>-17.046578419762774</v>
      </c>
      <c r="BR27" s="23">
        <f t="shared" si="29"/>
        <v>-16.705646851367518</v>
      </c>
      <c r="BS27" s="23">
        <f t="shared" si="29"/>
        <v>-16.371533914340169</v>
      </c>
      <c r="BT27" s="23">
        <f t="shared" si="29"/>
        <v>-16.044103236053367</v>
      </c>
      <c r="BU27" s="23">
        <f t="shared" si="29"/>
        <v>-15.7232211713323</v>
      </c>
      <c r="BV27" s="23">
        <f t="shared" si="29"/>
        <v>-15.408756747905654</v>
      </c>
      <c r="BW27" s="23">
        <f t="shared" si="29"/>
        <v>-15.100581612947542</v>
      </c>
      <c r="BX27" s="23">
        <f t="shared" si="29"/>
        <v>-14.79856998068859</v>
      </c>
      <c r="BY27" s="23">
        <f t="shared" si="29"/>
        <v>-14.502598581074817</v>
      </c>
      <c r="BZ27" s="23">
        <f t="shared" si="29"/>
        <v>-14.212546609453321</v>
      </c>
      <c r="CA27" s="23">
        <f t="shared" si="29"/>
        <v>-13.928295677264254</v>
      </c>
      <c r="CB27" s="23">
        <f t="shared" si="29"/>
        <v>-13.649729763718968</v>
      </c>
      <c r="CC27" s="23">
        <f t="shared" si="29"/>
        <v>-13.376735168444588</v>
      </c>
      <c r="CD27" s="23">
        <f t="shared" si="29"/>
        <v>-13.109200465075697</v>
      </c>
      <c r="CE27" s="23">
        <f t="shared" si="29"/>
        <v>-12.847016455774183</v>
      </c>
      <c r="CF27" s="23">
        <f t="shared" si="29"/>
        <v>-12.590076126658699</v>
      </c>
      <c r="CG27" s="23">
        <f t="shared" si="29"/>
        <v>-12.338274604125525</v>
      </c>
      <c r="CH27" s="23">
        <f t="shared" si="29"/>
        <v>-12.091509112043013</v>
      </c>
      <c r="CI27" s="23">
        <f t="shared" ref="CI27:DQ27" si="30">CH27*($F$2+1)</f>
        <v>-11.849678929802153</v>
      </c>
      <c r="CJ27" s="23">
        <f t="shared" si="30"/>
        <v>-11.612685351206109</v>
      </c>
      <c r="CK27" s="23">
        <f t="shared" si="30"/>
        <v>-11.380431644181986</v>
      </c>
      <c r="CL27" s="23">
        <f t="shared" si="30"/>
        <v>-11.152823011298345</v>
      </c>
      <c r="CM27" s="23">
        <f t="shared" si="30"/>
        <v>-10.929766551072378</v>
      </c>
      <c r="CN27" s="23">
        <f t="shared" si="30"/>
        <v>-10.711171220050931</v>
      </c>
      <c r="CO27" s="23">
        <f t="shared" si="30"/>
        <v>-10.496947795649913</v>
      </c>
      <c r="CP27" s="23">
        <f t="shared" si="30"/>
        <v>-10.287008839736915</v>
      </c>
      <c r="CQ27" s="23">
        <f t="shared" si="30"/>
        <v>-10.081268662942175</v>
      </c>
      <c r="CR27" s="23">
        <f t="shared" si="30"/>
        <v>-9.8796432896833313</v>
      </c>
      <c r="CS27" s="23">
        <f t="shared" si="30"/>
        <v>-9.682050423889665</v>
      </c>
      <c r="CT27" s="23">
        <f t="shared" si="30"/>
        <v>-9.488409415411871</v>
      </c>
      <c r="CU27" s="23">
        <f t="shared" si="30"/>
        <v>-9.2986412271036336</v>
      </c>
      <c r="CV27" s="23">
        <f t="shared" si="30"/>
        <v>-9.1126684025615603</v>
      </c>
      <c r="CW27" s="23">
        <f t="shared" si="30"/>
        <v>-8.9304150345103288</v>
      </c>
      <c r="CX27" s="23">
        <f t="shared" si="30"/>
        <v>-8.7518067338201213</v>
      </c>
      <c r="CY27" s="23">
        <f t="shared" si="30"/>
        <v>-8.5767705991437193</v>
      </c>
      <c r="CZ27" s="23">
        <f t="shared" si="30"/>
        <v>-8.4052351871608444</v>
      </c>
      <c r="DA27" s="23">
        <f t="shared" si="30"/>
        <v>-8.2371304834176282</v>
      </c>
      <c r="DB27" s="23">
        <f t="shared" si="30"/>
        <v>-8.0723878737492747</v>
      </c>
      <c r="DC27" s="23">
        <f t="shared" si="30"/>
        <v>-7.9109401162742889</v>
      </c>
      <c r="DD27" s="23">
        <f t="shared" si="30"/>
        <v>-7.7527213139488032</v>
      </c>
      <c r="DE27" s="23">
        <f t="shared" si="30"/>
        <v>-7.5976668876698268</v>
      </c>
      <c r="DF27" s="23">
        <f t="shared" si="30"/>
        <v>-7.4457135499164302</v>
      </c>
      <c r="DG27" s="23">
        <f t="shared" si="30"/>
        <v>-7.2967992789181011</v>
      </c>
      <c r="DH27" s="23">
        <f t="shared" si="30"/>
        <v>-7.1508632933397394</v>
      </c>
      <c r="DI27" s="23">
        <f t="shared" si="30"/>
        <v>-7.0078460274729446</v>
      </c>
      <c r="DJ27" s="23">
        <f t="shared" si="30"/>
        <v>-6.8676891069234856</v>
      </c>
      <c r="DK27" s="23">
        <f t="shared" si="30"/>
        <v>-6.7303353247850159</v>
      </c>
      <c r="DL27" s="23">
        <f t="shared" si="30"/>
        <v>-6.5957286182893151</v>
      </c>
      <c r="DM27" s="23">
        <f t="shared" si="30"/>
        <v>-6.4638140459235283</v>
      </c>
      <c r="DN27" s="23">
        <f t="shared" si="30"/>
        <v>-6.3345377650050576</v>
      </c>
      <c r="DO27" s="23">
        <f t="shared" si="30"/>
        <v>-6.2078470097049561</v>
      </c>
      <c r="DP27" s="23">
        <f t="shared" si="30"/>
        <v>-6.0836900695108564</v>
      </c>
      <c r="DQ27" s="23">
        <f t="shared" si="30"/>
        <v>-5.9620162681206388</v>
      </c>
      <c r="DR27" s="23">
        <f t="shared" ref="DR27" si="31">DQ27*($F$2+1)</f>
        <v>-5.8427759427582258</v>
      </c>
      <c r="DS27" s="23">
        <f t="shared" ref="DS27" si="32">DR27*($F$2+1)</f>
        <v>-5.7259204239030614</v>
      </c>
      <c r="DT27" s="23">
        <f t="shared" ref="DT27" si="33">DS27*($F$2+1)</f>
        <v>-5.6114020154249999</v>
      </c>
      <c r="DU27" s="23">
        <f t="shared" ref="DU27" si="34">DT27*($F$2+1)</f>
        <v>-5.4991739751164994</v>
      </c>
      <c r="DV27" s="23">
        <f t="shared" ref="DV27" si="35">DU27*($F$2+1)</f>
        <v>-5.3891904956141694</v>
      </c>
      <c r="DW27" s="23">
        <f t="shared" ref="DW27" si="36">DV27*($F$2+1)</f>
        <v>-5.281406685701886</v>
      </c>
      <c r="DX27" s="23">
        <f t="shared" ref="DX27" si="37">DW27*($F$2+1)</f>
        <v>-5.1757785519878485</v>
      </c>
      <c r="DY27" s="23">
        <f t="shared" ref="DY27" si="38">DX27*($F$2+1)</f>
        <v>-5.072262980948091</v>
      </c>
      <c r="DZ27" s="23">
        <f t="shared" ref="DZ27" si="39">DY27*($F$2+1)</f>
        <v>-4.9708177213291291</v>
      </c>
      <c r="EA27" s="23">
        <f t="shared" ref="EA27" si="40">DZ27*($F$2+1)</f>
        <v>-4.8714013669025462</v>
      </c>
      <c r="EB27" s="23">
        <f t="shared" ref="EB27" si="41">EA27*($F$2+1)</f>
        <v>-4.7739733395644954</v>
      </c>
      <c r="EC27" s="23">
        <f t="shared" ref="EC27" si="42">EB27*($F$2+1)</f>
        <v>-4.6784938727732053</v>
      </c>
      <c r="ED27" s="23">
        <f t="shared" ref="ED27" si="43">EC27*($F$2+1)</f>
        <v>-4.584923995317741</v>
      </c>
      <c r="EE27" s="23">
        <f t="shared" ref="EE27" si="44">ED27*($F$2+1)</f>
        <v>-4.4932255154113863</v>
      </c>
      <c r="EF27" s="23">
        <f t="shared" ref="EF27" si="45">EE27*($F$2+1)</f>
        <v>-4.4033610051031582</v>
      </c>
      <c r="EG27" s="23">
        <f t="shared" ref="EG27" si="46">EF27*($F$2+1)</f>
        <v>-4.3152937850010948</v>
      </c>
      <c r="EH27" s="23">
        <f t="shared" ref="EH27" si="47">EG27*($F$2+1)</f>
        <v>-4.2289879093010727</v>
      </c>
      <c r="EI27" s="23">
        <f t="shared" ref="EI27" si="48">EH27*($F$2+1)</f>
        <v>-4.1444081511150515</v>
      </c>
      <c r="EJ27" s="23">
        <f t="shared" ref="EJ27" si="49">EI27*($F$2+1)</f>
        <v>-4.0615199880927504</v>
      </c>
      <c r="EK27" s="23">
        <f t="shared" ref="EK27" si="50">EJ27*($F$2+1)</f>
        <v>-3.9802895883308955</v>
      </c>
      <c r="EL27" s="23">
        <f t="shared" ref="EL27" si="51">EK27*($F$2+1)</f>
        <v>-3.9006837965642776</v>
      </c>
      <c r="EM27" s="23">
        <f t="shared" ref="EM27" si="52">EL27*($F$2+1)</f>
        <v>-3.8226701206329921</v>
      </c>
      <c r="EN27" s="23">
        <f t="shared" ref="EN27" si="53">EM27*($F$2+1)</f>
        <v>-3.7462167182203321</v>
      </c>
      <c r="EO27" s="23">
        <f t="shared" ref="EO27" si="54">EN27*($F$2+1)</f>
        <v>-3.6712923838559255</v>
      </c>
      <c r="EP27" s="23">
        <f t="shared" ref="EP27" si="55">EO27*($F$2+1)</f>
        <v>-3.5978665361788069</v>
      </c>
      <c r="EQ27" s="23">
        <f t="shared" ref="EQ27" si="56">EP27*($F$2+1)</f>
        <v>-3.5259092054552306</v>
      </c>
      <c r="ER27" s="23">
        <f t="shared" ref="ER27" si="57">EQ27*($F$2+1)</f>
        <v>-3.4553910213461259</v>
      </c>
      <c r="ES27" s="23">
        <f t="shared" ref="ES27" si="58">ER27*($F$2+1)</f>
        <v>-3.3862832009192032</v>
      </c>
      <c r="ET27" s="23">
        <f t="shared" ref="ET27" si="59">ES27*($F$2+1)</f>
        <v>-3.3185575369008191</v>
      </c>
      <c r="EU27" s="23">
        <f t="shared" ref="EU27" si="60">ET27*($F$2+1)</f>
        <v>-3.2521863861628026</v>
      </c>
      <c r="EV27" s="23">
        <f t="shared" ref="EV27" si="61">EU27*($F$2+1)</f>
        <v>-3.1871426584395466</v>
      </c>
      <c r="EW27" s="23">
        <f t="shared" ref="EW27" si="62">EV27*($F$2+1)</f>
        <v>-3.1233998052707554</v>
      </c>
      <c r="EX27" s="23">
        <f t="shared" ref="EX27" si="63">EW27*($F$2+1)</f>
        <v>-3.0609318091653401</v>
      </c>
      <c r="EY27" s="23">
        <f t="shared" ref="EY27" si="64">EX27*($F$2+1)</f>
        <v>-2.9997131729820334</v>
      </c>
      <c r="EZ27" s="23">
        <f t="shared" ref="EZ27" si="65">EY27*($F$2+1)</f>
        <v>-2.9397189095223926</v>
      </c>
      <c r="FA27" s="23">
        <f t="shared" ref="FA27" si="66">EZ27*($F$2+1)</f>
        <v>-2.8809245313319445</v>
      </c>
      <c r="FB27" s="23">
        <f t="shared" ref="FB27" si="67">FA27*($F$2+1)</f>
        <v>-2.8233060407053054</v>
      </c>
      <c r="FC27" s="23">
        <f t="shared" ref="FC27" si="68">FB27*($F$2+1)</f>
        <v>-2.7668399198911993</v>
      </c>
      <c r="FD27" s="23">
        <f t="shared" ref="FD27" si="69">FC27*($F$2+1)</f>
        <v>-2.7115031214933754</v>
      </c>
    </row>
    <row r="28" spans="1:160" x14ac:dyDescent="0.15">
      <c r="A28" s="1" t="s">
        <v>16</v>
      </c>
      <c r="B28" s="24">
        <f>B27/B29</f>
        <v>0.15871572963830496</v>
      </c>
      <c r="C28" s="24">
        <f>C27/C29</f>
        <v>0.47518429783564559</v>
      </c>
      <c r="D28" s="24">
        <f>D27/D29</f>
        <v>1.5468226594188903</v>
      </c>
      <c r="E28" s="24">
        <f>E27/E29</f>
        <v>2.4622674773604878</v>
      </c>
      <c r="F28" s="24">
        <f>F27/F29</f>
        <v>2.1802384017210068</v>
      </c>
      <c r="G28" s="12">
        <f t="shared" ref="G28:H28" si="70">G27/G29</f>
        <v>1.7644382293755139</v>
      </c>
      <c r="H28" s="12">
        <f t="shared" si="70"/>
        <v>1.6579616154576307</v>
      </c>
      <c r="I28" s="12">
        <f t="shared" ref="I28:U28" si="71">I27/I29</f>
        <v>1.4447748077502902</v>
      </c>
      <c r="J28" s="12">
        <f t="shared" si="71"/>
        <v>1.1599914510709057</v>
      </c>
      <c r="K28" s="12">
        <f t="shared" si="71"/>
        <v>0.7857659935295398</v>
      </c>
      <c r="L28" s="12">
        <f t="shared" si="71"/>
        <v>0.7172709393779465</v>
      </c>
      <c r="M28" s="12">
        <f t="shared" si="71"/>
        <v>0.64297247298658555</v>
      </c>
      <c r="N28" s="12">
        <f t="shared" si="71"/>
        <v>0.56258386211934241</v>
      </c>
      <c r="O28" s="12">
        <f t="shared" si="71"/>
        <v>0.47580297885963369</v>
      </c>
      <c r="P28" s="12">
        <f t="shared" si="71"/>
        <v>0.38231153800438228</v>
      </c>
      <c r="Q28" s="12">
        <f t="shared" si="71"/>
        <v>0.28177429697765283</v>
      </c>
      <c r="R28" s="12">
        <f t="shared" si="71"/>
        <v>0.17383821534445879</v>
      </c>
      <c r="S28" s="12">
        <f t="shared" si="71"/>
        <v>5.8131571909065975E-2</v>
      </c>
      <c r="T28" s="12">
        <f t="shared" si="71"/>
        <v>-6.5736962718742284E-2</v>
      </c>
      <c r="U28" s="12">
        <f t="shared" si="71"/>
        <v>-0.19817930031200012</v>
      </c>
    </row>
    <row r="29" spans="1:160" x14ac:dyDescent="0.15">
      <c r="A29" s="1" t="s">
        <v>17</v>
      </c>
      <c r="B29" s="9">
        <f>AVERAGE(Reports!B22:E22)</f>
        <v>215.06375000000003</v>
      </c>
      <c r="C29" s="9">
        <f>AVERAGE(Reports!F22:I22)</f>
        <v>222.36425</v>
      </c>
      <c r="D29" s="9">
        <f>AVERAGE(Reports!J22:M22)</f>
        <v>226.50624999999999</v>
      </c>
      <c r="E29" s="9">
        <f>Reports!Q22</f>
        <v>232.55799999999999</v>
      </c>
      <c r="F29" s="9">
        <f>Reports!U22</f>
        <v>226.84399999999999</v>
      </c>
      <c r="G29" s="9">
        <f t="shared" ref="G29" si="72">F29</f>
        <v>226.84399999999999</v>
      </c>
      <c r="H29" s="9">
        <f t="shared" ref="H29" si="73">G29</f>
        <v>226.84399999999999</v>
      </c>
      <c r="I29" s="9">
        <f t="shared" ref="I29" si="74">H29</f>
        <v>226.84399999999999</v>
      </c>
      <c r="J29" s="9">
        <f t="shared" ref="J29" si="75">I29</f>
        <v>226.84399999999999</v>
      </c>
      <c r="K29" s="9">
        <f t="shared" ref="K29" si="76">J29</f>
        <v>226.84399999999999</v>
      </c>
      <c r="L29" s="9">
        <f t="shared" ref="L29" si="77">K29</f>
        <v>226.84399999999999</v>
      </c>
      <c r="M29" s="9">
        <f t="shared" ref="M29" si="78">L29</f>
        <v>226.84399999999999</v>
      </c>
      <c r="N29" s="9">
        <f t="shared" ref="N29" si="79">M29</f>
        <v>226.84399999999999</v>
      </c>
      <c r="O29" s="9">
        <f t="shared" ref="O29" si="80">N29</f>
        <v>226.84399999999999</v>
      </c>
      <c r="P29" s="9">
        <f t="shared" ref="P29" si="81">O29</f>
        <v>226.84399999999999</v>
      </c>
      <c r="Q29" s="9">
        <f t="shared" ref="Q29" si="82">P29</f>
        <v>226.84399999999999</v>
      </c>
      <c r="R29" s="9">
        <f t="shared" ref="R29" si="83">Q29</f>
        <v>226.84399999999999</v>
      </c>
      <c r="S29" s="9">
        <f t="shared" ref="S29" si="84">R29</f>
        <v>226.84399999999999</v>
      </c>
      <c r="T29" s="9">
        <f t="shared" ref="T29" si="85">S29</f>
        <v>226.84399999999999</v>
      </c>
      <c r="U29" s="9">
        <f t="shared" ref="U29" si="86">T29</f>
        <v>226.84399999999999</v>
      </c>
    </row>
    <row r="30" spans="1:160" x14ac:dyDescent="0.1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160" x14ac:dyDescent="0.15">
      <c r="A31" s="2" t="s">
        <v>18</v>
      </c>
      <c r="B31" s="8"/>
      <c r="C31" s="13">
        <f>C16/B16-1</f>
        <v>0.37227945284594188</v>
      </c>
      <c r="D31" s="13">
        <f>D16/C16-1</f>
        <v>0.75366575175358363</v>
      </c>
      <c r="E31" s="13">
        <f t="shared" ref="E31:U31" si="87">E16/D16-1</f>
        <v>0.49429331144450628</v>
      </c>
      <c r="F31" s="13">
        <f>F16/E16-1</f>
        <v>2.7732616126220355E-2</v>
      </c>
      <c r="G31" s="13">
        <f>G16/F16-1</f>
        <v>-6.603868128732282E-2</v>
      </c>
      <c r="H31" s="13">
        <f t="shared" si="87"/>
        <v>-2.5000000000000577E-3</v>
      </c>
      <c r="I31" s="13">
        <f t="shared" si="87"/>
        <v>-2.4999999999999467E-3</v>
      </c>
      <c r="J31" s="13">
        <f t="shared" si="87"/>
        <v>-2.4999999999999467E-3</v>
      </c>
      <c r="K31" s="13">
        <f t="shared" si="87"/>
        <v>-2.4999999999999467E-3</v>
      </c>
      <c r="L31" s="13">
        <f t="shared" si="87"/>
        <v>-1.0000000000000009E-2</v>
      </c>
      <c r="M31" s="13">
        <f t="shared" si="87"/>
        <v>-1.0000000000000009E-2</v>
      </c>
      <c r="N31" s="13">
        <f t="shared" si="87"/>
        <v>-1.0000000000000009E-2</v>
      </c>
      <c r="O31" s="13">
        <f t="shared" si="87"/>
        <v>-1.0000000000000009E-2</v>
      </c>
      <c r="P31" s="13">
        <f t="shared" si="87"/>
        <v>-1.000000000000012E-2</v>
      </c>
      <c r="Q31" s="13">
        <f t="shared" si="87"/>
        <v>-1.0000000000000009E-2</v>
      </c>
      <c r="R31" s="13">
        <f t="shared" si="87"/>
        <v>-9.9999999999998979E-3</v>
      </c>
      <c r="S31" s="13">
        <f t="shared" si="87"/>
        <v>-1.000000000000012E-2</v>
      </c>
      <c r="T31" s="13">
        <f t="shared" si="87"/>
        <v>-1.000000000000012E-2</v>
      </c>
      <c r="U31" s="13">
        <f t="shared" si="87"/>
        <v>-1.000000000000012E-2</v>
      </c>
    </row>
    <row r="32" spans="1:160" x14ac:dyDescent="0.15">
      <c r="A32" s="1" t="s">
        <v>47</v>
      </c>
      <c r="B32" s="8"/>
      <c r="C32" s="14">
        <f>C19/B19-1</f>
        <v>7.4203173363821318E-2</v>
      </c>
      <c r="D32" s="14">
        <f>D19/C19-1</f>
        <v>0.25508151186335093</v>
      </c>
      <c r="E32" s="14">
        <f t="shared" ref="E32:U32" si="88">E19/D19-1</f>
        <v>0.29204779904133038</v>
      </c>
      <c r="F32" s="14">
        <f t="shared" si="88"/>
        <v>0.13598908245388674</v>
      </c>
      <c r="G32" s="14">
        <f t="shared" si="88"/>
        <v>0.14143588406675289</v>
      </c>
      <c r="H32" s="14">
        <f t="shared" si="88"/>
        <v>0.10000000000000009</v>
      </c>
      <c r="I32" s="14">
        <f t="shared" si="88"/>
        <v>0.10000000000000009</v>
      </c>
      <c r="J32" s="14">
        <f t="shared" si="88"/>
        <v>0.10000000000000009</v>
      </c>
      <c r="K32" s="14">
        <f t="shared" si="88"/>
        <v>0.10000000000000009</v>
      </c>
      <c r="L32" s="14">
        <f t="shared" si="88"/>
        <v>5.0000000000000044E-2</v>
      </c>
      <c r="M32" s="14">
        <f t="shared" si="88"/>
        <v>5.0000000000000044E-2</v>
      </c>
      <c r="N32" s="14">
        <f t="shared" si="88"/>
        <v>5.0000000000000044E-2</v>
      </c>
      <c r="O32" s="14">
        <f t="shared" si="88"/>
        <v>5.0000000000000044E-2</v>
      </c>
      <c r="P32" s="14">
        <f t="shared" si="88"/>
        <v>5.0000000000000044E-2</v>
      </c>
      <c r="Q32" s="14">
        <f t="shared" si="88"/>
        <v>5.0000000000000044E-2</v>
      </c>
      <c r="R32" s="14">
        <f t="shared" si="88"/>
        <v>5.0000000000000044E-2</v>
      </c>
      <c r="S32" s="14">
        <f t="shared" si="88"/>
        <v>5.0000000000000044E-2</v>
      </c>
      <c r="T32" s="14">
        <f t="shared" si="88"/>
        <v>5.0000000000000044E-2</v>
      </c>
      <c r="U32" s="14">
        <f t="shared" si="88"/>
        <v>5.0000000000000044E-2</v>
      </c>
    </row>
    <row r="33" spans="1:21" x14ac:dyDescent="0.15">
      <c r="A33" s="1" t="s">
        <v>48</v>
      </c>
      <c r="B33" s="8"/>
      <c r="C33" s="14">
        <f t="shared" ref="C33:D34" si="89">C20/B20-1</f>
        <v>0.17629839995557606</v>
      </c>
      <c r="D33" s="14">
        <f t="shared" si="89"/>
        <v>0.85818333861602514</v>
      </c>
      <c r="E33" s="14">
        <f t="shared" ref="E33:U33" si="90">E20/D20-1</f>
        <v>0.91416760725419777</v>
      </c>
      <c r="F33" s="14">
        <f>F20/E20-1</f>
        <v>-0.119966099381143</v>
      </c>
      <c r="G33" s="14">
        <f t="shared" si="90"/>
        <v>-8.0687103981247565E-2</v>
      </c>
      <c r="H33" s="14">
        <f t="shared" si="90"/>
        <v>-5.0000000000000044E-2</v>
      </c>
      <c r="I33" s="14">
        <f t="shared" si="90"/>
        <v>-5.0000000000000044E-2</v>
      </c>
      <c r="J33" s="14">
        <f t="shared" si="90"/>
        <v>-5.0000000000000044E-2</v>
      </c>
      <c r="K33" s="14">
        <f t="shared" si="90"/>
        <v>-5.0000000000000044E-2</v>
      </c>
      <c r="L33" s="14">
        <f t="shared" si="90"/>
        <v>-2.0000000000000018E-2</v>
      </c>
      <c r="M33" s="14">
        <f t="shared" si="90"/>
        <v>-2.0000000000000018E-2</v>
      </c>
      <c r="N33" s="14">
        <f t="shared" si="90"/>
        <v>-1.9999999999999907E-2</v>
      </c>
      <c r="O33" s="14">
        <f t="shared" si="90"/>
        <v>-2.0000000000000018E-2</v>
      </c>
      <c r="P33" s="14">
        <f t="shared" si="90"/>
        <v>-2.0000000000000018E-2</v>
      </c>
      <c r="Q33" s="14">
        <f t="shared" si="90"/>
        <v>-2.0000000000000129E-2</v>
      </c>
      <c r="R33" s="14">
        <f t="shared" si="90"/>
        <v>-2.0000000000000018E-2</v>
      </c>
      <c r="S33" s="14">
        <f t="shared" si="90"/>
        <v>-1.9999999999999907E-2</v>
      </c>
      <c r="T33" s="14">
        <f t="shared" si="90"/>
        <v>-2.0000000000000018E-2</v>
      </c>
      <c r="U33" s="14">
        <f t="shared" si="90"/>
        <v>-2.0000000000000018E-2</v>
      </c>
    </row>
    <row r="34" spans="1:21" x14ac:dyDescent="0.15">
      <c r="A34" s="1" t="s">
        <v>49</v>
      </c>
      <c r="B34" s="8"/>
      <c r="C34" s="14">
        <f t="shared" si="89"/>
        <v>0.42499567847882469</v>
      </c>
      <c r="D34" s="14">
        <f t="shared" si="89"/>
        <v>2.6614585860546214E-2</v>
      </c>
      <c r="E34" s="14">
        <f t="shared" ref="E34:U34" si="91">E21/D21-1</f>
        <v>0.28344558667139319</v>
      </c>
      <c r="F34" s="14">
        <f t="shared" si="91"/>
        <v>0.6624684674731629</v>
      </c>
      <c r="G34" s="14">
        <f t="shared" si="91"/>
        <v>0.39776490524660235</v>
      </c>
      <c r="H34" s="14">
        <f t="shared" si="91"/>
        <v>0.30000000000000004</v>
      </c>
      <c r="I34" s="14">
        <f t="shared" si="91"/>
        <v>0.30000000000000004</v>
      </c>
      <c r="J34" s="14">
        <f t="shared" si="91"/>
        <v>0.30000000000000004</v>
      </c>
      <c r="K34" s="14">
        <f t="shared" si="91"/>
        <v>0.30000000000000004</v>
      </c>
      <c r="L34" s="14">
        <f t="shared" si="91"/>
        <v>-1.9999999999999907E-2</v>
      </c>
      <c r="M34" s="14">
        <f t="shared" si="91"/>
        <v>-2.0000000000000018E-2</v>
      </c>
      <c r="N34" s="14">
        <f t="shared" si="91"/>
        <v>-2.0000000000000018E-2</v>
      </c>
      <c r="O34" s="14">
        <f t="shared" si="91"/>
        <v>-2.0000000000000018E-2</v>
      </c>
      <c r="P34" s="14">
        <f t="shared" si="91"/>
        <v>-2.0000000000000018E-2</v>
      </c>
      <c r="Q34" s="14">
        <f t="shared" si="91"/>
        <v>-2.0000000000000018E-2</v>
      </c>
      <c r="R34" s="14">
        <f t="shared" si="91"/>
        <v>-1.9999999999999907E-2</v>
      </c>
      <c r="S34" s="14">
        <f t="shared" si="91"/>
        <v>-2.0000000000000129E-2</v>
      </c>
      <c r="T34" s="14">
        <f t="shared" si="91"/>
        <v>-2.0000000000000018E-2</v>
      </c>
      <c r="U34" s="14">
        <f t="shared" si="91"/>
        <v>-1.9999999999999907E-2</v>
      </c>
    </row>
    <row r="35" spans="1:21" s="17" customFormat="1" x14ac:dyDescent="0.15">
      <c r="A35" s="17" t="s">
        <v>101</v>
      </c>
      <c r="B35" s="62"/>
      <c r="C35" s="63">
        <f>C22/B22-1</f>
        <v>0.15132963394855681</v>
      </c>
      <c r="D35" s="63">
        <f t="shared" ref="D35:U35" si="92">D22/C22-1</f>
        <v>0.48795508587294711</v>
      </c>
      <c r="E35" s="63">
        <f t="shared" si="92"/>
        <v>0.62662911128715182</v>
      </c>
      <c r="F35" s="63">
        <f t="shared" si="92"/>
        <v>8.0386625397124156E-3</v>
      </c>
      <c r="G35" s="63">
        <f t="shared" si="92"/>
        <v>4.6056798892031514E-2</v>
      </c>
      <c r="H35" s="63">
        <f t="shared" si="92"/>
        <v>5.5793134907058839E-2</v>
      </c>
      <c r="I35" s="63">
        <f t="shared" si="92"/>
        <v>6.9764534334242345E-2</v>
      </c>
      <c r="J35" s="63">
        <f t="shared" si="92"/>
        <v>8.4744863199987641E-2</v>
      </c>
      <c r="K35" s="63">
        <f t="shared" si="92"/>
        <v>0.10053613307195763</v>
      </c>
      <c r="L35" s="63">
        <f t="shared" si="92"/>
        <v>8.0843762755347104E-3</v>
      </c>
      <c r="M35" s="63">
        <f t="shared" si="92"/>
        <v>9.2521100250158028E-3</v>
      </c>
      <c r="N35" s="63">
        <f t="shared" si="92"/>
        <v>1.0433144722883148E-2</v>
      </c>
      <c r="O35" s="63">
        <f t="shared" si="92"/>
        <v>1.162485526718493E-2</v>
      </c>
      <c r="P35" s="63">
        <f t="shared" si="92"/>
        <v>1.2824517762341614E-2</v>
      </c>
      <c r="Q35" s="63">
        <f t="shared" si="92"/>
        <v>1.4029333854007398E-2</v>
      </c>
      <c r="R35" s="63">
        <f t="shared" si="92"/>
        <v>1.5236456534157616E-2</v>
      </c>
      <c r="S35" s="63">
        <f t="shared" si="92"/>
        <v>1.6443016917626618E-2</v>
      </c>
      <c r="T35" s="63">
        <f t="shared" si="92"/>
        <v>1.7646151458197368E-2</v>
      </c>
      <c r="U35" s="63">
        <f t="shared" si="92"/>
        <v>1.8843029057267424E-2</v>
      </c>
    </row>
    <row r="36" spans="1:21" x14ac:dyDescent="0.1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 x14ac:dyDescent="0.15">
      <c r="A37" s="1" t="s">
        <v>19</v>
      </c>
      <c r="B37" s="15">
        <f>IFERROR(B18/B16,0)</f>
        <v>0.70294481377552609</v>
      </c>
      <c r="C37" s="15">
        <f>IFERROR(C18/C16,0)</f>
        <v>0.73889752973467515</v>
      </c>
      <c r="D37" s="15">
        <f>IFERROR(D18/D16,0)</f>
        <v>0.79891813775700971</v>
      </c>
      <c r="E37" s="15">
        <f>IFERROR(E18/E16,0)</f>
        <v>0.83843753745960192</v>
      </c>
      <c r="F37" s="15">
        <f>IFERROR(F18/F16,0)</f>
        <v>0.8138255678790971</v>
      </c>
      <c r="G37" s="15">
        <f t="shared" ref="G37:U37" si="93">IFERROR(G18/G16,0)</f>
        <v>0.82226155441047466</v>
      </c>
      <c r="H37" s="15">
        <f t="shared" si="93"/>
        <v>0.82226155441047466</v>
      </c>
      <c r="I37" s="15">
        <f t="shared" si="93"/>
        <v>0.82226155441047466</v>
      </c>
      <c r="J37" s="15">
        <f t="shared" si="93"/>
        <v>0.82226155441047466</v>
      </c>
      <c r="K37" s="15">
        <f t="shared" si="93"/>
        <v>0.82226155441047466</v>
      </c>
      <c r="L37" s="15">
        <f t="shared" si="93"/>
        <v>0.82226155441047466</v>
      </c>
      <c r="M37" s="15">
        <f t="shared" si="93"/>
        <v>0.82226155441047466</v>
      </c>
      <c r="N37" s="15">
        <f t="shared" si="93"/>
        <v>0.82226155441047466</v>
      </c>
      <c r="O37" s="15">
        <f t="shared" si="93"/>
        <v>0.82226155441047466</v>
      </c>
      <c r="P37" s="15">
        <f t="shared" si="93"/>
        <v>0.82226155441047466</v>
      </c>
      <c r="Q37" s="15">
        <f t="shared" si="93"/>
        <v>0.82226155441047466</v>
      </c>
      <c r="R37" s="15">
        <f t="shared" si="93"/>
        <v>0.82226155441047466</v>
      </c>
      <c r="S37" s="15">
        <f t="shared" si="93"/>
        <v>0.82226155441047466</v>
      </c>
      <c r="T37" s="15">
        <f t="shared" si="93"/>
        <v>0.82226155441047455</v>
      </c>
      <c r="U37" s="15">
        <f t="shared" si="93"/>
        <v>0.82226155441047455</v>
      </c>
    </row>
    <row r="38" spans="1:21" x14ac:dyDescent="0.15">
      <c r="A38" s="1" t="s">
        <v>20</v>
      </c>
      <c r="B38" s="14">
        <f>IFERROR(B23/B16,0)</f>
        <v>7.8476054162978329E-2</v>
      </c>
      <c r="C38" s="14">
        <f>IFERROR(C23/C16,0)</f>
        <v>0.21497407746264099</v>
      </c>
      <c r="D38" s="14">
        <f>IFERROR(D23/D16,0)</f>
        <v>0.35437814224375552</v>
      </c>
      <c r="E38" s="14">
        <f>IFERROR(E23/E16,0)</f>
        <v>0.35452872765953003</v>
      </c>
      <c r="F38" s="14">
        <f t="shared" ref="F38:U38" si="94">IFERROR(F23/F16,0)</f>
        <v>0.33918967351516865</v>
      </c>
      <c r="G38" s="14">
        <f t="shared" si="94"/>
        <v>0.29065912682607392</v>
      </c>
      <c r="H38" s="14">
        <f t="shared" si="94"/>
        <v>0.25959268870266788</v>
      </c>
      <c r="I38" s="14">
        <f t="shared" si="94"/>
        <v>0.21882977786081226</v>
      </c>
      <c r="J38" s="14">
        <f t="shared" si="94"/>
        <v>0.16605150939404451</v>
      </c>
      <c r="K38" s="14">
        <f t="shared" si="94"/>
        <v>9.8268706866256827E-2</v>
      </c>
      <c r="L38" s="14">
        <f t="shared" si="94"/>
        <v>8.5043495678594691E-2</v>
      </c>
      <c r="M38" s="14">
        <f t="shared" si="94"/>
        <v>7.0707128830983859E-2</v>
      </c>
      <c r="N38" s="14">
        <f t="shared" si="94"/>
        <v>5.5195391108772578E-2</v>
      </c>
      <c r="O38" s="14">
        <f t="shared" si="94"/>
        <v>3.8440143874677445E-2</v>
      </c>
      <c r="P38" s="14">
        <f t="shared" si="94"/>
        <v>2.0369087604699757E-2</v>
      </c>
      <c r="Q38" s="14">
        <f t="shared" si="94"/>
        <v>9.0551002905369824E-4</v>
      </c>
      <c r="R38" s="14">
        <f t="shared" si="94"/>
        <v>-2.0031980994278973E-2</v>
      </c>
      <c r="S38" s="14">
        <f t="shared" si="94"/>
        <v>-4.2529740798637979E-2</v>
      </c>
      <c r="T38" s="14">
        <f t="shared" si="94"/>
        <v>-6.6679388401751083E-2</v>
      </c>
      <c r="U38" s="14">
        <f t="shared" si="94"/>
        <v>-9.2578125213597498E-2</v>
      </c>
    </row>
    <row r="39" spans="1:21" x14ac:dyDescent="0.15">
      <c r="A39" s="1" t="s">
        <v>21</v>
      </c>
      <c r="B39" s="14">
        <f>IFERROR(B26/B25,0)</f>
        <v>7.1941272430668807E-2</v>
      </c>
      <c r="C39" s="14">
        <f>IFERROR(C26/C25,0)</f>
        <v>3.9243498817966918E-2</v>
      </c>
      <c r="D39" s="14">
        <f>IFERROR(D26/D25,0)</f>
        <v>0.16001975493333909</v>
      </c>
      <c r="E39" s="14">
        <f t="shared" ref="E39:U39" si="95">IFERROR(E26/E25,0)</f>
        <v>0.1438635731607763</v>
      </c>
      <c r="F39" s="14">
        <f t="shared" si="95"/>
        <v>0.18069003904599873</v>
      </c>
      <c r="G39" s="14">
        <f t="shared" si="95"/>
        <v>0.23848315021483824</v>
      </c>
      <c r="H39" s="14">
        <f t="shared" si="95"/>
        <v>0.2</v>
      </c>
      <c r="I39" s="14">
        <f t="shared" si="95"/>
        <v>0.2</v>
      </c>
      <c r="J39" s="14">
        <f t="shared" si="95"/>
        <v>0.2</v>
      </c>
      <c r="K39" s="14">
        <f t="shared" si="95"/>
        <v>0.20000000000000004</v>
      </c>
      <c r="L39" s="14">
        <f t="shared" si="95"/>
        <v>0.2</v>
      </c>
      <c r="M39" s="14">
        <f t="shared" si="95"/>
        <v>0.19999999999999998</v>
      </c>
      <c r="N39" s="14">
        <f t="shared" si="95"/>
        <v>0.2</v>
      </c>
      <c r="O39" s="14">
        <f t="shared" si="95"/>
        <v>0.2</v>
      </c>
      <c r="P39" s="14">
        <f t="shared" si="95"/>
        <v>0.20000000000000004</v>
      </c>
      <c r="Q39" s="14">
        <f t="shared" si="95"/>
        <v>0.2</v>
      </c>
      <c r="R39" s="14">
        <f t="shared" si="95"/>
        <v>0.2</v>
      </c>
      <c r="S39" s="14">
        <f t="shared" si="95"/>
        <v>0.2</v>
      </c>
      <c r="T39" s="14">
        <f t="shared" si="95"/>
        <v>0.2</v>
      </c>
      <c r="U39" s="14">
        <f t="shared" si="95"/>
        <v>0.2</v>
      </c>
    </row>
    <row r="40" spans="1:21" x14ac:dyDescent="0.1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x14ac:dyDescent="0.15">
      <c r="A41" s="2" t="s">
        <v>26</v>
      </c>
      <c r="B41" s="23">
        <f>B42-B43</f>
        <v>630.55799999999999</v>
      </c>
      <c r="C41" s="23">
        <f>C42-C43</f>
        <v>795.88699999999994</v>
      </c>
      <c r="D41" s="23">
        <f>D42-D43</f>
        <v>1365.037</v>
      </c>
      <c r="E41" s="23">
        <f>E42-E43</f>
        <v>1636.328</v>
      </c>
      <c r="F41" s="23">
        <f>F42-F43</f>
        <v>1749</v>
      </c>
      <c r="G41" s="10">
        <f t="shared" ref="G41:U41" si="96">F41+G27</f>
        <v>2149.2522257044593</v>
      </c>
      <c r="H41" s="10">
        <f t="shared" si="96"/>
        <v>2525.3508704013302</v>
      </c>
      <c r="I41" s="10">
        <f t="shared" si="96"/>
        <v>2853.0893668906369</v>
      </c>
      <c r="J41" s="10">
        <f t="shared" si="96"/>
        <v>3116.2264676173654</v>
      </c>
      <c r="K41" s="10">
        <f t="shared" si="96"/>
        <v>3294.4727686535803</v>
      </c>
      <c r="L41" s="10">
        <f t="shared" si="96"/>
        <v>3457.1813776258314</v>
      </c>
      <c r="M41" s="10">
        <f t="shared" si="96"/>
        <v>3603.0358252880005</v>
      </c>
      <c r="N41" s="10">
        <f t="shared" si="96"/>
        <v>3730.6545989066008</v>
      </c>
      <c r="O41" s="10">
        <f t="shared" si="96"/>
        <v>3838.5876498430357</v>
      </c>
      <c r="P41" s="10">
        <f t="shared" si="96"/>
        <v>3925.3127283701019</v>
      </c>
      <c r="Q41" s="10">
        <f t="shared" si="96"/>
        <v>3989.2315369937005</v>
      </c>
      <c r="R41" s="10">
        <f t="shared" si="96"/>
        <v>4028.6656931152988</v>
      </c>
      <c r="S41" s="10">
        <f t="shared" si="96"/>
        <v>4041.8524914134391</v>
      </c>
      <c r="T41" s="10">
        <f t="shared" si="96"/>
        <v>4026.9404558424685</v>
      </c>
      <c r="U41" s="10">
        <f t="shared" si="96"/>
        <v>3981.9846706424933</v>
      </c>
    </row>
    <row r="42" spans="1:21" x14ac:dyDescent="0.15">
      <c r="A42" s="1" t="s">
        <v>27</v>
      </c>
      <c r="B42" s="7">
        <f>Reports!E35</f>
        <v>630.55799999999999</v>
      </c>
      <c r="C42" s="7">
        <f>Reports!I35</f>
        <v>795.88699999999994</v>
      </c>
      <c r="D42" s="7">
        <f>Reports!M35</f>
        <v>2245.02</v>
      </c>
      <c r="E42" s="7">
        <f>Reports!Q35</f>
        <v>2520.451</v>
      </c>
      <c r="F42" s="7">
        <f>Reports!U35</f>
        <v>3431</v>
      </c>
    </row>
    <row r="43" spans="1:21" x14ac:dyDescent="0.15">
      <c r="A43" s="1" t="s">
        <v>28</v>
      </c>
      <c r="B43" s="7">
        <f>Reports!E36</f>
        <v>0</v>
      </c>
      <c r="C43" s="7">
        <f>Reports!I36</f>
        <v>0</v>
      </c>
      <c r="D43" s="7">
        <f>Reports!M36</f>
        <v>879.98299999999995</v>
      </c>
      <c r="E43" s="7">
        <f>Reports!Q36</f>
        <v>884.12300000000005</v>
      </c>
      <c r="F43" s="7">
        <f>Reports!U36</f>
        <v>1682</v>
      </c>
    </row>
    <row r="45" spans="1:21" x14ac:dyDescent="0.15">
      <c r="A45" s="1" t="s">
        <v>79</v>
      </c>
      <c r="D45" s="7">
        <f>Reports!M38</f>
        <v>13.936999999999999</v>
      </c>
      <c r="E45" s="7">
        <f>Reports!Q38</f>
        <v>50.448999999999998</v>
      </c>
      <c r="F45" s="7">
        <f>Reports!U38</f>
        <v>47</v>
      </c>
    </row>
    <row r="46" spans="1:21" x14ac:dyDescent="0.15">
      <c r="A46" s="1" t="s">
        <v>80</v>
      </c>
      <c r="D46" s="7">
        <f>Reports!M39</f>
        <v>2561.819</v>
      </c>
      <c r="E46" s="7">
        <f>Reports!Q39</f>
        <v>3274.6819999999998</v>
      </c>
      <c r="F46" s="7">
        <f>Reports!U39</f>
        <v>4804</v>
      </c>
    </row>
    <row r="47" spans="1:21" x14ac:dyDescent="0.15">
      <c r="A47" s="1" t="s">
        <v>81</v>
      </c>
      <c r="D47" s="7">
        <f>Reports!M40</f>
        <v>1367.0250000000001</v>
      </c>
      <c r="E47" s="7">
        <f>Reports!Q40</f>
        <v>1526.5440000000001</v>
      </c>
      <c r="F47" s="7">
        <f>Reports!U40</f>
        <v>2522</v>
      </c>
    </row>
    <row r="49" spans="1:11" x14ac:dyDescent="0.15">
      <c r="A49" s="1" t="s">
        <v>82</v>
      </c>
      <c r="D49" s="48">
        <f>D46-D45-D42</f>
        <v>302.86200000000008</v>
      </c>
      <c r="E49" s="48">
        <f>E46-E45-E42</f>
        <v>703.7819999999997</v>
      </c>
      <c r="F49" s="48">
        <f>F46-F45-F42</f>
        <v>1326</v>
      </c>
    </row>
    <row r="50" spans="1:11" x14ac:dyDescent="0.15">
      <c r="A50" s="1" t="s">
        <v>83</v>
      </c>
      <c r="D50" s="48">
        <f>D46-D47</f>
        <v>1194.7939999999999</v>
      </c>
      <c r="E50" s="48">
        <f>E46-E47</f>
        <v>1748.1379999999997</v>
      </c>
      <c r="F50" s="48">
        <f>F46-F47</f>
        <v>2282</v>
      </c>
    </row>
    <row r="52" spans="1:11" x14ac:dyDescent="0.15">
      <c r="A52" s="25" t="s">
        <v>84</v>
      </c>
      <c r="D52" s="18">
        <f>D27/D50</f>
        <v>0.29324301929872432</v>
      </c>
      <c r="E52" s="18">
        <f>E27/E50</f>
        <v>0.32755995236074065</v>
      </c>
      <c r="F52" s="18">
        <f>F27/F50</f>
        <v>0.21672830850131466</v>
      </c>
    </row>
    <row r="53" spans="1:11" x14ac:dyDescent="0.15">
      <c r="A53" s="25" t="s">
        <v>85</v>
      </c>
      <c r="D53" s="18">
        <f>D27/D46</f>
        <v>0.13676415078504767</v>
      </c>
      <c r="E53" s="18">
        <f>E27/E46</f>
        <v>0.17486278056922791</v>
      </c>
      <c r="F53" s="18">
        <f>F27/F46</f>
        <v>0.10295045795170693</v>
      </c>
    </row>
    <row r="54" spans="1:11" x14ac:dyDescent="0.15">
      <c r="A54" s="25" t="s">
        <v>86</v>
      </c>
      <c r="D54" s="18">
        <f>D27/(D50-D45)</f>
        <v>0.29670400395644858</v>
      </c>
      <c r="E54" s="18">
        <f>E27/(E50-E45)</f>
        <v>0.33729381529832642</v>
      </c>
      <c r="F54" s="18">
        <f>F27/(F50-F45)</f>
        <v>0.22128590604026849</v>
      </c>
    </row>
    <row r="55" spans="1:11" x14ac:dyDescent="0.15">
      <c r="A55" s="25" t="s">
        <v>87</v>
      </c>
      <c r="D55" s="18">
        <f>D27/D49</f>
        <v>1.1568470128309261</v>
      </c>
      <c r="E55" s="18">
        <f>E27/E49</f>
        <v>0.81363263055889545</v>
      </c>
      <c r="F55" s="18">
        <f>F27/F49</f>
        <v>0.37298190045248875</v>
      </c>
    </row>
    <row r="57" spans="1:11" x14ac:dyDescent="0.15">
      <c r="A57" s="1" t="s">
        <v>89</v>
      </c>
      <c r="C57" s="18">
        <f>C10/B10-1</f>
        <v>0.41888846091721232</v>
      </c>
      <c r="D57" s="18">
        <f t="shared" ref="D57:F57" si="97">D10/C10-1</f>
        <v>0.74566798953382096</v>
      </c>
      <c r="E57" s="18">
        <f t="shared" si="97"/>
        <v>0.50407576662034925</v>
      </c>
      <c r="F57" s="18">
        <f t="shared" si="97"/>
        <v>2.0651956402833349E-2</v>
      </c>
      <c r="G57" s="18"/>
      <c r="H57" s="18"/>
      <c r="I57" s="18"/>
      <c r="J57" s="18"/>
    </row>
    <row r="58" spans="1:11" x14ac:dyDescent="0.15">
      <c r="A58" s="1" t="s">
        <v>90</v>
      </c>
      <c r="C58" s="18">
        <f t="shared" ref="C58:F58" si="98">C11/B11-1</f>
        <v>0.12377444485664291</v>
      </c>
      <c r="D58" s="18">
        <f t="shared" si="98"/>
        <v>0.80750548232686459</v>
      </c>
      <c r="E58" s="18">
        <f t="shared" si="98"/>
        <v>0.43069226203288768</v>
      </c>
      <c r="F58" s="18">
        <f t="shared" si="98"/>
        <v>7.6129079320500948E-2</v>
      </c>
      <c r="G58" s="18"/>
      <c r="H58" s="18"/>
      <c r="I58" s="18"/>
      <c r="J58" s="18"/>
    </row>
    <row r="60" spans="1:11" x14ac:dyDescent="0.15">
      <c r="A60" s="18" t="s">
        <v>66</v>
      </c>
      <c r="C60" s="18">
        <f t="shared" ref="C60:E61" si="99">C13/B13-1</f>
        <v>0.31132075471698117</v>
      </c>
      <c r="D60" s="18">
        <f t="shared" si="99"/>
        <v>0.23741007194244612</v>
      </c>
      <c r="E60" s="18">
        <f t="shared" si="99"/>
        <v>0.16279069767441867</v>
      </c>
      <c r="F60" s="18">
        <f t="shared" ref="F60:K60" si="100">F13/E13-1</f>
        <v>0.1100000000000001</v>
      </c>
      <c r="G60" s="18">
        <f t="shared" si="100"/>
        <v>5.0000000000000044E-2</v>
      </c>
      <c r="H60" s="18">
        <f t="shared" si="100"/>
        <v>5.0000000000000044E-2</v>
      </c>
      <c r="I60" s="18">
        <f t="shared" si="100"/>
        <v>5.0000000000000044E-2</v>
      </c>
      <c r="J60" s="18">
        <f t="shared" si="100"/>
        <v>5.0000000000000044E-2</v>
      </c>
      <c r="K60" s="18">
        <f t="shared" si="100"/>
        <v>5.0000000000000044E-2</v>
      </c>
    </row>
    <row r="61" spans="1:11" x14ac:dyDescent="0.15">
      <c r="A61" s="18" t="s">
        <v>88</v>
      </c>
      <c r="C61" s="18">
        <f t="shared" si="99"/>
        <v>4.6486489220646465E-2</v>
      </c>
      <c r="D61" s="18">
        <f t="shared" si="99"/>
        <v>0.41720662496365191</v>
      </c>
      <c r="E61" s="18">
        <f t="shared" si="99"/>
        <v>0.28509224784227527</v>
      </c>
      <c r="F61" s="18">
        <f t="shared" ref="F61:K61" si="101">F14/E14-1</f>
        <v>-7.4114760246648315E-2</v>
      </c>
      <c r="G61" s="18">
        <f t="shared" si="101"/>
        <v>-0.11051302979745048</v>
      </c>
      <c r="H61" s="18">
        <f t="shared" si="101"/>
        <v>-5.0000000000000044E-2</v>
      </c>
      <c r="I61" s="18">
        <f t="shared" si="101"/>
        <v>-5.0000000000000044E-2</v>
      </c>
      <c r="J61" s="18">
        <f t="shared" si="101"/>
        <v>-4.9999999999999933E-2</v>
      </c>
      <c r="K61" s="18">
        <f t="shared" si="101"/>
        <v>-5.0000000000000044E-2</v>
      </c>
    </row>
    <row r="63" spans="1:11" x14ac:dyDescent="0.15">
      <c r="A63" s="1" t="s">
        <v>65</v>
      </c>
      <c r="B63" s="1">
        <f>Reports!E57</f>
        <v>236</v>
      </c>
      <c r="C63" s="1">
        <f>Reports!I57</f>
        <v>313</v>
      </c>
      <c r="D63" s="1">
        <f>Reports!M57</f>
        <v>392</v>
      </c>
      <c r="E63" s="1">
        <f>Reports!Q57</f>
        <v>462</v>
      </c>
      <c r="F63" s="1">
        <f>Reports!U57</f>
        <v>516</v>
      </c>
    </row>
    <row r="64" spans="1:11" x14ac:dyDescent="0.15">
      <c r="A64" s="1" t="s">
        <v>67</v>
      </c>
      <c r="C64" s="18">
        <f>C63/B63-1</f>
        <v>0.32627118644067798</v>
      </c>
      <c r="D64" s="18">
        <f t="shared" ref="D64:E64" si="102">D63/C63-1</f>
        <v>0.25239616613418536</v>
      </c>
      <c r="E64" s="18">
        <f t="shared" si="102"/>
        <v>0.1785714285714286</v>
      </c>
      <c r="F64" s="18">
        <f>F63/E63-1</f>
        <v>0.11688311688311681</v>
      </c>
    </row>
  </sheetData>
  <phoneticPr fontId="4" type="noConversion"/>
  <hyperlinks>
    <hyperlink ref="A4" r:id="rId1" display="Gaofei Wang (CEO)" xr:uid="{00000000-0004-0000-0000-000000000000}"/>
    <hyperlink ref="A1" r:id="rId2" xr:uid="{00000000-0004-0000-0000-000001000000}"/>
    <hyperlink ref="L4" r:id="rId3" xr:uid="{D4C1899B-ECD3-FB49-91ED-3AB794C352A9}"/>
  </hyperlinks>
  <pageMargins left="0.7" right="0.7" top="0.75" bottom="0.75" header="0.3" footer="0.3"/>
  <pageSetup paperSize="9" orientation="portrait" horizontalDpi="0" verticalDpi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64"/>
  <sheetViews>
    <sheetView zoomScale="130" zoomScaleNormal="130" workbookViewId="0">
      <pane xSplit="1" ySplit="2" topLeftCell="Q3" activePane="bottomRight" state="frozen"/>
      <selection pane="topRight" activeCell="B1" sqref="B1"/>
      <selection pane="bottomLeft" activeCell="A3" sqref="A3"/>
      <selection pane="bottomRight" activeCell="Y4" sqref="Y4"/>
    </sheetView>
  </sheetViews>
  <sheetFormatPr baseColWidth="10" defaultRowHeight="13" x14ac:dyDescent="0.15"/>
  <cols>
    <col min="1" max="1" width="17.1640625" style="1" customWidth="1"/>
    <col min="2" max="5" width="10.83203125" style="26" customWidth="1"/>
    <col min="6" max="6" width="10.83203125" style="31" customWidth="1"/>
    <col min="7" max="8" width="10.83203125" style="26" customWidth="1"/>
    <col min="9" max="9" width="10.83203125" style="26"/>
    <col min="10" max="10" width="10.83203125" style="31"/>
    <col min="11" max="11" width="10.83203125" style="26" customWidth="1"/>
    <col min="12" max="13" width="10.83203125" style="26"/>
    <col min="14" max="14" width="10.83203125" style="31"/>
    <col min="15" max="17" width="10.83203125" style="26"/>
    <col min="18" max="18" width="10.83203125" style="28"/>
    <col min="19" max="21" width="10.83203125" style="1"/>
    <col min="22" max="22" width="10.83203125" style="28"/>
    <col min="23" max="16384" width="10.83203125" style="1"/>
  </cols>
  <sheetData>
    <row r="1" spans="1:25" x14ac:dyDescent="0.15">
      <c r="A1" s="5" t="s">
        <v>72</v>
      </c>
      <c r="B1" s="26" t="s">
        <v>43</v>
      </c>
      <c r="C1" s="26" t="s">
        <v>44</v>
      </c>
      <c r="D1" s="26" t="s">
        <v>45</v>
      </c>
      <c r="E1" s="26" t="s">
        <v>46</v>
      </c>
      <c r="F1" s="31" t="s">
        <v>22</v>
      </c>
      <c r="G1" s="26" t="s">
        <v>23</v>
      </c>
      <c r="H1" s="26" t="s">
        <v>24</v>
      </c>
      <c r="I1" s="26" t="s">
        <v>25</v>
      </c>
      <c r="J1" s="29" t="s">
        <v>0</v>
      </c>
      <c r="K1" s="27" t="s">
        <v>1</v>
      </c>
      <c r="L1" s="27" t="s">
        <v>2</v>
      </c>
      <c r="M1" s="27" t="s">
        <v>3</v>
      </c>
      <c r="N1" s="29" t="s">
        <v>35</v>
      </c>
      <c r="O1" s="27" t="s">
        <v>36</v>
      </c>
      <c r="P1" s="27" t="s">
        <v>37</v>
      </c>
      <c r="Q1" s="27" t="s">
        <v>38</v>
      </c>
      <c r="R1" s="31" t="s">
        <v>92</v>
      </c>
      <c r="S1" s="26" t="s">
        <v>93</v>
      </c>
      <c r="T1" s="26" t="s">
        <v>94</v>
      </c>
      <c r="U1" s="26" t="s">
        <v>95</v>
      </c>
      <c r="V1" s="31" t="s">
        <v>105</v>
      </c>
      <c r="W1" s="26" t="s">
        <v>106</v>
      </c>
      <c r="X1" s="26" t="s">
        <v>107</v>
      </c>
      <c r="Y1" s="26" t="s">
        <v>108</v>
      </c>
    </row>
    <row r="2" spans="1:25" x14ac:dyDescent="0.15">
      <c r="A2" s="5"/>
      <c r="B2" s="26" t="s">
        <v>59</v>
      </c>
      <c r="C2" s="26" t="s">
        <v>58</v>
      </c>
      <c r="D2" s="26" t="s">
        <v>57</v>
      </c>
      <c r="E2" s="26" t="s">
        <v>60</v>
      </c>
      <c r="F2" s="31" t="s">
        <v>55</v>
      </c>
      <c r="G2" s="26" t="s">
        <v>53</v>
      </c>
      <c r="H2" s="26" t="s">
        <v>51</v>
      </c>
      <c r="I2" s="26" t="s">
        <v>56</v>
      </c>
      <c r="J2" s="31" t="s">
        <v>54</v>
      </c>
      <c r="K2" s="26" t="s">
        <v>52</v>
      </c>
      <c r="L2" s="26" t="s">
        <v>50</v>
      </c>
      <c r="M2" s="26" t="s">
        <v>29</v>
      </c>
      <c r="N2" s="31" t="s">
        <v>39</v>
      </c>
      <c r="O2" s="26" t="s">
        <v>40</v>
      </c>
      <c r="P2" s="26" t="s">
        <v>41</v>
      </c>
      <c r="Q2" s="26" t="s">
        <v>42</v>
      </c>
      <c r="R2" s="31" t="s">
        <v>96</v>
      </c>
      <c r="S2" s="26" t="s">
        <v>97</v>
      </c>
      <c r="T2" s="26" t="s">
        <v>98</v>
      </c>
      <c r="U2" s="26" t="s">
        <v>99</v>
      </c>
      <c r="V2" s="67">
        <v>43921</v>
      </c>
      <c r="W2" s="75">
        <v>44012</v>
      </c>
      <c r="X2" s="75">
        <v>44104</v>
      </c>
      <c r="Y2" s="26"/>
    </row>
    <row r="3" spans="1:25" s="7" customFormat="1" x14ac:dyDescent="0.15">
      <c r="A3" s="7" t="s">
        <v>100</v>
      </c>
      <c r="B3" s="27">
        <v>79.16</v>
      </c>
      <c r="C3" s="27">
        <v>87.867000000000004</v>
      </c>
      <c r="D3" s="27">
        <v>105.861</v>
      </c>
      <c r="E3" s="27">
        <v>129.52699999999999</v>
      </c>
      <c r="F3" s="29">
        <v>99.245999999999995</v>
      </c>
      <c r="G3" s="27">
        <v>127.173</v>
      </c>
      <c r="H3" s="27">
        <v>156.69300000000001</v>
      </c>
      <c r="I3" s="27">
        <v>187.87</v>
      </c>
      <c r="J3" s="29">
        <v>169.297</v>
      </c>
      <c r="K3" s="27">
        <v>218.34</v>
      </c>
      <c r="L3" s="27">
        <v>276.803</v>
      </c>
      <c r="M3" s="30">
        <v>332.30500000000001</v>
      </c>
      <c r="N3" s="29">
        <v>302.94900000000001</v>
      </c>
      <c r="O3" s="30">
        <v>369.94200000000001</v>
      </c>
      <c r="P3" s="30">
        <v>409.27300000000002</v>
      </c>
      <c r="Q3" s="30">
        <v>417.01600000000002</v>
      </c>
      <c r="R3" s="29">
        <v>341.14100000000002</v>
      </c>
      <c r="S3" s="7">
        <v>371</v>
      </c>
      <c r="T3" s="7">
        <v>412</v>
      </c>
      <c r="U3" s="7">
        <v>406</v>
      </c>
      <c r="V3" s="68">
        <v>275.42200000000003</v>
      </c>
      <c r="W3" s="7">
        <v>340.584</v>
      </c>
      <c r="X3" s="7">
        <v>416.67200000000003</v>
      </c>
      <c r="Y3" s="7">
        <f>U3*1.02</f>
        <v>414.12</v>
      </c>
    </row>
    <row r="4" spans="1:25" s="7" customFormat="1" x14ac:dyDescent="0.15">
      <c r="A4" s="7" t="s">
        <v>63</v>
      </c>
      <c r="B4" s="27">
        <v>17.13</v>
      </c>
      <c r="C4" s="27">
        <v>19.975000000000001</v>
      </c>
      <c r="D4" s="27">
        <v>18.873000000000001</v>
      </c>
      <c r="E4" s="27">
        <v>19.498000000000001</v>
      </c>
      <c r="F4" s="29">
        <v>20.044</v>
      </c>
      <c r="G4" s="27">
        <v>19.712</v>
      </c>
      <c r="H4" s="27">
        <v>20.184000000000001</v>
      </c>
      <c r="I4" s="27">
        <v>24.878</v>
      </c>
      <c r="J4" s="29">
        <v>29.904</v>
      </c>
      <c r="K4" s="27">
        <v>35.033000000000001</v>
      </c>
      <c r="L4" s="27">
        <v>43.231999999999999</v>
      </c>
      <c r="M4" s="30">
        <v>45.14</v>
      </c>
      <c r="N4" s="29">
        <v>46.933999999999997</v>
      </c>
      <c r="O4" s="30">
        <v>56.646999999999998</v>
      </c>
      <c r="P4" s="30">
        <v>50.898000000000003</v>
      </c>
      <c r="Q4" s="30">
        <v>64.858999999999995</v>
      </c>
      <c r="R4" s="29">
        <v>58.036000000000001</v>
      </c>
      <c r="S4" s="7">
        <v>61</v>
      </c>
      <c r="T4" s="7">
        <v>55</v>
      </c>
      <c r="U4" s="7">
        <v>62</v>
      </c>
      <c r="V4" s="68">
        <v>47.966999999999999</v>
      </c>
      <c r="W4" s="7">
        <v>46.808999999999997</v>
      </c>
      <c r="X4" s="7">
        <v>49.067</v>
      </c>
      <c r="Y4" s="7">
        <f>U4*0.95</f>
        <v>58.9</v>
      </c>
    </row>
    <row r="5" spans="1:25" s="7" customFormat="1" x14ac:dyDescent="0.15">
      <c r="B5" s="27"/>
      <c r="C5" s="27"/>
      <c r="D5" s="27"/>
      <c r="E5" s="27"/>
      <c r="F5" s="29"/>
      <c r="G5" s="27"/>
      <c r="H5" s="27"/>
      <c r="I5" s="27"/>
      <c r="J5" s="29"/>
      <c r="K5" s="27"/>
      <c r="L5" s="27"/>
      <c r="M5" s="30"/>
      <c r="N5" s="29"/>
      <c r="O5" s="30"/>
      <c r="P5" s="30"/>
      <c r="Q5" s="30"/>
      <c r="R5" s="29"/>
      <c r="V5" s="68"/>
    </row>
    <row r="6" spans="1:25" s="7" customFormat="1" x14ac:dyDescent="0.15">
      <c r="A6" s="7" t="s">
        <v>64</v>
      </c>
      <c r="B6" s="27">
        <v>89</v>
      </c>
      <c r="C6" s="27">
        <v>93</v>
      </c>
      <c r="D6" s="27">
        <v>100</v>
      </c>
      <c r="E6" s="27">
        <v>106</v>
      </c>
      <c r="F6" s="29">
        <v>120</v>
      </c>
      <c r="G6" s="27">
        <v>126</v>
      </c>
      <c r="H6" s="27">
        <v>132</v>
      </c>
      <c r="I6" s="27">
        <v>139</v>
      </c>
      <c r="J6" s="29">
        <v>154</v>
      </c>
      <c r="K6" s="27">
        <v>159</v>
      </c>
      <c r="L6" s="27">
        <v>165</v>
      </c>
      <c r="M6" s="27">
        <v>172</v>
      </c>
      <c r="N6" s="29">
        <v>184</v>
      </c>
      <c r="O6" s="30">
        <v>190</v>
      </c>
      <c r="P6" s="30">
        <v>195</v>
      </c>
      <c r="Q6" s="30">
        <v>200</v>
      </c>
      <c r="R6" s="29">
        <v>203</v>
      </c>
      <c r="S6" s="7">
        <v>211</v>
      </c>
      <c r="T6" s="7">
        <v>216</v>
      </c>
      <c r="U6" s="7">
        <v>222</v>
      </c>
      <c r="V6" s="68">
        <v>241</v>
      </c>
      <c r="W6" s="7">
        <v>229</v>
      </c>
      <c r="X6" s="7">
        <v>224</v>
      </c>
      <c r="Y6" s="7">
        <f>U6*1.05</f>
        <v>233.10000000000002</v>
      </c>
    </row>
    <row r="7" spans="1:25" s="54" customFormat="1" x14ac:dyDescent="0.15">
      <c r="A7" s="54" t="s">
        <v>78</v>
      </c>
      <c r="B7" s="51">
        <f>SUM(B3:B4)/B6</f>
        <v>1.0819101123595505</v>
      </c>
      <c r="C7" s="51">
        <f>SUM(C3:C4)/C6</f>
        <v>1.1595913978494625</v>
      </c>
      <c r="D7" s="51">
        <f t="shared" ref="D7:Q7" si="0">SUM(D3:D4)/D6</f>
        <v>1.2473400000000001</v>
      </c>
      <c r="E7" s="51">
        <f t="shared" si="0"/>
        <v>1.405896226415094</v>
      </c>
      <c r="F7" s="52">
        <f t="shared" si="0"/>
        <v>0.99408333333333332</v>
      </c>
      <c r="G7" s="51">
        <f t="shared" si="0"/>
        <v>1.1657539682539682</v>
      </c>
      <c r="H7" s="51">
        <f t="shared" si="0"/>
        <v>1.3399772727272727</v>
      </c>
      <c r="I7" s="51">
        <f t="shared" si="0"/>
        <v>1.5305611510791366</v>
      </c>
      <c r="J7" s="52">
        <f t="shared" si="0"/>
        <v>1.2935129870129869</v>
      </c>
      <c r="K7" s="51">
        <f t="shared" si="0"/>
        <v>1.5935408805031446</v>
      </c>
      <c r="L7" s="51">
        <f t="shared" si="0"/>
        <v>1.9396060606060603</v>
      </c>
      <c r="M7" s="51">
        <f t="shared" si="0"/>
        <v>2.1944476744186048</v>
      </c>
      <c r="N7" s="52">
        <f t="shared" si="0"/>
        <v>1.9015380434782612</v>
      </c>
      <c r="O7" s="53">
        <f t="shared" si="0"/>
        <v>2.2452052631578949</v>
      </c>
      <c r="P7" s="53">
        <f t="shared" si="0"/>
        <v>2.3598512820512823</v>
      </c>
      <c r="Q7" s="53">
        <f t="shared" si="0"/>
        <v>2.4093749999999998</v>
      </c>
      <c r="R7" s="52">
        <f t="shared" ref="R7:Y7" si="1">SUM(R3:R4)/R6</f>
        <v>1.9663891625615764</v>
      </c>
      <c r="S7" s="53">
        <f t="shared" si="1"/>
        <v>2.0473933649289098</v>
      </c>
      <c r="T7" s="53">
        <f t="shared" si="1"/>
        <v>2.1620370370370372</v>
      </c>
      <c r="U7" s="53">
        <f t="shared" si="1"/>
        <v>2.1081081081081079</v>
      </c>
      <c r="V7" s="52">
        <f t="shared" si="1"/>
        <v>1.3418630705394192</v>
      </c>
      <c r="W7" s="53">
        <f t="shared" si="1"/>
        <v>1.6916724890829695</v>
      </c>
      <c r="X7" s="53">
        <f t="shared" si="1"/>
        <v>2.0791919642857146</v>
      </c>
      <c r="Y7" s="53">
        <f>SUM(Y3:Y4)/Y6</f>
        <v>2.0292578292578289</v>
      </c>
    </row>
    <row r="8" spans="1:25" s="71" customFormat="1" x14ac:dyDescent="0.15">
      <c r="F8" s="72"/>
      <c r="J8" s="72"/>
      <c r="K8" s="73"/>
      <c r="L8" s="73"/>
      <c r="M8" s="73"/>
      <c r="N8" s="72"/>
      <c r="O8" s="73"/>
      <c r="P8" s="73"/>
      <c r="Q8" s="73"/>
      <c r="R8" s="72"/>
      <c r="S8" s="71">
        <v>427</v>
      </c>
      <c r="V8" s="72"/>
    </row>
    <row r="9" spans="1:25" s="66" customFormat="1" x14ac:dyDescent="0.15">
      <c r="A9" s="66" t="s">
        <v>4</v>
      </c>
      <c r="B9" s="45">
        <f>B6*B7</f>
        <v>96.289999999999992</v>
      </c>
      <c r="C9" s="45">
        <f t="shared" ref="C9:L9" si="2">C6*C7</f>
        <v>107.84200000000001</v>
      </c>
      <c r="D9" s="45">
        <f t="shared" si="2"/>
        <v>124.73400000000001</v>
      </c>
      <c r="E9" s="45">
        <f t="shared" si="2"/>
        <v>149.02499999999998</v>
      </c>
      <c r="F9" s="45">
        <f t="shared" si="2"/>
        <v>119.28999999999999</v>
      </c>
      <c r="G9" s="45">
        <f t="shared" si="2"/>
        <v>146.88499999999999</v>
      </c>
      <c r="H9" s="45">
        <f t="shared" si="2"/>
        <v>176.87700000000001</v>
      </c>
      <c r="I9" s="45">
        <f t="shared" si="2"/>
        <v>212.74799999999999</v>
      </c>
      <c r="J9" s="45">
        <f t="shared" si="2"/>
        <v>199.20099999999999</v>
      </c>
      <c r="K9" s="45">
        <f t="shared" si="2"/>
        <v>253.37299999999999</v>
      </c>
      <c r="L9" s="45">
        <f t="shared" si="2"/>
        <v>320.03499999999997</v>
      </c>
      <c r="M9" s="45">
        <f>SUM(M3:M4)</f>
        <v>377.44499999999999</v>
      </c>
      <c r="N9" s="46">
        <f t="shared" ref="N9:O9" si="3">N6*N7</f>
        <v>349.88300000000004</v>
      </c>
      <c r="O9" s="45">
        <f t="shared" si="3"/>
        <v>426.58900000000006</v>
      </c>
      <c r="P9" s="45">
        <f t="shared" ref="P9" si="4">P6*P7</f>
        <v>460.17100000000005</v>
      </c>
      <c r="Q9" s="45">
        <f>Q6*Q7</f>
        <v>481.87499999999994</v>
      </c>
      <c r="R9" s="46">
        <f>R6*R7</f>
        <v>399.17700000000002</v>
      </c>
      <c r="S9" s="45">
        <f t="shared" ref="S9:Y9" si="5">S6*S7</f>
        <v>431.99999999999994</v>
      </c>
      <c r="T9" s="45">
        <f t="shared" si="5"/>
        <v>467.00000000000006</v>
      </c>
      <c r="U9" s="45">
        <f t="shared" si="5"/>
        <v>467.99999999999994</v>
      </c>
      <c r="V9" s="46">
        <f t="shared" si="5"/>
        <v>323.38900000000001</v>
      </c>
      <c r="W9" s="45">
        <f>W6*W7</f>
        <v>387.39300000000003</v>
      </c>
      <c r="X9" s="45">
        <f t="shared" si="5"/>
        <v>465.73900000000009</v>
      </c>
      <c r="Y9" s="45">
        <f>Y6*Y7</f>
        <v>473.02</v>
      </c>
    </row>
    <row r="10" spans="1:25" s="7" customFormat="1" x14ac:dyDescent="0.15">
      <c r="A10" s="7" t="s">
        <v>5</v>
      </c>
      <c r="B10" s="30">
        <v>28.925000000000001</v>
      </c>
      <c r="C10" s="30">
        <v>33.689</v>
      </c>
      <c r="D10" s="30">
        <v>37.241</v>
      </c>
      <c r="E10" s="30">
        <v>42.104999999999997</v>
      </c>
      <c r="F10" s="29">
        <v>36.625999999999998</v>
      </c>
      <c r="G10" s="27">
        <v>40.656999999999996</v>
      </c>
      <c r="H10" s="27">
        <v>44.494</v>
      </c>
      <c r="I10" s="27">
        <v>49.454000000000001</v>
      </c>
      <c r="J10" s="29">
        <v>46.45</v>
      </c>
      <c r="K10" s="30">
        <v>50.372</v>
      </c>
      <c r="L10" s="30">
        <v>62.427999999999997</v>
      </c>
      <c r="M10" s="30">
        <v>72.004999999999995</v>
      </c>
      <c r="N10" s="29">
        <v>62.902000000000001</v>
      </c>
      <c r="O10" s="30">
        <v>61.79</v>
      </c>
      <c r="P10" s="30">
        <v>70.016000000000005</v>
      </c>
      <c r="Q10" s="30">
        <v>82.94</v>
      </c>
      <c r="R10" s="29">
        <v>82.816999999999993</v>
      </c>
      <c r="S10" s="7">
        <v>82</v>
      </c>
      <c r="T10" s="7">
        <v>73</v>
      </c>
      <c r="U10" s="7">
        <v>91</v>
      </c>
      <c r="V10" s="68">
        <v>74</v>
      </c>
      <c r="W10" s="7">
        <v>63.584000000000003</v>
      </c>
      <c r="X10" s="7">
        <v>77.197999999999993</v>
      </c>
      <c r="Y10" s="7">
        <f>Y9-Y11</f>
        <v>78.404853276191147</v>
      </c>
    </row>
    <row r="11" spans="1:25" s="7" customFormat="1" x14ac:dyDescent="0.15">
      <c r="A11" s="7" t="s">
        <v>6</v>
      </c>
      <c r="B11" s="48">
        <f>B9-B10</f>
        <v>67.364999999999995</v>
      </c>
      <c r="C11" s="48">
        <f>C9-C10</f>
        <v>74.15300000000002</v>
      </c>
      <c r="D11" s="48">
        <f>D9-D10</f>
        <v>87.493000000000009</v>
      </c>
      <c r="E11" s="48">
        <f>E9-E10</f>
        <v>106.91999999999999</v>
      </c>
      <c r="F11" s="49">
        <f>F9-F10</f>
        <v>82.663999999999987</v>
      </c>
      <c r="G11" s="50">
        <f t="shared" ref="G11:L11" si="6">G9-G10</f>
        <v>106.22799999999999</v>
      </c>
      <c r="H11" s="50">
        <f t="shared" si="6"/>
        <v>132.38300000000001</v>
      </c>
      <c r="I11" s="50">
        <f t="shared" si="6"/>
        <v>163.29399999999998</v>
      </c>
      <c r="J11" s="49">
        <f t="shared" si="6"/>
        <v>152.75099999999998</v>
      </c>
      <c r="K11" s="48">
        <f t="shared" si="6"/>
        <v>203.00099999999998</v>
      </c>
      <c r="L11" s="48">
        <f t="shared" si="6"/>
        <v>257.60699999999997</v>
      </c>
      <c r="M11" s="48">
        <f t="shared" ref="M11:N11" si="7">M9-M10</f>
        <v>305.44</v>
      </c>
      <c r="N11" s="49">
        <f t="shared" si="7"/>
        <v>286.98100000000005</v>
      </c>
      <c r="O11" s="48">
        <f t="shared" ref="O11:P11" si="8">O9-O10</f>
        <v>364.79900000000004</v>
      </c>
      <c r="P11" s="48">
        <f t="shared" si="8"/>
        <v>390.15500000000003</v>
      </c>
      <c r="Q11" s="48">
        <f>Q9-Q10</f>
        <v>398.93499999999995</v>
      </c>
      <c r="R11" s="49">
        <f t="shared" ref="R11:X11" si="9">R9-R10</f>
        <v>316.36</v>
      </c>
      <c r="S11" s="48">
        <f t="shared" si="9"/>
        <v>349.99999999999994</v>
      </c>
      <c r="T11" s="48">
        <f t="shared" si="9"/>
        <v>394.00000000000006</v>
      </c>
      <c r="U11" s="48">
        <f t="shared" si="9"/>
        <v>376.99999999999994</v>
      </c>
      <c r="V11" s="49">
        <f t="shared" si="9"/>
        <v>249.38900000000001</v>
      </c>
      <c r="W11" s="48">
        <f t="shared" si="9"/>
        <v>323.80900000000003</v>
      </c>
      <c r="X11" s="48">
        <f t="shared" si="9"/>
        <v>388.54100000000011</v>
      </c>
      <c r="Y11" s="7">
        <f>Y9*X30</f>
        <v>394.61514672380883</v>
      </c>
    </row>
    <row r="12" spans="1:25" s="7" customFormat="1" x14ac:dyDescent="0.15">
      <c r="A12" s="7" t="s">
        <v>7</v>
      </c>
      <c r="B12" s="30">
        <v>34.328000000000003</v>
      </c>
      <c r="C12" s="30">
        <v>35.009</v>
      </c>
      <c r="D12" s="30">
        <v>37.493000000000002</v>
      </c>
      <c r="E12" s="30">
        <v>36.613999999999997</v>
      </c>
      <c r="F12" s="29">
        <v>36.933999999999997</v>
      </c>
      <c r="G12" s="27">
        <v>37.610999999999997</v>
      </c>
      <c r="H12" s="27">
        <v>39.673999999999999</v>
      </c>
      <c r="I12" s="27">
        <v>39.869</v>
      </c>
      <c r="J12" s="29">
        <v>39.191000000000003</v>
      </c>
      <c r="K12" s="30">
        <v>45.527999999999999</v>
      </c>
      <c r="L12" s="30">
        <v>50.77</v>
      </c>
      <c r="M12" s="30">
        <v>57.904000000000003</v>
      </c>
      <c r="N12" s="29">
        <v>60.523000000000003</v>
      </c>
      <c r="O12" s="30">
        <v>60.613</v>
      </c>
      <c r="P12" s="30">
        <v>66.221999999999994</v>
      </c>
      <c r="Q12" s="30">
        <v>62.515000000000001</v>
      </c>
      <c r="R12" s="29">
        <v>69.852999999999994</v>
      </c>
      <c r="S12" s="7">
        <v>70</v>
      </c>
      <c r="T12" s="7">
        <v>69</v>
      </c>
      <c r="U12" s="7">
        <v>75</v>
      </c>
      <c r="V12" s="68">
        <v>74</v>
      </c>
      <c r="W12" s="7">
        <v>76</v>
      </c>
      <c r="X12" s="7">
        <v>84</v>
      </c>
      <c r="Y12" s="7">
        <f>U12*1.2</f>
        <v>90</v>
      </c>
    </row>
    <row r="13" spans="1:25" s="7" customFormat="1" x14ac:dyDescent="0.15">
      <c r="A13" s="7" t="s">
        <v>8</v>
      </c>
      <c r="B13" s="30">
        <v>31.186</v>
      </c>
      <c r="C13" s="30">
        <v>28.513999999999999</v>
      </c>
      <c r="D13" s="30">
        <v>30.106000000000002</v>
      </c>
      <c r="E13" s="30">
        <v>36.253</v>
      </c>
      <c r="F13" s="29">
        <v>30.041</v>
      </c>
      <c r="G13" s="27">
        <v>32.165999999999997</v>
      </c>
      <c r="H13" s="27">
        <v>38.07</v>
      </c>
      <c r="I13" s="27">
        <v>48.006</v>
      </c>
      <c r="J13" s="29">
        <v>47.162999999999997</v>
      </c>
      <c r="K13" s="30">
        <v>59.363</v>
      </c>
      <c r="L13" s="30">
        <v>76.346000000000004</v>
      </c>
      <c r="M13" s="30">
        <v>92.665000000000006</v>
      </c>
      <c r="N13" s="29">
        <v>105.863</v>
      </c>
      <c r="O13" s="30">
        <v>139.977</v>
      </c>
      <c r="P13" s="30">
        <v>141.059</v>
      </c>
      <c r="Q13" s="30">
        <v>140.52500000000001</v>
      </c>
      <c r="R13" s="29">
        <v>106.151</v>
      </c>
      <c r="S13" s="7">
        <v>106</v>
      </c>
      <c r="T13" s="7">
        <v>129</v>
      </c>
      <c r="U13" s="7">
        <v>123</v>
      </c>
      <c r="V13" s="68">
        <v>99</v>
      </c>
      <c r="W13" s="7">
        <v>112</v>
      </c>
      <c r="X13" s="7">
        <v>105</v>
      </c>
      <c r="Y13" s="7">
        <f>U13*0.9</f>
        <v>110.7</v>
      </c>
    </row>
    <row r="14" spans="1:25" s="7" customFormat="1" x14ac:dyDescent="0.15">
      <c r="A14" s="7" t="s">
        <v>9</v>
      </c>
      <c r="B14" s="30">
        <v>6.3719999999999999</v>
      </c>
      <c r="C14" s="30">
        <v>8.2919999999999998</v>
      </c>
      <c r="D14" s="30">
        <v>5.9960000000000004</v>
      </c>
      <c r="E14" s="30">
        <v>8.2650000000000006</v>
      </c>
      <c r="F14" s="29">
        <v>8.5380000000000003</v>
      </c>
      <c r="G14" s="27">
        <v>9.1999999999999993</v>
      </c>
      <c r="H14" s="27">
        <v>11.718</v>
      </c>
      <c r="I14" s="27">
        <v>11.762</v>
      </c>
      <c r="J14" s="29">
        <v>10.545999999999999</v>
      </c>
      <c r="K14" s="30">
        <v>10.14</v>
      </c>
      <c r="L14" s="30">
        <v>12.037000000000001</v>
      </c>
      <c r="M14" s="30">
        <v>9.5920000000000005</v>
      </c>
      <c r="N14" s="29">
        <v>11.215999999999999</v>
      </c>
      <c r="O14" s="30">
        <v>9.3130000000000006</v>
      </c>
      <c r="P14" s="30">
        <f>10.361+10.554</f>
        <v>20.914999999999999</v>
      </c>
      <c r="Q14" s="30">
        <v>12.865</v>
      </c>
      <c r="R14" s="29">
        <v>17.286999999999999</v>
      </c>
      <c r="S14" s="7">
        <v>22</v>
      </c>
      <c r="T14" s="7">
        <v>23</v>
      </c>
      <c r="U14" s="7">
        <v>28</v>
      </c>
      <c r="V14" s="68">
        <v>18</v>
      </c>
      <c r="W14" s="7">
        <v>30</v>
      </c>
      <c r="X14" s="7">
        <v>39</v>
      </c>
      <c r="Y14" s="7">
        <f>U14*1.4</f>
        <v>39.199999999999996</v>
      </c>
    </row>
    <row r="15" spans="1:25" s="7" customFormat="1" x14ac:dyDescent="0.15">
      <c r="A15" s="7" t="s">
        <v>10</v>
      </c>
      <c r="B15" s="48">
        <f>SUM(B12:B14)</f>
        <v>71.88600000000001</v>
      </c>
      <c r="C15" s="48">
        <f>SUM(C12:C14)</f>
        <v>71.814999999999998</v>
      </c>
      <c r="D15" s="48">
        <f>SUM(D12:D14)</f>
        <v>73.594999999999999</v>
      </c>
      <c r="E15" s="48">
        <f>SUM(E12:E14)</f>
        <v>81.131999999999991</v>
      </c>
      <c r="F15" s="49">
        <f>SUM(F12:F14)</f>
        <v>75.512999999999991</v>
      </c>
      <c r="G15" s="50">
        <f t="shared" ref="G15:L15" si="10">SUM(G12:G14)</f>
        <v>78.97699999999999</v>
      </c>
      <c r="H15" s="50">
        <f t="shared" si="10"/>
        <v>89.462000000000003</v>
      </c>
      <c r="I15" s="50">
        <f t="shared" si="10"/>
        <v>99.637</v>
      </c>
      <c r="J15" s="49">
        <f t="shared" si="10"/>
        <v>96.9</v>
      </c>
      <c r="K15" s="48">
        <f t="shared" si="10"/>
        <v>115.03099999999999</v>
      </c>
      <c r="L15" s="48">
        <f t="shared" si="10"/>
        <v>139.15300000000002</v>
      </c>
      <c r="M15" s="48">
        <f t="shared" ref="M15:N15" si="11">SUM(M12:M14)</f>
        <v>160.16100000000003</v>
      </c>
      <c r="N15" s="49">
        <f t="shared" si="11"/>
        <v>177.602</v>
      </c>
      <c r="O15" s="48">
        <f t="shared" ref="O15:P15" si="12">SUM(O12:O14)</f>
        <v>209.90299999999999</v>
      </c>
      <c r="P15" s="48">
        <f t="shared" si="12"/>
        <v>228.196</v>
      </c>
      <c r="Q15" s="48">
        <f t="shared" ref="Q15:S15" si="13">SUM(Q12:Q14)</f>
        <v>215.90500000000003</v>
      </c>
      <c r="R15" s="49">
        <f t="shared" si="13"/>
        <v>193.291</v>
      </c>
      <c r="S15" s="48">
        <f t="shared" si="13"/>
        <v>198</v>
      </c>
      <c r="T15" s="48">
        <f t="shared" ref="T15:U15" si="14">SUM(T12:T14)</f>
        <v>221</v>
      </c>
      <c r="U15" s="48">
        <f t="shared" si="14"/>
        <v>226</v>
      </c>
      <c r="V15" s="49">
        <f t="shared" ref="V15" si="15">SUM(V12:V14)</f>
        <v>191</v>
      </c>
      <c r="W15" s="48">
        <f t="shared" ref="W15:X15" si="16">SUM(W12:W14)</f>
        <v>218</v>
      </c>
      <c r="X15" s="48">
        <f t="shared" si="16"/>
        <v>228</v>
      </c>
      <c r="Y15" s="48">
        <f t="shared" ref="Y15" si="17">SUM(Y12:Y14)</f>
        <v>239.89999999999998</v>
      </c>
    </row>
    <row r="16" spans="1:25" s="7" customFormat="1" x14ac:dyDescent="0.15">
      <c r="A16" s="7" t="s">
        <v>11</v>
      </c>
      <c r="B16" s="48">
        <f>B11-B15</f>
        <v>-4.521000000000015</v>
      </c>
      <c r="C16" s="48">
        <f>C11-C15</f>
        <v>2.3380000000000223</v>
      </c>
      <c r="D16" s="48">
        <f>D11-D15</f>
        <v>13.89800000000001</v>
      </c>
      <c r="E16" s="48">
        <f>E11-E15</f>
        <v>25.787999999999997</v>
      </c>
      <c r="F16" s="49">
        <f>F11-F15</f>
        <v>7.1509999999999962</v>
      </c>
      <c r="G16" s="50">
        <f t="shared" ref="G16" si="18">G11-G15</f>
        <v>27.251000000000005</v>
      </c>
      <c r="H16" s="50">
        <f t="shared" ref="H16:M16" si="19">H11-H15</f>
        <v>42.921000000000006</v>
      </c>
      <c r="I16" s="50">
        <f t="shared" si="19"/>
        <v>63.656999999999982</v>
      </c>
      <c r="J16" s="49">
        <f t="shared" si="19"/>
        <v>55.850999999999971</v>
      </c>
      <c r="K16" s="48">
        <f t="shared" si="19"/>
        <v>87.969999999999985</v>
      </c>
      <c r="L16" s="48">
        <f t="shared" si="19"/>
        <v>118.45399999999995</v>
      </c>
      <c r="M16" s="48">
        <f t="shared" si="19"/>
        <v>145.27899999999997</v>
      </c>
      <c r="N16" s="49">
        <f t="shared" ref="N16:O16" si="20">N11-N15</f>
        <v>109.37900000000005</v>
      </c>
      <c r="O16" s="48">
        <f t="shared" si="20"/>
        <v>154.89600000000004</v>
      </c>
      <c r="P16" s="48">
        <f t="shared" ref="P16:R16" si="21">P11-P15</f>
        <v>161.95900000000003</v>
      </c>
      <c r="Q16" s="48">
        <f t="shared" si="21"/>
        <v>183.02999999999992</v>
      </c>
      <c r="R16" s="49">
        <f t="shared" si="21"/>
        <v>123.06900000000002</v>
      </c>
      <c r="S16" s="48">
        <f t="shared" ref="S16:T16" si="22">S11-S15</f>
        <v>151.99999999999994</v>
      </c>
      <c r="T16" s="48">
        <f t="shared" si="22"/>
        <v>173.00000000000006</v>
      </c>
      <c r="U16" s="48">
        <f t="shared" ref="U16:V16" si="23">U11-U15</f>
        <v>150.99999999999994</v>
      </c>
      <c r="V16" s="49">
        <f t="shared" si="23"/>
        <v>58.38900000000001</v>
      </c>
      <c r="W16" s="48">
        <f t="shared" ref="W16:X16" si="24">W11-W15</f>
        <v>105.80900000000003</v>
      </c>
      <c r="X16" s="48">
        <f t="shared" si="24"/>
        <v>160.54100000000011</v>
      </c>
      <c r="Y16" s="48">
        <f t="shared" ref="Y16" si="25">Y11-Y15</f>
        <v>154.71514672380886</v>
      </c>
    </row>
    <row r="17" spans="1:25" s="7" customFormat="1" x14ac:dyDescent="0.15">
      <c r="A17" s="7" t="s">
        <v>12</v>
      </c>
      <c r="B17" s="30">
        <v>1.456</v>
      </c>
      <c r="C17" s="30">
        <f>0.608+1.621</f>
        <v>2.2290000000000001</v>
      </c>
      <c r="D17" s="30">
        <f>-0.462+1.818</f>
        <v>1.3560000000000001</v>
      </c>
      <c r="E17" s="30">
        <f>-7.207+1.443</f>
        <v>-5.7639999999999993</v>
      </c>
      <c r="F17" s="29">
        <f>-0.868+1.42</f>
        <v>0.55199999999999994</v>
      </c>
      <c r="G17" s="27">
        <f>-3.44+2.411</f>
        <v>-1.0289999999999999</v>
      </c>
      <c r="H17" s="27">
        <f>-11.087+1.911</f>
        <v>-9.1760000000000002</v>
      </c>
      <c r="I17" s="27">
        <f>-24.232+2.885</f>
        <v>-21.347000000000001</v>
      </c>
      <c r="J17" s="29">
        <f>-0.122+2.222</f>
        <v>2.1</v>
      </c>
      <c r="K17" s="30">
        <f>-1.248+2.768</f>
        <v>1.5199999999999998</v>
      </c>
      <c r="L17" s="30">
        <f>-0.68+4.937</f>
        <v>4.2570000000000006</v>
      </c>
      <c r="M17" s="30">
        <f>-2.683+4.363</f>
        <v>1.6800000000000006</v>
      </c>
      <c r="N17" s="29">
        <f>-1.499+9.128</f>
        <v>7.6289999999999996</v>
      </c>
      <c r="O17" s="30">
        <f>-1.535+12.481</f>
        <v>10.946</v>
      </c>
      <c r="P17" s="30">
        <f>31.683+11.218</f>
        <v>42.900999999999996</v>
      </c>
      <c r="Q17" s="30">
        <f>-12.936+11.038</f>
        <v>-1.8979999999999997</v>
      </c>
      <c r="R17" s="29">
        <v>48.578000000000003</v>
      </c>
      <c r="S17" s="7">
        <v>-24</v>
      </c>
      <c r="T17" s="7">
        <v>5</v>
      </c>
      <c r="U17" s="7">
        <v>-25</v>
      </c>
      <c r="V17" s="68">
        <f>-3+13</f>
        <v>10</v>
      </c>
      <c r="W17" s="7">
        <v>132</v>
      </c>
      <c r="X17" s="7">
        <v>-97</v>
      </c>
      <c r="Y17" s="7">
        <f>AVERAGE(R17:U17)</f>
        <v>1.1445000000000007</v>
      </c>
    </row>
    <row r="18" spans="1:25" s="7" customFormat="1" x14ac:dyDescent="0.15">
      <c r="A18" s="7" t="s">
        <v>13</v>
      </c>
      <c r="B18" s="48">
        <f>B16+B17</f>
        <v>-3.065000000000015</v>
      </c>
      <c r="C18" s="48">
        <f>C16+C17</f>
        <v>4.5670000000000224</v>
      </c>
      <c r="D18" s="48">
        <f>D16+D17</f>
        <v>15.25400000000001</v>
      </c>
      <c r="E18" s="48">
        <f>E16+E17</f>
        <v>20.023999999999997</v>
      </c>
      <c r="F18" s="49">
        <f>F16+F17</f>
        <v>7.7029999999999959</v>
      </c>
      <c r="G18" s="50">
        <f t="shared" ref="G18:I18" si="26">G16+G17</f>
        <v>26.222000000000005</v>
      </c>
      <c r="H18" s="50">
        <f t="shared" si="26"/>
        <v>33.745000000000005</v>
      </c>
      <c r="I18" s="50">
        <f t="shared" si="26"/>
        <v>42.309999999999981</v>
      </c>
      <c r="J18" s="49">
        <f t="shared" ref="J18:K18" si="27">J16+J17</f>
        <v>57.950999999999972</v>
      </c>
      <c r="K18" s="48">
        <f t="shared" si="27"/>
        <v>89.489999999999981</v>
      </c>
      <c r="L18" s="48">
        <f t="shared" ref="L18:N18" si="28">L16+L17</f>
        <v>122.71099999999996</v>
      </c>
      <c r="M18" s="48">
        <f>M16+M17</f>
        <v>146.95899999999997</v>
      </c>
      <c r="N18" s="49">
        <f t="shared" si="28"/>
        <v>117.00800000000005</v>
      </c>
      <c r="O18" s="48">
        <f t="shared" ref="O18:P18" si="29">O16+O17</f>
        <v>165.84200000000004</v>
      </c>
      <c r="P18" s="48">
        <f t="shared" si="29"/>
        <v>204.86</v>
      </c>
      <c r="Q18" s="48">
        <f t="shared" ref="Q18:Y18" si="30">Q16+Q17</f>
        <v>181.13199999999992</v>
      </c>
      <c r="R18" s="49">
        <f t="shared" si="30"/>
        <v>171.64700000000002</v>
      </c>
      <c r="S18" s="48">
        <f t="shared" si="30"/>
        <v>127.99999999999994</v>
      </c>
      <c r="T18" s="48">
        <f t="shared" si="30"/>
        <v>178.00000000000006</v>
      </c>
      <c r="U18" s="48">
        <f t="shared" si="30"/>
        <v>125.99999999999994</v>
      </c>
      <c r="V18" s="49">
        <f t="shared" si="30"/>
        <v>68.38900000000001</v>
      </c>
      <c r="W18" s="48">
        <f t="shared" si="30"/>
        <v>237.80900000000003</v>
      </c>
      <c r="X18" s="48">
        <f t="shared" si="30"/>
        <v>63.541000000000111</v>
      </c>
      <c r="Y18" s="48">
        <f t="shared" si="30"/>
        <v>155.85964672380885</v>
      </c>
    </row>
    <row r="19" spans="1:25" s="7" customFormat="1" x14ac:dyDescent="0.15">
      <c r="A19" s="7" t="s">
        <v>14</v>
      </c>
      <c r="B19" s="30">
        <v>0.05</v>
      </c>
      <c r="C19" s="30">
        <v>0.41399999999999998</v>
      </c>
      <c r="D19" s="30">
        <v>1.03</v>
      </c>
      <c r="E19" s="30">
        <v>1.1519999999999999</v>
      </c>
      <c r="F19" s="29">
        <v>0.54800000000000004</v>
      </c>
      <c r="G19" s="27">
        <v>1.796</v>
      </c>
      <c r="H19" s="27">
        <v>1.917</v>
      </c>
      <c r="I19" s="27">
        <v>5.5E-2</v>
      </c>
      <c r="J19" s="29">
        <v>11.316000000000001</v>
      </c>
      <c r="K19" s="30">
        <v>16.363</v>
      </c>
      <c r="L19" s="30">
        <v>22.021999999999998</v>
      </c>
      <c r="M19" s="30">
        <v>17.045000000000002</v>
      </c>
      <c r="N19" s="29">
        <v>18.297000000000001</v>
      </c>
      <c r="O19" s="30">
        <v>25.148</v>
      </c>
      <c r="P19" s="30">
        <v>37.881999999999998</v>
      </c>
      <c r="Q19" s="30">
        <v>14.895</v>
      </c>
      <c r="R19" s="29">
        <v>21.073</v>
      </c>
      <c r="S19" s="7">
        <v>26</v>
      </c>
      <c r="T19" s="7">
        <v>31</v>
      </c>
      <c r="U19" s="7">
        <v>31</v>
      </c>
      <c r="V19" s="68">
        <v>16</v>
      </c>
      <c r="W19" s="7">
        <v>41</v>
      </c>
      <c r="X19" s="7">
        <v>30</v>
      </c>
      <c r="Y19" s="7">
        <f>Y18*U32</f>
        <v>38.346421019349812</v>
      </c>
    </row>
    <row r="20" spans="1:25" s="66" customFormat="1" x14ac:dyDescent="0.15">
      <c r="A20" s="66" t="s">
        <v>15</v>
      </c>
      <c r="B20" s="45">
        <f t="shared" ref="B20:G20" si="31">B18-B19</f>
        <v>-3.1150000000000149</v>
      </c>
      <c r="C20" s="45">
        <f t="shared" si="31"/>
        <v>4.1530000000000227</v>
      </c>
      <c r="D20" s="45">
        <f t="shared" si="31"/>
        <v>14.224000000000011</v>
      </c>
      <c r="E20" s="45">
        <f>E18-E19</f>
        <v>18.871999999999996</v>
      </c>
      <c r="F20" s="46">
        <f t="shared" si="31"/>
        <v>7.1549999999999958</v>
      </c>
      <c r="G20" s="47">
        <f t="shared" si="31"/>
        <v>24.426000000000005</v>
      </c>
      <c r="H20" s="47">
        <f t="shared" ref="H20" si="32">H18-H19</f>
        <v>31.828000000000003</v>
      </c>
      <c r="I20" s="47">
        <f t="shared" ref="I20:Q20" si="33">I18-I19</f>
        <v>42.254999999999981</v>
      </c>
      <c r="J20" s="46">
        <f t="shared" si="33"/>
        <v>46.63499999999997</v>
      </c>
      <c r="K20" s="45">
        <f t="shared" si="33"/>
        <v>73.126999999999981</v>
      </c>
      <c r="L20" s="45">
        <f t="shared" si="33"/>
        <v>100.68899999999996</v>
      </c>
      <c r="M20" s="45">
        <f t="shared" si="33"/>
        <v>129.91399999999999</v>
      </c>
      <c r="N20" s="46">
        <f t="shared" si="33"/>
        <v>98.711000000000055</v>
      </c>
      <c r="O20" s="45">
        <f t="shared" si="33"/>
        <v>140.69400000000005</v>
      </c>
      <c r="P20" s="45">
        <f t="shared" si="33"/>
        <v>166.97800000000001</v>
      </c>
      <c r="Q20" s="45">
        <f t="shared" si="33"/>
        <v>166.23699999999991</v>
      </c>
      <c r="R20" s="46">
        <f t="shared" ref="R20:S20" si="34">R18-R19</f>
        <v>150.57400000000001</v>
      </c>
      <c r="S20" s="45">
        <f t="shared" si="34"/>
        <v>101.99999999999994</v>
      </c>
      <c r="T20" s="45">
        <f t="shared" ref="T20:V20" si="35">T18-T19</f>
        <v>147.00000000000006</v>
      </c>
      <c r="U20" s="45">
        <f t="shared" si="35"/>
        <v>94.999999999999943</v>
      </c>
      <c r="V20" s="46">
        <f t="shared" si="35"/>
        <v>52.38900000000001</v>
      </c>
      <c r="W20" s="45">
        <f t="shared" ref="W20:X20" si="36">W18-W19</f>
        <v>196.80900000000003</v>
      </c>
      <c r="X20" s="45">
        <f t="shared" si="36"/>
        <v>33.541000000000111</v>
      </c>
      <c r="Y20" s="45">
        <f t="shared" ref="Y20" si="37">Y18-Y19</f>
        <v>117.51322570445905</v>
      </c>
    </row>
    <row r="21" spans="1:25" s="54" customFormat="1" x14ac:dyDescent="0.15">
      <c r="A21" s="54" t="s">
        <v>16</v>
      </c>
      <c r="B21" s="53">
        <f t="shared" ref="B21:H21" si="38">IFERROR(B20/B22,0)</f>
        <v>-1.5196233870771103E-2</v>
      </c>
      <c r="C21" s="53">
        <f t="shared" si="38"/>
        <v>1.9039541547278042E-2</v>
      </c>
      <c r="D21" s="53">
        <f t="shared" si="38"/>
        <v>6.5343323487121102E-2</v>
      </c>
      <c r="E21" s="53">
        <f t="shared" si="38"/>
        <v>8.5991324317427897E-2</v>
      </c>
      <c r="F21" s="52">
        <f t="shared" si="38"/>
        <v>3.2578110059828962E-2</v>
      </c>
      <c r="G21" s="51">
        <f t="shared" si="38"/>
        <v>0.1102201605515972</v>
      </c>
      <c r="H21" s="51">
        <f t="shared" si="38"/>
        <v>0.14217751193821168</v>
      </c>
      <c r="I21" s="51">
        <f t="shared" ref="I21:L21" si="39">IFERROR(I20/I22,0)</f>
        <v>0.18833654990439422</v>
      </c>
      <c r="J21" s="52">
        <f t="shared" si="39"/>
        <v>0.20760621817016262</v>
      </c>
      <c r="K21" s="53">
        <f t="shared" si="39"/>
        <v>0.32465537525805227</v>
      </c>
      <c r="L21" s="53">
        <f t="shared" si="39"/>
        <v>0.4461523464328282</v>
      </c>
      <c r="M21" s="53">
        <f t="shared" ref="M21:N21" si="40">IFERROR(M20/M22,0)</f>
        <v>0.56370381619768717</v>
      </c>
      <c r="N21" s="52">
        <f t="shared" si="40"/>
        <v>0.43683038974027666</v>
      </c>
      <c r="O21" s="53">
        <f t="shared" ref="O21:P21" si="41">IFERROR(O20/O22,0)</f>
        <v>0.60443875446796835</v>
      </c>
      <c r="P21" s="53">
        <f t="shared" si="41"/>
        <v>0.71769105131952204</v>
      </c>
      <c r="Q21" s="53">
        <f t="shared" ref="Q21:S21" si="42">IFERROR(Q20/Q22,0)</f>
        <v>0.71481952889171696</v>
      </c>
      <c r="R21" s="52">
        <f t="shared" si="42"/>
        <v>0.64653447491133309</v>
      </c>
      <c r="S21" s="53">
        <f t="shared" si="42"/>
        <v>0.45077493514586081</v>
      </c>
      <c r="T21" s="53">
        <f t="shared" ref="T21:V21" si="43">IFERROR(T20/T22,0)</f>
        <v>0.63056029786467427</v>
      </c>
      <c r="U21" s="53">
        <f t="shared" si="43"/>
        <v>0.4187900054663114</v>
      </c>
      <c r="V21" s="52">
        <f t="shared" si="43"/>
        <v>0.23075906602240248</v>
      </c>
      <c r="W21" s="53">
        <f t="shared" ref="W21:X21" si="44">IFERROR(W20/W22,0)</f>
        <v>0.84112520995115037</v>
      </c>
      <c r="X21" s="53">
        <f t="shared" si="44"/>
        <v>0.14724333056766498</v>
      </c>
      <c r="Y21" s="53">
        <f t="shared" ref="Y21" si="45">IFERROR(Y20/Y22,0)</f>
        <v>0</v>
      </c>
    </row>
    <row r="22" spans="1:25" s="7" customFormat="1" x14ac:dyDescent="0.15">
      <c r="A22" s="7" t="s">
        <v>17</v>
      </c>
      <c r="B22" s="30">
        <v>204.98500000000001</v>
      </c>
      <c r="C22" s="30">
        <v>218.125</v>
      </c>
      <c r="D22" s="30">
        <v>217.68100000000001</v>
      </c>
      <c r="E22" s="30">
        <v>219.464</v>
      </c>
      <c r="F22" s="29">
        <v>219.626</v>
      </c>
      <c r="G22" s="30">
        <v>221.61099999999999</v>
      </c>
      <c r="H22" s="30">
        <v>223.86099999999999</v>
      </c>
      <c r="I22" s="30">
        <v>224.35900000000001</v>
      </c>
      <c r="J22" s="29">
        <v>224.63200000000001</v>
      </c>
      <c r="K22" s="30">
        <v>225.245</v>
      </c>
      <c r="L22" s="30">
        <v>225.68299999999999</v>
      </c>
      <c r="M22" s="30">
        <v>230.465</v>
      </c>
      <c r="N22" s="29">
        <v>225.971</v>
      </c>
      <c r="O22" s="30">
        <v>232.768</v>
      </c>
      <c r="P22" s="30">
        <v>232.66</v>
      </c>
      <c r="Q22" s="30">
        <v>232.55799999999999</v>
      </c>
      <c r="R22" s="29">
        <v>232.89400000000001</v>
      </c>
      <c r="S22" s="7">
        <v>226.27699999999999</v>
      </c>
      <c r="T22" s="7">
        <v>233.126</v>
      </c>
      <c r="U22" s="7">
        <v>226.84399999999999</v>
      </c>
      <c r="V22" s="68">
        <v>227.029</v>
      </c>
      <c r="W22" s="7">
        <v>233.983</v>
      </c>
      <c r="X22" s="7">
        <v>227.79300000000001</v>
      </c>
    </row>
    <row r="23" spans="1:25" s="17" customFormat="1" x14ac:dyDescent="0.15">
      <c r="B23" s="58"/>
      <c r="C23" s="58"/>
      <c r="D23" s="58"/>
      <c r="E23" s="58"/>
      <c r="F23" s="57"/>
      <c r="G23" s="56"/>
      <c r="H23" s="56"/>
      <c r="I23" s="56"/>
      <c r="J23" s="57"/>
      <c r="K23" s="58"/>
      <c r="L23" s="58"/>
      <c r="M23" s="58"/>
      <c r="N23" s="57"/>
      <c r="O23" s="58"/>
      <c r="P23" s="58"/>
      <c r="Q23" s="58"/>
      <c r="R23" s="57"/>
      <c r="V23" s="76"/>
      <c r="X23" s="77">
        <v>-0.05</v>
      </c>
      <c r="Y23" s="77">
        <v>0.01</v>
      </c>
    </row>
    <row r="24" spans="1:25" s="2" customFormat="1" x14ac:dyDescent="0.15">
      <c r="A24" s="2" t="s">
        <v>18</v>
      </c>
      <c r="B24" s="35"/>
      <c r="C24" s="35"/>
      <c r="D24" s="35"/>
      <c r="E24" s="35"/>
      <c r="F24" s="36">
        <f>IFERROR((F9/B9)-1,0)</f>
        <v>0.23886177173122869</v>
      </c>
      <c r="G24" s="35">
        <f>IFERROR((G9/C9)-1,0)</f>
        <v>0.36203890877394684</v>
      </c>
      <c r="H24" s="35">
        <f t="shared" ref="H24" si="46">IFERROR((H9/D9)-1,0)</f>
        <v>0.41803357544855446</v>
      </c>
      <c r="I24" s="35">
        <f>IFERROR((I9/E9)-1,0)</f>
        <v>0.42759939607448438</v>
      </c>
      <c r="J24" s="36">
        <f>IFERROR((J9/F9)-1,0)</f>
        <v>0.66988850699974867</v>
      </c>
      <c r="K24" s="35">
        <f t="shared" ref="K24" si="47">IFERROR((K9/G9)-1,0)</f>
        <v>0.72497532082922023</v>
      </c>
      <c r="L24" s="35">
        <f t="shared" ref="L24:Q24" si="48">IFERROR((L9/H9)-1,0)</f>
        <v>0.80936469976311187</v>
      </c>
      <c r="M24" s="35">
        <f t="shared" si="48"/>
        <v>0.77414123752044683</v>
      </c>
      <c r="N24" s="36">
        <f t="shared" si="48"/>
        <v>0.75643194562276328</v>
      </c>
      <c r="O24" s="35">
        <f t="shared" si="48"/>
        <v>0.68364032473862668</v>
      </c>
      <c r="P24" s="35">
        <f t="shared" si="48"/>
        <v>0.43787710719140116</v>
      </c>
      <c r="Q24" s="35">
        <f t="shared" si="48"/>
        <v>0.27667607201049149</v>
      </c>
      <c r="R24" s="36">
        <f>IFERROR((R9/N9)-1,0)</f>
        <v>0.14088709654370168</v>
      </c>
      <c r="S24" s="35">
        <f>IFERROR((S9/O9)-1,0)</f>
        <v>1.2684340196301047E-2</v>
      </c>
      <c r="T24" s="35">
        <f>IFERROR((T9/P9)-1,0)</f>
        <v>1.4840135514841313E-2</v>
      </c>
      <c r="U24" s="35">
        <f>IFERROR((U9/Q9)-1,0)</f>
        <v>-2.8793774319066157E-2</v>
      </c>
      <c r="V24" s="36">
        <f>IFERROR((V9/R9)-1,0)</f>
        <v>-0.18986063826322663</v>
      </c>
      <c r="W24" s="35">
        <f>IFERROR((W9/S9)-1,0)</f>
        <v>-0.10325694444444422</v>
      </c>
      <c r="X24" s="35">
        <f>IFERROR((X9/T9)-1,0)</f>
        <v>-2.7002141327622242E-3</v>
      </c>
      <c r="Y24" s="35">
        <f>IFERROR((Y9/U9)-1,0)</f>
        <v>1.0726495726495866E-2</v>
      </c>
    </row>
    <row r="25" spans="1:25" s="2" customFormat="1" x14ac:dyDescent="0.15">
      <c r="A25" s="1" t="s">
        <v>47</v>
      </c>
      <c r="B25" s="37"/>
      <c r="C25" s="37"/>
      <c r="D25" s="37"/>
      <c r="E25" s="37"/>
      <c r="F25" s="38">
        <f>IFERROR((F12/B12)-1,0)</f>
        <v>7.591470519692356E-2</v>
      </c>
      <c r="G25" s="37">
        <f t="shared" ref="G25:H25" si="49">IFERROR((G12/C12)-1,0)</f>
        <v>7.4323745322631307E-2</v>
      </c>
      <c r="H25" s="37">
        <f t="shared" si="49"/>
        <v>5.8170858560264493E-2</v>
      </c>
      <c r="I25" s="37">
        <f>IFERROR((I12/E12)-1,0)</f>
        <v>8.8900420604140606E-2</v>
      </c>
      <c r="J25" s="38">
        <f>IFERROR((J12/F12)-1,0)</f>
        <v>6.1109005252612869E-2</v>
      </c>
      <c r="K25" s="37">
        <f t="shared" ref="K25:R25" si="50">IFERROR((K12/G12)-1,0)</f>
        <v>0.21049692908989392</v>
      </c>
      <c r="L25" s="37">
        <f t="shared" si="50"/>
        <v>0.27967938700408346</v>
      </c>
      <c r="M25" s="37">
        <f t="shared" si="50"/>
        <v>0.45235646743083602</v>
      </c>
      <c r="N25" s="38">
        <f t="shared" si="50"/>
        <v>0.54430864229032183</v>
      </c>
      <c r="O25" s="37">
        <f t="shared" si="50"/>
        <v>0.33133456334563349</v>
      </c>
      <c r="P25" s="37">
        <f t="shared" si="50"/>
        <v>0.30435296434902481</v>
      </c>
      <c r="Q25" s="37">
        <f t="shared" si="50"/>
        <v>7.9631804365846826E-2</v>
      </c>
      <c r="R25" s="38">
        <f t="shared" si="50"/>
        <v>0.15415627116963782</v>
      </c>
      <c r="S25" s="37">
        <f t="shared" ref="S25:Y26" si="51">IFERROR((S12/O12)-1,0)</f>
        <v>0.15486776764060517</v>
      </c>
      <c r="T25" s="37">
        <f t="shared" si="51"/>
        <v>4.1949805200688584E-2</v>
      </c>
      <c r="U25" s="37">
        <f t="shared" si="51"/>
        <v>0.1997120691034151</v>
      </c>
      <c r="V25" s="38">
        <f t="shared" si="51"/>
        <v>5.9367528953659932E-2</v>
      </c>
      <c r="W25" s="37">
        <f t="shared" si="51"/>
        <v>8.5714285714285632E-2</v>
      </c>
      <c r="X25" s="37">
        <f t="shared" si="51"/>
        <v>0.21739130434782616</v>
      </c>
      <c r="Y25" s="37">
        <f t="shared" si="51"/>
        <v>0.19999999999999996</v>
      </c>
    </row>
    <row r="26" spans="1:25" s="2" customFormat="1" x14ac:dyDescent="0.15">
      <c r="A26" s="1" t="s">
        <v>48</v>
      </c>
      <c r="B26" s="37"/>
      <c r="C26" s="37"/>
      <c r="D26" s="37"/>
      <c r="E26" s="37"/>
      <c r="F26" s="38">
        <f>IFERROR((F13/B13)-1,0)</f>
        <v>-3.6715192714679601E-2</v>
      </c>
      <c r="G26" s="37">
        <f t="shared" ref="G26:R26" si="52">IFERROR((G13/C13)-1,0)</f>
        <v>0.12807743564564777</v>
      </c>
      <c r="H26" s="37">
        <f t="shared" si="52"/>
        <v>0.26453198697933966</v>
      </c>
      <c r="I26" s="37">
        <f t="shared" si="52"/>
        <v>0.32419385981849769</v>
      </c>
      <c r="J26" s="38">
        <f t="shared" si="52"/>
        <v>0.56995439565926564</v>
      </c>
      <c r="K26" s="37">
        <f t="shared" si="52"/>
        <v>0.84552011440651631</v>
      </c>
      <c r="L26" s="37">
        <f t="shared" si="52"/>
        <v>1.005411084843709</v>
      </c>
      <c r="M26" s="37">
        <f t="shared" si="52"/>
        <v>0.93027954838978477</v>
      </c>
      <c r="N26" s="38">
        <f t="shared" si="52"/>
        <v>1.2446197230880141</v>
      </c>
      <c r="O26" s="37">
        <f t="shared" si="52"/>
        <v>1.3579839293836229</v>
      </c>
      <c r="P26" s="37">
        <f t="shared" si="52"/>
        <v>0.84762790453985781</v>
      </c>
      <c r="Q26" s="37">
        <f t="shared" si="52"/>
        <v>0.51648410942642853</v>
      </c>
      <c r="R26" s="38">
        <f t="shared" si="52"/>
        <v>2.7204972464411892E-3</v>
      </c>
      <c r="S26" s="37">
        <f t="shared" si="51"/>
        <v>-0.24273273466355194</v>
      </c>
      <c r="T26" s="37">
        <f t="shared" si="51"/>
        <v>-8.548905068092072E-2</v>
      </c>
      <c r="U26" s="37">
        <f t="shared" si="51"/>
        <v>-0.12471090553282338</v>
      </c>
      <c r="V26" s="38">
        <f t="shared" si="51"/>
        <v>-6.7366298951493597E-2</v>
      </c>
      <c r="W26" s="37">
        <f t="shared" si="51"/>
        <v>5.6603773584905648E-2</v>
      </c>
      <c r="X26" s="37">
        <f t="shared" si="51"/>
        <v>-0.18604651162790697</v>
      </c>
      <c r="Y26" s="37">
        <f t="shared" si="51"/>
        <v>-9.9999999999999978E-2</v>
      </c>
    </row>
    <row r="27" spans="1:25" s="2" customFormat="1" x14ac:dyDescent="0.15">
      <c r="A27" s="1" t="s">
        <v>49</v>
      </c>
      <c r="B27" s="37"/>
      <c r="C27" s="37"/>
      <c r="D27" s="37"/>
      <c r="E27" s="37"/>
      <c r="F27" s="38">
        <f>IFERROR((F14/B14)-1,0)</f>
        <v>0.33992467043314512</v>
      </c>
      <c r="G27" s="37">
        <f t="shared" ref="G27:Y27" si="53">IFERROR((G14/C14)-1,0)</f>
        <v>0.10950313555233948</v>
      </c>
      <c r="H27" s="37">
        <f t="shared" si="53"/>
        <v>0.95430286857905244</v>
      </c>
      <c r="I27" s="37">
        <f t="shared" si="53"/>
        <v>0.42310949788263752</v>
      </c>
      <c r="J27" s="38">
        <f>IFERROR((J14/F14)-1,0)</f>
        <v>0.23518388381353938</v>
      </c>
      <c r="K27" s="37">
        <f t="shared" si="53"/>
        <v>0.10217391304347845</v>
      </c>
      <c r="L27" s="37">
        <f t="shared" si="53"/>
        <v>2.7223075610172565E-2</v>
      </c>
      <c r="M27" s="37">
        <f t="shared" si="53"/>
        <v>-0.1844924332596497</v>
      </c>
      <c r="N27" s="38">
        <f t="shared" si="53"/>
        <v>6.3531196662241607E-2</v>
      </c>
      <c r="O27" s="37">
        <f t="shared" si="53"/>
        <v>-8.1558185404339234E-2</v>
      </c>
      <c r="P27" s="37">
        <f t="shared" si="53"/>
        <v>0.73755919248982282</v>
      </c>
      <c r="Q27" s="37">
        <f t="shared" si="53"/>
        <v>0.34122185154295237</v>
      </c>
      <c r="R27" s="38">
        <f t="shared" si="53"/>
        <v>0.54128031383737518</v>
      </c>
      <c r="S27" s="37">
        <f t="shared" si="53"/>
        <v>1.3622892730591643</v>
      </c>
      <c r="T27" s="37">
        <f t="shared" si="53"/>
        <v>9.9689218264403578E-2</v>
      </c>
      <c r="U27" s="37">
        <f t="shared" si="53"/>
        <v>1.1764477263894286</v>
      </c>
      <c r="V27" s="38">
        <f t="shared" si="53"/>
        <v>4.124486608434097E-2</v>
      </c>
      <c r="W27" s="37">
        <f t="shared" si="53"/>
        <v>0.36363636363636354</v>
      </c>
      <c r="X27" s="37">
        <f t="shared" si="53"/>
        <v>0.69565217391304346</v>
      </c>
      <c r="Y27" s="37">
        <f t="shared" si="53"/>
        <v>0.39999999999999991</v>
      </c>
    </row>
    <row r="28" spans="1:25" s="55" customFormat="1" x14ac:dyDescent="0.15">
      <c r="A28" s="17" t="s">
        <v>101</v>
      </c>
      <c r="B28" s="59"/>
      <c r="C28" s="59"/>
      <c r="D28" s="59"/>
      <c r="E28" s="59"/>
      <c r="F28" s="60">
        <f>F15/B15-1</f>
        <v>5.0454886904264917E-2</v>
      </c>
      <c r="G28" s="59">
        <f>G15/C15-1</f>
        <v>9.9728468982802854E-2</v>
      </c>
      <c r="H28" s="59">
        <f>H15/D15-1</f>
        <v>0.21559888579387199</v>
      </c>
      <c r="I28" s="59">
        <f>I15/E15-1</f>
        <v>0.22808509589311265</v>
      </c>
      <c r="J28" s="60">
        <f>J15/F15-1</f>
        <v>0.28322275634658967</v>
      </c>
      <c r="K28" s="59">
        <f t="shared" ref="K28:Y28" si="54">K15/G15-1</f>
        <v>0.45651265558327125</v>
      </c>
      <c r="L28" s="59">
        <f t="shared" si="54"/>
        <v>0.55544253426035661</v>
      </c>
      <c r="M28" s="59">
        <f t="shared" si="54"/>
        <v>0.60744502544235601</v>
      </c>
      <c r="N28" s="60">
        <f t="shared" si="54"/>
        <v>0.83283797729618159</v>
      </c>
      <c r="O28" s="59">
        <f t="shared" si="54"/>
        <v>0.82475158870217591</v>
      </c>
      <c r="P28" s="59">
        <f t="shared" si="54"/>
        <v>0.63989277988976134</v>
      </c>
      <c r="Q28" s="59">
        <f t="shared" si="54"/>
        <v>0.3480497749139928</v>
      </c>
      <c r="R28" s="60">
        <f t="shared" si="54"/>
        <v>8.8337969167013863E-2</v>
      </c>
      <c r="S28" s="59">
        <f t="shared" si="54"/>
        <v>-5.6707145681576643E-2</v>
      </c>
      <c r="T28" s="59">
        <f t="shared" si="54"/>
        <v>-3.1534295079668317E-2</v>
      </c>
      <c r="U28" s="59">
        <f t="shared" si="54"/>
        <v>4.6756675389638902E-2</v>
      </c>
      <c r="V28" s="60">
        <f t="shared" si="54"/>
        <v>-1.185259530966265E-2</v>
      </c>
      <c r="W28" s="59">
        <f t="shared" si="54"/>
        <v>0.10101010101010099</v>
      </c>
      <c r="X28" s="59">
        <f t="shared" si="54"/>
        <v>3.167420814479649E-2</v>
      </c>
      <c r="Y28" s="59">
        <f t="shared" si="54"/>
        <v>6.1504424778761058E-2</v>
      </c>
    </row>
    <row r="29" spans="1:25" x14ac:dyDescent="0.15">
      <c r="B29" s="32"/>
      <c r="C29" s="32"/>
      <c r="D29" s="32"/>
      <c r="E29" s="32"/>
      <c r="K29" s="32"/>
      <c r="L29" s="32"/>
      <c r="M29" s="32"/>
      <c r="O29" s="32"/>
      <c r="P29" s="32"/>
      <c r="Q29" s="32"/>
      <c r="R29" s="31"/>
    </row>
    <row r="30" spans="1:25" x14ac:dyDescent="0.15">
      <c r="A30" s="1" t="s">
        <v>19</v>
      </c>
      <c r="B30" s="39">
        <f>IFERROR(B11/B9,0)</f>
        <v>0.69960535881192232</v>
      </c>
      <c r="C30" s="39">
        <f>IFERROR(C11/C9,0)</f>
        <v>0.68760779659130966</v>
      </c>
      <c r="D30" s="39">
        <f>IFERROR(D11/D9,0)</f>
        <v>0.70143665720653559</v>
      </c>
      <c r="E30" s="39">
        <f>IFERROR(E11/E9,0)</f>
        <v>0.71746351283341725</v>
      </c>
      <c r="F30" s="40">
        <f>IFERROR(F11/F9,0)</f>
        <v>0.69296671975857149</v>
      </c>
      <c r="G30" s="41">
        <f t="shared" ref="G30:L30" si="55">IFERROR(G11/G9,0)</f>
        <v>0.72320522858018177</v>
      </c>
      <c r="H30" s="41">
        <f t="shared" si="55"/>
        <v>0.74844666067380161</v>
      </c>
      <c r="I30" s="41">
        <f t="shared" si="55"/>
        <v>0.76754658093143058</v>
      </c>
      <c r="J30" s="40">
        <f t="shared" si="55"/>
        <v>0.76681843966646746</v>
      </c>
      <c r="K30" s="39">
        <f t="shared" si="55"/>
        <v>0.80119428668405857</v>
      </c>
      <c r="L30" s="39">
        <f t="shared" si="55"/>
        <v>0.80493383536175733</v>
      </c>
      <c r="M30" s="39">
        <f t="shared" ref="M30:N30" si="56">IFERROR(M11/M9,0)</f>
        <v>0.80923048391156327</v>
      </c>
      <c r="N30" s="40">
        <f t="shared" si="56"/>
        <v>0.82021990208155304</v>
      </c>
      <c r="O30" s="39">
        <f t="shared" ref="O30:P30" si="57">IFERROR(O11/O9,0)</f>
        <v>0.85515332087794105</v>
      </c>
      <c r="P30" s="39">
        <f t="shared" si="57"/>
        <v>0.84784786525009181</v>
      </c>
      <c r="Q30" s="39">
        <f t="shared" ref="Q30:V30" si="58">IFERROR(Q11/Q9,0)</f>
        <v>0.82788067444876778</v>
      </c>
      <c r="R30" s="40">
        <f t="shared" si="58"/>
        <v>0.79253063177487681</v>
      </c>
      <c r="S30" s="39">
        <f t="shared" si="58"/>
        <v>0.81018518518518512</v>
      </c>
      <c r="T30" s="39">
        <f t="shared" si="58"/>
        <v>0.84368308351177734</v>
      </c>
      <c r="U30" s="39">
        <f t="shared" si="58"/>
        <v>0.80555555555555558</v>
      </c>
      <c r="V30" s="40">
        <f t="shared" si="58"/>
        <v>0.77117341653550364</v>
      </c>
      <c r="W30" s="39">
        <f t="shared" ref="W30:X30" si="59">IFERROR(W11/W9,0)</f>
        <v>0.83586693616043661</v>
      </c>
      <c r="X30" s="39">
        <f t="shared" si="59"/>
        <v>0.83424621944909061</v>
      </c>
      <c r="Y30" s="39">
        <f t="shared" ref="Y30" si="60">IFERROR(Y11/Y9,0)</f>
        <v>0.83424621944909061</v>
      </c>
    </row>
    <row r="31" spans="1:25" x14ac:dyDescent="0.15">
      <c r="A31" s="1" t="s">
        <v>20</v>
      </c>
      <c r="B31" s="42">
        <f>IFERROR(B16/B9,0)</f>
        <v>-4.695191608682122E-2</v>
      </c>
      <c r="C31" s="42">
        <f>IFERROR(C16/C9,0)</f>
        <v>2.1679864987667347E-2</v>
      </c>
      <c r="D31" s="42">
        <f>IFERROR(D16/D9,0)</f>
        <v>0.11142110410954519</v>
      </c>
      <c r="E31" s="42">
        <f>IFERROR(E16/E9,0)</f>
        <v>0.17304479114242577</v>
      </c>
      <c r="F31" s="43">
        <f>IFERROR(F16/F9,0)</f>
        <v>5.994634923296166E-2</v>
      </c>
      <c r="G31" s="44">
        <f t="shared" ref="G31:L31" si="61">IFERROR(G16/G9,0)</f>
        <v>0.18552609184055557</v>
      </c>
      <c r="H31" s="44">
        <f t="shared" si="61"/>
        <v>0.24266015366610699</v>
      </c>
      <c r="I31" s="44">
        <f t="shared" si="61"/>
        <v>0.29921315359016293</v>
      </c>
      <c r="J31" s="43">
        <f t="shared" si="61"/>
        <v>0.28037509851858161</v>
      </c>
      <c r="K31" s="42">
        <f t="shared" si="61"/>
        <v>0.34719563647271012</v>
      </c>
      <c r="L31" s="42">
        <f t="shared" si="61"/>
        <v>0.37012826722077263</v>
      </c>
      <c r="M31" s="42">
        <f t="shared" ref="M31:N31" si="62">IFERROR(M16/M9,0)</f>
        <v>0.38490111142020683</v>
      </c>
      <c r="N31" s="43">
        <f t="shared" si="62"/>
        <v>0.31261593161142448</v>
      </c>
      <c r="O31" s="42">
        <f t="shared" ref="O31:P31" si="63">IFERROR(O16/O9,0)</f>
        <v>0.36310359620149613</v>
      </c>
      <c r="P31" s="42">
        <f t="shared" si="63"/>
        <v>0.35195394755427878</v>
      </c>
      <c r="Q31" s="42">
        <f>IFERROR(Q16/Q9,0)</f>
        <v>0.37982879377431894</v>
      </c>
      <c r="R31" s="43">
        <f t="shared" ref="R31:S31" si="64">IFERROR(R16/R9,0)</f>
        <v>0.30830684132602831</v>
      </c>
      <c r="S31" s="42">
        <f t="shared" si="64"/>
        <v>0.35185185185185175</v>
      </c>
      <c r="T31" s="42">
        <f t="shared" ref="T31:U31" si="65">IFERROR(T16/T9,0)</f>
        <v>0.37044967880085661</v>
      </c>
      <c r="U31" s="42">
        <f t="shared" si="65"/>
        <v>0.32264957264957256</v>
      </c>
      <c r="V31" s="43">
        <f t="shared" ref="V31" si="66">IFERROR(V16/V9,0)</f>
        <v>0.18055345110687132</v>
      </c>
      <c r="W31" s="42">
        <f t="shared" ref="W31:X31" si="67">IFERROR(W16/W9,0)</f>
        <v>0.27313090324296002</v>
      </c>
      <c r="X31" s="42">
        <f t="shared" si="67"/>
        <v>0.34470164620098398</v>
      </c>
      <c r="Y31" s="42">
        <f t="shared" ref="Y31" si="68">IFERROR(Y16/Y9,0)</f>
        <v>0.32707950345399533</v>
      </c>
    </row>
    <row r="32" spans="1:25" x14ac:dyDescent="0.15">
      <c r="A32" s="1" t="s">
        <v>21</v>
      </c>
      <c r="B32" s="42">
        <f>IFERROR(B19/B18,0)</f>
        <v>-1.6313213703099433E-2</v>
      </c>
      <c r="C32" s="42">
        <f t="shared" ref="C32" si="69">IFERROR(C19/C18,0)</f>
        <v>9.0650317495072907E-2</v>
      </c>
      <c r="D32" s="42">
        <f t="shared" ref="D32:E32" si="70">IFERROR(D19/D18,0)</f>
        <v>6.7523272584240152E-2</v>
      </c>
      <c r="E32" s="42">
        <f t="shared" si="70"/>
        <v>5.7530962844586503E-2</v>
      </c>
      <c r="F32" s="43">
        <f>IFERROR(F19/F18,0)</f>
        <v>7.114111385174611E-2</v>
      </c>
      <c r="G32" s="44">
        <f>IFERROR(G19/G18,0)</f>
        <v>6.8492105865303937E-2</v>
      </c>
      <c r="H32" s="44">
        <f>IFERROR(H19/H18,0)</f>
        <v>5.6808416061638757E-2</v>
      </c>
      <c r="I32" s="44">
        <f t="shared" ref="I32:L32" si="71">IFERROR(I19/I18,0)</f>
        <v>1.2999290947766492E-3</v>
      </c>
      <c r="J32" s="43">
        <f t="shared" si="71"/>
        <v>0.19526841642076936</v>
      </c>
      <c r="K32" s="42">
        <f t="shared" si="71"/>
        <v>0.18284724550229078</v>
      </c>
      <c r="L32" s="42">
        <f t="shared" si="71"/>
        <v>0.17946231389199019</v>
      </c>
      <c r="M32" s="42">
        <f>IFERROR(M19/M18,0)</f>
        <v>0.11598473043501932</v>
      </c>
      <c r="N32" s="43">
        <f t="shared" ref="N32:O32" si="72">IFERROR(N19/N18,0)</f>
        <v>0.15637392315055373</v>
      </c>
      <c r="O32" s="42">
        <f t="shared" si="72"/>
        <v>0.15163830633976913</v>
      </c>
      <c r="P32" s="42">
        <f t="shared" ref="P32:R32" si="73">IFERROR(P19/P18,0)</f>
        <v>0.18491652836083178</v>
      </c>
      <c r="Q32" s="42">
        <f t="shared" si="73"/>
        <v>8.2232846763686182E-2</v>
      </c>
      <c r="R32" s="43">
        <f t="shared" si="73"/>
        <v>0.12276940465024147</v>
      </c>
      <c r="S32" s="42">
        <f>IFERROR(S19/S18,0)</f>
        <v>0.20312500000000008</v>
      </c>
      <c r="T32" s="42">
        <f>IFERROR(T19/T18,0)</f>
        <v>0.17415730337078647</v>
      </c>
      <c r="U32" s="42">
        <f>IFERROR(U19/U18,0)</f>
        <v>0.24603174603174613</v>
      </c>
      <c r="V32" s="43">
        <f>IFERROR(V19/V18,0)</f>
        <v>0.2339557531181915</v>
      </c>
      <c r="W32" s="42">
        <f>IFERROR(W19/W18,0)</f>
        <v>0.17240726801761075</v>
      </c>
      <c r="X32" s="42">
        <f>IFERROR(X19/X18,0)</f>
        <v>0.47213610110007631</v>
      </c>
      <c r="Y32" s="42">
        <f>IFERROR(Y19/Y18,0)</f>
        <v>0.24603174603174613</v>
      </c>
    </row>
    <row r="33" spans="1:24" x14ac:dyDescent="0.15">
      <c r="B33" s="32"/>
      <c r="C33" s="32"/>
      <c r="D33" s="32"/>
      <c r="E33" s="32"/>
      <c r="K33" s="32"/>
      <c r="L33" s="32"/>
      <c r="M33" s="32"/>
      <c r="O33" s="32"/>
      <c r="P33" s="32"/>
      <c r="Q33" s="32"/>
      <c r="R33" s="31"/>
    </row>
    <row r="34" spans="1:24" s="66" customFormat="1" x14ac:dyDescent="0.15">
      <c r="A34" s="66" t="s">
        <v>26</v>
      </c>
      <c r="B34" s="33"/>
      <c r="C34" s="33"/>
      <c r="D34" s="33"/>
      <c r="E34" s="45">
        <f>E35-E36</f>
        <v>630.55799999999999</v>
      </c>
      <c r="F34" s="46">
        <f>F35-F36</f>
        <v>673.226</v>
      </c>
      <c r="G34" s="47">
        <f t="shared" ref="G34:K34" si="74">G35-G36</f>
        <v>690.23</v>
      </c>
      <c r="H34" s="47">
        <f t="shared" si="74"/>
        <v>763.91000000000008</v>
      </c>
      <c r="I34" s="47">
        <f t="shared" si="74"/>
        <v>795.88699999999994</v>
      </c>
      <c r="J34" s="46">
        <f t="shared" si="74"/>
        <v>864.87699999999995</v>
      </c>
      <c r="K34" s="45">
        <f t="shared" si="74"/>
        <v>1028.8960000000002</v>
      </c>
      <c r="L34" s="45">
        <f>L35-L36</f>
        <v>1166.1599999999999</v>
      </c>
      <c r="M34" s="45">
        <f>L34+M20</f>
        <v>1296.0739999999998</v>
      </c>
      <c r="N34" s="46">
        <f t="shared" ref="N34:U34" si="75">N35-N36</f>
        <v>1488.3729999999996</v>
      </c>
      <c r="O34" s="45">
        <f t="shared" si="75"/>
        <v>1256.0339999999997</v>
      </c>
      <c r="P34" s="45">
        <f t="shared" si="75"/>
        <v>1416.817</v>
      </c>
      <c r="Q34" s="45">
        <f t="shared" si="75"/>
        <v>1636.328</v>
      </c>
      <c r="R34" s="46">
        <f t="shared" si="75"/>
        <v>1480.19</v>
      </c>
      <c r="S34" s="45">
        <f t="shared" si="75"/>
        <v>1580</v>
      </c>
      <c r="T34" s="45">
        <f t="shared" si="75"/>
        <v>1634</v>
      </c>
      <c r="U34" s="45">
        <f t="shared" si="75"/>
        <v>1749</v>
      </c>
      <c r="V34" s="46">
        <f t="shared" ref="V34" si="76">V35-V36</f>
        <v>1733</v>
      </c>
      <c r="W34" s="45">
        <f t="shared" ref="W34:X34" si="77">W35-W36</f>
        <v>1880</v>
      </c>
      <c r="X34" s="45">
        <f t="shared" si="77"/>
        <v>1952</v>
      </c>
    </row>
    <row r="35" spans="1:24" s="7" customFormat="1" x14ac:dyDescent="0.15">
      <c r="A35" s="7" t="s">
        <v>27</v>
      </c>
      <c r="B35" s="30"/>
      <c r="C35" s="30"/>
      <c r="D35" s="30"/>
      <c r="E35" s="30">
        <f>237.44+98.439+294.679</f>
        <v>630.55799999999999</v>
      </c>
      <c r="F35" s="29">
        <f>243.298+130.134+299.794</f>
        <v>673.226</v>
      </c>
      <c r="G35" s="30">
        <f>129.942+266.575+293.713</f>
        <v>690.23</v>
      </c>
      <c r="H35" s="30">
        <f>181.841+297.588+284.481</f>
        <v>763.91000000000008</v>
      </c>
      <c r="I35" s="30">
        <f>364.766+31.188+399.933</f>
        <v>795.88699999999994</v>
      </c>
      <c r="J35" s="29">
        <f>225.734+218.469+420.674</f>
        <v>864.87699999999995</v>
      </c>
      <c r="K35" s="30">
        <f>224.08+385.105+419.711</f>
        <v>1028.8960000000002</v>
      </c>
      <c r="L35" s="30">
        <f>186.651+550.305+429.204</f>
        <v>1166.1599999999999</v>
      </c>
      <c r="M35" s="30">
        <f>1000.953+791.73+452.337</f>
        <v>2245.02</v>
      </c>
      <c r="N35" s="29">
        <f>282.809+1632.629+453.953</f>
        <v>2369.3909999999996</v>
      </c>
      <c r="O35" s="30">
        <f>314.829+1255.353+567.906</f>
        <v>2138.0879999999997</v>
      </c>
      <c r="P35" s="30">
        <f>792.533+807.032+700.341</f>
        <v>2299.9059999999999</v>
      </c>
      <c r="Q35" s="30">
        <f>1234.596+591.269+694.586</f>
        <v>2520.451</v>
      </c>
      <c r="R35" s="29">
        <f>826.99+666.244+872.114</f>
        <v>2365.348</v>
      </c>
      <c r="S35" s="30">
        <f>961+598+907</f>
        <v>2466</v>
      </c>
      <c r="T35" s="30">
        <f>1777+593+945</f>
        <v>3315</v>
      </c>
      <c r="U35" s="30">
        <f>1453+951+1027</f>
        <v>3431</v>
      </c>
      <c r="V35" s="29">
        <f>1131+1215+1070</f>
        <v>3416</v>
      </c>
      <c r="W35" s="7">
        <f>1472+858+1235</f>
        <v>3565</v>
      </c>
      <c r="X35" s="7">
        <f>1412+1765+1202</f>
        <v>4379</v>
      </c>
    </row>
    <row r="36" spans="1:24" s="7" customFormat="1" x14ac:dyDescent="0.15">
      <c r="A36" s="7" t="s">
        <v>28</v>
      </c>
      <c r="B36" s="30"/>
      <c r="C36" s="30"/>
      <c r="D36" s="30"/>
      <c r="E36" s="30">
        <v>0</v>
      </c>
      <c r="F36" s="29">
        <v>0</v>
      </c>
      <c r="G36" s="30">
        <v>0</v>
      </c>
      <c r="H36" s="30">
        <v>0</v>
      </c>
      <c r="I36" s="30">
        <v>0</v>
      </c>
      <c r="J36" s="29">
        <v>0</v>
      </c>
      <c r="K36" s="30">
        <v>0</v>
      </c>
      <c r="L36" s="30">
        <v>0</v>
      </c>
      <c r="M36" s="30">
        <v>879.98299999999995</v>
      </c>
      <c r="N36" s="29">
        <v>881.01800000000003</v>
      </c>
      <c r="O36" s="30">
        <v>882.05399999999997</v>
      </c>
      <c r="P36" s="30">
        <v>883.08900000000006</v>
      </c>
      <c r="Q36" s="30">
        <v>884.12300000000005</v>
      </c>
      <c r="R36" s="29">
        <v>885.15800000000002</v>
      </c>
      <c r="S36" s="30">
        <v>886</v>
      </c>
      <c r="T36" s="30">
        <f>887+794</f>
        <v>1681</v>
      </c>
      <c r="U36" s="30">
        <f>888+794</f>
        <v>1682</v>
      </c>
      <c r="V36" s="29">
        <f>889+794</f>
        <v>1683</v>
      </c>
      <c r="W36" s="7">
        <f>890+795</f>
        <v>1685</v>
      </c>
      <c r="X36" s="7">
        <f>891+1536</f>
        <v>2427</v>
      </c>
    </row>
    <row r="37" spans="1:24" s="7" customFormat="1" x14ac:dyDescent="0.15">
      <c r="B37" s="30"/>
      <c r="C37" s="30"/>
      <c r="D37" s="30"/>
      <c r="E37" s="30"/>
      <c r="F37" s="29"/>
      <c r="G37" s="30"/>
      <c r="H37" s="30"/>
      <c r="I37" s="30"/>
      <c r="J37" s="29"/>
      <c r="K37" s="30"/>
      <c r="L37" s="30"/>
      <c r="M37" s="30"/>
      <c r="N37" s="29"/>
      <c r="O37" s="30"/>
      <c r="P37" s="30"/>
      <c r="Q37" s="30"/>
      <c r="R37" s="29"/>
      <c r="V37" s="68"/>
    </row>
    <row r="38" spans="1:24" s="7" customFormat="1" x14ac:dyDescent="0.15">
      <c r="A38" s="7" t="s">
        <v>79</v>
      </c>
      <c r="B38" s="30"/>
      <c r="C38" s="30"/>
      <c r="D38" s="30"/>
      <c r="E38" s="30"/>
      <c r="F38" s="29"/>
      <c r="G38" s="30"/>
      <c r="H38" s="30"/>
      <c r="I38" s="30"/>
      <c r="J38" s="29"/>
      <c r="K38" s="30"/>
      <c r="L38" s="30"/>
      <c r="M38" s="30">
        <v>13.936999999999999</v>
      </c>
      <c r="N38" s="29">
        <v>14.227</v>
      </c>
      <c r="O38" s="30">
        <v>13.369</v>
      </c>
      <c r="P38" s="30">
        <v>2.2839999999999998</v>
      </c>
      <c r="Q38" s="30">
        <v>50.448999999999998</v>
      </c>
      <c r="R38" s="29">
        <v>50.838000000000001</v>
      </c>
      <c r="S38" s="30">
        <v>49</v>
      </c>
      <c r="T38" s="30">
        <v>46</v>
      </c>
      <c r="U38" s="30">
        <v>47</v>
      </c>
      <c r="V38" s="29">
        <v>45</v>
      </c>
      <c r="W38" s="7">
        <v>44</v>
      </c>
      <c r="X38" s="7">
        <v>45</v>
      </c>
    </row>
    <row r="39" spans="1:24" s="7" customFormat="1" x14ac:dyDescent="0.15">
      <c r="A39" s="7" t="s">
        <v>80</v>
      </c>
      <c r="B39" s="30"/>
      <c r="C39" s="30"/>
      <c r="D39" s="30"/>
      <c r="E39" s="30"/>
      <c r="F39" s="29"/>
      <c r="G39" s="30"/>
      <c r="H39" s="30"/>
      <c r="I39" s="30"/>
      <c r="J39" s="29"/>
      <c r="K39" s="30"/>
      <c r="L39" s="30"/>
      <c r="M39" s="30">
        <v>2561.819</v>
      </c>
      <c r="N39" s="29">
        <v>2782.8139999999999</v>
      </c>
      <c r="O39" s="30">
        <v>2876.402</v>
      </c>
      <c r="P39" s="30">
        <v>3047.0230000000001</v>
      </c>
      <c r="Q39" s="30">
        <v>3274.6819999999998</v>
      </c>
      <c r="R39" s="29">
        <v>3588.424</v>
      </c>
      <c r="S39" s="30">
        <v>3668</v>
      </c>
      <c r="T39" s="30">
        <v>4602</v>
      </c>
      <c r="U39" s="30">
        <v>4804</v>
      </c>
      <c r="V39" s="29">
        <v>4795</v>
      </c>
      <c r="W39" s="7">
        <v>5017</v>
      </c>
      <c r="X39" s="7">
        <v>5979</v>
      </c>
    </row>
    <row r="40" spans="1:24" s="7" customFormat="1" x14ac:dyDescent="0.15">
      <c r="A40" s="7" t="s">
        <v>81</v>
      </c>
      <c r="B40" s="30"/>
      <c r="C40" s="30"/>
      <c r="D40" s="30"/>
      <c r="E40" s="30"/>
      <c r="F40" s="29"/>
      <c r="G40" s="30"/>
      <c r="H40" s="30"/>
      <c r="I40" s="30"/>
      <c r="J40" s="29"/>
      <c r="K40" s="30"/>
      <c r="L40" s="30"/>
      <c r="M40" s="30">
        <v>1367.0250000000001</v>
      </c>
      <c r="N40" s="29">
        <v>1450.088</v>
      </c>
      <c r="O40" s="30">
        <v>1441.13</v>
      </c>
      <c r="P40" s="30">
        <v>1468.18</v>
      </c>
      <c r="Q40" s="30">
        <v>1526.5440000000001</v>
      </c>
      <c r="R40" s="29">
        <v>1642.816</v>
      </c>
      <c r="S40" s="30">
        <v>1644</v>
      </c>
      <c r="T40" s="30">
        <v>2478</v>
      </c>
      <c r="U40" s="30">
        <v>2522</v>
      </c>
      <c r="V40" s="29">
        <v>2484</v>
      </c>
      <c r="W40" s="7">
        <v>2484</v>
      </c>
      <c r="X40" s="7">
        <v>3306</v>
      </c>
    </row>
    <row r="41" spans="1:24" s="7" customFormat="1" x14ac:dyDescent="0.15">
      <c r="B41" s="30"/>
      <c r="C41" s="30"/>
      <c r="D41" s="30"/>
      <c r="E41" s="30"/>
      <c r="F41" s="29"/>
      <c r="G41" s="30"/>
      <c r="H41" s="30"/>
      <c r="I41" s="30"/>
      <c r="J41" s="29"/>
      <c r="K41" s="30"/>
      <c r="L41" s="30"/>
      <c r="M41" s="30"/>
      <c r="N41" s="29"/>
      <c r="O41" s="30"/>
      <c r="P41" s="30"/>
      <c r="Q41" s="30"/>
      <c r="R41" s="29"/>
      <c r="V41" s="68"/>
    </row>
    <row r="42" spans="1:24" s="7" customFormat="1" x14ac:dyDescent="0.15">
      <c r="A42" s="7" t="s">
        <v>82</v>
      </c>
      <c r="B42" s="30"/>
      <c r="C42" s="30"/>
      <c r="D42" s="30"/>
      <c r="E42" s="30"/>
      <c r="F42" s="29"/>
      <c r="G42" s="30"/>
      <c r="H42" s="30"/>
      <c r="I42" s="30"/>
      <c r="J42" s="29"/>
      <c r="K42" s="30"/>
      <c r="L42" s="30"/>
      <c r="M42" s="48">
        <f t="shared" ref="M42:R42" si="78">M39-M38-M35</f>
        <v>302.86200000000008</v>
      </c>
      <c r="N42" s="49">
        <f t="shared" si="78"/>
        <v>399.19600000000037</v>
      </c>
      <c r="O42" s="48">
        <f t="shared" si="78"/>
        <v>724.94500000000016</v>
      </c>
      <c r="P42" s="48">
        <f t="shared" si="78"/>
        <v>744.83300000000008</v>
      </c>
      <c r="Q42" s="48">
        <f t="shared" si="78"/>
        <v>703.7819999999997</v>
      </c>
      <c r="R42" s="49">
        <f t="shared" si="78"/>
        <v>1172.2379999999998</v>
      </c>
      <c r="S42" s="48">
        <f t="shared" ref="S42:T42" si="79">S39-S38-S35</f>
        <v>1153</v>
      </c>
      <c r="T42" s="48">
        <f t="shared" si="79"/>
        <v>1241</v>
      </c>
      <c r="U42" s="48">
        <f t="shared" ref="U42:V42" si="80">U39-U38-U35</f>
        <v>1326</v>
      </c>
      <c r="V42" s="49">
        <f t="shared" si="80"/>
        <v>1334</v>
      </c>
      <c r="W42" s="48">
        <f t="shared" ref="W42:X42" si="81">W39-W38-W35</f>
        <v>1408</v>
      </c>
      <c r="X42" s="48">
        <f t="shared" si="81"/>
        <v>1555</v>
      </c>
    </row>
    <row r="43" spans="1:24" s="7" customFormat="1" x14ac:dyDescent="0.15">
      <c r="A43" s="7" t="s">
        <v>83</v>
      </c>
      <c r="B43" s="30"/>
      <c r="C43" s="30"/>
      <c r="D43" s="30"/>
      <c r="E43" s="30"/>
      <c r="F43" s="29"/>
      <c r="G43" s="30"/>
      <c r="H43" s="30"/>
      <c r="I43" s="30"/>
      <c r="J43" s="29"/>
      <c r="K43" s="30"/>
      <c r="L43" s="30"/>
      <c r="M43" s="48">
        <f t="shared" ref="M43:R43" si="82">M39-M40</f>
        <v>1194.7939999999999</v>
      </c>
      <c r="N43" s="49">
        <f t="shared" si="82"/>
        <v>1332.7259999999999</v>
      </c>
      <c r="O43" s="48">
        <f t="shared" si="82"/>
        <v>1435.2719999999999</v>
      </c>
      <c r="P43" s="48">
        <f t="shared" si="82"/>
        <v>1578.8430000000001</v>
      </c>
      <c r="Q43" s="48">
        <f t="shared" si="82"/>
        <v>1748.1379999999997</v>
      </c>
      <c r="R43" s="49">
        <f t="shared" si="82"/>
        <v>1945.6079999999999</v>
      </c>
      <c r="S43" s="48">
        <f t="shared" ref="S43:T43" si="83">S39-S40</f>
        <v>2024</v>
      </c>
      <c r="T43" s="48">
        <f t="shared" si="83"/>
        <v>2124</v>
      </c>
      <c r="U43" s="48">
        <f t="shared" ref="U43:V43" si="84">U39-U40</f>
        <v>2282</v>
      </c>
      <c r="V43" s="49">
        <f t="shared" si="84"/>
        <v>2311</v>
      </c>
      <c r="W43" s="48">
        <f t="shared" ref="W43:X43" si="85">W39-W40</f>
        <v>2533</v>
      </c>
      <c r="X43" s="48">
        <f t="shared" si="85"/>
        <v>2673</v>
      </c>
    </row>
    <row r="44" spans="1:24" s="7" customFormat="1" x14ac:dyDescent="0.15">
      <c r="B44" s="30"/>
      <c r="C44" s="30"/>
      <c r="D44" s="30"/>
      <c r="E44" s="30"/>
      <c r="F44" s="29"/>
      <c r="G44" s="30"/>
      <c r="H44" s="30"/>
      <c r="I44" s="30"/>
      <c r="J44" s="29"/>
      <c r="K44" s="30"/>
      <c r="L44" s="30"/>
      <c r="M44" s="30"/>
      <c r="N44" s="29"/>
      <c r="O44" s="30"/>
      <c r="P44" s="30"/>
      <c r="Q44" s="30"/>
      <c r="R44" s="29"/>
      <c r="V44" s="68"/>
    </row>
    <row r="45" spans="1:24" s="66" customFormat="1" x14ac:dyDescent="0.15">
      <c r="A45" s="66" t="s">
        <v>91</v>
      </c>
      <c r="B45" s="33"/>
      <c r="C45" s="33"/>
      <c r="D45" s="33"/>
      <c r="E45" s="33"/>
      <c r="F45" s="34"/>
      <c r="G45" s="33"/>
      <c r="H45" s="33"/>
      <c r="I45" s="33"/>
      <c r="J45" s="34"/>
      <c r="K45" s="33"/>
      <c r="L45" s="33"/>
      <c r="M45" s="45">
        <f t="shared" ref="M45:X45" si="86">SUM(J20:M20)</f>
        <v>350.3649999999999</v>
      </c>
      <c r="N45" s="46">
        <f t="shared" si="86"/>
        <v>402.44099999999997</v>
      </c>
      <c r="O45" s="45">
        <f t="shared" si="86"/>
        <v>470.00800000000004</v>
      </c>
      <c r="P45" s="45">
        <f t="shared" si="86"/>
        <v>536.29700000000003</v>
      </c>
      <c r="Q45" s="45">
        <f t="shared" si="86"/>
        <v>572.62</v>
      </c>
      <c r="R45" s="46">
        <f t="shared" si="86"/>
        <v>624.48299999999995</v>
      </c>
      <c r="S45" s="45">
        <f t="shared" si="86"/>
        <v>585.78899999999987</v>
      </c>
      <c r="T45" s="45">
        <f t="shared" si="86"/>
        <v>565.81099999999992</v>
      </c>
      <c r="U45" s="45">
        <f t="shared" si="86"/>
        <v>494.57399999999996</v>
      </c>
      <c r="V45" s="46">
        <f t="shared" si="86"/>
        <v>396.38899999999995</v>
      </c>
      <c r="W45" s="45">
        <f t="shared" si="86"/>
        <v>491.19800000000004</v>
      </c>
      <c r="X45" s="45">
        <f t="shared" si="86"/>
        <v>377.73900000000009</v>
      </c>
    </row>
    <row r="46" spans="1:24" x14ac:dyDescent="0.15">
      <c r="A46" s="25" t="s">
        <v>84</v>
      </c>
      <c r="B46" s="30"/>
      <c r="C46" s="30"/>
      <c r="D46" s="30"/>
      <c r="E46" s="30"/>
      <c r="F46" s="29"/>
      <c r="G46" s="30"/>
      <c r="H46" s="30"/>
      <c r="I46" s="30"/>
      <c r="J46" s="29"/>
      <c r="K46" s="30"/>
      <c r="L46" s="30"/>
      <c r="M46" s="39">
        <f t="shared" ref="M46:R46" si="87">M45/M43</f>
        <v>0.29324301929872426</v>
      </c>
      <c r="N46" s="40">
        <f t="shared" si="87"/>
        <v>0.30196829655908269</v>
      </c>
      <c r="O46" s="39">
        <f t="shared" si="87"/>
        <v>0.32746963641734811</v>
      </c>
      <c r="P46" s="39">
        <f t="shared" si="87"/>
        <v>0.33967721933086442</v>
      </c>
      <c r="Q46" s="39">
        <f t="shared" si="87"/>
        <v>0.32755995236074048</v>
      </c>
      <c r="R46" s="40">
        <f t="shared" si="87"/>
        <v>0.32097061689713446</v>
      </c>
      <c r="S46" s="39">
        <f t="shared" ref="S46:T46" si="88">S45/S43</f>
        <v>0.289421442687747</v>
      </c>
      <c r="T46" s="39">
        <f t="shared" si="88"/>
        <v>0.26638935969868172</v>
      </c>
      <c r="U46" s="39">
        <f t="shared" ref="U46:V46" si="89">U45/U43</f>
        <v>0.21672830850131461</v>
      </c>
      <c r="V46" s="40">
        <f t="shared" si="89"/>
        <v>0.17152271743833836</v>
      </c>
      <c r="W46" s="39">
        <f t="shared" ref="W46:X46" si="90">W45/W43</f>
        <v>0.19391946308724833</v>
      </c>
      <c r="X46" s="39">
        <f t="shared" si="90"/>
        <v>0.14131649831649834</v>
      </c>
    </row>
    <row r="47" spans="1:24" x14ac:dyDescent="0.15">
      <c r="A47" s="25" t="s">
        <v>85</v>
      </c>
      <c r="B47" s="30"/>
      <c r="C47" s="30"/>
      <c r="D47" s="30"/>
      <c r="E47" s="30"/>
      <c r="F47" s="29"/>
      <c r="G47" s="30"/>
      <c r="H47" s="30"/>
      <c r="I47" s="30"/>
      <c r="J47" s="29"/>
      <c r="K47" s="30"/>
      <c r="L47" s="30"/>
      <c r="M47" s="39">
        <f t="shared" ref="M47:R47" si="91">M45/M39</f>
        <v>0.13676415078504761</v>
      </c>
      <c r="N47" s="40">
        <f t="shared" si="91"/>
        <v>0.14461656438410903</v>
      </c>
      <c r="O47" s="39">
        <f t="shared" si="91"/>
        <v>0.16340136044961728</v>
      </c>
      <c r="P47" s="39">
        <f t="shared" si="91"/>
        <v>0.17600687621983818</v>
      </c>
      <c r="Q47" s="39">
        <f t="shared" si="91"/>
        <v>0.1748627805692278</v>
      </c>
      <c r="R47" s="40">
        <f t="shared" si="91"/>
        <v>0.17402709378824799</v>
      </c>
      <c r="S47" s="39">
        <f t="shared" ref="S47:T47" si="92">S45/S39</f>
        <v>0.15970256270447106</v>
      </c>
      <c r="T47" s="39">
        <f t="shared" si="92"/>
        <v>0.1229489352455454</v>
      </c>
      <c r="U47" s="39">
        <f t="shared" ref="U47:V47" si="93">U45/U39</f>
        <v>0.1029504579517069</v>
      </c>
      <c r="V47" s="40">
        <f t="shared" si="93"/>
        <v>8.266715328467153E-2</v>
      </c>
      <c r="W47" s="39">
        <f t="shared" ref="W47:X47" si="94">W45/W39</f>
        <v>9.7906717161650392E-2</v>
      </c>
      <c r="X47" s="39">
        <f t="shared" si="94"/>
        <v>6.3177621675865547E-2</v>
      </c>
    </row>
    <row r="48" spans="1:24" x14ac:dyDescent="0.15">
      <c r="A48" s="25" t="s">
        <v>86</v>
      </c>
      <c r="B48" s="30"/>
      <c r="C48" s="30"/>
      <c r="D48" s="30"/>
      <c r="E48" s="30"/>
      <c r="F48" s="29"/>
      <c r="G48" s="30"/>
      <c r="H48" s="30"/>
      <c r="I48" s="30"/>
      <c r="J48" s="29"/>
      <c r="K48" s="30"/>
      <c r="L48" s="30"/>
      <c r="M48" s="39">
        <f t="shared" ref="M48:R48" si="95">M45/(M43-M38)</f>
        <v>0.29670400395644853</v>
      </c>
      <c r="N48" s="40">
        <f t="shared" si="95"/>
        <v>0.30522662512447868</v>
      </c>
      <c r="O48" s="39">
        <f t="shared" si="95"/>
        <v>0.33054856765897533</v>
      </c>
      <c r="P48" s="39">
        <f t="shared" si="95"/>
        <v>0.34016931811622658</v>
      </c>
      <c r="Q48" s="39">
        <f t="shared" si="95"/>
        <v>0.33729381529832619</v>
      </c>
      <c r="R48" s="40">
        <f t="shared" si="95"/>
        <v>0.32958248230655962</v>
      </c>
      <c r="S48" s="39">
        <f t="shared" ref="S48:T48" si="96">S45/(S43-S38)</f>
        <v>0.29660202531645563</v>
      </c>
      <c r="T48" s="39">
        <f t="shared" si="96"/>
        <v>0.27228633301251198</v>
      </c>
      <c r="U48" s="39">
        <f t="shared" ref="U48:V48" si="97">U45/(U43-U38)</f>
        <v>0.22128590604026843</v>
      </c>
      <c r="V48" s="40">
        <f t="shared" si="97"/>
        <v>0.17492894969108561</v>
      </c>
      <c r="W48" s="39">
        <f t="shared" ref="W48:X48" si="98">W45/(W43-W38)</f>
        <v>0.19734752912816395</v>
      </c>
      <c r="X48" s="39">
        <f t="shared" si="98"/>
        <v>0.14373630136986304</v>
      </c>
    </row>
    <row r="49" spans="1:25" x14ac:dyDescent="0.15">
      <c r="A49" s="25" t="s">
        <v>87</v>
      </c>
      <c r="E49" s="32"/>
      <c r="K49" s="32"/>
      <c r="L49" s="32"/>
      <c r="M49" s="39">
        <f t="shared" ref="M49:R49" si="99">M45/M42</f>
        <v>1.1568470128309256</v>
      </c>
      <c r="N49" s="40">
        <f t="shared" si="99"/>
        <v>1.0081288389663212</v>
      </c>
      <c r="O49" s="39">
        <f t="shared" si="99"/>
        <v>0.64833608066818849</v>
      </c>
      <c r="P49" s="39">
        <f t="shared" si="99"/>
        <v>0.72002314612805818</v>
      </c>
      <c r="Q49" s="39">
        <f t="shared" si="99"/>
        <v>0.81363263055889501</v>
      </c>
      <c r="R49" s="40">
        <f t="shared" si="99"/>
        <v>0.53272714244035768</v>
      </c>
      <c r="S49" s="39">
        <f t="shared" ref="S49:T49" si="100">S45/S42</f>
        <v>0.50805637467476139</v>
      </c>
      <c r="T49" s="39">
        <f t="shared" si="100"/>
        <v>0.45593150684931499</v>
      </c>
      <c r="U49" s="39">
        <f t="shared" ref="U49:V49" si="101">U45/U42</f>
        <v>0.37298190045248864</v>
      </c>
      <c r="V49" s="40">
        <f t="shared" si="101"/>
        <v>0.29714317841079457</v>
      </c>
      <c r="W49" s="39">
        <f t="shared" ref="W49:X49" si="102">W45/W42</f>
        <v>0.34886221590909094</v>
      </c>
      <c r="X49" s="39">
        <f t="shared" si="102"/>
        <v>0.24291897106109331</v>
      </c>
    </row>
    <row r="50" spans="1:25" x14ac:dyDescent="0.15">
      <c r="A50" s="25"/>
      <c r="E50" s="32"/>
      <c r="K50" s="32"/>
      <c r="L50" s="32"/>
      <c r="M50" s="32"/>
      <c r="O50" s="32"/>
      <c r="P50" s="32"/>
      <c r="Q50" s="32"/>
      <c r="R50" s="31"/>
      <c r="S50" s="32"/>
      <c r="T50" s="32"/>
      <c r="U50" s="32"/>
      <c r="V50" s="31"/>
      <c r="X50" s="32"/>
    </row>
    <row r="51" spans="1:25" s="18" customFormat="1" x14ac:dyDescent="0.15">
      <c r="A51" s="18" t="s">
        <v>109</v>
      </c>
      <c r="B51" s="41"/>
      <c r="C51" s="41"/>
      <c r="D51" s="41"/>
      <c r="E51" s="39"/>
      <c r="F51" s="40">
        <f>F3/B3-1</f>
        <v>0.25373926225366339</v>
      </c>
      <c r="G51" s="39">
        <f>G3/C3-1</f>
        <v>0.44733517702891867</v>
      </c>
      <c r="H51" s="39">
        <f>H3/D3-1</f>
        <v>0.48017683566185854</v>
      </c>
      <c r="I51" s="39">
        <f>I3/E3-1</f>
        <v>0.45043118423185913</v>
      </c>
      <c r="J51" s="40">
        <f>J3/F3-1</f>
        <v>0.70583197307700063</v>
      </c>
      <c r="K51" s="39">
        <f>K3/G3-1</f>
        <v>0.71687386473543913</v>
      </c>
      <c r="L51" s="39">
        <f>L3/H3-1</f>
        <v>0.76653073206843936</v>
      </c>
      <c r="M51" s="39">
        <f>M3/I3-1</f>
        <v>0.76880289561931114</v>
      </c>
      <c r="N51" s="40">
        <f>N3/J3-1</f>
        <v>0.78945285504173146</v>
      </c>
      <c r="O51" s="39">
        <f>O3/K3-1</f>
        <v>0.69433910414949152</v>
      </c>
      <c r="P51" s="39">
        <f>P3/L3-1</f>
        <v>0.47857140276658861</v>
      </c>
      <c r="Q51" s="39">
        <f>Q3/M3-1</f>
        <v>0.25491942643053833</v>
      </c>
      <c r="R51" s="40">
        <f>R3/N3-1</f>
        <v>0.12606742388982961</v>
      </c>
      <c r="S51" s="39">
        <f>S3/O3-1</f>
        <v>2.8599077693258756E-3</v>
      </c>
      <c r="T51" s="39">
        <f>T3/P3-1</f>
        <v>6.6630342094395889E-3</v>
      </c>
      <c r="U51" s="39">
        <f>U3/Q3-1</f>
        <v>-2.6416252613808644E-2</v>
      </c>
      <c r="V51" s="40">
        <f>V3/R3-1</f>
        <v>-0.1926446835765856</v>
      </c>
      <c r="W51" s="39">
        <f>W3/S3-1</f>
        <v>-8.1983827493261496E-2</v>
      </c>
      <c r="X51" s="39">
        <f>X3/T3-1</f>
        <v>1.1339805825242744E-2</v>
      </c>
      <c r="Y51" s="39">
        <f>Y3/U3-1</f>
        <v>2.0000000000000018E-2</v>
      </c>
    </row>
    <row r="52" spans="1:25" s="18" customFormat="1" x14ac:dyDescent="0.15">
      <c r="A52" s="18" t="s">
        <v>90</v>
      </c>
      <c r="B52" s="41"/>
      <c r="C52" s="41"/>
      <c r="D52" s="41"/>
      <c r="E52" s="39"/>
      <c r="F52" s="40">
        <f>F4/B4-1</f>
        <v>0.17011091652072396</v>
      </c>
      <c r="G52" s="39">
        <f>G4/C4-1</f>
        <v>-1.316645807259087E-2</v>
      </c>
      <c r="H52" s="39">
        <f>H4/D4-1</f>
        <v>6.9464314099507263E-2</v>
      </c>
      <c r="I52" s="39">
        <f>I4/E4-1</f>
        <v>0.27592573597292014</v>
      </c>
      <c r="J52" s="40">
        <f>J4/F4-1</f>
        <v>0.4919177808820594</v>
      </c>
      <c r="K52" s="39">
        <f>K4/G4-1</f>
        <v>0.77724228896103909</v>
      </c>
      <c r="L52" s="39">
        <f>L4/H4-1</f>
        <v>1.1418945699564009</v>
      </c>
      <c r="M52" s="39">
        <f>M4/I4-1</f>
        <v>0.81445453814615321</v>
      </c>
      <c r="N52" s="40">
        <f>N4/J4-1</f>
        <v>0.56948903156768327</v>
      </c>
      <c r="O52" s="39">
        <f>O4/K4-1</f>
        <v>0.6169611509148516</v>
      </c>
      <c r="P52" s="39">
        <f>P4/L4-1</f>
        <v>0.17732235381199124</v>
      </c>
      <c r="Q52" s="39">
        <f>Q4/M4-1</f>
        <v>0.43684093929995549</v>
      </c>
      <c r="R52" s="40">
        <f>R4/N4-1</f>
        <v>0.2365449354412581</v>
      </c>
      <c r="S52" s="39">
        <f>S4/O4-1</f>
        <v>7.6844316556922809E-2</v>
      </c>
      <c r="T52" s="39">
        <f>T4/P4-1</f>
        <v>8.0592557664348252E-2</v>
      </c>
      <c r="U52" s="39">
        <f>U4/Q4-1</f>
        <v>-4.4080235587967698E-2</v>
      </c>
      <c r="V52" s="40">
        <f>V4/R4-1</f>
        <v>-0.1734957612516369</v>
      </c>
      <c r="W52" s="39">
        <f>W4/S4-1</f>
        <v>-0.23263934426229516</v>
      </c>
      <c r="X52" s="39">
        <f>X4/T4-1</f>
        <v>-0.10787272727272723</v>
      </c>
      <c r="Y52" s="39">
        <f>Y4/U4-1</f>
        <v>-5.0000000000000044E-2</v>
      </c>
    </row>
    <row r="53" spans="1:25" x14ac:dyDescent="0.15">
      <c r="A53" s="25"/>
      <c r="E53" s="32"/>
      <c r="K53" s="32"/>
      <c r="L53" s="32"/>
      <c r="M53" s="32"/>
      <c r="O53" s="32"/>
      <c r="P53" s="32"/>
      <c r="Q53" s="32"/>
      <c r="R53" s="31"/>
      <c r="S53" s="32"/>
      <c r="T53" s="32"/>
      <c r="U53" s="32"/>
      <c r="V53" s="31"/>
      <c r="X53" s="32"/>
    </row>
    <row r="54" spans="1:25" x14ac:dyDescent="0.15">
      <c r="A54" s="1" t="s">
        <v>66</v>
      </c>
      <c r="F54" s="43">
        <f>F6/B6-1</f>
        <v>0.348314606741573</v>
      </c>
      <c r="G54" s="44">
        <f>G6/C6-1</f>
        <v>0.35483870967741926</v>
      </c>
      <c r="H54" s="44">
        <f>H6/D6-1</f>
        <v>0.32000000000000006</v>
      </c>
      <c r="I54" s="44">
        <f>I6/E6-1</f>
        <v>0.31132075471698117</v>
      </c>
      <c r="J54" s="43">
        <f>J6/F6-1</f>
        <v>0.28333333333333344</v>
      </c>
      <c r="K54" s="44">
        <f>K6/G6-1</f>
        <v>0.26190476190476186</v>
      </c>
      <c r="L54" s="44">
        <f>L6/H6-1</f>
        <v>0.25</v>
      </c>
      <c r="M54" s="44">
        <f>M6/I6-1</f>
        <v>0.23741007194244612</v>
      </c>
      <c r="N54" s="43">
        <f>N6/J6-1</f>
        <v>0.19480519480519476</v>
      </c>
      <c r="O54" s="42">
        <f>O6/K6-1</f>
        <v>0.19496855345911945</v>
      </c>
      <c r="P54" s="42">
        <f>P6/L6-1</f>
        <v>0.18181818181818188</v>
      </c>
      <c r="Q54" s="42">
        <f>Q6/M6-1</f>
        <v>0.16279069767441867</v>
      </c>
      <c r="R54" s="43">
        <f>R6/N6-1</f>
        <v>0.10326086956521729</v>
      </c>
      <c r="S54" s="42">
        <f>S6/O6-1</f>
        <v>0.11052631578947358</v>
      </c>
      <c r="T54" s="42">
        <f>T6/P6-1</f>
        <v>0.10769230769230775</v>
      </c>
      <c r="U54" s="42">
        <f>U6/Q6-1</f>
        <v>0.1100000000000001</v>
      </c>
      <c r="V54" s="43">
        <f>V6/R6-1</f>
        <v>0.18719211822660098</v>
      </c>
      <c r="W54" s="42">
        <f>W6/S6-1</f>
        <v>8.5308056872037907E-2</v>
      </c>
      <c r="X54" s="42">
        <f>X6/T6-1</f>
        <v>3.7037037037036979E-2</v>
      </c>
      <c r="Y54" s="42">
        <f>Y6/U6-1</f>
        <v>5.0000000000000044E-2</v>
      </c>
    </row>
    <row r="55" spans="1:25" x14ac:dyDescent="0.15">
      <c r="A55" s="1" t="s">
        <v>88</v>
      </c>
      <c r="F55" s="43">
        <f>F7/B7-1</f>
        <v>-8.1177519299338696E-2</v>
      </c>
      <c r="G55" s="44">
        <f>G7/C7-1</f>
        <v>5.3144326664844588E-3</v>
      </c>
      <c r="H55" s="44">
        <f>H7/D7-1</f>
        <v>7.4267860188298895E-2</v>
      </c>
      <c r="I55" s="44">
        <f>I7/E7-1</f>
        <v>8.8672920747448591E-2</v>
      </c>
      <c r="J55" s="43">
        <f>J7/F7-1</f>
        <v>0.30121182363616761</v>
      </c>
      <c r="K55" s="44">
        <f>K7/G7-1</f>
        <v>0.36696157499674054</v>
      </c>
      <c r="L55" s="44">
        <f>L7/H7-1</f>
        <v>0.4474917598104895</v>
      </c>
      <c r="M55" s="44">
        <f>M7/I7-1</f>
        <v>0.433753674507803</v>
      </c>
      <c r="N55" s="43">
        <f>N7/J7-1</f>
        <v>0.47005717187992158</v>
      </c>
      <c r="O55" s="42">
        <f>O7/K7-1</f>
        <v>0.40894111386021925</v>
      </c>
      <c r="P55" s="42">
        <f>P7/L7-1</f>
        <v>0.21666524454657021</v>
      </c>
      <c r="Q55" s="42">
        <f>Q7/M7-1</f>
        <v>9.7941421929022665E-2</v>
      </c>
      <c r="R55" s="43">
        <f>R7/N7-1</f>
        <v>3.4104560413995566E-2</v>
      </c>
      <c r="S55" s="42">
        <f>S7/O7-1</f>
        <v>-8.8104148638401769E-2</v>
      </c>
      <c r="T55" s="42">
        <f>T7/P7-1</f>
        <v>-8.3824877660212849E-2</v>
      </c>
      <c r="U55" s="42">
        <f>U7/Q7-1</f>
        <v>-0.12503943632348302</v>
      </c>
      <c r="V55" s="43">
        <f>V7/R7-1</f>
        <v>-0.31760045463665965</v>
      </c>
      <c r="W55" s="42">
        <f>W7/S7-1</f>
        <v>-0.17374329815623468</v>
      </c>
      <c r="X55" s="42">
        <f>X7/T7-1</f>
        <v>-3.8318063628020704E-2</v>
      </c>
      <c r="Y55" s="42">
        <f>Y7/U7-1</f>
        <v>-3.7403337403337455E-2</v>
      </c>
    </row>
    <row r="56" spans="1:25" x14ac:dyDescent="0.15">
      <c r="O56" s="32"/>
      <c r="P56" s="32"/>
      <c r="Q56" s="32"/>
      <c r="R56" s="31"/>
    </row>
    <row r="57" spans="1:25" x14ac:dyDescent="0.15">
      <c r="A57" s="1" t="s">
        <v>65</v>
      </c>
      <c r="B57" s="26">
        <v>198</v>
      </c>
      <c r="C57" s="26">
        <v>212</v>
      </c>
      <c r="D57" s="26">
        <v>222</v>
      </c>
      <c r="E57" s="26">
        <v>236</v>
      </c>
      <c r="F57" s="31">
        <v>261</v>
      </c>
      <c r="G57" s="26">
        <v>282</v>
      </c>
      <c r="H57" s="26">
        <v>297</v>
      </c>
      <c r="I57" s="26">
        <v>313</v>
      </c>
      <c r="J57" s="31">
        <v>340</v>
      </c>
      <c r="K57" s="26">
        <v>361</v>
      </c>
      <c r="L57" s="26">
        <v>376</v>
      </c>
      <c r="M57" s="26">
        <v>392</v>
      </c>
      <c r="N57" s="31">
        <v>411</v>
      </c>
      <c r="O57" s="32">
        <v>431</v>
      </c>
      <c r="P57" s="32">
        <v>446</v>
      </c>
      <c r="Q57" s="32">
        <v>462</v>
      </c>
      <c r="R57" s="31">
        <v>465</v>
      </c>
      <c r="S57" s="1">
        <v>486</v>
      </c>
      <c r="T57" s="1">
        <v>497</v>
      </c>
      <c r="U57" s="1">
        <v>516</v>
      </c>
      <c r="V57" s="69">
        <v>550</v>
      </c>
      <c r="W57" s="74">
        <v>523</v>
      </c>
      <c r="X57" s="74">
        <v>511</v>
      </c>
    </row>
    <row r="58" spans="1:25" x14ac:dyDescent="0.15">
      <c r="A58" s="1" t="s">
        <v>67</v>
      </c>
      <c r="C58" s="27"/>
      <c r="F58" s="43">
        <f t="shared" ref="F58:X58" si="103">F57/B57-1</f>
        <v>0.31818181818181812</v>
      </c>
      <c r="G58" s="44">
        <f t="shared" si="103"/>
        <v>0.33018867924528306</v>
      </c>
      <c r="H58" s="44">
        <f t="shared" si="103"/>
        <v>0.33783783783783794</v>
      </c>
      <c r="I58" s="44">
        <f t="shared" si="103"/>
        <v>0.32627118644067798</v>
      </c>
      <c r="J58" s="43">
        <f t="shared" si="103"/>
        <v>0.30268199233716464</v>
      </c>
      <c r="K58" s="44">
        <f t="shared" si="103"/>
        <v>0.28014184397163122</v>
      </c>
      <c r="L58" s="44">
        <f t="shared" si="103"/>
        <v>0.265993265993266</v>
      </c>
      <c r="M58" s="44">
        <f t="shared" si="103"/>
        <v>0.25239616613418536</v>
      </c>
      <c r="N58" s="43">
        <f t="shared" si="103"/>
        <v>0.20882352941176463</v>
      </c>
      <c r="O58" s="42">
        <f t="shared" si="103"/>
        <v>0.19390581717451516</v>
      </c>
      <c r="P58" s="42">
        <f t="shared" si="103"/>
        <v>0.18617021276595747</v>
      </c>
      <c r="Q58" s="42">
        <f t="shared" si="103"/>
        <v>0.1785714285714286</v>
      </c>
      <c r="R58" s="43">
        <f t="shared" si="103"/>
        <v>0.13138686131386867</v>
      </c>
      <c r="S58" s="42">
        <f t="shared" si="103"/>
        <v>0.12761020881670526</v>
      </c>
      <c r="T58" s="42">
        <f t="shared" si="103"/>
        <v>0.11434977578475336</v>
      </c>
      <c r="U58" s="42">
        <f t="shared" si="103"/>
        <v>0.11688311688311681</v>
      </c>
      <c r="V58" s="43">
        <f t="shared" si="103"/>
        <v>0.18279569892473124</v>
      </c>
      <c r="W58" s="42">
        <f t="shared" si="103"/>
        <v>7.6131687242798396E-2</v>
      </c>
      <c r="X58" s="42">
        <f t="shared" si="103"/>
        <v>2.8169014084507005E-2</v>
      </c>
    </row>
    <row r="59" spans="1:25" x14ac:dyDescent="0.15">
      <c r="R59" s="31"/>
    </row>
    <row r="60" spans="1:25" x14ac:dyDescent="0.15">
      <c r="R60" s="31"/>
    </row>
    <row r="61" spans="1:25" x14ac:dyDescent="0.15">
      <c r="R61" s="31"/>
    </row>
    <row r="62" spans="1:25" x14ac:dyDescent="0.15">
      <c r="R62" s="31"/>
    </row>
    <row r="63" spans="1:25" x14ac:dyDescent="0.15">
      <c r="R63" s="31"/>
    </row>
    <row r="64" spans="1:25" x14ac:dyDescent="0.15">
      <c r="B64" s="27"/>
      <c r="R64" s="31"/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2021-02-26T16:37:34Z</dcterms:modified>
</cp:coreProperties>
</file>