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/>
  <mc:AlternateContent xmlns:mc="http://schemas.openxmlformats.org/markup-compatibility/2006">
    <mc:Choice Requires="x15">
      <x15ac:absPath xmlns:x15ac="http://schemas.microsoft.com/office/spreadsheetml/2010/11/ac" url="/Users/michaelsjoeberg/Dropbox/_PROJECTS/_investing/stocks/"/>
    </mc:Choice>
  </mc:AlternateContent>
  <xr:revisionPtr revIDLastSave="0" documentId="13_ncr:1_{D03151A6-19F4-5B40-961A-48D6A112B760}" xr6:coauthVersionLast="46" xr6:coauthVersionMax="46" xr10:uidLastSave="{00000000-0000-0000-0000-000000000000}"/>
  <bookViews>
    <workbookView xWindow="-56540" yWindow="-5940" windowWidth="28260" windowHeight="26900" tabRatio="500" xr2:uid="{00000000-000D-0000-FFFF-FFFF00000000}"/>
  </bookViews>
  <sheets>
    <sheet name="Main" sheetId="2" r:id="rId1"/>
    <sheet name="Reports" sheetId="1" r:id="rId2"/>
    <sheet name="Products" sheetId="3" r:id="rId3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5" i="2" l="1"/>
  <c r="H15" i="2"/>
  <c r="G15" i="2"/>
  <c r="F15" i="2"/>
  <c r="G13" i="2"/>
  <c r="H13" i="2" s="1"/>
  <c r="I13" i="2" s="1"/>
  <c r="F13" i="2"/>
  <c r="I14" i="2"/>
  <c r="H14" i="2"/>
  <c r="G14" i="2"/>
  <c r="F14" i="2"/>
  <c r="G12" i="2"/>
  <c r="H12" i="2" s="1"/>
  <c r="I12" i="2" s="1"/>
  <c r="F12" i="2"/>
  <c r="S6" i="1"/>
  <c r="S8" i="1"/>
  <c r="E17" i="2"/>
  <c r="D63" i="2"/>
  <c r="C63" i="2"/>
  <c r="B63" i="2"/>
  <c r="Q12" i="1"/>
  <c r="Q29" i="1" s="1"/>
  <c r="Q11" i="1"/>
  <c r="Q55" i="1"/>
  <c r="E63" i="2" s="1"/>
  <c r="F63" i="2" s="1"/>
  <c r="Q56" i="1"/>
  <c r="Q3" i="1"/>
  <c r="Q4" i="1"/>
  <c r="E13" i="2" s="1"/>
  <c r="Q6" i="1"/>
  <c r="E15" i="2" s="1"/>
  <c r="E12" i="2"/>
  <c r="Q5" i="1"/>
  <c r="E14" i="2" s="1"/>
  <c r="C3" i="2"/>
  <c r="O56" i="1"/>
  <c r="O53" i="1"/>
  <c r="O52" i="1"/>
  <c r="O51" i="1"/>
  <c r="O50" i="1"/>
  <c r="O42" i="1"/>
  <c r="O37" i="1"/>
  <c r="O34" i="1"/>
  <c r="O33" i="1"/>
  <c r="O29" i="1"/>
  <c r="O28" i="1"/>
  <c r="O16" i="1"/>
  <c r="O13" i="1"/>
  <c r="O14" i="1" s="1"/>
  <c r="O8" i="1"/>
  <c r="P37" i="1"/>
  <c r="P34" i="1"/>
  <c r="P33" i="1" s="1"/>
  <c r="C5" i="2" s="1"/>
  <c r="P56" i="1"/>
  <c r="P53" i="1"/>
  <c r="P52" i="1"/>
  <c r="P51" i="1"/>
  <c r="P50" i="1"/>
  <c r="P42" i="1"/>
  <c r="P29" i="1"/>
  <c r="P28" i="1"/>
  <c r="P16" i="1"/>
  <c r="P13" i="1"/>
  <c r="P8" i="1"/>
  <c r="P10" i="1" s="1"/>
  <c r="P41" i="1" l="1"/>
  <c r="D64" i="2"/>
  <c r="O41" i="1"/>
  <c r="C64" i="2"/>
  <c r="F64" i="2"/>
  <c r="G63" i="2"/>
  <c r="H63" i="2" s="1"/>
  <c r="I63" i="2" s="1"/>
  <c r="E64" i="2"/>
  <c r="P14" i="1"/>
  <c r="Q28" i="1"/>
  <c r="P58" i="1"/>
  <c r="Q8" i="1" s="1"/>
  <c r="Q27" i="1"/>
  <c r="P15" i="1"/>
  <c r="P23" i="1"/>
  <c r="Q10" i="1" s="1"/>
  <c r="Q9" i="1" s="1"/>
  <c r="Q58" i="1"/>
  <c r="O10" i="1"/>
  <c r="O23" i="1" s="1"/>
  <c r="O58" i="1"/>
  <c r="N56" i="1"/>
  <c r="N37" i="1"/>
  <c r="N34" i="1"/>
  <c r="N53" i="1"/>
  <c r="N52" i="1"/>
  <c r="N51" i="1"/>
  <c r="N50" i="1"/>
  <c r="N42" i="1"/>
  <c r="N33" i="1"/>
  <c r="N29" i="1"/>
  <c r="N28" i="1"/>
  <c r="N16" i="1"/>
  <c r="N13" i="1"/>
  <c r="N14" i="1" s="1"/>
  <c r="N8" i="1"/>
  <c r="D12" i="2"/>
  <c r="M37" i="1"/>
  <c r="M34" i="1"/>
  <c r="M16" i="1"/>
  <c r="M13" i="1"/>
  <c r="Q13" i="1" s="1"/>
  <c r="Q30" i="1" s="1"/>
  <c r="M8" i="1"/>
  <c r="M58" i="1" s="1"/>
  <c r="M14" i="1" l="1"/>
  <c r="N41" i="1"/>
  <c r="N58" i="1"/>
  <c r="N10" i="1"/>
  <c r="N23" i="1" s="1"/>
  <c r="Q14" i="1"/>
  <c r="M10" i="1"/>
  <c r="M15" i="1" s="1"/>
  <c r="M17" i="1" s="1"/>
  <c r="G64" i="2"/>
  <c r="P17" i="1"/>
  <c r="P24" i="1"/>
  <c r="O15" i="1"/>
  <c r="D48" i="2"/>
  <c r="D47" i="2"/>
  <c r="D44" i="2"/>
  <c r="D30" i="2"/>
  <c r="E30" i="2" s="1"/>
  <c r="D27" i="2"/>
  <c r="D21" i="2"/>
  <c r="E21" i="2" s="1"/>
  <c r="F21" i="2" s="1"/>
  <c r="G21" i="2" s="1"/>
  <c r="H21" i="2" s="1"/>
  <c r="I21" i="2" s="1"/>
  <c r="J21" i="2" s="1"/>
  <c r="K21" i="2" s="1"/>
  <c r="L21" i="2" s="1"/>
  <c r="M21" i="2" s="1"/>
  <c r="N21" i="2" s="1"/>
  <c r="O21" i="2" s="1"/>
  <c r="P21" i="2" s="1"/>
  <c r="P38" i="2" s="1"/>
  <c r="D20" i="2"/>
  <c r="C48" i="2"/>
  <c r="C47" i="2"/>
  <c r="C44" i="2"/>
  <c r="C30" i="2"/>
  <c r="C27" i="2"/>
  <c r="C21" i="2"/>
  <c r="C20" i="2"/>
  <c r="C18" i="2"/>
  <c r="C15" i="2"/>
  <c r="C14" i="2"/>
  <c r="C13" i="2"/>
  <c r="C12" i="2"/>
  <c r="B30" i="2"/>
  <c r="B27" i="2"/>
  <c r="B21" i="2"/>
  <c r="B20" i="2"/>
  <c r="B18" i="2"/>
  <c r="B14" i="2"/>
  <c r="B13" i="2"/>
  <c r="B12" i="2"/>
  <c r="M29" i="1"/>
  <c r="M28" i="1"/>
  <c r="D15" i="2"/>
  <c r="D14" i="2"/>
  <c r="D13" i="2"/>
  <c r="M53" i="1"/>
  <c r="M50" i="1"/>
  <c r="M52" i="1"/>
  <c r="M51" i="1"/>
  <c r="M56" i="1"/>
  <c r="M42" i="1"/>
  <c r="M33" i="1"/>
  <c r="I52" i="1"/>
  <c r="I51" i="1"/>
  <c r="H52" i="1"/>
  <c r="H51" i="1"/>
  <c r="G52" i="1"/>
  <c r="G51" i="1"/>
  <c r="F52" i="1"/>
  <c r="F51" i="1"/>
  <c r="I50" i="1"/>
  <c r="F56" i="1"/>
  <c r="G56" i="1"/>
  <c r="H56" i="1"/>
  <c r="I56" i="1"/>
  <c r="B13" i="1"/>
  <c r="B8" i="1"/>
  <c r="B58" i="1" s="1"/>
  <c r="C13" i="1"/>
  <c r="C8" i="1"/>
  <c r="C58" i="1" s="1"/>
  <c r="D16" i="1"/>
  <c r="B25" i="2" s="1"/>
  <c r="D13" i="1"/>
  <c r="D8" i="1"/>
  <c r="D58" i="1" s="1"/>
  <c r="E8" i="1"/>
  <c r="E58" i="1" s="1"/>
  <c r="E13" i="1"/>
  <c r="E14" i="1" s="1"/>
  <c r="I16" i="1"/>
  <c r="I13" i="1"/>
  <c r="I8" i="1"/>
  <c r="I58" i="1" s="1"/>
  <c r="B22" i="2" l="1"/>
  <c r="Q15" i="1"/>
  <c r="Q31" i="1"/>
  <c r="N15" i="1"/>
  <c r="I64" i="2"/>
  <c r="H64" i="2"/>
  <c r="O24" i="1"/>
  <c r="O17" i="1"/>
  <c r="C59" i="2"/>
  <c r="P25" i="1"/>
  <c r="P19" i="1"/>
  <c r="P20" i="1" s="1"/>
  <c r="F17" i="2"/>
  <c r="F66" i="2" s="1"/>
  <c r="D17" i="2"/>
  <c r="D66" i="2" s="1"/>
  <c r="Q21" i="2"/>
  <c r="R21" i="2" s="1"/>
  <c r="R38" i="2" s="1"/>
  <c r="B17" i="2"/>
  <c r="B66" i="2" s="1"/>
  <c r="D51" i="2"/>
  <c r="D59" i="2"/>
  <c r="D60" i="2"/>
  <c r="M41" i="1"/>
  <c r="C58" i="2"/>
  <c r="E20" i="2"/>
  <c r="F20" i="2" s="1"/>
  <c r="G20" i="2" s="1"/>
  <c r="H20" i="2" s="1"/>
  <c r="I20" i="2" s="1"/>
  <c r="J20" i="2" s="1"/>
  <c r="K20" i="2" s="1"/>
  <c r="L20" i="2" s="1"/>
  <c r="M20" i="2" s="1"/>
  <c r="N20" i="2" s="1"/>
  <c r="O20" i="2" s="1"/>
  <c r="P20" i="2" s="1"/>
  <c r="Q20" i="2" s="1"/>
  <c r="R20" i="2" s="1"/>
  <c r="D43" i="2"/>
  <c r="D42" i="2" s="1"/>
  <c r="E25" i="2" s="1"/>
  <c r="C60" i="2"/>
  <c r="D46" i="2"/>
  <c r="E61" i="2"/>
  <c r="G61" i="2"/>
  <c r="D61" i="2"/>
  <c r="C17" i="2"/>
  <c r="C66" i="2" s="1"/>
  <c r="D58" i="2"/>
  <c r="E10" i="1"/>
  <c r="J37" i="1"/>
  <c r="J34" i="1"/>
  <c r="J33" i="1" s="1"/>
  <c r="F16" i="1"/>
  <c r="F13" i="1"/>
  <c r="F8" i="1"/>
  <c r="F58" i="1" s="1"/>
  <c r="J16" i="1"/>
  <c r="J13" i="1"/>
  <c r="N30" i="1" s="1"/>
  <c r="J56" i="1"/>
  <c r="J53" i="1"/>
  <c r="J52" i="1"/>
  <c r="J51" i="1"/>
  <c r="J50" i="1"/>
  <c r="J42" i="1"/>
  <c r="J30" i="1"/>
  <c r="J29" i="1"/>
  <c r="J28" i="1"/>
  <c r="J8" i="1"/>
  <c r="K56" i="1"/>
  <c r="K37" i="1"/>
  <c r="K34" i="1"/>
  <c r="K33" i="1" s="1"/>
  <c r="G16" i="1"/>
  <c r="G13" i="1"/>
  <c r="G8" i="1"/>
  <c r="G58" i="1" s="1"/>
  <c r="K16" i="1"/>
  <c r="K13" i="1"/>
  <c r="K53" i="1"/>
  <c r="K52" i="1"/>
  <c r="K51" i="1"/>
  <c r="K50" i="1"/>
  <c r="K42" i="1"/>
  <c r="K29" i="1"/>
  <c r="K28" i="1"/>
  <c r="K8" i="1"/>
  <c r="L53" i="1"/>
  <c r="L52" i="1"/>
  <c r="I37" i="1"/>
  <c r="C46" i="2" s="1"/>
  <c r="I34" i="1"/>
  <c r="C43" i="2" s="1"/>
  <c r="L37" i="1"/>
  <c r="L34" i="1"/>
  <c r="L33" i="1" s="1"/>
  <c r="H16" i="1"/>
  <c r="H13" i="1"/>
  <c r="H8" i="1"/>
  <c r="H58" i="1" s="1"/>
  <c r="L16" i="1"/>
  <c r="L13" i="1"/>
  <c r="L8" i="1"/>
  <c r="L56" i="1"/>
  <c r="L51" i="1"/>
  <c r="L50" i="1"/>
  <c r="L42" i="1"/>
  <c r="L29" i="1"/>
  <c r="L28" i="1"/>
  <c r="M30" i="1" l="1"/>
  <c r="P30" i="1"/>
  <c r="N24" i="1"/>
  <c r="N17" i="1"/>
  <c r="J58" i="1"/>
  <c r="N27" i="1"/>
  <c r="L58" i="1"/>
  <c r="P27" i="1"/>
  <c r="K30" i="1"/>
  <c r="O30" i="1"/>
  <c r="D25" i="2"/>
  <c r="K10" i="1"/>
  <c r="K23" i="1" s="1"/>
  <c r="K58" i="1"/>
  <c r="O27" i="1"/>
  <c r="Q38" i="2"/>
  <c r="O19" i="1"/>
  <c r="O25" i="1"/>
  <c r="E58" i="2"/>
  <c r="D50" i="2"/>
  <c r="F61" i="2"/>
  <c r="E59" i="2"/>
  <c r="M27" i="1"/>
  <c r="L30" i="1"/>
  <c r="J14" i="1"/>
  <c r="D22" i="2"/>
  <c r="E60" i="2"/>
  <c r="L41" i="1"/>
  <c r="L14" i="1"/>
  <c r="C22" i="2"/>
  <c r="K41" i="1"/>
  <c r="C25" i="2"/>
  <c r="K14" i="1"/>
  <c r="E23" i="1"/>
  <c r="E15" i="1"/>
  <c r="J41" i="1"/>
  <c r="J10" i="1"/>
  <c r="H14" i="1"/>
  <c r="I14" i="1"/>
  <c r="F30" i="2"/>
  <c r="G30" i="2" s="1"/>
  <c r="H30" i="2" s="1"/>
  <c r="I30" i="2" s="1"/>
  <c r="J30" i="2" s="1"/>
  <c r="K30" i="2" s="1"/>
  <c r="L30" i="2" s="1"/>
  <c r="M30" i="2" s="1"/>
  <c r="N30" i="2" s="1"/>
  <c r="O30" i="2" s="1"/>
  <c r="P30" i="2" s="1"/>
  <c r="Q30" i="2" s="1"/>
  <c r="R30" i="2" s="1"/>
  <c r="I41" i="1"/>
  <c r="I42" i="1"/>
  <c r="I33" i="1"/>
  <c r="I30" i="1"/>
  <c r="F50" i="1"/>
  <c r="J27" i="1"/>
  <c r="F14" i="1"/>
  <c r="F31" i="1" s="1"/>
  <c r="F30" i="1"/>
  <c r="F29" i="1"/>
  <c r="F28" i="1"/>
  <c r="G50" i="1"/>
  <c r="G14" i="1"/>
  <c r="G30" i="1"/>
  <c r="G29" i="1"/>
  <c r="G28" i="1"/>
  <c r="K27" i="1"/>
  <c r="C10" i="1"/>
  <c r="B14" i="1"/>
  <c r="C14" i="1"/>
  <c r="D14" i="1"/>
  <c r="I28" i="1"/>
  <c r="I29" i="1"/>
  <c r="H50" i="1"/>
  <c r="H30" i="1"/>
  <c r="H29" i="1"/>
  <c r="H28" i="1"/>
  <c r="C4" i="2"/>
  <c r="C11" i="2"/>
  <c r="D11" i="2" s="1"/>
  <c r="E11" i="2" s="1"/>
  <c r="F11" i="2" s="1"/>
  <c r="G11" i="2" s="1"/>
  <c r="H11" i="2" s="1"/>
  <c r="I11" i="2" s="1"/>
  <c r="J11" i="2" s="1"/>
  <c r="K11" i="2" s="1"/>
  <c r="L11" i="2" s="1"/>
  <c r="M11" i="2" s="1"/>
  <c r="N11" i="2" s="1"/>
  <c r="O11" i="2" s="1"/>
  <c r="H31" i="1" l="1"/>
  <c r="G31" i="1"/>
  <c r="E36" i="2"/>
  <c r="E66" i="2"/>
  <c r="L31" i="1"/>
  <c r="P31" i="1"/>
  <c r="J31" i="1"/>
  <c r="N31" i="1"/>
  <c r="I31" i="1"/>
  <c r="M31" i="1"/>
  <c r="N25" i="1"/>
  <c r="N19" i="1"/>
  <c r="N20" i="1" s="1"/>
  <c r="K15" i="1"/>
  <c r="K24" i="1" s="1"/>
  <c r="K31" i="1"/>
  <c r="O31" i="1"/>
  <c r="O20" i="1"/>
  <c r="F36" i="2"/>
  <c r="H61" i="2"/>
  <c r="P11" i="2"/>
  <c r="Q11" i="2" s="1"/>
  <c r="R11" i="2" s="1"/>
  <c r="S11" i="2" s="1"/>
  <c r="T11" i="2" s="1"/>
  <c r="P37" i="2"/>
  <c r="F58" i="2"/>
  <c r="F59" i="2"/>
  <c r="G59" i="2"/>
  <c r="E22" i="2"/>
  <c r="F22" i="2" s="1"/>
  <c r="G22" i="2" s="1"/>
  <c r="H22" i="2" s="1"/>
  <c r="I22" i="2" s="1"/>
  <c r="J22" i="2" s="1"/>
  <c r="K22" i="2" s="1"/>
  <c r="L22" i="2" s="1"/>
  <c r="M22" i="2" s="1"/>
  <c r="N22" i="2" s="1"/>
  <c r="O22" i="2" s="1"/>
  <c r="P22" i="2" s="1"/>
  <c r="Q22" i="2" s="1"/>
  <c r="R22" i="2" s="1"/>
  <c r="D23" i="2"/>
  <c r="D39" i="2"/>
  <c r="F60" i="2"/>
  <c r="G58" i="2"/>
  <c r="I61" i="2"/>
  <c r="C42" i="2"/>
  <c r="C51" i="2"/>
  <c r="E24" i="1"/>
  <c r="E17" i="1"/>
  <c r="J23" i="1"/>
  <c r="J15" i="1"/>
  <c r="H27" i="1"/>
  <c r="C23" i="2"/>
  <c r="L27" i="1"/>
  <c r="L10" i="1"/>
  <c r="C6" i="2"/>
  <c r="C7" i="2" s="1"/>
  <c r="D37" i="2"/>
  <c r="D38" i="2"/>
  <c r="I10" i="1"/>
  <c r="C15" i="1"/>
  <c r="C23" i="1"/>
  <c r="F10" i="1"/>
  <c r="F27" i="1"/>
  <c r="G10" i="1"/>
  <c r="G27" i="1"/>
  <c r="B10" i="1"/>
  <c r="I27" i="1"/>
  <c r="D10" i="1"/>
  <c r="H10" i="1"/>
  <c r="C39" i="2"/>
  <c r="C50" i="2"/>
  <c r="K17" i="1" l="1"/>
  <c r="G17" i="2"/>
  <c r="G66" i="2" s="1"/>
  <c r="Q37" i="2"/>
  <c r="G60" i="2"/>
  <c r="D40" i="2"/>
  <c r="I23" i="2"/>
  <c r="H58" i="2"/>
  <c r="E19" i="1"/>
  <c r="E20" i="1" s="1"/>
  <c r="E25" i="1"/>
  <c r="J24" i="1"/>
  <c r="J17" i="1"/>
  <c r="K25" i="1"/>
  <c r="K19" i="1"/>
  <c r="L23" i="1"/>
  <c r="L15" i="1"/>
  <c r="C38" i="2"/>
  <c r="E39" i="2"/>
  <c r="B15" i="1"/>
  <c r="B23" i="1"/>
  <c r="G15" i="1"/>
  <c r="G23" i="1"/>
  <c r="C17" i="1"/>
  <c r="C24" i="1"/>
  <c r="I15" i="1"/>
  <c r="I23" i="1"/>
  <c r="B23" i="2"/>
  <c r="C40" i="2" s="1"/>
  <c r="C37" i="2"/>
  <c r="E38" i="2"/>
  <c r="D23" i="1"/>
  <c r="D15" i="1"/>
  <c r="E23" i="2"/>
  <c r="E40" i="2" s="1"/>
  <c r="E37" i="2"/>
  <c r="F15" i="1"/>
  <c r="F23" i="1"/>
  <c r="H15" i="1"/>
  <c r="H23" i="1"/>
  <c r="H59" i="2" l="1"/>
  <c r="H17" i="2"/>
  <c r="H66" i="2" s="1"/>
  <c r="P39" i="2"/>
  <c r="P23" i="2"/>
  <c r="R37" i="2"/>
  <c r="D18" i="2"/>
  <c r="D19" i="2" s="1"/>
  <c r="D24" i="2" s="1"/>
  <c r="D26" i="2" s="1"/>
  <c r="M23" i="1"/>
  <c r="I60" i="2"/>
  <c r="H60" i="2"/>
  <c r="I58" i="2"/>
  <c r="C36" i="2"/>
  <c r="J19" i="1"/>
  <c r="J25" i="1"/>
  <c r="K20" i="1"/>
  <c r="L24" i="1"/>
  <c r="L17" i="1"/>
  <c r="I17" i="1"/>
  <c r="I24" i="1"/>
  <c r="C19" i="1"/>
  <c r="C25" i="1"/>
  <c r="H17" i="1"/>
  <c r="H24" i="1"/>
  <c r="G24" i="1"/>
  <c r="G17" i="1"/>
  <c r="F24" i="1"/>
  <c r="F17" i="1"/>
  <c r="F39" i="2"/>
  <c r="D24" i="1"/>
  <c r="D17" i="1"/>
  <c r="F38" i="2"/>
  <c r="C19" i="2"/>
  <c r="B17" i="1"/>
  <c r="B24" i="1"/>
  <c r="F37" i="2"/>
  <c r="F23" i="2"/>
  <c r="F40" i="2" s="1"/>
  <c r="I59" i="2" l="1"/>
  <c r="I17" i="2"/>
  <c r="Q39" i="2"/>
  <c r="Q23" i="2"/>
  <c r="Q40" i="2" s="1"/>
  <c r="M24" i="1"/>
  <c r="B19" i="2"/>
  <c r="B32" i="2" s="1"/>
  <c r="J20" i="1"/>
  <c r="L25" i="1"/>
  <c r="L19" i="1"/>
  <c r="G23" i="2"/>
  <c r="G40" i="2" s="1"/>
  <c r="G37" i="2"/>
  <c r="C24" i="2"/>
  <c r="C32" i="2"/>
  <c r="D36" i="2"/>
  <c r="H19" i="1"/>
  <c r="H20" i="1" s="1"/>
  <c r="H25" i="1"/>
  <c r="C20" i="1"/>
  <c r="I25" i="1"/>
  <c r="I19" i="1"/>
  <c r="I20" i="1" s="1"/>
  <c r="D25" i="1"/>
  <c r="D19" i="1"/>
  <c r="F25" i="1"/>
  <c r="F19" i="1"/>
  <c r="G19" i="1"/>
  <c r="G20" i="1" s="1"/>
  <c r="G25" i="1"/>
  <c r="G38" i="2"/>
  <c r="B25" i="1"/>
  <c r="B19" i="1"/>
  <c r="G39" i="2"/>
  <c r="J17" i="2" l="1"/>
  <c r="K17" i="2" s="1"/>
  <c r="L17" i="2" s="1"/>
  <c r="M17" i="2" s="1"/>
  <c r="N17" i="2" s="1"/>
  <c r="O17" i="2" s="1"/>
  <c r="P17" i="2" s="1"/>
  <c r="Q17" i="2" s="1"/>
  <c r="I66" i="2"/>
  <c r="R39" i="2"/>
  <c r="R23" i="2"/>
  <c r="R40" i="2" s="1"/>
  <c r="M25" i="1"/>
  <c r="M19" i="1"/>
  <c r="B24" i="2"/>
  <c r="B26" i="2" s="1"/>
  <c r="J44" i="1"/>
  <c r="J47" i="1" s="1"/>
  <c r="K44" i="1"/>
  <c r="L20" i="1"/>
  <c r="L44" i="1"/>
  <c r="I44" i="1"/>
  <c r="F20" i="1"/>
  <c r="H23" i="2"/>
  <c r="H40" i="2" s="1"/>
  <c r="H37" i="2"/>
  <c r="H39" i="2"/>
  <c r="H38" i="2"/>
  <c r="D20" i="1"/>
  <c r="C33" i="2"/>
  <c r="C26" i="2"/>
  <c r="B20" i="1"/>
  <c r="P36" i="2" l="1"/>
  <c r="M20" i="1"/>
  <c r="P44" i="1"/>
  <c r="N44" i="1"/>
  <c r="O44" i="1"/>
  <c r="R17" i="2"/>
  <c r="Q36" i="2"/>
  <c r="M44" i="1"/>
  <c r="B33" i="2"/>
  <c r="J45" i="1"/>
  <c r="J48" i="1"/>
  <c r="J46" i="1"/>
  <c r="K47" i="1"/>
  <c r="K45" i="1"/>
  <c r="K46" i="1"/>
  <c r="K48" i="1"/>
  <c r="D32" i="2"/>
  <c r="L46" i="1"/>
  <c r="L48" i="1"/>
  <c r="L47" i="1"/>
  <c r="L45" i="1"/>
  <c r="I38" i="2"/>
  <c r="I48" i="1"/>
  <c r="I47" i="1"/>
  <c r="I46" i="1"/>
  <c r="I45" i="1"/>
  <c r="I39" i="2"/>
  <c r="C28" i="2"/>
  <c r="C34" i="2"/>
  <c r="I37" i="2"/>
  <c r="I40" i="2"/>
  <c r="B34" i="2"/>
  <c r="D33" i="2"/>
  <c r="P47" i="1" l="1"/>
  <c r="P48" i="1"/>
  <c r="P45" i="1"/>
  <c r="P46" i="1"/>
  <c r="O47" i="1"/>
  <c r="O48" i="1"/>
  <c r="O46" i="1"/>
  <c r="O45" i="1"/>
  <c r="N46" i="1"/>
  <c r="N45" i="1"/>
  <c r="N48" i="1"/>
  <c r="N47" i="1"/>
  <c r="R36" i="2"/>
  <c r="M47" i="1"/>
  <c r="M46" i="1"/>
  <c r="M48" i="1"/>
  <c r="M45" i="1"/>
  <c r="E19" i="2"/>
  <c r="E18" i="2" s="1"/>
  <c r="C56" i="2"/>
  <c r="C55" i="2"/>
  <c r="C54" i="2"/>
  <c r="C53" i="2"/>
  <c r="C29" i="2"/>
  <c r="J39" i="2"/>
  <c r="J38" i="2"/>
  <c r="J23" i="2"/>
  <c r="J40" i="2" s="1"/>
  <c r="J37" i="2"/>
  <c r="D34" i="2"/>
  <c r="G36" i="2"/>
  <c r="B28" i="2"/>
  <c r="B29" i="2" s="1"/>
  <c r="E32" i="2" l="1"/>
  <c r="F19" i="2" s="1"/>
  <c r="F18" i="2" s="1"/>
  <c r="E24" i="2"/>
  <c r="E33" i="2" s="1"/>
  <c r="D28" i="2"/>
  <c r="D29" i="2" s="1"/>
  <c r="K38" i="2"/>
  <c r="K39" i="2"/>
  <c r="H36" i="2"/>
  <c r="K37" i="2"/>
  <c r="K23" i="2"/>
  <c r="K40" i="2" s="1"/>
  <c r="F24" i="2" l="1"/>
  <c r="F33" i="2" s="1"/>
  <c r="F32" i="2"/>
  <c r="G19" i="2" s="1"/>
  <c r="G24" i="2" s="1"/>
  <c r="G33" i="2" s="1"/>
  <c r="D54" i="2"/>
  <c r="D55" i="2"/>
  <c r="D56" i="2"/>
  <c r="D53" i="2"/>
  <c r="L39" i="2"/>
  <c r="L23" i="2"/>
  <c r="L40" i="2" s="1"/>
  <c r="L37" i="2"/>
  <c r="I36" i="2"/>
  <c r="E26" i="2"/>
  <c r="E27" i="2" s="1"/>
  <c r="L38" i="2"/>
  <c r="G18" i="2" l="1"/>
  <c r="G32" i="2"/>
  <c r="H19" i="2" s="1"/>
  <c r="H18" i="2" s="1"/>
  <c r="E34" i="2"/>
  <c r="J36" i="2"/>
  <c r="M37" i="2"/>
  <c r="M23" i="2"/>
  <c r="M40" i="2" s="1"/>
  <c r="M38" i="2"/>
  <c r="M39" i="2"/>
  <c r="H32" i="2" l="1"/>
  <c r="I19" i="2" s="1"/>
  <c r="I24" i="2" s="1"/>
  <c r="I33" i="2" s="1"/>
  <c r="H24" i="2"/>
  <c r="H33" i="2" s="1"/>
  <c r="E28" i="2"/>
  <c r="E42" i="2" s="1"/>
  <c r="N38" i="2"/>
  <c r="O38" i="2"/>
  <c r="N37" i="2"/>
  <c r="N23" i="2"/>
  <c r="N40" i="2" s="1"/>
  <c r="K36" i="2"/>
  <c r="N39" i="2"/>
  <c r="O39" i="2"/>
  <c r="I32" i="2" l="1"/>
  <c r="J19" i="2" s="1"/>
  <c r="I18" i="2"/>
  <c r="E29" i="2"/>
  <c r="F25" i="2"/>
  <c r="F26" i="2" s="1"/>
  <c r="L36" i="2"/>
  <c r="O37" i="2"/>
  <c r="O23" i="2"/>
  <c r="O40" i="2" l="1"/>
  <c r="P40" i="2"/>
  <c r="J18" i="2"/>
  <c r="J32" i="2"/>
  <c r="K19" i="2" s="1"/>
  <c r="J24" i="2"/>
  <c r="J33" i="2" s="1"/>
  <c r="M36" i="2"/>
  <c r="F27" i="2"/>
  <c r="F34" i="2" s="1"/>
  <c r="K18" i="2" l="1"/>
  <c r="K24" i="2"/>
  <c r="K33" i="2" s="1"/>
  <c r="K32" i="2"/>
  <c r="L19" i="2" s="1"/>
  <c r="F28" i="2"/>
  <c r="N36" i="2"/>
  <c r="L18" i="2" l="1"/>
  <c r="L32" i="2"/>
  <c r="M19" i="2" s="1"/>
  <c r="L24" i="2"/>
  <c r="L33" i="2" s="1"/>
  <c r="F29" i="2"/>
  <c r="F42" i="2"/>
  <c r="G25" i="2" s="1"/>
  <c r="G26" i="2" s="1"/>
  <c r="O36" i="2"/>
  <c r="M32" i="2" l="1"/>
  <c r="N19" i="2" s="1"/>
  <c r="M24" i="2"/>
  <c r="M33" i="2" s="1"/>
  <c r="M18" i="2"/>
  <c r="G27" i="2"/>
  <c r="G34" i="2" s="1"/>
  <c r="N18" i="2" l="1"/>
  <c r="N24" i="2"/>
  <c r="N33" i="2" s="1"/>
  <c r="N32" i="2"/>
  <c r="O19" i="2" s="1"/>
  <c r="G28" i="2"/>
  <c r="O18" i="2" l="1"/>
  <c r="O32" i="2"/>
  <c r="P19" i="2" s="1"/>
  <c r="O24" i="2"/>
  <c r="O33" i="2" s="1"/>
  <c r="G29" i="2"/>
  <c r="G42" i="2"/>
  <c r="H25" i="2" s="1"/>
  <c r="H26" i="2" s="1"/>
  <c r="P24" i="2" l="1"/>
  <c r="P32" i="2"/>
  <c r="Q19" i="2" s="1"/>
  <c r="P18" i="2"/>
  <c r="H27" i="2"/>
  <c r="H34" i="2" s="1"/>
  <c r="Q24" i="2" l="1"/>
  <c r="Q32" i="2"/>
  <c r="R19" i="2" s="1"/>
  <c r="Q18" i="2"/>
  <c r="P33" i="2"/>
  <c r="H28" i="2"/>
  <c r="R32" i="2" l="1"/>
  <c r="R24" i="2"/>
  <c r="R18" i="2"/>
  <c r="Q33" i="2"/>
  <c r="H29" i="2"/>
  <c r="H42" i="2"/>
  <c r="I25" i="2" s="1"/>
  <c r="I26" i="2" s="1"/>
  <c r="R33" i="2" l="1"/>
  <c r="I27" i="2"/>
  <c r="I34" i="2" s="1"/>
  <c r="I28" i="2" l="1"/>
  <c r="I29" i="2" l="1"/>
  <c r="I42" i="2"/>
  <c r="J25" i="2" s="1"/>
  <c r="J26" i="2" s="1"/>
  <c r="J27" i="2" l="1"/>
  <c r="J34" i="2" s="1"/>
  <c r="J28" i="2" l="1"/>
  <c r="J29" i="2" l="1"/>
  <c r="J42" i="2"/>
  <c r="K25" i="2" l="1"/>
  <c r="K26" i="2" s="1"/>
  <c r="K27" i="2" l="1"/>
  <c r="K34" i="2" s="1"/>
  <c r="K28" i="2" l="1"/>
  <c r="K29" i="2" s="1"/>
  <c r="K42" i="2" l="1"/>
  <c r="L25" i="2"/>
  <c r="L26" i="2" s="1"/>
  <c r="L27" i="2" l="1"/>
  <c r="L34" i="2" s="1"/>
  <c r="L28" i="2" l="1"/>
  <c r="L29" i="2" s="1"/>
  <c r="L42" i="2"/>
  <c r="M25" i="2" l="1"/>
  <c r="M26" i="2" s="1"/>
  <c r="M27" i="2" l="1"/>
  <c r="M34" i="2" s="1"/>
  <c r="M28" i="2"/>
  <c r="M29" i="2" l="1"/>
  <c r="M42" i="2"/>
  <c r="N25" i="2" l="1"/>
  <c r="N26" i="2" s="1"/>
  <c r="N27" i="2" l="1"/>
  <c r="N34" i="2" s="1"/>
  <c r="N28" i="2" l="1"/>
  <c r="N29" i="2" s="1"/>
  <c r="N42" i="2" l="1"/>
  <c r="O25" i="2" s="1"/>
  <c r="O26" i="2" s="1"/>
  <c r="O27" i="2" l="1"/>
  <c r="O34" i="2" s="1"/>
  <c r="O28" i="2"/>
  <c r="O29" i="2" l="1"/>
  <c r="O42" i="2"/>
  <c r="P25" i="2" l="1"/>
  <c r="P26" i="2" s="1"/>
  <c r="P27" i="2" l="1"/>
  <c r="P34" i="2" s="1"/>
  <c r="P28" i="2" l="1"/>
  <c r="P29" i="2" s="1"/>
  <c r="P42" i="2"/>
  <c r="Q25" i="2" l="1"/>
  <c r="Q26" i="2" s="1"/>
  <c r="Q27" i="2" l="1"/>
  <c r="Q34" i="2" s="1"/>
  <c r="Q28" i="2" l="1"/>
  <c r="Q29" i="2"/>
  <c r="Q42" i="2"/>
  <c r="R25" i="2" l="1"/>
  <c r="R26" i="2" s="1"/>
  <c r="R27" i="2" l="1"/>
  <c r="R34" i="2" s="1"/>
  <c r="R28" i="2"/>
  <c r="S28" i="2" l="1"/>
  <c r="T28" i="2" s="1"/>
  <c r="U28" i="2" s="1"/>
  <c r="V28" i="2" s="1"/>
  <c r="W28" i="2" s="1"/>
  <c r="X28" i="2" s="1"/>
  <c r="Y28" i="2" s="1"/>
  <c r="Z28" i="2" s="1"/>
  <c r="AA28" i="2" s="1"/>
  <c r="AB28" i="2" s="1"/>
  <c r="AC28" i="2" s="1"/>
  <c r="AD28" i="2" s="1"/>
  <c r="AE28" i="2" s="1"/>
  <c r="AF28" i="2" s="1"/>
  <c r="AG28" i="2" s="1"/>
  <c r="AH28" i="2" s="1"/>
  <c r="AI28" i="2" s="1"/>
  <c r="AJ28" i="2" s="1"/>
  <c r="AK28" i="2" s="1"/>
  <c r="AL28" i="2" s="1"/>
  <c r="AM28" i="2" s="1"/>
  <c r="AN28" i="2" s="1"/>
  <c r="AO28" i="2" s="1"/>
  <c r="AP28" i="2" s="1"/>
  <c r="AQ28" i="2" s="1"/>
  <c r="AR28" i="2" s="1"/>
  <c r="AS28" i="2" s="1"/>
  <c r="AT28" i="2" s="1"/>
  <c r="AU28" i="2" s="1"/>
  <c r="AV28" i="2" s="1"/>
  <c r="AW28" i="2" s="1"/>
  <c r="AX28" i="2" s="1"/>
  <c r="AY28" i="2" s="1"/>
  <c r="AZ28" i="2" s="1"/>
  <c r="BA28" i="2" s="1"/>
  <c r="BB28" i="2" s="1"/>
  <c r="BC28" i="2" s="1"/>
  <c r="BD28" i="2" s="1"/>
  <c r="BE28" i="2" s="1"/>
  <c r="BF28" i="2" s="1"/>
  <c r="BG28" i="2" s="1"/>
  <c r="BH28" i="2" s="1"/>
  <c r="BI28" i="2" s="1"/>
  <c r="BJ28" i="2" s="1"/>
  <c r="BK28" i="2" s="1"/>
  <c r="BL28" i="2" s="1"/>
  <c r="BM28" i="2" s="1"/>
  <c r="BN28" i="2" s="1"/>
  <c r="BO28" i="2" s="1"/>
  <c r="BP28" i="2" s="1"/>
  <c r="BQ28" i="2" s="1"/>
  <c r="BR28" i="2" s="1"/>
  <c r="BS28" i="2" s="1"/>
  <c r="BT28" i="2" s="1"/>
  <c r="BU28" i="2" s="1"/>
  <c r="BV28" i="2" s="1"/>
  <c r="BW28" i="2" s="1"/>
  <c r="BX28" i="2" s="1"/>
  <c r="BY28" i="2" s="1"/>
  <c r="BZ28" i="2" s="1"/>
  <c r="CA28" i="2" s="1"/>
  <c r="CB28" i="2" s="1"/>
  <c r="CC28" i="2" s="1"/>
  <c r="CD28" i="2" s="1"/>
  <c r="CE28" i="2" s="1"/>
  <c r="CF28" i="2" s="1"/>
  <c r="CG28" i="2" s="1"/>
  <c r="CH28" i="2" s="1"/>
  <c r="CI28" i="2" s="1"/>
  <c r="CJ28" i="2" s="1"/>
  <c r="CK28" i="2" s="1"/>
  <c r="CL28" i="2" s="1"/>
  <c r="CM28" i="2" s="1"/>
  <c r="CN28" i="2" s="1"/>
  <c r="CO28" i="2" s="1"/>
  <c r="CP28" i="2" s="1"/>
  <c r="CQ28" i="2" s="1"/>
  <c r="CR28" i="2" s="1"/>
  <c r="CS28" i="2" s="1"/>
  <c r="CT28" i="2" s="1"/>
  <c r="CU28" i="2" s="1"/>
  <c r="CV28" i="2" s="1"/>
  <c r="CW28" i="2" s="1"/>
  <c r="CX28" i="2" s="1"/>
  <c r="CY28" i="2" s="1"/>
  <c r="CZ28" i="2" s="1"/>
  <c r="DA28" i="2" s="1"/>
  <c r="DB28" i="2" s="1"/>
  <c r="DC28" i="2" s="1"/>
  <c r="DD28" i="2" s="1"/>
  <c r="DE28" i="2" s="1"/>
  <c r="DF28" i="2" s="1"/>
  <c r="DG28" i="2" s="1"/>
  <c r="DH28" i="2" s="1"/>
  <c r="DI28" i="2" s="1"/>
  <c r="DJ28" i="2" s="1"/>
  <c r="DK28" i="2" s="1"/>
  <c r="DL28" i="2" s="1"/>
  <c r="DM28" i="2" s="1"/>
  <c r="DN28" i="2" s="1"/>
  <c r="DO28" i="2" s="1"/>
  <c r="DP28" i="2" s="1"/>
  <c r="R29" i="2"/>
  <c r="R42" i="2"/>
  <c r="DQ28" i="2" l="1"/>
  <c r="DR28" i="2" s="1"/>
  <c r="DS28" i="2" s="1"/>
  <c r="DT28" i="2" s="1"/>
  <c r="DU28" i="2" s="1"/>
  <c r="DV28" i="2" s="1"/>
  <c r="DW28" i="2" s="1"/>
  <c r="DX28" i="2" s="1"/>
  <c r="DY28" i="2" s="1"/>
  <c r="DZ28" i="2" s="1"/>
  <c r="EA28" i="2" s="1"/>
  <c r="EB28" i="2" s="1"/>
  <c r="EC28" i="2" s="1"/>
  <c r="ED28" i="2" s="1"/>
  <c r="EE28" i="2" s="1"/>
  <c r="EF28" i="2" s="1"/>
  <c r="EG28" i="2" s="1"/>
  <c r="EH28" i="2" s="1"/>
  <c r="EI28" i="2" s="1"/>
  <c r="EJ28" i="2" s="1"/>
  <c r="EK28" i="2" s="1"/>
  <c r="EL28" i="2" s="1"/>
  <c r="EM28" i="2" s="1"/>
  <c r="EN28" i="2" s="1"/>
  <c r="EO28" i="2" s="1"/>
  <c r="EP28" i="2" s="1"/>
  <c r="EQ28" i="2" s="1"/>
  <c r="ER28" i="2" s="1"/>
  <c r="ES28" i="2" s="1"/>
  <c r="ET28" i="2" s="1"/>
  <c r="EU28" i="2" s="1"/>
  <c r="EV28" i="2" s="1"/>
  <c r="EW28" i="2" s="1"/>
  <c r="EX28" i="2" s="1"/>
  <c r="EY28" i="2" s="1"/>
  <c r="EZ28" i="2" s="1"/>
  <c r="FA28" i="2" s="1"/>
  <c r="FB28" i="2" s="1"/>
  <c r="FC28" i="2" s="1"/>
  <c r="FD28" i="2" s="1"/>
  <c r="FE28" i="2" s="1"/>
  <c r="FF28" i="2" s="1"/>
  <c r="FG28" i="2" s="1"/>
  <c r="FH28" i="2" s="1"/>
  <c r="FI28" i="2" s="1"/>
  <c r="FJ28" i="2" s="1"/>
  <c r="FK28" i="2" s="1"/>
  <c r="FL28" i="2" s="1"/>
  <c r="FM28" i="2" s="1"/>
  <c r="FN28" i="2" s="1"/>
  <c r="FO28" i="2" s="1"/>
  <c r="FP28" i="2" s="1"/>
  <c r="FQ28" i="2" s="1"/>
  <c r="FR28" i="2" s="1"/>
  <c r="FS28" i="2" s="1"/>
  <c r="FT28" i="2" s="1"/>
  <c r="FU28" i="2" s="1"/>
  <c r="FV28" i="2" s="1"/>
  <c r="FW28" i="2" s="1"/>
  <c r="FX28" i="2" s="1"/>
  <c r="FY28" i="2" s="1"/>
  <c r="FZ28" i="2" s="1"/>
  <c r="GA28" i="2" s="1"/>
  <c r="GB28" i="2" s="1"/>
  <c r="GC28" i="2" s="1"/>
  <c r="GD28" i="2" s="1"/>
  <c r="GE28" i="2" s="1"/>
  <c r="GF28" i="2" s="1"/>
  <c r="GG28" i="2" s="1"/>
  <c r="GH28" i="2" s="1"/>
  <c r="GI28" i="2" s="1"/>
  <c r="GJ28" i="2" s="1"/>
  <c r="GK28" i="2" s="1"/>
  <c r="GL28" i="2" s="1"/>
  <c r="GM28" i="2" s="1"/>
  <c r="GN28" i="2" s="1"/>
  <c r="GO28" i="2" s="1"/>
  <c r="GP28" i="2" s="1"/>
  <c r="GQ28" i="2" s="1"/>
  <c r="GR28" i="2" s="1"/>
  <c r="GS28" i="2" s="1"/>
  <c r="GT28" i="2" s="1"/>
  <c r="GU28" i="2" s="1"/>
  <c r="GV28" i="2" s="1"/>
  <c r="GW28" i="2" s="1"/>
  <c r="GX28" i="2" s="1"/>
  <c r="GY28" i="2" s="1"/>
  <c r="GZ28" i="2" s="1"/>
  <c r="HA28" i="2" s="1"/>
  <c r="HB28" i="2" s="1"/>
  <c r="HC28" i="2" s="1"/>
  <c r="HD28" i="2" s="1"/>
  <c r="HE28" i="2" s="1"/>
  <c r="HF28" i="2" s="1"/>
  <c r="HG28" i="2" s="1"/>
  <c r="HH28" i="2" s="1"/>
  <c r="HI28" i="2" s="1"/>
  <c r="HJ28" i="2" s="1"/>
  <c r="HK28" i="2" s="1"/>
  <c r="HL28" i="2" s="1"/>
  <c r="HM28" i="2" s="1"/>
  <c r="HN28" i="2" s="1"/>
  <c r="HO28" i="2" s="1"/>
  <c r="HP28" i="2" s="1"/>
  <c r="HQ28" i="2" s="1"/>
  <c r="HR28" i="2" s="1"/>
  <c r="HS28" i="2" s="1"/>
  <c r="HT28" i="2" s="1"/>
  <c r="HU28" i="2" s="1"/>
  <c r="HV28" i="2" s="1"/>
  <c r="HW28" i="2" s="1"/>
  <c r="HX28" i="2" s="1"/>
  <c r="HY28" i="2" s="1"/>
  <c r="HZ28" i="2" s="1"/>
  <c r="IA28" i="2" s="1"/>
  <c r="IB28" i="2" s="1"/>
  <c r="IC28" i="2" s="1"/>
  <c r="ID28" i="2" s="1"/>
  <c r="IE28" i="2" s="1"/>
  <c r="IF28" i="2" s="1"/>
  <c r="IG28" i="2" s="1"/>
  <c r="IH28" i="2" s="1"/>
  <c r="II28" i="2" s="1"/>
  <c r="F5" i="2"/>
  <c r="F6" i="2" s="1"/>
  <c r="F7" i="2" s="1"/>
  <c r="G7" i="2" s="1"/>
</calcChain>
</file>

<file path=xl/sharedStrings.xml><?xml version="1.0" encoding="utf-8"?>
<sst xmlns="http://schemas.openxmlformats.org/spreadsheetml/2006/main" count="154" uniqueCount="103">
  <si>
    <t>Q117</t>
  </si>
  <si>
    <t>Q217</t>
  </si>
  <si>
    <t>Q317</t>
  </si>
  <si>
    <t>Q417</t>
  </si>
  <si>
    <t>Revenue</t>
  </si>
  <si>
    <t>COGS</t>
  </si>
  <si>
    <t>Gross Profit</t>
  </si>
  <si>
    <t>R&amp;D</t>
  </si>
  <si>
    <t>S&amp;M</t>
  </si>
  <si>
    <t>G&amp;A</t>
  </si>
  <si>
    <t>Operating Expenses</t>
  </si>
  <si>
    <t>Operating Income</t>
  </si>
  <si>
    <t>Interest Income</t>
  </si>
  <si>
    <t>Pretax Income</t>
  </si>
  <si>
    <t>Taxes</t>
  </si>
  <si>
    <t>Net Income</t>
  </si>
  <si>
    <t>EPS</t>
  </si>
  <si>
    <t>Shares</t>
  </si>
  <si>
    <t>Revenue y/y</t>
  </si>
  <si>
    <t>Gross Margin</t>
  </si>
  <si>
    <t>Operating Margin</t>
  </si>
  <si>
    <t>Tax Rate</t>
  </si>
  <si>
    <t>30/9/2017</t>
  </si>
  <si>
    <t>30/6/2017</t>
  </si>
  <si>
    <t>31/3/2017</t>
  </si>
  <si>
    <t>Net Cash</t>
  </si>
  <si>
    <t>Cash</t>
  </si>
  <si>
    <t>Debt</t>
  </si>
  <si>
    <t>31/12/2017</t>
  </si>
  <si>
    <t>Maturity</t>
  </si>
  <si>
    <t>ROIC</t>
  </si>
  <si>
    <t>Discount</t>
  </si>
  <si>
    <t>NPV</t>
  </si>
  <si>
    <t>Value</t>
  </si>
  <si>
    <t>Q118</t>
  </si>
  <si>
    <t>Q218</t>
  </si>
  <si>
    <t>Q318</t>
  </si>
  <si>
    <t>Q418</t>
  </si>
  <si>
    <t>31/3/2018</t>
  </si>
  <si>
    <t>30/6/2018</t>
  </si>
  <si>
    <t>30/9/2018</t>
  </si>
  <si>
    <t>31/12/2018</t>
  </si>
  <si>
    <t>R&amp;D y/y</t>
  </si>
  <si>
    <t>S&amp;M y/y</t>
  </si>
  <si>
    <t>G&amp;A y/y</t>
  </si>
  <si>
    <t>EDGAR</t>
  </si>
  <si>
    <t>Investor Relations</t>
  </si>
  <si>
    <t>CEO</t>
  </si>
  <si>
    <t>Founder</t>
  </si>
  <si>
    <t>Jack Dorsey</t>
  </si>
  <si>
    <t>Price</t>
  </si>
  <si>
    <t>Market Cap</t>
  </si>
  <si>
    <t>EV</t>
  </si>
  <si>
    <t>per share</t>
  </si>
  <si>
    <t>Intangibles</t>
  </si>
  <si>
    <t>Total assets</t>
  </si>
  <si>
    <t>Total liabilities</t>
  </si>
  <si>
    <t>TWC</t>
  </si>
  <si>
    <t>Equity</t>
  </si>
  <si>
    <t>ROE</t>
  </si>
  <si>
    <t>ROA</t>
  </si>
  <si>
    <t>ROTB</t>
  </si>
  <si>
    <t>ROTWC</t>
  </si>
  <si>
    <t>NI 12M</t>
  </si>
  <si>
    <t>Square, Inc (SQ)</t>
  </si>
  <si>
    <t>Q119</t>
  </si>
  <si>
    <t>Q219</t>
  </si>
  <si>
    <t>Q319</t>
  </si>
  <si>
    <t>Q419</t>
  </si>
  <si>
    <t>31/3/2019</t>
  </si>
  <si>
    <t>30/6/2019</t>
  </si>
  <si>
    <t>30/9/2019</t>
  </si>
  <si>
    <t>31/12/2019</t>
  </si>
  <si>
    <t>Transactions</t>
  </si>
  <si>
    <t>Subscriptions</t>
  </si>
  <si>
    <t>Hardware</t>
  </si>
  <si>
    <t>Bitcoin</t>
  </si>
  <si>
    <t>Transactions y/y</t>
  </si>
  <si>
    <t>Subscriptions y/y</t>
  </si>
  <si>
    <t>Hardware y/y</t>
  </si>
  <si>
    <t>Bitcoin y/y</t>
  </si>
  <si>
    <t>Jim McKelvey</t>
  </si>
  <si>
    <t>Tristan O'Tierney</t>
  </si>
  <si>
    <t>OE y/y</t>
  </si>
  <si>
    <t>Square Reader</t>
  </si>
  <si>
    <t>Mobile payment card reader</t>
  </si>
  <si>
    <t>Square Stand</t>
  </si>
  <si>
    <t>Point of sale system</t>
  </si>
  <si>
    <t>Cash App</t>
  </si>
  <si>
    <t>Caviar</t>
  </si>
  <si>
    <t>Food delivery service (aquired by DoorDash)</t>
  </si>
  <si>
    <t>Square Capital</t>
  </si>
  <si>
    <t>Credit lending to companies</t>
  </si>
  <si>
    <t>Q120</t>
  </si>
  <si>
    <t>Q220</t>
  </si>
  <si>
    <t>Q320</t>
  </si>
  <si>
    <t>Q420</t>
  </si>
  <si>
    <t>GPV</t>
  </si>
  <si>
    <t>GPV y/y</t>
  </si>
  <si>
    <t>PRODUCTS</t>
  </si>
  <si>
    <t>OTHER</t>
  </si>
  <si>
    <t>P2P for bitcoin, cash card, direct deposits, stocks</t>
  </si>
  <si>
    <t>R/GPV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</si>
</sst>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_ ;[Red]\-#,##0\ "/>
    <numFmt numFmtId="165" formatCode="#,##0.0"/>
  </numFmts>
  <fonts count="13" x14ac:knownFonts="1">
    <font>
      <sz val="10"/>
      <color theme="1"/>
      <name val="Arial"/>
      <family val="2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Arial"/>
      <family val="2"/>
    </font>
    <font>
      <i/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sz val="10"/>
      <color theme="1"/>
      <name val="Arial"/>
      <family val="2"/>
    </font>
    <font>
      <u/>
      <sz val="10"/>
      <color theme="10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b/>
      <u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85">
    <xf numFmtId="0" fontId="0" fillId="0" borderId="0" xfId="0"/>
    <xf numFmtId="0" fontId="4" fillId="0" borderId="0" xfId="0" applyFont="1"/>
    <xf numFmtId="4" fontId="4" fillId="0" borderId="0" xfId="0" applyNumberFormat="1" applyFont="1" applyBorder="1"/>
    <xf numFmtId="0" fontId="4" fillId="0" borderId="0" xfId="0" applyFont="1" applyBorder="1"/>
    <xf numFmtId="10" fontId="4" fillId="0" borderId="0" xfId="0" applyNumberFormat="1" applyFont="1"/>
    <xf numFmtId="3" fontId="4" fillId="0" borderId="0" xfId="0" applyNumberFormat="1" applyFont="1" applyBorder="1"/>
    <xf numFmtId="0" fontId="5" fillId="0" borderId="0" xfId="0" applyFont="1"/>
    <xf numFmtId="3" fontId="4" fillId="2" borderId="0" xfId="0" applyNumberFormat="1" applyFont="1" applyFill="1" applyBorder="1"/>
    <xf numFmtId="164" fontId="4" fillId="2" borderId="0" xfId="0" applyNumberFormat="1" applyFont="1" applyFill="1"/>
    <xf numFmtId="0" fontId="6" fillId="0" borderId="0" xfId="0" applyFont="1" applyBorder="1"/>
    <xf numFmtId="164" fontId="6" fillId="2" borderId="0" xfId="0" applyNumberFormat="1" applyFont="1" applyFill="1"/>
    <xf numFmtId="4" fontId="4" fillId="2" borderId="0" xfId="0" applyNumberFormat="1" applyFont="1" applyFill="1" applyBorder="1"/>
    <xf numFmtId="0" fontId="5" fillId="0" borderId="0" xfId="0" applyFont="1" applyBorder="1"/>
    <xf numFmtId="4" fontId="4" fillId="2" borderId="0" xfId="0" applyNumberFormat="1" applyFont="1" applyFill="1"/>
    <xf numFmtId="9" fontId="4" fillId="0" borderId="0" xfId="0" applyNumberFormat="1" applyFont="1"/>
    <xf numFmtId="0" fontId="7" fillId="0" borderId="0" xfId="4" applyFont="1"/>
    <xf numFmtId="0" fontId="6" fillId="0" borderId="0" xfId="0" applyFont="1"/>
    <xf numFmtId="3" fontId="4" fillId="0" borderId="0" xfId="0" applyNumberFormat="1" applyFont="1"/>
    <xf numFmtId="3" fontId="6" fillId="0" borderId="0" xfId="0" applyNumberFormat="1" applyFont="1" applyBorder="1"/>
    <xf numFmtId="2" fontId="4" fillId="0" borderId="0" xfId="0" applyNumberFormat="1" applyFont="1" applyBorder="1"/>
    <xf numFmtId="9" fontId="6" fillId="0" borderId="0" xfId="1" applyFont="1" applyBorder="1"/>
    <xf numFmtId="9" fontId="4" fillId="0" borderId="0" xfId="1" applyFont="1" applyBorder="1"/>
    <xf numFmtId="9" fontId="4" fillId="0" borderId="0" xfId="0" applyNumberFormat="1" applyFont="1" applyBorder="1"/>
    <xf numFmtId="3" fontId="6" fillId="2" borderId="0" xfId="0" applyNumberFormat="1" applyFont="1" applyFill="1" applyBorder="1"/>
    <xf numFmtId="2" fontId="4" fillId="2" borderId="0" xfId="0" applyNumberFormat="1" applyFont="1" applyFill="1" applyBorder="1"/>
    <xf numFmtId="3" fontId="4" fillId="2" borderId="0" xfId="0" applyNumberFormat="1" applyFont="1" applyFill="1"/>
    <xf numFmtId="0" fontId="8" fillId="0" borderId="0" xfId="0" applyFont="1" applyAlignment="1">
      <alignment horizontal="right"/>
    </xf>
    <xf numFmtId="0" fontId="8" fillId="0" borderId="1" xfId="0" applyFont="1" applyBorder="1" applyAlignment="1">
      <alignment horizontal="right"/>
    </xf>
    <xf numFmtId="3" fontId="8" fillId="0" borderId="1" xfId="0" applyNumberFormat="1" applyFont="1" applyBorder="1" applyAlignment="1">
      <alignment horizontal="right"/>
    </xf>
    <xf numFmtId="3" fontId="8" fillId="0" borderId="0" xfId="0" applyNumberFormat="1" applyFont="1" applyAlignment="1">
      <alignment horizontal="right"/>
    </xf>
    <xf numFmtId="3" fontId="8" fillId="0" borderId="0" xfId="0" applyNumberFormat="1" applyFont="1" applyFill="1" applyAlignment="1">
      <alignment horizontal="right"/>
    </xf>
    <xf numFmtId="0" fontId="8" fillId="0" borderId="1" xfId="0" applyFont="1" applyBorder="1"/>
    <xf numFmtId="0" fontId="8" fillId="0" borderId="0" xfId="0" applyFont="1"/>
    <xf numFmtId="0" fontId="9" fillId="0" borderId="0" xfId="4" applyFont="1"/>
    <xf numFmtId="0" fontId="8" fillId="0" borderId="0" xfId="0" applyFont="1" applyFill="1" applyAlignment="1">
      <alignment horizontal="right"/>
    </xf>
    <xf numFmtId="3" fontId="8" fillId="0" borderId="0" xfId="0" applyNumberFormat="1" applyFont="1"/>
    <xf numFmtId="3" fontId="8" fillId="0" borderId="0" xfId="0" applyNumberFormat="1" applyFont="1" applyBorder="1" applyAlignment="1">
      <alignment horizontal="right"/>
    </xf>
    <xf numFmtId="3" fontId="8" fillId="0" borderId="0" xfId="0" applyNumberFormat="1" applyFont="1" applyFill="1" applyBorder="1" applyAlignment="1">
      <alignment horizontal="right"/>
    </xf>
    <xf numFmtId="3" fontId="10" fillId="0" borderId="0" xfId="0" applyNumberFormat="1" applyFont="1"/>
    <xf numFmtId="3" fontId="10" fillId="2" borderId="0" xfId="0" applyNumberFormat="1" applyFont="1" applyFill="1" applyBorder="1" applyAlignment="1">
      <alignment horizontal="right"/>
    </xf>
    <xf numFmtId="3" fontId="10" fillId="2" borderId="1" xfId="0" applyNumberFormat="1" applyFont="1" applyFill="1" applyBorder="1" applyAlignment="1">
      <alignment horizontal="right"/>
    </xf>
    <xf numFmtId="3" fontId="8" fillId="2" borderId="0" xfId="0" applyNumberFormat="1" applyFont="1" applyFill="1" applyBorder="1" applyAlignment="1">
      <alignment horizontal="right"/>
    </xf>
    <xf numFmtId="3" fontId="8" fillId="2" borderId="1" xfId="0" applyNumberFormat="1" applyFont="1" applyFill="1" applyBorder="1" applyAlignment="1">
      <alignment horizontal="right"/>
    </xf>
    <xf numFmtId="2" fontId="8" fillId="2" borderId="0" xfId="0" applyNumberFormat="1" applyFont="1" applyFill="1" applyBorder="1" applyAlignment="1">
      <alignment horizontal="right"/>
    </xf>
    <xf numFmtId="2" fontId="8" fillId="2" borderId="1" xfId="0" applyNumberFormat="1" applyFont="1" applyFill="1" applyBorder="1" applyAlignment="1">
      <alignment horizontal="right"/>
    </xf>
    <xf numFmtId="9" fontId="8" fillId="0" borderId="0" xfId="0" applyNumberFormat="1" applyFont="1" applyBorder="1" applyAlignment="1">
      <alignment horizontal="right"/>
    </xf>
    <xf numFmtId="9" fontId="8" fillId="0" borderId="1" xfId="0" applyNumberFormat="1" applyFont="1" applyBorder="1" applyAlignment="1">
      <alignment horizontal="right"/>
    </xf>
    <xf numFmtId="9" fontId="8" fillId="0" borderId="0" xfId="0" applyNumberFormat="1" applyFont="1" applyFill="1" applyBorder="1" applyAlignment="1">
      <alignment horizontal="right"/>
    </xf>
    <xf numFmtId="9" fontId="8" fillId="0" borderId="0" xfId="1" applyFont="1" applyBorder="1" applyAlignment="1">
      <alignment horizontal="right"/>
    </xf>
    <xf numFmtId="9" fontId="8" fillId="0" borderId="1" xfId="1" applyFont="1" applyBorder="1" applyAlignment="1">
      <alignment horizontal="right"/>
    </xf>
    <xf numFmtId="9" fontId="8" fillId="0" borderId="0" xfId="1" applyFont="1" applyFill="1" applyBorder="1" applyAlignment="1">
      <alignment horizontal="right"/>
    </xf>
    <xf numFmtId="0" fontId="10" fillId="0" borderId="0" xfId="0" applyFont="1"/>
    <xf numFmtId="9" fontId="10" fillId="0" borderId="0" xfId="1" applyNumberFormat="1" applyFont="1" applyBorder="1" applyAlignment="1">
      <alignment horizontal="right"/>
    </xf>
    <xf numFmtId="9" fontId="10" fillId="0" borderId="1" xfId="1" applyNumberFormat="1" applyFont="1" applyBorder="1" applyAlignment="1">
      <alignment horizontal="right"/>
    </xf>
    <xf numFmtId="9" fontId="10" fillId="0" borderId="0" xfId="1" applyNumberFormat="1" applyFont="1" applyFill="1" applyBorder="1" applyAlignment="1">
      <alignment horizontal="right"/>
    </xf>
    <xf numFmtId="9" fontId="8" fillId="0" borderId="0" xfId="1" applyNumberFormat="1" applyFont="1" applyBorder="1" applyAlignment="1">
      <alignment horizontal="right"/>
    </xf>
    <xf numFmtId="9" fontId="8" fillId="0" borderId="1" xfId="1" applyNumberFormat="1" applyFont="1" applyBorder="1" applyAlignment="1">
      <alignment horizontal="right"/>
    </xf>
    <xf numFmtId="9" fontId="8" fillId="0" borderId="0" xfId="1" applyNumberFormat="1" applyFont="1" applyFill="1" applyBorder="1" applyAlignment="1">
      <alignment horizontal="right"/>
    </xf>
    <xf numFmtId="0" fontId="8" fillId="0" borderId="0" xfId="0" applyFont="1" applyBorder="1" applyAlignment="1">
      <alignment horizontal="right"/>
    </xf>
    <xf numFmtId="0" fontId="8" fillId="0" borderId="0" xfId="0" applyFont="1" applyFill="1" applyBorder="1" applyAlignment="1">
      <alignment horizontal="right"/>
    </xf>
    <xf numFmtId="3" fontId="10" fillId="0" borderId="0" xfId="0" applyNumberFormat="1" applyFont="1" applyBorder="1" applyAlignment="1">
      <alignment horizontal="right"/>
    </xf>
    <xf numFmtId="3" fontId="10" fillId="0" borderId="1" xfId="0" applyNumberFormat="1" applyFont="1" applyBorder="1" applyAlignment="1">
      <alignment horizontal="right"/>
    </xf>
    <xf numFmtId="9" fontId="8" fillId="0" borderId="0" xfId="0" applyNumberFormat="1" applyFont="1" applyFill="1" applyBorder="1"/>
    <xf numFmtId="9" fontId="8" fillId="0" borderId="1" xfId="0" applyNumberFormat="1" applyFont="1" applyBorder="1"/>
    <xf numFmtId="9" fontId="8" fillId="0" borderId="0" xfId="0" applyNumberFormat="1" applyFont="1"/>
    <xf numFmtId="165" fontId="8" fillId="0" borderId="1" xfId="0" applyNumberFormat="1" applyFont="1" applyBorder="1" applyAlignment="1">
      <alignment horizontal="right"/>
    </xf>
    <xf numFmtId="0" fontId="11" fillId="0" borderId="0" xfId="4" applyFont="1"/>
    <xf numFmtId="0" fontId="0" fillId="0" borderId="0" xfId="0" applyFont="1"/>
    <xf numFmtId="3" fontId="0" fillId="0" borderId="1" xfId="0" applyNumberFormat="1" applyFont="1" applyFill="1" applyBorder="1" applyAlignment="1">
      <alignment horizontal="right"/>
    </xf>
    <xf numFmtId="14" fontId="8" fillId="0" borderId="1" xfId="0" applyNumberFormat="1" applyFont="1" applyBorder="1"/>
    <xf numFmtId="3" fontId="8" fillId="0" borderId="1" xfId="0" applyNumberFormat="1" applyFont="1" applyBorder="1"/>
    <xf numFmtId="14" fontId="4" fillId="0" borderId="0" xfId="0" applyNumberFormat="1" applyFont="1" applyAlignment="1">
      <alignment horizontal="left"/>
    </xf>
    <xf numFmtId="3" fontId="0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  <xf numFmtId="3" fontId="0" fillId="0" borderId="0" xfId="0" applyNumberFormat="1" applyFont="1" applyFill="1" applyBorder="1" applyAlignment="1">
      <alignment horizontal="right"/>
    </xf>
    <xf numFmtId="3" fontId="0" fillId="0" borderId="0" xfId="0" applyNumberFormat="1" applyFont="1"/>
    <xf numFmtId="3" fontId="0" fillId="0" borderId="1" xfId="0" applyNumberFormat="1" applyFont="1" applyBorder="1" applyAlignment="1">
      <alignment horizontal="right"/>
    </xf>
    <xf numFmtId="3" fontId="0" fillId="0" borderId="0" xfId="0" applyNumberFormat="1" applyFont="1" applyBorder="1" applyAlignment="1">
      <alignment horizontal="right"/>
    </xf>
    <xf numFmtId="3" fontId="0" fillId="0" borderId="1" xfId="0" applyNumberFormat="1" applyFont="1" applyBorder="1"/>
    <xf numFmtId="14" fontId="8" fillId="0" borderId="0" xfId="0" applyNumberFormat="1" applyFont="1"/>
    <xf numFmtId="0" fontId="12" fillId="0" borderId="0" xfId="0" applyFont="1"/>
    <xf numFmtId="3" fontId="6" fillId="0" borderId="0" xfId="0" applyNumberFormat="1" applyFont="1"/>
    <xf numFmtId="3" fontId="6" fillId="2" borderId="1" xfId="0" applyNumberFormat="1" applyFont="1" applyFill="1" applyBorder="1" applyAlignment="1">
      <alignment horizontal="right"/>
    </xf>
    <xf numFmtId="3" fontId="6" fillId="2" borderId="0" xfId="0" applyNumberFormat="1" applyFont="1" applyFill="1" applyBorder="1" applyAlignment="1">
      <alignment horizontal="right"/>
    </xf>
    <xf numFmtId="9" fontId="0" fillId="0" borderId="0" xfId="0" applyNumberFormat="1" applyFont="1"/>
  </cellXfs>
  <cellStyles count="5">
    <cellStyle name="Followed Hyperlink" xfId="3" builtinId="9" hidden="1"/>
    <cellStyle name="Hyperlink" xfId="2" builtinId="8" hidden="1"/>
    <cellStyle name="Hyperlink" xfId="4" builtinId="8" customBuiltin="1"/>
    <cellStyle name="Normal" xfId="0" builtinId="0" customBuiltin="1"/>
    <cellStyle name="Per 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215900</xdr:colOff>
      <xdr:row>10</xdr:row>
      <xdr:rowOff>0</xdr:rowOff>
    </xdr:from>
    <xdr:to>
      <xdr:col>4</xdr:col>
      <xdr:colOff>215900</xdr:colOff>
      <xdr:row>67</xdr:row>
      <xdr:rowOff>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>
          <a:off x="4358054" y="1660769"/>
          <a:ext cx="0" cy="9466385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235439</xdr:colOff>
      <xdr:row>1</xdr:row>
      <xdr:rowOff>12700</xdr:rowOff>
    </xdr:from>
    <xdr:to>
      <xdr:col>16</xdr:col>
      <xdr:colOff>235439</xdr:colOff>
      <xdr:row>58</xdr:row>
      <xdr:rowOff>156308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CxnSpPr/>
      </xdr:nvCxnSpPr>
      <xdr:spPr>
        <a:xfrm>
          <a:off x="14557131" y="178777"/>
          <a:ext cx="0" cy="10440377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squareup.com/us/en/about/investors" TargetMode="External"/><Relationship Id="rId2" Type="http://schemas.openxmlformats.org/officeDocument/2006/relationships/hyperlink" Target="https://en.wikipedia.org/wiki/Jack_Dorsey" TargetMode="External"/><Relationship Id="rId1" Type="http://schemas.openxmlformats.org/officeDocument/2006/relationships/hyperlink" Target="https://en.wikipedia.org/wiki/Jack_Dorsey" TargetMode="External"/><Relationship Id="rId5" Type="http://schemas.openxmlformats.org/officeDocument/2006/relationships/drawing" Target="../drawings/drawing1.xml"/><Relationship Id="rId4" Type="http://schemas.openxmlformats.org/officeDocument/2006/relationships/hyperlink" Target="https://en.wikipedia.org/wiki/Jim_McKelvey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www.sec.gov/cgi-bin/browse-edgar?CIK=SQ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I66"/>
  <sheetViews>
    <sheetView tabSelected="1" zoomScale="130" zoomScaleNormal="130" workbookViewId="0">
      <pane xSplit="1" ySplit="11" topLeftCell="B12" activePane="bottomRight" state="frozen"/>
      <selection pane="topRight" activeCell="B1" sqref="B1"/>
      <selection pane="bottomLeft" activeCell="A11" sqref="A11"/>
      <selection pane="bottomRight" activeCell="I5" sqref="I5"/>
    </sheetView>
  </sheetViews>
  <sheetFormatPr baseColWidth="10" defaultRowHeight="13" x14ac:dyDescent="0.15"/>
  <cols>
    <col min="1" max="1" width="21.6640625" style="1" customWidth="1"/>
    <col min="2" max="16384" width="10.83203125" style="1"/>
  </cols>
  <sheetData>
    <row r="1" spans="1:20" x14ac:dyDescent="0.15">
      <c r="A1" s="33" t="s">
        <v>46</v>
      </c>
      <c r="B1" s="16" t="s">
        <v>64</v>
      </c>
    </row>
    <row r="2" spans="1:20" x14ac:dyDescent="0.15">
      <c r="B2" s="1" t="s">
        <v>50</v>
      </c>
      <c r="C2" s="2">
        <v>272.75</v>
      </c>
      <c r="D2" s="71">
        <v>44239</v>
      </c>
      <c r="E2" s="3" t="s">
        <v>29</v>
      </c>
      <c r="F2" s="4">
        <v>5.0000000000000001E-3</v>
      </c>
      <c r="I2" s="17"/>
    </row>
    <row r="3" spans="1:20" x14ac:dyDescent="0.15">
      <c r="A3" s="16" t="s">
        <v>47</v>
      </c>
      <c r="B3" s="1" t="s">
        <v>17</v>
      </c>
      <c r="C3" s="5">
        <f>Reports!P21</f>
        <v>488.06900000000002</v>
      </c>
      <c r="D3" s="72" t="s">
        <v>95</v>
      </c>
      <c r="E3" s="3" t="s">
        <v>30</v>
      </c>
      <c r="F3" s="4">
        <v>0.02</v>
      </c>
      <c r="G3" s="6"/>
      <c r="I3" s="17"/>
    </row>
    <row r="4" spans="1:20" x14ac:dyDescent="0.15">
      <c r="A4" s="15" t="s">
        <v>49</v>
      </c>
      <c r="B4" s="1" t="s">
        <v>51</v>
      </c>
      <c r="C4" s="7">
        <f>C2*C3</f>
        <v>133120.81975</v>
      </c>
      <c r="D4" s="73"/>
      <c r="E4" s="3" t="s">
        <v>31</v>
      </c>
      <c r="F4" s="4">
        <v>0.06</v>
      </c>
      <c r="G4" s="6"/>
      <c r="I4" s="14"/>
    </row>
    <row r="5" spans="1:20" x14ac:dyDescent="0.15">
      <c r="B5" s="1" t="s">
        <v>25</v>
      </c>
      <c r="C5" s="5">
        <f>Reports!P33</f>
        <v>1521</v>
      </c>
      <c r="D5" s="72" t="s">
        <v>95</v>
      </c>
      <c r="E5" s="3" t="s">
        <v>32</v>
      </c>
      <c r="F5" s="8">
        <f>NPV(F4,E28:DP28)</f>
        <v>343204.18505276198</v>
      </c>
      <c r="G5" s="6"/>
      <c r="I5" s="14"/>
    </row>
    <row r="6" spans="1:20" x14ac:dyDescent="0.15">
      <c r="A6" s="16" t="s">
        <v>48</v>
      </c>
      <c r="B6" s="1" t="s">
        <v>52</v>
      </c>
      <c r="C6" s="7">
        <f>C4-C5</f>
        <v>131599.81975</v>
      </c>
      <c r="D6" s="73"/>
      <c r="E6" s="9" t="s">
        <v>33</v>
      </c>
      <c r="F6" s="10">
        <f>F5+C5</f>
        <v>344725.18505276198</v>
      </c>
      <c r="I6" s="14"/>
    </row>
    <row r="7" spans="1:20" x14ac:dyDescent="0.15">
      <c r="A7" s="15" t="s">
        <v>49</v>
      </c>
      <c r="B7" s="6" t="s">
        <v>53</v>
      </c>
      <c r="C7" s="11">
        <f>C6/C3</f>
        <v>269.63363735455437</v>
      </c>
      <c r="D7" s="73"/>
      <c r="E7" s="12" t="s">
        <v>53</v>
      </c>
      <c r="F7" s="13">
        <f>F6/C3</f>
        <v>706.30420094855845</v>
      </c>
      <c r="G7" s="14">
        <f>F7/C2-1</f>
        <v>1.5895662729553015</v>
      </c>
    </row>
    <row r="8" spans="1:20" x14ac:dyDescent="0.15">
      <c r="A8" s="33" t="s">
        <v>81</v>
      </c>
    </row>
    <row r="9" spans="1:20" x14ac:dyDescent="0.15">
      <c r="A9" s="66" t="s">
        <v>82</v>
      </c>
    </row>
    <row r="10" spans="1:20" x14ac:dyDescent="0.15">
      <c r="A10" s="15"/>
    </row>
    <row r="11" spans="1:20" x14ac:dyDescent="0.15">
      <c r="B11" s="1">
        <v>2017</v>
      </c>
      <c r="C11" s="1">
        <f>B11+1</f>
        <v>2018</v>
      </c>
      <c r="D11" s="1">
        <f t="shared" ref="D11:T11" si="0">C11+1</f>
        <v>2019</v>
      </c>
      <c r="E11" s="1">
        <f t="shared" si="0"/>
        <v>2020</v>
      </c>
      <c r="F11" s="1">
        <f t="shared" si="0"/>
        <v>2021</v>
      </c>
      <c r="G11" s="1">
        <f t="shared" si="0"/>
        <v>2022</v>
      </c>
      <c r="H11" s="1">
        <f t="shared" si="0"/>
        <v>2023</v>
      </c>
      <c r="I11" s="1">
        <f t="shared" si="0"/>
        <v>2024</v>
      </c>
      <c r="J11" s="1">
        <f t="shared" si="0"/>
        <v>2025</v>
      </c>
      <c r="K11" s="1">
        <f t="shared" si="0"/>
        <v>2026</v>
      </c>
      <c r="L11" s="1">
        <f t="shared" si="0"/>
        <v>2027</v>
      </c>
      <c r="M11" s="1">
        <f t="shared" si="0"/>
        <v>2028</v>
      </c>
      <c r="N11" s="1">
        <f t="shared" si="0"/>
        <v>2029</v>
      </c>
      <c r="O11" s="1">
        <f t="shared" si="0"/>
        <v>2030</v>
      </c>
      <c r="P11" s="1">
        <f t="shared" si="0"/>
        <v>2031</v>
      </c>
      <c r="Q11" s="1">
        <f t="shared" si="0"/>
        <v>2032</v>
      </c>
      <c r="R11" s="1">
        <f t="shared" si="0"/>
        <v>2033</v>
      </c>
      <c r="S11" s="1">
        <f t="shared" si="0"/>
        <v>2034</v>
      </c>
      <c r="T11" s="1">
        <f t="shared" si="0"/>
        <v>2035</v>
      </c>
    </row>
    <row r="12" spans="1:20" x14ac:dyDescent="0.15">
      <c r="A12" s="35" t="s">
        <v>73</v>
      </c>
      <c r="B12" s="17">
        <f>SUM(Reports!B3:E3)</f>
        <v>1920</v>
      </c>
      <c r="C12" s="17">
        <f>SUM(Reports!F3:I3)</f>
        <v>2471</v>
      </c>
      <c r="D12" s="17">
        <f>SUM(Reports!J3:M3)</f>
        <v>3082.18</v>
      </c>
      <c r="E12" s="17">
        <f>SUM(Reports!N3:Q3)</f>
        <v>3281.3650000000002</v>
      </c>
      <c r="F12" s="17">
        <f>E12*1.05</f>
        <v>3445.4332500000005</v>
      </c>
      <c r="G12" s="17">
        <f t="shared" ref="G12:I12" si="1">F12*1.05</f>
        <v>3617.7049125000008</v>
      </c>
      <c r="H12" s="17">
        <f t="shared" si="1"/>
        <v>3798.5901581250009</v>
      </c>
      <c r="I12" s="17">
        <f t="shared" si="1"/>
        <v>3988.5196660312513</v>
      </c>
    </row>
    <row r="13" spans="1:20" x14ac:dyDescent="0.15">
      <c r="A13" s="35" t="s">
        <v>74</v>
      </c>
      <c r="B13" s="17">
        <f>SUM(Reports!B4:E4)</f>
        <v>252</v>
      </c>
      <c r="C13" s="17">
        <f>SUM(Reports!F4:I4)</f>
        <v>591</v>
      </c>
      <c r="D13" s="17">
        <f>SUM(Reports!J4:M4)</f>
        <v>1031.415</v>
      </c>
      <c r="E13" s="17">
        <f>SUM(Reports!N4:Q4)</f>
        <v>1441.8007499999999</v>
      </c>
      <c r="F13" s="17">
        <f>E13*1.25</f>
        <v>1802.2509375</v>
      </c>
      <c r="G13" s="17">
        <f t="shared" ref="G13:I13" si="2">F13*1.25</f>
        <v>2252.8136718750002</v>
      </c>
      <c r="H13" s="17">
        <f t="shared" si="2"/>
        <v>2816.01708984375</v>
      </c>
      <c r="I13" s="17">
        <f t="shared" si="2"/>
        <v>3520.0213623046875</v>
      </c>
    </row>
    <row r="14" spans="1:20" x14ac:dyDescent="0.15">
      <c r="A14" s="35" t="s">
        <v>75</v>
      </c>
      <c r="B14" s="17">
        <f>SUM(Reports!B5:E5)</f>
        <v>41</v>
      </c>
      <c r="C14" s="17">
        <f>SUM(Reports!F5:I5)</f>
        <v>68</v>
      </c>
      <c r="D14" s="17">
        <f>SUM(Reports!J5:M5)</f>
        <v>84.567000000000007</v>
      </c>
      <c r="E14" s="17">
        <f>SUM(Reports!N5:Q5)</f>
        <v>87.601299999999995</v>
      </c>
      <c r="F14" s="17">
        <f>E14*0.9</f>
        <v>78.841169999999991</v>
      </c>
      <c r="G14" s="17">
        <f t="shared" ref="G14:I14" si="3">F14*0.9</f>
        <v>70.957052999999988</v>
      </c>
      <c r="H14" s="17">
        <f t="shared" si="3"/>
        <v>63.861347699999989</v>
      </c>
      <c r="I14" s="17">
        <f t="shared" si="3"/>
        <v>57.475212929999991</v>
      </c>
    </row>
    <row r="15" spans="1:20" x14ac:dyDescent="0.15">
      <c r="A15" s="35" t="s">
        <v>76</v>
      </c>
      <c r="B15" s="17"/>
      <c r="C15" s="17">
        <f>SUM(Reports!F6:I6)</f>
        <v>166</v>
      </c>
      <c r="D15" s="17">
        <f>SUM(Reports!J6:M6)</f>
        <v>516.56700000000001</v>
      </c>
      <c r="E15" s="17">
        <f>SUM(Reports!N6:Q6)</f>
        <v>3525.5860000000002</v>
      </c>
      <c r="F15" s="17">
        <f>E15*2.5</f>
        <v>8813.9650000000001</v>
      </c>
      <c r="G15" s="17">
        <f>F15*2</f>
        <v>17627.93</v>
      </c>
      <c r="H15" s="17">
        <f>G15*1.5</f>
        <v>26441.895</v>
      </c>
      <c r="I15" s="17">
        <f>H15*1.25</f>
        <v>33052.368750000001</v>
      </c>
    </row>
    <row r="16" spans="1:20" x14ac:dyDescent="0.15">
      <c r="B16" s="17"/>
      <c r="C16" s="17"/>
      <c r="D16" s="17"/>
      <c r="E16" s="17"/>
      <c r="F16" s="17"/>
      <c r="G16" s="17"/>
    </row>
    <row r="17" spans="1:243" x14ac:dyDescent="0.15">
      <c r="A17" s="16" t="s">
        <v>4</v>
      </c>
      <c r="B17" s="23">
        <f>SUM(B12:B15)</f>
        <v>2213</v>
      </c>
      <c r="C17" s="23">
        <f>SUM(C12:C15)</f>
        <v>3296</v>
      </c>
      <c r="D17" s="23">
        <f>SUM(D12:D15)</f>
        <v>4714.7289999999994</v>
      </c>
      <c r="E17" s="18">
        <f>SUM(E12:E15)</f>
        <v>8336.3530500000015</v>
      </c>
      <c r="F17" s="18">
        <f>SUM(F12:F15)</f>
        <v>14140.490357500001</v>
      </c>
      <c r="G17" s="18">
        <f>SUM(G12:G15)</f>
        <v>23569.405637374999</v>
      </c>
      <c r="H17" s="18">
        <f>SUM(H12:H15)</f>
        <v>33120.36359566875</v>
      </c>
      <c r="I17" s="18">
        <f>SUM(I12:I15)</f>
        <v>40618.384991265943</v>
      </c>
      <c r="J17" s="18">
        <f>I17*1.1</f>
        <v>44680.223490392542</v>
      </c>
      <c r="K17" s="18">
        <f t="shared" ref="K17:R17" si="4">J17*1.1</f>
        <v>49148.245839431802</v>
      </c>
      <c r="L17" s="18">
        <f t="shared" si="4"/>
        <v>54063.070423374986</v>
      </c>
      <c r="M17" s="18">
        <f t="shared" si="4"/>
        <v>59469.377465712489</v>
      </c>
      <c r="N17" s="18">
        <f t="shared" si="4"/>
        <v>65416.315212283742</v>
      </c>
      <c r="O17" s="18">
        <f t="shared" si="4"/>
        <v>71957.946733512115</v>
      </c>
      <c r="P17" s="18">
        <f t="shared" si="4"/>
        <v>79153.741406863337</v>
      </c>
      <c r="Q17" s="18">
        <f t="shared" si="4"/>
        <v>87069.115547549678</v>
      </c>
      <c r="R17" s="18">
        <f t="shared" si="4"/>
        <v>95776.027102304652</v>
      </c>
      <c r="S17" s="18"/>
      <c r="T17" s="18"/>
    </row>
    <row r="18" spans="1:243" x14ac:dyDescent="0.15">
      <c r="A18" s="1" t="s">
        <v>5</v>
      </c>
      <c r="B18" s="17">
        <f>SUM(Reports!B9:E9)</f>
        <v>1375</v>
      </c>
      <c r="C18" s="17">
        <f>SUM(Reports!F9:I9)</f>
        <v>1993</v>
      </c>
      <c r="D18" s="17">
        <f>SUM(Reports!J9:M9)</f>
        <v>2823.38</v>
      </c>
      <c r="E18" s="5">
        <f t="shared" ref="E18:F18" si="5">E17-E19</f>
        <v>4992.1623224386822</v>
      </c>
      <c r="F18" s="5">
        <f t="shared" si="5"/>
        <v>8467.9262934430299</v>
      </c>
      <c r="G18" s="5">
        <f t="shared" ref="G18:O18" si="6">G17-G19</f>
        <v>14114.361289578221</v>
      </c>
      <c r="H18" s="5">
        <f t="shared" si="6"/>
        <v>19833.880625745245</v>
      </c>
      <c r="I18" s="5">
        <f t="shared" si="6"/>
        <v>24324.014342423594</v>
      </c>
      <c r="J18" s="5">
        <f t="shared" si="6"/>
        <v>26756.415776665959</v>
      </c>
      <c r="K18" s="5">
        <f t="shared" si="6"/>
        <v>29432.057354332559</v>
      </c>
      <c r="L18" s="5">
        <f t="shared" si="6"/>
        <v>32375.263089765816</v>
      </c>
      <c r="M18" s="5">
        <f t="shared" si="6"/>
        <v>35612.789398742403</v>
      </c>
      <c r="N18" s="5">
        <f t="shared" si="6"/>
        <v>39174.068338616642</v>
      </c>
      <c r="O18" s="5">
        <f t="shared" si="6"/>
        <v>43091.475172478305</v>
      </c>
      <c r="P18" s="5">
        <f t="shared" ref="P18:R18" si="7">P17-P19</f>
        <v>47400.622689726137</v>
      </c>
      <c r="Q18" s="5">
        <f t="shared" si="7"/>
        <v>52140.684958698759</v>
      </c>
      <c r="R18" s="5">
        <f t="shared" si="7"/>
        <v>57354.753454568643</v>
      </c>
      <c r="S18" s="5"/>
      <c r="T18" s="5"/>
    </row>
    <row r="19" spans="1:243" x14ac:dyDescent="0.15">
      <c r="A19" s="1" t="s">
        <v>6</v>
      </c>
      <c r="B19" s="7">
        <f>B17-B18</f>
        <v>838</v>
      </c>
      <c r="C19" s="7">
        <f>C17-C18</f>
        <v>1303</v>
      </c>
      <c r="D19" s="7">
        <f>D17-D18</f>
        <v>1891.3489999999993</v>
      </c>
      <c r="E19" s="5">
        <f>E17*D32</f>
        <v>3344.1907275613189</v>
      </c>
      <c r="F19" s="5">
        <f t="shared" ref="F19:R19" si="8">F17*E32</f>
        <v>5672.5640640569718</v>
      </c>
      <c r="G19" s="5">
        <f t="shared" si="8"/>
        <v>9455.0443477967783</v>
      </c>
      <c r="H19" s="5">
        <f t="shared" si="8"/>
        <v>13286.482969923505</v>
      </c>
      <c r="I19" s="5">
        <f t="shared" si="8"/>
        <v>16294.370648842347</v>
      </c>
      <c r="J19" s="5">
        <f t="shared" si="8"/>
        <v>17923.807713726583</v>
      </c>
      <c r="K19" s="5">
        <f t="shared" si="8"/>
        <v>19716.188485099243</v>
      </c>
      <c r="L19" s="5">
        <f t="shared" si="8"/>
        <v>21687.807333609169</v>
      </c>
      <c r="M19" s="5">
        <f t="shared" si="8"/>
        <v>23856.588066970089</v>
      </c>
      <c r="N19" s="5">
        <f t="shared" si="8"/>
        <v>26242.2468736671</v>
      </c>
      <c r="O19" s="5">
        <f t="shared" si="8"/>
        <v>28866.47156103381</v>
      </c>
      <c r="P19" s="5">
        <f t="shared" si="8"/>
        <v>31753.118717137197</v>
      </c>
      <c r="Q19" s="5">
        <f t="shared" si="8"/>
        <v>34928.430588850919</v>
      </c>
      <c r="R19" s="5">
        <f t="shared" si="8"/>
        <v>38421.273647736009</v>
      </c>
      <c r="S19" s="5"/>
      <c r="T19" s="5"/>
    </row>
    <row r="20" spans="1:243" x14ac:dyDescent="0.15">
      <c r="A20" s="1" t="s">
        <v>7</v>
      </c>
      <c r="B20" s="17">
        <f>SUM(Reports!B11:E11)</f>
        <v>323</v>
      </c>
      <c r="C20" s="17">
        <f>SUM(Reports!F11:I11)</f>
        <v>498</v>
      </c>
      <c r="D20" s="17">
        <f>SUM(Reports!J11:M11)</f>
        <v>670.28399999999999</v>
      </c>
      <c r="E20" s="5">
        <f>D20*1.25</f>
        <v>837.85500000000002</v>
      </c>
      <c r="F20" s="5">
        <f t="shared" ref="F20:I20" si="9">E20*1.25</f>
        <v>1047.3187499999999</v>
      </c>
      <c r="G20" s="5">
        <f t="shared" si="9"/>
        <v>1309.1484375</v>
      </c>
      <c r="H20" s="5">
        <f t="shared" si="9"/>
        <v>1636.435546875</v>
      </c>
      <c r="I20" s="5">
        <f t="shared" si="9"/>
        <v>2045.54443359375</v>
      </c>
      <c r="J20" s="5">
        <f>I20*1.1</f>
        <v>2250.098876953125</v>
      </c>
      <c r="K20" s="5">
        <f t="shared" ref="K20" si="10">J20*1.1</f>
        <v>2475.1087646484375</v>
      </c>
      <c r="L20" s="5">
        <f t="shared" ref="L20:R20" si="11">K20*1.1</f>
        <v>2722.6196411132814</v>
      </c>
      <c r="M20" s="5">
        <f t="shared" si="11"/>
        <v>2994.8816052246098</v>
      </c>
      <c r="N20" s="5">
        <f t="shared" si="11"/>
        <v>3294.3697657470711</v>
      </c>
      <c r="O20" s="5">
        <f t="shared" si="11"/>
        <v>3623.8067423217785</v>
      </c>
      <c r="P20" s="5">
        <f t="shared" si="11"/>
        <v>3986.1874165539566</v>
      </c>
      <c r="Q20" s="5">
        <f t="shared" si="11"/>
        <v>4384.8061582093524</v>
      </c>
      <c r="R20" s="5">
        <f t="shared" si="11"/>
        <v>4823.2867740302881</v>
      </c>
      <c r="S20" s="5"/>
      <c r="T20" s="5"/>
    </row>
    <row r="21" spans="1:243" x14ac:dyDescent="0.15">
      <c r="A21" s="1" t="s">
        <v>8</v>
      </c>
      <c r="B21" s="17">
        <f>SUM(Reports!B12:E12)</f>
        <v>254</v>
      </c>
      <c r="C21" s="17">
        <f>SUM(Reports!F12:I12)</f>
        <v>410</v>
      </c>
      <c r="D21" s="17">
        <f>SUM(Reports!J12:M12)</f>
        <v>624.23099999999999</v>
      </c>
      <c r="E21" s="5">
        <f>D21*1.25</f>
        <v>780.28874999999994</v>
      </c>
      <c r="F21" s="5">
        <f t="shared" ref="F21:I21" si="12">E21*1.25</f>
        <v>975.36093749999986</v>
      </c>
      <c r="G21" s="5">
        <f t="shared" si="12"/>
        <v>1219.2011718749998</v>
      </c>
      <c r="H21" s="5">
        <f t="shared" si="12"/>
        <v>1524.0014648437498</v>
      </c>
      <c r="I21" s="5">
        <f t="shared" si="12"/>
        <v>1905.0018310546873</v>
      </c>
      <c r="J21" s="5">
        <f>I21*1.05</f>
        <v>2000.2519226074216</v>
      </c>
      <c r="K21" s="5">
        <f>J21*1.02</f>
        <v>2040.2569610595701</v>
      </c>
      <c r="L21" s="5">
        <f t="shared" ref="L21:R21" si="13">K21*1.02</f>
        <v>2081.0621002807616</v>
      </c>
      <c r="M21" s="5">
        <f t="shared" si="13"/>
        <v>2122.683342286377</v>
      </c>
      <c r="N21" s="5">
        <f t="shared" si="13"/>
        <v>2165.1370091321046</v>
      </c>
      <c r="O21" s="5">
        <f t="shared" si="13"/>
        <v>2208.4397493147467</v>
      </c>
      <c r="P21" s="5">
        <f t="shared" si="13"/>
        <v>2252.6085443010415</v>
      </c>
      <c r="Q21" s="5">
        <f t="shared" si="13"/>
        <v>2297.6607151870626</v>
      </c>
      <c r="R21" s="5">
        <f t="shared" si="13"/>
        <v>2343.6139294908039</v>
      </c>
      <c r="S21" s="5"/>
      <c r="T21" s="5"/>
    </row>
    <row r="22" spans="1:243" x14ac:dyDescent="0.15">
      <c r="A22" s="1" t="s">
        <v>9</v>
      </c>
      <c r="B22" s="17">
        <f>SUM(Reports!B13:E13)</f>
        <v>317</v>
      </c>
      <c r="C22" s="17">
        <f>SUM(Reports!F13:I13)</f>
        <v>431</v>
      </c>
      <c r="D22" s="17">
        <f>SUM(Reports!J13:M13)</f>
        <v>569</v>
      </c>
      <c r="E22" s="5">
        <f>D22*1.15</f>
        <v>654.34999999999991</v>
      </c>
      <c r="F22" s="5">
        <f t="shared" ref="F22:I22" si="14">E22*1.15</f>
        <v>752.50249999999983</v>
      </c>
      <c r="G22" s="5">
        <f t="shared" si="14"/>
        <v>865.37787499999979</v>
      </c>
      <c r="H22" s="5">
        <f t="shared" si="14"/>
        <v>995.18455624999967</v>
      </c>
      <c r="I22" s="5">
        <f t="shared" si="14"/>
        <v>1144.4622396874995</v>
      </c>
      <c r="J22" s="5">
        <f>I22*0.98</f>
        <v>1121.5729948937494</v>
      </c>
      <c r="K22" s="5">
        <f t="shared" ref="K22" si="15">J22*0.98</f>
        <v>1099.1415349958745</v>
      </c>
      <c r="L22" s="5">
        <f t="shared" ref="L22:R22" si="16">K22*0.98</f>
        <v>1077.158704295957</v>
      </c>
      <c r="M22" s="5">
        <f t="shared" si="16"/>
        <v>1055.6155302100378</v>
      </c>
      <c r="N22" s="5">
        <f t="shared" si="16"/>
        <v>1034.5032196058371</v>
      </c>
      <c r="O22" s="5">
        <f t="shared" si="16"/>
        <v>1013.8131552137204</v>
      </c>
      <c r="P22" s="5">
        <f t="shared" si="16"/>
        <v>993.53689210944594</v>
      </c>
      <c r="Q22" s="5">
        <f t="shared" si="16"/>
        <v>973.66615426725696</v>
      </c>
      <c r="R22" s="5">
        <f t="shared" si="16"/>
        <v>954.19283118191186</v>
      </c>
      <c r="S22" s="5"/>
      <c r="T22" s="5"/>
    </row>
    <row r="23" spans="1:243" x14ac:dyDescent="0.15">
      <c r="A23" s="1" t="s">
        <v>10</v>
      </c>
      <c r="B23" s="7">
        <f>SUM(B20:B22)</f>
        <v>894</v>
      </c>
      <c r="C23" s="7">
        <f>SUM(C20:C22)</f>
        <v>1339</v>
      </c>
      <c r="D23" s="7">
        <f>SUM(D20:D22)</f>
        <v>1863.5149999999999</v>
      </c>
      <c r="E23" s="5">
        <f t="shared" ref="E23:F23" si="17">SUM(E20:E22)</f>
        <v>2272.4937499999996</v>
      </c>
      <c r="F23" s="5">
        <f t="shared" si="17"/>
        <v>2775.1821874999996</v>
      </c>
      <c r="G23" s="5">
        <f t="shared" ref="G23:O23" si="18">SUM(G20:G22)</f>
        <v>3393.7274843749997</v>
      </c>
      <c r="H23" s="5">
        <f t="shared" si="18"/>
        <v>4155.6215679687493</v>
      </c>
      <c r="I23" s="5">
        <f>SUM(I20:I22)</f>
        <v>5095.0085043359368</v>
      </c>
      <c r="J23" s="5">
        <f t="shared" si="18"/>
        <v>5371.9237944542965</v>
      </c>
      <c r="K23" s="5">
        <f t="shared" si="18"/>
        <v>5614.5072607038819</v>
      </c>
      <c r="L23" s="5">
        <f t="shared" si="18"/>
        <v>5880.8404456899998</v>
      </c>
      <c r="M23" s="5">
        <f t="shared" si="18"/>
        <v>6173.1804777210245</v>
      </c>
      <c r="N23" s="5">
        <f t="shared" si="18"/>
        <v>6494.0099944850126</v>
      </c>
      <c r="O23" s="5">
        <f t="shared" si="18"/>
        <v>6846.0596468502454</v>
      </c>
      <c r="P23" s="5">
        <f t="shared" ref="P23:R23" si="19">SUM(P20:P22)</f>
        <v>7232.3328529644441</v>
      </c>
      <c r="Q23" s="5">
        <f t="shared" si="19"/>
        <v>7656.1330276636727</v>
      </c>
      <c r="R23" s="5">
        <f t="shared" si="19"/>
        <v>8121.0935347030045</v>
      </c>
      <c r="S23" s="5"/>
      <c r="T23" s="5"/>
    </row>
    <row r="24" spans="1:243" x14ac:dyDescent="0.15">
      <c r="A24" s="1" t="s">
        <v>11</v>
      </c>
      <c r="B24" s="7">
        <f>B19-B23</f>
        <v>-56</v>
      </c>
      <c r="C24" s="7">
        <f>C19-C23</f>
        <v>-36</v>
      </c>
      <c r="D24" s="7">
        <f>D19-D23</f>
        <v>27.833999999999378</v>
      </c>
      <c r="E24" s="5">
        <f t="shared" ref="E24:F24" si="20">E19-E23</f>
        <v>1071.6969775613193</v>
      </c>
      <c r="F24" s="5">
        <f t="shared" si="20"/>
        <v>2897.3818765569722</v>
      </c>
      <c r="G24" s="5">
        <f t="shared" ref="G24:O24" si="21">G19-G23</f>
        <v>6061.3168634217782</v>
      </c>
      <c r="H24" s="5">
        <f t="shared" si="21"/>
        <v>9130.8614019547567</v>
      </c>
      <c r="I24" s="5">
        <f>I19-I23</f>
        <v>11199.362144506409</v>
      </c>
      <c r="J24" s="5">
        <f t="shared" si="21"/>
        <v>12551.883919272286</v>
      </c>
      <c r="K24" s="5">
        <f t="shared" si="21"/>
        <v>14101.681224395361</v>
      </c>
      <c r="L24" s="5">
        <f t="shared" si="21"/>
        <v>15806.96688791917</v>
      </c>
      <c r="M24" s="5">
        <f t="shared" si="21"/>
        <v>17683.407589249065</v>
      </c>
      <c r="N24" s="5">
        <f t="shared" si="21"/>
        <v>19748.236879182088</v>
      </c>
      <c r="O24" s="5">
        <f t="shared" si="21"/>
        <v>22020.411914183565</v>
      </c>
      <c r="P24" s="5">
        <f t="shared" ref="P24:R24" si="22">P19-P23</f>
        <v>24520.785864172751</v>
      </c>
      <c r="Q24" s="5">
        <f t="shared" si="22"/>
        <v>27272.297561187246</v>
      </c>
      <c r="R24" s="5">
        <f t="shared" si="22"/>
        <v>30300.180113033006</v>
      </c>
      <c r="S24" s="5"/>
      <c r="T24" s="5"/>
    </row>
    <row r="25" spans="1:243" x14ac:dyDescent="0.15">
      <c r="A25" s="1" t="s">
        <v>12</v>
      </c>
      <c r="B25" s="17">
        <f>SUM(Reports!B16:E16)</f>
        <v>-8</v>
      </c>
      <c r="C25" s="17">
        <f>SUM(Reports!F16:I16)</f>
        <v>2</v>
      </c>
      <c r="D25" s="17">
        <f>SUM(Reports!J16:M16)</f>
        <v>348</v>
      </c>
      <c r="E25" s="5">
        <f t="shared" ref="E25:R25" si="23">D42*$F$3</f>
        <v>22.740000000000002</v>
      </c>
      <c r="F25" s="5">
        <f t="shared" si="23"/>
        <v>41.345428618542428</v>
      </c>
      <c r="G25" s="5">
        <f t="shared" si="23"/>
        <v>91.303792806526175</v>
      </c>
      <c r="H25" s="5">
        <f t="shared" si="23"/>
        <v>195.89834396240735</v>
      </c>
      <c r="I25" s="5">
        <f t="shared" si="23"/>
        <v>354.45325964299917</v>
      </c>
      <c r="J25" s="5">
        <f t="shared" si="23"/>
        <v>550.86812151353922</v>
      </c>
      <c r="K25" s="5">
        <f t="shared" si="23"/>
        <v>773.61490620689813</v>
      </c>
      <c r="L25" s="5">
        <f t="shared" si="23"/>
        <v>1026.4949404271367</v>
      </c>
      <c r="M25" s="5">
        <f t="shared" si="23"/>
        <v>1312.6637915090239</v>
      </c>
      <c r="N25" s="5">
        <f t="shared" si="23"/>
        <v>1635.5970049819116</v>
      </c>
      <c r="O25" s="5">
        <f t="shared" si="23"/>
        <v>1999.1221810126995</v>
      </c>
      <c r="P25" s="5">
        <f t="shared" si="23"/>
        <v>2407.454260631036</v>
      </c>
      <c r="Q25" s="5">
        <f t="shared" si="23"/>
        <v>2865.2343427527003</v>
      </c>
      <c r="R25" s="5">
        <f t="shared" si="23"/>
        <v>3377.5723851196794</v>
      </c>
      <c r="S25" s="5"/>
      <c r="T25" s="5"/>
    </row>
    <row r="26" spans="1:243" x14ac:dyDescent="0.15">
      <c r="A26" s="1" t="s">
        <v>13</v>
      </c>
      <c r="B26" s="7">
        <f>B24+B25</f>
        <v>-64</v>
      </c>
      <c r="C26" s="7">
        <f>C24+C25</f>
        <v>-34</v>
      </c>
      <c r="D26" s="7">
        <f>D24+D25</f>
        <v>375.83399999999938</v>
      </c>
      <c r="E26" s="5">
        <f t="shared" ref="E26:F26" si="24">E24+E25</f>
        <v>1094.4369775613193</v>
      </c>
      <c r="F26" s="5">
        <f t="shared" si="24"/>
        <v>2938.7273051755146</v>
      </c>
      <c r="G26" s="5">
        <f t="shared" ref="G26:O26" si="25">G24+G25</f>
        <v>6152.6206562283041</v>
      </c>
      <c r="H26" s="5">
        <f t="shared" si="25"/>
        <v>9326.7597459171648</v>
      </c>
      <c r="I26" s="5">
        <f t="shared" si="25"/>
        <v>11553.815404149409</v>
      </c>
      <c r="J26" s="5">
        <f t="shared" si="25"/>
        <v>13102.752040785825</v>
      </c>
      <c r="K26" s="5">
        <f t="shared" si="25"/>
        <v>14875.296130602259</v>
      </c>
      <c r="L26" s="5">
        <f t="shared" si="25"/>
        <v>16833.461828346306</v>
      </c>
      <c r="M26" s="5">
        <f t="shared" si="25"/>
        <v>18996.071380758091</v>
      </c>
      <c r="N26" s="5">
        <f t="shared" si="25"/>
        <v>21383.833884164</v>
      </c>
      <c r="O26" s="5">
        <f t="shared" si="25"/>
        <v>24019.534095196264</v>
      </c>
      <c r="P26" s="5">
        <f t="shared" ref="P26:R26" si="26">P24+P25</f>
        <v>26928.240124803786</v>
      </c>
      <c r="Q26" s="5">
        <f t="shared" si="26"/>
        <v>30137.531903939947</v>
      </c>
      <c r="R26" s="5">
        <f t="shared" si="26"/>
        <v>33677.752498152688</v>
      </c>
      <c r="S26" s="5"/>
      <c r="T26" s="5"/>
    </row>
    <row r="27" spans="1:243" x14ac:dyDescent="0.15">
      <c r="A27" s="1" t="s">
        <v>14</v>
      </c>
      <c r="B27" s="17">
        <f>SUM(Reports!B18:E18)</f>
        <v>-1</v>
      </c>
      <c r="C27" s="17">
        <f>SUM(Reports!F18:I18)</f>
        <v>2</v>
      </c>
      <c r="D27" s="17">
        <f>SUM(Reports!J18:M18)</f>
        <v>4</v>
      </c>
      <c r="E27" s="5">
        <f>E26*0.15</f>
        <v>164.16554663419788</v>
      </c>
      <c r="F27" s="5">
        <f t="shared" ref="F27:O27" si="27">F26*0.15</f>
        <v>440.80909577632718</v>
      </c>
      <c r="G27" s="5">
        <f t="shared" si="27"/>
        <v>922.89309843424553</v>
      </c>
      <c r="H27" s="5">
        <f t="shared" si="27"/>
        <v>1399.0139618875746</v>
      </c>
      <c r="I27" s="5">
        <f t="shared" si="27"/>
        <v>1733.0723106224114</v>
      </c>
      <c r="J27" s="5">
        <f t="shared" si="27"/>
        <v>1965.4128061178735</v>
      </c>
      <c r="K27" s="5">
        <f t="shared" si="27"/>
        <v>2231.2944195903387</v>
      </c>
      <c r="L27" s="5">
        <f t="shared" si="27"/>
        <v>2525.0192742519457</v>
      </c>
      <c r="M27" s="5">
        <f t="shared" si="27"/>
        <v>2849.4107071137137</v>
      </c>
      <c r="N27" s="5">
        <f t="shared" si="27"/>
        <v>3207.5750826245999</v>
      </c>
      <c r="O27" s="5">
        <f t="shared" si="27"/>
        <v>3602.9301142794397</v>
      </c>
      <c r="P27" s="5">
        <f t="shared" ref="P27:R27" si="28">P26*0.15</f>
        <v>4039.2360187205677</v>
      </c>
      <c r="Q27" s="5">
        <f t="shared" si="28"/>
        <v>4520.6297855909916</v>
      </c>
      <c r="R27" s="5">
        <f t="shared" si="28"/>
        <v>5051.6628747229033</v>
      </c>
      <c r="S27" s="5"/>
      <c r="T27" s="5"/>
    </row>
    <row r="28" spans="1:243" s="16" customFormat="1" x14ac:dyDescent="0.15">
      <c r="A28" s="16" t="s">
        <v>15</v>
      </c>
      <c r="B28" s="23">
        <f>B26-B27</f>
        <v>-63</v>
      </c>
      <c r="C28" s="23">
        <f>C26-C27</f>
        <v>-36</v>
      </c>
      <c r="D28" s="23">
        <f t="shared" ref="D28:F28" si="29">D26-D27</f>
        <v>371.83399999999938</v>
      </c>
      <c r="E28" s="23">
        <f t="shared" si="29"/>
        <v>930.2714309271214</v>
      </c>
      <c r="F28" s="23">
        <f t="shared" si="29"/>
        <v>2497.9182093991876</v>
      </c>
      <c r="G28" s="23">
        <f t="shared" ref="G28" si="30">G26-G27</f>
        <v>5229.7275577940582</v>
      </c>
      <c r="H28" s="23">
        <f t="shared" ref="H28" si="31">H26-H27</f>
        <v>7927.7457840295901</v>
      </c>
      <c r="I28" s="23">
        <f t="shared" ref="I28" si="32">I26-I27</f>
        <v>9820.7430935269986</v>
      </c>
      <c r="J28" s="23">
        <f t="shared" ref="J28" si="33">J26-J27</f>
        <v>11137.33923466795</v>
      </c>
      <c r="K28" s="23">
        <f t="shared" ref="K28" si="34">K26-K27</f>
        <v>12644.001711011921</v>
      </c>
      <c r="L28" s="23">
        <f t="shared" ref="L28" si="35">L26-L27</f>
        <v>14308.442554094359</v>
      </c>
      <c r="M28" s="23">
        <f t="shared" ref="M28" si="36">M26-M27</f>
        <v>16146.660673644377</v>
      </c>
      <c r="N28" s="23">
        <f t="shared" ref="N28" si="37">N26-N27</f>
        <v>18176.258801539399</v>
      </c>
      <c r="O28" s="23">
        <f t="shared" ref="O28:P28" si="38">O26-O27</f>
        <v>20416.603980916825</v>
      </c>
      <c r="P28" s="23">
        <f t="shared" si="38"/>
        <v>22889.004106083219</v>
      </c>
      <c r="Q28" s="23">
        <f t="shared" ref="Q28:R28" si="39">Q26-Q27</f>
        <v>25616.902118348957</v>
      </c>
      <c r="R28" s="23">
        <f t="shared" si="39"/>
        <v>28626.089623429783</v>
      </c>
      <c r="S28" s="23">
        <f t="shared" ref="S28:AU28" si="40">R28*($F$2+1)</f>
        <v>28769.22007154693</v>
      </c>
      <c r="T28" s="23">
        <f t="shared" si="40"/>
        <v>28913.066171904662</v>
      </c>
      <c r="U28" s="23">
        <f t="shared" si="40"/>
        <v>29057.631502764183</v>
      </c>
      <c r="V28" s="23">
        <f t="shared" si="40"/>
        <v>29202.919660277999</v>
      </c>
      <c r="W28" s="23">
        <f t="shared" si="40"/>
        <v>29348.934258579386</v>
      </c>
      <c r="X28" s="23">
        <f t="shared" si="40"/>
        <v>29495.67892987228</v>
      </c>
      <c r="Y28" s="23">
        <f t="shared" si="40"/>
        <v>29643.157324521639</v>
      </c>
      <c r="Z28" s="23">
        <f t="shared" si="40"/>
        <v>29791.373111144243</v>
      </c>
      <c r="AA28" s="23">
        <f t="shared" si="40"/>
        <v>29940.329976699963</v>
      </c>
      <c r="AB28" s="23">
        <f t="shared" si="40"/>
        <v>30090.031626583459</v>
      </c>
      <c r="AC28" s="23">
        <f t="shared" si="40"/>
        <v>30240.481784716372</v>
      </c>
      <c r="AD28" s="23">
        <f t="shared" si="40"/>
        <v>30391.684193639951</v>
      </c>
      <c r="AE28" s="23">
        <f t="shared" si="40"/>
        <v>30543.642614608147</v>
      </c>
      <c r="AF28" s="23">
        <f t="shared" si="40"/>
        <v>30696.360827681183</v>
      </c>
      <c r="AG28" s="23">
        <f t="shared" si="40"/>
        <v>30849.842631819585</v>
      </c>
      <c r="AH28" s="23">
        <f t="shared" si="40"/>
        <v>31004.09184497868</v>
      </c>
      <c r="AI28" s="23">
        <f t="shared" si="40"/>
        <v>31159.112304203569</v>
      </c>
      <c r="AJ28" s="23">
        <f t="shared" si="40"/>
        <v>31314.907865724585</v>
      </c>
      <c r="AK28" s="23">
        <f t="shared" si="40"/>
        <v>31471.482405053204</v>
      </c>
      <c r="AL28" s="23">
        <f t="shared" si="40"/>
        <v>31628.839817078468</v>
      </c>
      <c r="AM28" s="23">
        <f t="shared" si="40"/>
        <v>31786.984016163857</v>
      </c>
      <c r="AN28" s="23">
        <f t="shared" si="40"/>
        <v>31945.918936244674</v>
      </c>
      <c r="AO28" s="23">
        <f t="shared" si="40"/>
        <v>32105.648530925893</v>
      </c>
      <c r="AP28" s="23">
        <f t="shared" si="40"/>
        <v>32266.176773580519</v>
      </c>
      <c r="AQ28" s="23">
        <f t="shared" si="40"/>
        <v>32427.507657448419</v>
      </c>
      <c r="AR28" s="23">
        <f t="shared" si="40"/>
        <v>32589.645195735658</v>
      </c>
      <c r="AS28" s="23">
        <f t="shared" si="40"/>
        <v>32752.593421714333</v>
      </c>
      <c r="AT28" s="23">
        <f t="shared" si="40"/>
        <v>32916.356388822904</v>
      </c>
      <c r="AU28" s="23">
        <f t="shared" si="40"/>
        <v>33080.938170767018</v>
      </c>
      <c r="AV28" s="23">
        <f t="shared" ref="AV28:CA28" si="41">AU28*($F$2+1)</f>
        <v>33246.342861620848</v>
      </c>
      <c r="AW28" s="23">
        <f t="shared" si="41"/>
        <v>33412.574575928949</v>
      </c>
      <c r="AX28" s="23">
        <f t="shared" si="41"/>
        <v>33579.637448808593</v>
      </c>
      <c r="AY28" s="23">
        <f t="shared" si="41"/>
        <v>33747.535636052635</v>
      </c>
      <c r="AZ28" s="23">
        <f t="shared" si="41"/>
        <v>33916.273314232894</v>
      </c>
      <c r="BA28" s="23">
        <f t="shared" si="41"/>
        <v>34085.854680804056</v>
      </c>
      <c r="BB28" s="23">
        <f t="shared" si="41"/>
        <v>34256.283954208069</v>
      </c>
      <c r="BC28" s="23">
        <f t="shared" si="41"/>
        <v>34427.565373979109</v>
      </c>
      <c r="BD28" s="23">
        <f t="shared" si="41"/>
        <v>34599.703200848999</v>
      </c>
      <c r="BE28" s="23">
        <f t="shared" si="41"/>
        <v>34772.70171685324</v>
      </c>
      <c r="BF28" s="23">
        <f t="shared" si="41"/>
        <v>34946.565225437502</v>
      </c>
      <c r="BG28" s="23">
        <f t="shared" si="41"/>
        <v>35121.298051564685</v>
      </c>
      <c r="BH28" s="23">
        <f t="shared" si="41"/>
        <v>35296.904541822507</v>
      </c>
      <c r="BI28" s="23">
        <f t="shared" si="41"/>
        <v>35473.389064531613</v>
      </c>
      <c r="BJ28" s="23">
        <f t="shared" si="41"/>
        <v>35650.756009854267</v>
      </c>
      <c r="BK28" s="23">
        <f t="shared" si="41"/>
        <v>35829.009789903532</v>
      </c>
      <c r="BL28" s="23">
        <f t="shared" si="41"/>
        <v>36008.154838853043</v>
      </c>
      <c r="BM28" s="23">
        <f t="shared" si="41"/>
        <v>36188.195613047305</v>
      </c>
      <c r="BN28" s="23">
        <f t="shared" si="41"/>
        <v>36369.136591112539</v>
      </c>
      <c r="BO28" s="23">
        <f t="shared" si="41"/>
        <v>36550.982274068097</v>
      </c>
      <c r="BP28" s="23">
        <f t="shared" si="41"/>
        <v>36733.737185438433</v>
      </c>
      <c r="BQ28" s="23">
        <f t="shared" si="41"/>
        <v>36917.40587136562</v>
      </c>
      <c r="BR28" s="23">
        <f t="shared" si="41"/>
        <v>37101.992900722442</v>
      </c>
      <c r="BS28" s="23">
        <f t="shared" si="41"/>
        <v>37287.502865226052</v>
      </c>
      <c r="BT28" s="23">
        <f t="shared" si="41"/>
        <v>37473.940379552179</v>
      </c>
      <c r="BU28" s="23">
        <f t="shared" si="41"/>
        <v>37661.310081449934</v>
      </c>
      <c r="BV28" s="23">
        <f t="shared" si="41"/>
        <v>37849.616631857178</v>
      </c>
      <c r="BW28" s="23">
        <f t="shared" si="41"/>
        <v>38038.864715016462</v>
      </c>
      <c r="BX28" s="23">
        <f t="shared" si="41"/>
        <v>38229.059038591542</v>
      </c>
      <c r="BY28" s="23">
        <f t="shared" si="41"/>
        <v>38420.204333784495</v>
      </c>
      <c r="BZ28" s="23">
        <f t="shared" si="41"/>
        <v>38612.305355453413</v>
      </c>
      <c r="CA28" s="23">
        <f t="shared" si="41"/>
        <v>38805.366882230679</v>
      </c>
      <c r="CB28" s="23">
        <f t="shared" ref="CB28:DG28" si="42">CA28*($F$2+1)</f>
        <v>38999.393716641825</v>
      </c>
      <c r="CC28" s="23">
        <f t="shared" si="42"/>
        <v>39194.390685225029</v>
      </c>
      <c r="CD28" s="23">
        <f t="shared" si="42"/>
        <v>39390.362638651153</v>
      </c>
      <c r="CE28" s="23">
        <f t="shared" si="42"/>
        <v>39587.314451844402</v>
      </c>
      <c r="CF28" s="23">
        <f t="shared" si="42"/>
        <v>39785.251024103622</v>
      </c>
      <c r="CG28" s="23">
        <f t="shared" si="42"/>
        <v>39984.177279224139</v>
      </c>
      <c r="CH28" s="23">
        <f t="shared" si="42"/>
        <v>40184.098165620257</v>
      </c>
      <c r="CI28" s="23">
        <f t="shared" si="42"/>
        <v>40385.018656448352</v>
      </c>
      <c r="CJ28" s="23">
        <f t="shared" si="42"/>
        <v>40586.943749730592</v>
      </c>
      <c r="CK28" s="23">
        <f t="shared" si="42"/>
        <v>40789.878468479241</v>
      </c>
      <c r="CL28" s="23">
        <f t="shared" si="42"/>
        <v>40993.827860821635</v>
      </c>
      <c r="CM28" s="23">
        <f t="shared" si="42"/>
        <v>41198.797000125742</v>
      </c>
      <c r="CN28" s="23">
        <f t="shared" si="42"/>
        <v>41404.790985126368</v>
      </c>
      <c r="CO28" s="23">
        <f t="shared" si="42"/>
        <v>41611.814940051998</v>
      </c>
      <c r="CP28" s="23">
        <f t="shared" si="42"/>
        <v>41819.874014752255</v>
      </c>
      <c r="CQ28" s="23">
        <f t="shared" si="42"/>
        <v>42028.973384826015</v>
      </c>
      <c r="CR28" s="23">
        <f t="shared" si="42"/>
        <v>42239.118251750144</v>
      </c>
      <c r="CS28" s="23">
        <f t="shared" si="42"/>
        <v>42450.313843008887</v>
      </c>
      <c r="CT28" s="23">
        <f t="shared" si="42"/>
        <v>42662.565412223928</v>
      </c>
      <c r="CU28" s="23">
        <f t="shared" si="42"/>
        <v>42875.878239285041</v>
      </c>
      <c r="CV28" s="23">
        <f t="shared" si="42"/>
        <v>43090.257630481465</v>
      </c>
      <c r="CW28" s="23">
        <f t="shared" si="42"/>
        <v>43305.708918633871</v>
      </c>
      <c r="CX28" s="23">
        <f t="shared" si="42"/>
        <v>43522.237463227037</v>
      </c>
      <c r="CY28" s="23">
        <f t="shared" si="42"/>
        <v>43739.848650543165</v>
      </c>
      <c r="CZ28" s="23">
        <f t="shared" si="42"/>
        <v>43958.547893795876</v>
      </c>
      <c r="DA28" s="23">
        <f t="shared" si="42"/>
        <v>44178.340633264852</v>
      </c>
      <c r="DB28" s="23">
        <f t="shared" si="42"/>
        <v>44399.232336431174</v>
      </c>
      <c r="DC28" s="23">
        <f t="shared" si="42"/>
        <v>44621.228498113327</v>
      </c>
      <c r="DD28" s="23">
        <f t="shared" si="42"/>
        <v>44844.334640603891</v>
      </c>
      <c r="DE28" s="23">
        <f t="shared" si="42"/>
        <v>45068.556313806905</v>
      </c>
      <c r="DF28" s="23">
        <f t="shared" si="42"/>
        <v>45293.899095375935</v>
      </c>
      <c r="DG28" s="23">
        <f t="shared" si="42"/>
        <v>45520.368590852813</v>
      </c>
      <c r="DH28" s="23">
        <f t="shared" ref="DH28:DP28" si="43">DG28*($F$2+1)</f>
        <v>45747.970433807073</v>
      </c>
      <c r="DI28" s="23">
        <f t="shared" si="43"/>
        <v>45976.710285976107</v>
      </c>
      <c r="DJ28" s="23">
        <f t="shared" si="43"/>
        <v>46206.593837405984</v>
      </c>
      <c r="DK28" s="23">
        <f t="shared" si="43"/>
        <v>46437.626806593013</v>
      </c>
      <c r="DL28" s="23">
        <f t="shared" si="43"/>
        <v>46669.814940625976</v>
      </c>
      <c r="DM28" s="23">
        <f t="shared" si="43"/>
        <v>46903.164015329101</v>
      </c>
      <c r="DN28" s="23">
        <f t="shared" si="43"/>
        <v>47137.679835405739</v>
      </c>
      <c r="DO28" s="23">
        <f t="shared" si="43"/>
        <v>47373.368234582762</v>
      </c>
      <c r="DP28" s="23">
        <f t="shared" si="43"/>
        <v>47610.235075755671</v>
      </c>
      <c r="DQ28" s="23">
        <f t="shared" ref="DQ28" si="44">DP28*($F$2+1)</f>
        <v>47848.286251134443</v>
      </c>
      <c r="DR28" s="23">
        <f t="shared" ref="DR28" si="45">DQ28*($F$2+1)</f>
        <v>48087.527682390108</v>
      </c>
      <c r="DS28" s="23">
        <f t="shared" ref="DS28" si="46">DR28*($F$2+1)</f>
        <v>48327.965320802054</v>
      </c>
      <c r="DT28" s="23">
        <f t="shared" ref="DT28" si="47">DS28*($F$2+1)</f>
        <v>48569.605147406059</v>
      </c>
      <c r="DU28" s="23">
        <f t="shared" ref="DU28" si="48">DT28*($F$2+1)</f>
        <v>48812.453173143083</v>
      </c>
      <c r="DV28" s="23">
        <f t="shared" ref="DV28" si="49">DU28*($F$2+1)</f>
        <v>49056.515439008792</v>
      </c>
      <c r="DW28" s="23">
        <f t="shared" ref="DW28" si="50">DV28*($F$2+1)</f>
        <v>49301.798016203829</v>
      </c>
      <c r="DX28" s="23">
        <f t="shared" ref="DX28" si="51">DW28*($F$2+1)</f>
        <v>49548.307006284842</v>
      </c>
      <c r="DY28" s="23">
        <f t="shared" ref="DY28" si="52">DX28*($F$2+1)</f>
        <v>49796.048541316261</v>
      </c>
      <c r="DZ28" s="23">
        <f t="shared" ref="DZ28" si="53">DY28*($F$2+1)</f>
        <v>50045.028784022834</v>
      </c>
      <c r="EA28" s="23">
        <f t="shared" ref="EA28" si="54">DZ28*($F$2+1)</f>
        <v>50295.25392794294</v>
      </c>
      <c r="EB28" s="23">
        <f t="shared" ref="EB28" si="55">EA28*($F$2+1)</f>
        <v>50546.730197582649</v>
      </c>
      <c r="EC28" s="23">
        <f t="shared" ref="EC28" si="56">EB28*($F$2+1)</f>
        <v>50799.463848570558</v>
      </c>
      <c r="ED28" s="23">
        <f t="shared" ref="ED28" si="57">EC28*($F$2+1)</f>
        <v>51053.461167813402</v>
      </c>
      <c r="EE28" s="23">
        <f t="shared" ref="EE28" si="58">ED28*($F$2+1)</f>
        <v>51308.728473652467</v>
      </c>
      <c r="EF28" s="23">
        <f t="shared" ref="EF28" si="59">EE28*($F$2+1)</f>
        <v>51565.272116020722</v>
      </c>
      <c r="EG28" s="23">
        <f t="shared" ref="EG28" si="60">EF28*($F$2+1)</f>
        <v>51823.098476600819</v>
      </c>
      <c r="EH28" s="23">
        <f t="shared" ref="EH28" si="61">EG28*($F$2+1)</f>
        <v>52082.213968983815</v>
      </c>
      <c r="EI28" s="23">
        <f t="shared" ref="EI28" si="62">EH28*($F$2+1)</f>
        <v>52342.62503882873</v>
      </c>
      <c r="EJ28" s="23">
        <f t="shared" ref="EJ28" si="63">EI28*($F$2+1)</f>
        <v>52604.338164022869</v>
      </c>
      <c r="EK28" s="23">
        <f t="shared" ref="EK28" si="64">EJ28*($F$2+1)</f>
        <v>52867.35985484298</v>
      </c>
      <c r="EL28" s="23">
        <f t="shared" ref="EL28" si="65">EK28*($F$2+1)</f>
        <v>53131.696654117186</v>
      </c>
      <c r="EM28" s="23">
        <f t="shared" ref="EM28" si="66">EL28*($F$2+1)</f>
        <v>53397.355137387764</v>
      </c>
      <c r="EN28" s="23">
        <f t="shared" ref="EN28" si="67">EM28*($F$2+1)</f>
        <v>53664.341913074699</v>
      </c>
      <c r="EO28" s="23">
        <f t="shared" ref="EO28" si="68">EN28*($F$2+1)</f>
        <v>53932.663622640066</v>
      </c>
      <c r="EP28" s="23">
        <f t="shared" ref="EP28" si="69">EO28*($F$2+1)</f>
        <v>54202.326940753257</v>
      </c>
      <c r="EQ28" s="23">
        <f t="shared" ref="EQ28" si="70">EP28*($F$2+1)</f>
        <v>54473.338575457019</v>
      </c>
      <c r="ER28" s="23">
        <f t="shared" ref="ER28" si="71">EQ28*($F$2+1)</f>
        <v>54745.705268334299</v>
      </c>
      <c r="ES28" s="23">
        <f t="shared" ref="ES28" si="72">ER28*($F$2+1)</f>
        <v>55019.433794675962</v>
      </c>
      <c r="ET28" s="23">
        <f t="shared" ref="ET28" si="73">ES28*($F$2+1)</f>
        <v>55294.530963649333</v>
      </c>
      <c r="EU28" s="23">
        <f t="shared" ref="EU28" si="74">ET28*($F$2+1)</f>
        <v>55571.003618467577</v>
      </c>
      <c r="EV28" s="23">
        <f t="shared" ref="EV28" si="75">EU28*($F$2+1)</f>
        <v>55848.858636559911</v>
      </c>
      <c r="EW28" s="23">
        <f t="shared" ref="EW28" si="76">EV28*($F$2+1)</f>
        <v>56128.102929742701</v>
      </c>
      <c r="EX28" s="23">
        <f t="shared" ref="EX28" si="77">EW28*($F$2+1)</f>
        <v>56408.74344439141</v>
      </c>
      <c r="EY28" s="23">
        <f t="shared" ref="EY28" si="78">EX28*($F$2+1)</f>
        <v>56690.787161613363</v>
      </c>
      <c r="EZ28" s="23">
        <f t="shared" ref="EZ28" si="79">EY28*($F$2+1)</f>
        <v>56974.241097421422</v>
      </c>
      <c r="FA28" s="23">
        <f t="shared" ref="FA28" si="80">EZ28*($F$2+1)</f>
        <v>57259.112302908521</v>
      </c>
      <c r="FB28" s="23">
        <f t="shared" ref="FB28" si="81">FA28*($F$2+1)</f>
        <v>57545.407864423054</v>
      </c>
      <c r="FC28" s="23">
        <f t="shared" ref="FC28" si="82">FB28*($F$2+1)</f>
        <v>57833.134903745166</v>
      </c>
      <c r="FD28" s="23">
        <f t="shared" ref="FD28" si="83">FC28*($F$2+1)</f>
        <v>58122.300578263887</v>
      </c>
      <c r="FE28" s="23">
        <f t="shared" ref="FE28" si="84">FD28*($F$2+1)</f>
        <v>58412.912081155198</v>
      </c>
      <c r="FF28" s="23">
        <f t="shared" ref="FF28" si="85">FE28*($F$2+1)</f>
        <v>58704.97664156097</v>
      </c>
      <c r="FG28" s="23">
        <f t="shared" ref="FG28" si="86">FF28*($F$2+1)</f>
        <v>58998.50152476877</v>
      </c>
      <c r="FH28" s="23">
        <f t="shared" ref="FH28" si="87">FG28*($F$2+1)</f>
        <v>59293.494032392606</v>
      </c>
      <c r="FI28" s="23">
        <f t="shared" ref="FI28" si="88">FH28*($F$2+1)</f>
        <v>59589.961502554565</v>
      </c>
      <c r="FJ28" s="23">
        <f t="shared" ref="FJ28" si="89">FI28*($F$2+1)</f>
        <v>59887.911310067328</v>
      </c>
      <c r="FK28" s="23">
        <f t="shared" ref="FK28" si="90">FJ28*($F$2+1)</f>
        <v>60187.350866617657</v>
      </c>
      <c r="FL28" s="23">
        <f t="shared" ref="FL28" si="91">FK28*($F$2+1)</f>
        <v>60488.287620950738</v>
      </c>
      <c r="FM28" s="23">
        <f t="shared" ref="FM28" si="92">FL28*($F$2+1)</f>
        <v>60790.729059055484</v>
      </c>
      <c r="FN28" s="23">
        <f t="shared" ref="FN28" si="93">FM28*($F$2+1)</f>
        <v>61094.682704350758</v>
      </c>
      <c r="FO28" s="23">
        <f t="shared" ref="FO28" si="94">FN28*($F$2+1)</f>
        <v>61400.156117872502</v>
      </c>
      <c r="FP28" s="23">
        <f t="shared" ref="FP28" si="95">FO28*($F$2+1)</f>
        <v>61707.156898461857</v>
      </c>
      <c r="FQ28" s="23">
        <f t="shared" ref="FQ28" si="96">FP28*($F$2+1)</f>
        <v>62015.692682954163</v>
      </c>
      <c r="FR28" s="23">
        <f t="shared" ref="FR28" si="97">FQ28*($F$2+1)</f>
        <v>62325.771146368927</v>
      </c>
      <c r="FS28" s="23">
        <f t="shared" ref="FS28" si="98">FR28*($F$2+1)</f>
        <v>62637.400002100767</v>
      </c>
      <c r="FT28" s="23">
        <f t="shared" ref="FT28" si="99">FS28*($F$2+1)</f>
        <v>62950.587002111264</v>
      </c>
      <c r="FU28" s="23">
        <f t="shared" ref="FU28" si="100">FT28*($F$2+1)</f>
        <v>63265.339937121811</v>
      </c>
      <c r="FV28" s="23">
        <f t="shared" ref="FV28" si="101">FU28*($F$2+1)</f>
        <v>63581.666636807415</v>
      </c>
      <c r="FW28" s="23">
        <f t="shared" ref="FW28" si="102">FV28*($F$2+1)</f>
        <v>63899.574969991445</v>
      </c>
      <c r="FX28" s="23">
        <f t="shared" ref="FX28" si="103">FW28*($F$2+1)</f>
        <v>64219.072844841394</v>
      </c>
      <c r="FY28" s="23">
        <f t="shared" ref="FY28" si="104">FX28*($F$2+1)</f>
        <v>64540.168209065596</v>
      </c>
      <c r="FZ28" s="23">
        <f t="shared" ref="FZ28" si="105">FY28*($F$2+1)</f>
        <v>64862.869050110916</v>
      </c>
      <c r="GA28" s="23">
        <f t="shared" ref="GA28" si="106">FZ28*($F$2+1)</f>
        <v>65187.183395361462</v>
      </c>
      <c r="GB28" s="23">
        <f t="shared" ref="GB28" si="107">GA28*($F$2+1)</f>
        <v>65513.119312338262</v>
      </c>
      <c r="GC28" s="23">
        <f t="shared" ref="GC28" si="108">GB28*($F$2+1)</f>
        <v>65840.684908899944</v>
      </c>
      <c r="GD28" s="23">
        <f t="shared" ref="GD28" si="109">GC28*($F$2+1)</f>
        <v>66169.88833344444</v>
      </c>
      <c r="GE28" s="23">
        <f t="shared" ref="GE28" si="110">GD28*($F$2+1)</f>
        <v>66500.737775111658</v>
      </c>
      <c r="GF28" s="23">
        <f t="shared" ref="GF28" si="111">GE28*($F$2+1)</f>
        <v>66833.241463987215</v>
      </c>
      <c r="GG28" s="23">
        <f t="shared" ref="GG28" si="112">GF28*($F$2+1)</f>
        <v>67167.407671307141</v>
      </c>
      <c r="GH28" s="23">
        <f t="shared" ref="GH28" si="113">GG28*($F$2+1)</f>
        <v>67503.244709663675</v>
      </c>
      <c r="GI28" s="23">
        <f t="shared" ref="GI28" si="114">GH28*($F$2+1)</f>
        <v>67840.76093321199</v>
      </c>
      <c r="GJ28" s="23">
        <f t="shared" ref="GJ28" si="115">GI28*($F$2+1)</f>
        <v>68179.964737878036</v>
      </c>
      <c r="GK28" s="23">
        <f t="shared" ref="GK28" si="116">GJ28*($F$2+1)</f>
        <v>68520.864561567418</v>
      </c>
      <c r="GL28" s="23">
        <f t="shared" ref="GL28" si="117">GK28*($F$2+1)</f>
        <v>68863.468884375252</v>
      </c>
      <c r="GM28" s="23">
        <f t="shared" ref="GM28" si="118">GL28*($F$2+1)</f>
        <v>69207.786228797122</v>
      </c>
      <c r="GN28" s="23">
        <f t="shared" ref="GN28" si="119">GM28*($F$2+1)</f>
        <v>69553.825159941101</v>
      </c>
      <c r="GO28" s="23">
        <f t="shared" ref="GO28" si="120">GN28*($F$2+1)</f>
        <v>69901.594285740794</v>
      </c>
      <c r="GP28" s="23">
        <f t="shared" ref="GP28" si="121">GO28*($F$2+1)</f>
        <v>70251.102257169492</v>
      </c>
      <c r="GQ28" s="23">
        <f t="shared" ref="GQ28" si="122">GP28*($F$2+1)</f>
        <v>70602.357768455331</v>
      </c>
      <c r="GR28" s="23">
        <f t="shared" ref="GR28" si="123">GQ28*($F$2+1)</f>
        <v>70955.369557297599</v>
      </c>
      <c r="GS28" s="23">
        <f t="shared" ref="GS28" si="124">GR28*($F$2+1)</f>
        <v>71310.146405084073</v>
      </c>
      <c r="GT28" s="23">
        <f t="shared" ref="GT28" si="125">GS28*($F$2+1)</f>
        <v>71666.697137109484</v>
      </c>
      <c r="GU28" s="23">
        <f t="shared" ref="GU28" si="126">GT28*($F$2+1)</f>
        <v>72025.03062279502</v>
      </c>
      <c r="GV28" s="23">
        <f t="shared" ref="GV28" si="127">GU28*($F$2+1)</f>
        <v>72385.155775908992</v>
      </c>
      <c r="GW28" s="23">
        <f t="shared" ref="GW28" si="128">GV28*($F$2+1)</f>
        <v>72747.081554788529</v>
      </c>
      <c r="GX28" s="23">
        <f t="shared" ref="GX28" si="129">GW28*($F$2+1)</f>
        <v>73110.816962562458</v>
      </c>
      <c r="GY28" s="23">
        <f t="shared" ref="GY28" si="130">GX28*($F$2+1)</f>
        <v>73476.371047375258</v>
      </c>
      <c r="GZ28" s="23">
        <f t="shared" ref="GZ28" si="131">GY28*($F$2+1)</f>
        <v>73843.752902612134</v>
      </c>
      <c r="HA28" s="23">
        <f t="shared" ref="HA28" si="132">GZ28*($F$2+1)</f>
        <v>74212.971667125181</v>
      </c>
      <c r="HB28" s="23">
        <f t="shared" ref="HB28" si="133">HA28*($F$2+1)</f>
        <v>74584.036525460804</v>
      </c>
      <c r="HC28" s="23">
        <f t="shared" ref="HC28" si="134">HB28*($F$2+1)</f>
        <v>74956.956708088095</v>
      </c>
      <c r="HD28" s="23">
        <f t="shared" ref="HD28" si="135">HC28*($F$2+1)</f>
        <v>75331.741491628534</v>
      </c>
      <c r="HE28" s="23">
        <f t="shared" ref="HE28" si="136">HD28*($F$2+1)</f>
        <v>75708.400199086667</v>
      </c>
      <c r="HF28" s="23">
        <f t="shared" ref="HF28" si="137">HE28*($F$2+1)</f>
        <v>76086.942200082092</v>
      </c>
      <c r="HG28" s="23">
        <f t="shared" ref="HG28" si="138">HF28*($F$2+1)</f>
        <v>76467.376911082494</v>
      </c>
      <c r="HH28" s="23">
        <f t="shared" ref="HH28" si="139">HG28*($F$2+1)</f>
        <v>76849.713795637901</v>
      </c>
      <c r="HI28" s="23">
        <f t="shared" ref="HI28" si="140">HH28*($F$2+1)</f>
        <v>77233.962364616076</v>
      </c>
      <c r="HJ28" s="23">
        <f t="shared" ref="HJ28" si="141">HI28*($F$2+1)</f>
        <v>77620.132176439147</v>
      </c>
      <c r="HK28" s="23">
        <f t="shared" ref="HK28" si="142">HJ28*($F$2+1)</f>
        <v>78008.232837321339</v>
      </c>
      <c r="HL28" s="23">
        <f t="shared" ref="HL28" si="143">HK28*($F$2+1)</f>
        <v>78398.274001507933</v>
      </c>
      <c r="HM28" s="23">
        <f t="shared" ref="HM28" si="144">HL28*($F$2+1)</f>
        <v>78790.265371515459</v>
      </c>
      <c r="HN28" s="23">
        <f t="shared" ref="HN28" si="145">HM28*($F$2+1)</f>
        <v>79184.216698373028</v>
      </c>
      <c r="HO28" s="23">
        <f t="shared" ref="HO28" si="146">HN28*($F$2+1)</f>
        <v>79580.137781864891</v>
      </c>
      <c r="HP28" s="23">
        <f t="shared" ref="HP28" si="147">HO28*($F$2+1)</f>
        <v>79978.038470774205</v>
      </c>
      <c r="HQ28" s="23">
        <f t="shared" ref="HQ28" si="148">HP28*($F$2+1)</f>
        <v>80377.92866312807</v>
      </c>
      <c r="HR28" s="23">
        <f t="shared" ref="HR28" si="149">HQ28*($F$2+1)</f>
        <v>80779.818306443703</v>
      </c>
      <c r="HS28" s="23">
        <f t="shared" ref="HS28" si="150">HR28*($F$2+1)</f>
        <v>81183.71739797591</v>
      </c>
      <c r="HT28" s="23">
        <f t="shared" ref="HT28" si="151">HS28*($F$2+1)</f>
        <v>81589.635984965775</v>
      </c>
      <c r="HU28" s="23">
        <f t="shared" ref="HU28" si="152">HT28*($F$2+1)</f>
        <v>81997.584164890592</v>
      </c>
      <c r="HV28" s="23">
        <f t="shared" ref="HV28" si="153">HU28*($F$2+1)</f>
        <v>82407.57208571503</v>
      </c>
      <c r="HW28" s="23">
        <f t="shared" ref="HW28" si="154">HV28*($F$2+1)</f>
        <v>82819.609946143595</v>
      </c>
      <c r="HX28" s="23">
        <f t="shared" ref="HX28" si="155">HW28*($F$2+1)</f>
        <v>83233.707995874298</v>
      </c>
      <c r="HY28" s="23">
        <f t="shared" ref="HY28" si="156">HX28*($F$2+1)</f>
        <v>83649.876535853662</v>
      </c>
      <c r="HZ28" s="23">
        <f t="shared" ref="HZ28" si="157">HY28*($F$2+1)</f>
        <v>84068.125918532925</v>
      </c>
      <c r="IA28" s="23">
        <f t="shared" ref="IA28" si="158">HZ28*($F$2+1)</f>
        <v>84488.46654812558</v>
      </c>
      <c r="IB28" s="23">
        <f t="shared" ref="IB28" si="159">IA28*($F$2+1)</f>
        <v>84910.908880866205</v>
      </c>
      <c r="IC28" s="23">
        <f t="shared" ref="IC28" si="160">IB28*($F$2+1)</f>
        <v>85335.463425270529</v>
      </c>
      <c r="ID28" s="23">
        <f t="shared" ref="ID28" si="161">IC28*($F$2+1)</f>
        <v>85762.140742396878</v>
      </c>
      <c r="IE28" s="23">
        <f t="shared" ref="IE28" si="162">ID28*($F$2+1)</f>
        <v>86190.951446108855</v>
      </c>
      <c r="IF28" s="23">
        <f t="shared" ref="IF28" si="163">IE28*($F$2+1)</f>
        <v>86621.906203339386</v>
      </c>
      <c r="IG28" s="23">
        <f t="shared" ref="IG28" si="164">IF28*($F$2+1)</f>
        <v>87055.015734356071</v>
      </c>
      <c r="IH28" s="23">
        <f t="shared" ref="IH28" si="165">IG28*($F$2+1)</f>
        <v>87490.290813027837</v>
      </c>
      <c r="II28" s="23">
        <f t="shared" ref="II28" si="166">IH28*($F$2+1)</f>
        <v>87927.742267092966</v>
      </c>
    </row>
    <row r="29" spans="1:243" x14ac:dyDescent="0.15">
      <c r="A29" s="1" t="s">
        <v>16</v>
      </c>
      <c r="B29" s="24">
        <f>B28/B30</f>
        <v>-0.16153846153846155</v>
      </c>
      <c r="C29" s="24">
        <f>C28/C30</f>
        <v>-8.6956521739130432E-2</v>
      </c>
      <c r="D29" s="24">
        <f>D28/D30</f>
        <v>0.76604572780050717</v>
      </c>
      <c r="E29" s="19">
        <f t="shared" ref="E29:F29" si="167">E28/E30</f>
        <v>1.9165284921674379</v>
      </c>
      <c r="F29" s="19">
        <f t="shared" si="167"/>
        <v>5.1461662266101094</v>
      </c>
      <c r="G29" s="19">
        <f t="shared" ref="G29:O29" si="168">G28/G30</f>
        <v>10.774190776552777</v>
      </c>
      <c r="H29" s="19">
        <f t="shared" si="168"/>
        <v>16.33259946358956</v>
      </c>
      <c r="I29" s="19">
        <f t="shared" si="168"/>
        <v>20.232518518001868</v>
      </c>
      <c r="J29" s="19">
        <f t="shared" si="168"/>
        <v>22.944946238865644</v>
      </c>
      <c r="K29" s="19">
        <f t="shared" si="168"/>
        <v>26.048945209483268</v>
      </c>
      <c r="L29" s="19">
        <f t="shared" si="168"/>
        <v>29.477996337190735</v>
      </c>
      <c r="M29" s="19">
        <f t="shared" si="168"/>
        <v>33.265060288434505</v>
      </c>
      <c r="N29" s="19">
        <f t="shared" si="168"/>
        <v>37.446401895242623</v>
      </c>
      <c r="O29" s="19">
        <f t="shared" si="168"/>
        <v>42.061920792009843</v>
      </c>
      <c r="P29" s="19">
        <f t="shared" ref="P29:R29" si="169">P28/P30</f>
        <v>47.155515119847422</v>
      </c>
      <c r="Q29" s="19">
        <f t="shared" si="169"/>
        <v>52.775481605353498</v>
      </c>
      <c r="R29" s="19">
        <f t="shared" si="169"/>
        <v>58.974955651346704</v>
      </c>
      <c r="S29" s="19"/>
      <c r="T29" s="19"/>
    </row>
    <row r="30" spans="1:243" x14ac:dyDescent="0.15">
      <c r="A30" s="1" t="s">
        <v>17</v>
      </c>
      <c r="B30" s="5">
        <f>Reports!E21</f>
        <v>390</v>
      </c>
      <c r="C30" s="5">
        <f>Reports!I21</f>
        <v>414</v>
      </c>
      <c r="D30" s="5">
        <f>Reports!M21</f>
        <v>485.39400000000001</v>
      </c>
      <c r="E30" s="5">
        <f>D30</f>
        <v>485.39400000000001</v>
      </c>
      <c r="F30" s="5">
        <f t="shared" ref="F30" si="170">E30</f>
        <v>485.39400000000001</v>
      </c>
      <c r="G30" s="5">
        <f t="shared" ref="G30" si="171">F30</f>
        <v>485.39400000000001</v>
      </c>
      <c r="H30" s="5">
        <f t="shared" ref="H30" si="172">G30</f>
        <v>485.39400000000001</v>
      </c>
      <c r="I30" s="5">
        <f t="shared" ref="I30" si="173">H30</f>
        <v>485.39400000000001</v>
      </c>
      <c r="J30" s="5">
        <f t="shared" ref="J30" si="174">I30</f>
        <v>485.39400000000001</v>
      </c>
      <c r="K30" s="5">
        <f t="shared" ref="K30" si="175">J30</f>
        <v>485.39400000000001</v>
      </c>
      <c r="L30" s="5">
        <f t="shared" ref="L30" si="176">K30</f>
        <v>485.39400000000001</v>
      </c>
      <c r="M30" s="5">
        <f t="shared" ref="M30" si="177">L30</f>
        <v>485.39400000000001</v>
      </c>
      <c r="N30" s="5">
        <f t="shared" ref="N30" si="178">M30</f>
        <v>485.39400000000001</v>
      </c>
      <c r="O30" s="5">
        <f t="shared" ref="O30:R30" si="179">N30</f>
        <v>485.39400000000001</v>
      </c>
      <c r="P30" s="5">
        <f t="shared" si="179"/>
        <v>485.39400000000001</v>
      </c>
      <c r="Q30" s="5">
        <f t="shared" si="179"/>
        <v>485.39400000000001</v>
      </c>
      <c r="R30" s="5">
        <f t="shared" si="179"/>
        <v>485.39400000000001</v>
      </c>
      <c r="S30" s="5"/>
      <c r="T30" s="5"/>
    </row>
    <row r="31" spans="1:243" x14ac:dyDescent="0.15"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</row>
    <row r="32" spans="1:243" x14ac:dyDescent="0.15">
      <c r="A32" s="1" t="s">
        <v>19</v>
      </c>
      <c r="B32" s="22">
        <f t="shared" ref="B32:O32" si="180">IFERROR(B19/B17,0)</f>
        <v>0.37867148666967915</v>
      </c>
      <c r="C32" s="22">
        <f t="shared" si="180"/>
        <v>0.39532766990291263</v>
      </c>
      <c r="D32" s="22">
        <f t="shared" si="180"/>
        <v>0.40115752146093647</v>
      </c>
      <c r="E32" s="22">
        <f t="shared" si="180"/>
        <v>0.40115752146093647</v>
      </c>
      <c r="F32" s="22">
        <f t="shared" si="180"/>
        <v>0.40115752146093647</v>
      </c>
      <c r="G32" s="22">
        <f t="shared" si="180"/>
        <v>0.40115752146093647</v>
      </c>
      <c r="H32" s="22">
        <f t="shared" si="180"/>
        <v>0.40115752146093647</v>
      </c>
      <c r="I32" s="22">
        <f t="shared" si="180"/>
        <v>0.40115752146093647</v>
      </c>
      <c r="J32" s="22">
        <f t="shared" si="180"/>
        <v>0.40115752146093642</v>
      </c>
      <c r="K32" s="22">
        <f t="shared" si="180"/>
        <v>0.40115752146093642</v>
      </c>
      <c r="L32" s="22">
        <f t="shared" si="180"/>
        <v>0.40115752146093647</v>
      </c>
      <c r="M32" s="22">
        <f t="shared" si="180"/>
        <v>0.40115752146093647</v>
      </c>
      <c r="N32" s="22">
        <f t="shared" si="180"/>
        <v>0.40115752146093647</v>
      </c>
      <c r="O32" s="22">
        <f t="shared" si="180"/>
        <v>0.40115752146093647</v>
      </c>
      <c r="P32" s="22">
        <f t="shared" ref="P32:R32" si="181">IFERROR(P19/P17,0)</f>
        <v>0.40115752146093647</v>
      </c>
      <c r="Q32" s="22">
        <f t="shared" si="181"/>
        <v>0.40115752146093647</v>
      </c>
      <c r="R32" s="22">
        <f t="shared" si="181"/>
        <v>0.40115752146093642</v>
      </c>
      <c r="S32" s="22"/>
      <c r="T32" s="22"/>
    </row>
    <row r="33" spans="1:20" x14ac:dyDescent="0.15">
      <c r="A33" s="1" t="s">
        <v>20</v>
      </c>
      <c r="B33" s="21">
        <f t="shared" ref="B33:O33" si="182">IFERROR(B24/B17,0)</f>
        <v>-2.5305015815634886E-2</v>
      </c>
      <c r="C33" s="21">
        <f t="shared" si="182"/>
        <v>-1.0922330097087379E-2</v>
      </c>
      <c r="D33" s="21">
        <f t="shared" si="182"/>
        <v>5.9036266983742607E-3</v>
      </c>
      <c r="E33" s="21">
        <f t="shared" si="182"/>
        <v>0.12855705260243497</v>
      </c>
      <c r="F33" s="21">
        <f t="shared" si="182"/>
        <v>0.2048996748560579</v>
      </c>
      <c r="G33" s="21">
        <f t="shared" si="182"/>
        <v>0.25716884662590273</v>
      </c>
      <c r="H33" s="21">
        <f t="shared" si="182"/>
        <v>0.27568723319054467</v>
      </c>
      <c r="I33" s="21">
        <f t="shared" si="182"/>
        <v>0.27572150263764983</v>
      </c>
      <c r="J33" s="21">
        <f t="shared" si="182"/>
        <v>0.28092706210324309</v>
      </c>
      <c r="K33" s="21">
        <f t="shared" si="182"/>
        <v>0.28692135362197474</v>
      </c>
      <c r="L33" s="21">
        <f t="shared" si="182"/>
        <v>0.29238011759474153</v>
      </c>
      <c r="M33" s="21">
        <f t="shared" si="182"/>
        <v>0.29735316465090905</v>
      </c>
      <c r="N33" s="21">
        <f t="shared" si="182"/>
        <v>0.30188549775536433</v>
      </c>
      <c r="O33" s="21">
        <f t="shared" si="182"/>
        <v>0.30601779113755984</v>
      </c>
      <c r="P33" s="21">
        <f t="shared" ref="P33:R33" si="183">IFERROR(P24/P17,0)</f>
        <v>0.30978682028600329</v>
      </c>
      <c r="Q33" s="21">
        <f t="shared" si="183"/>
        <v>0.31322584810561738</v>
      </c>
      <c r="R33" s="21">
        <f t="shared" si="183"/>
        <v>0.31636497179682965</v>
      </c>
      <c r="S33" s="21"/>
      <c r="T33" s="21"/>
    </row>
    <row r="34" spans="1:20" x14ac:dyDescent="0.15">
      <c r="A34" s="1" t="s">
        <v>21</v>
      </c>
      <c r="B34" s="21">
        <f t="shared" ref="B34:O34" si="184">IFERROR(B27/B26,0)</f>
        <v>1.5625E-2</v>
      </c>
      <c r="C34" s="21">
        <f t="shared" si="184"/>
        <v>-5.8823529411764705E-2</v>
      </c>
      <c r="D34" s="21">
        <f t="shared" si="184"/>
        <v>1.0642996642134576E-2</v>
      </c>
      <c r="E34" s="21">
        <f t="shared" si="184"/>
        <v>0.15</v>
      </c>
      <c r="F34" s="21">
        <f t="shared" si="184"/>
        <v>0.15</v>
      </c>
      <c r="G34" s="21">
        <f t="shared" si="184"/>
        <v>0.15</v>
      </c>
      <c r="H34" s="21">
        <f t="shared" si="184"/>
        <v>0.15</v>
      </c>
      <c r="I34" s="21">
        <f t="shared" si="184"/>
        <v>0.15</v>
      </c>
      <c r="J34" s="21">
        <f t="shared" si="184"/>
        <v>0.15</v>
      </c>
      <c r="K34" s="21">
        <f t="shared" si="184"/>
        <v>0.15</v>
      </c>
      <c r="L34" s="21">
        <f t="shared" si="184"/>
        <v>0.15</v>
      </c>
      <c r="M34" s="21">
        <f t="shared" si="184"/>
        <v>0.15</v>
      </c>
      <c r="N34" s="21">
        <f t="shared" si="184"/>
        <v>0.15</v>
      </c>
      <c r="O34" s="21">
        <f t="shared" si="184"/>
        <v>0.15</v>
      </c>
      <c r="P34" s="21">
        <f t="shared" ref="P34:R34" si="185">IFERROR(P27/P26,0)</f>
        <v>0.15</v>
      </c>
      <c r="Q34" s="21">
        <f t="shared" si="185"/>
        <v>0.15</v>
      </c>
      <c r="R34" s="21">
        <f t="shared" si="185"/>
        <v>0.15</v>
      </c>
      <c r="S34" s="21"/>
      <c r="T34" s="21"/>
    </row>
    <row r="35" spans="1:20" x14ac:dyDescent="0.15"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</row>
    <row r="36" spans="1:20" x14ac:dyDescent="0.15">
      <c r="A36" s="16" t="s">
        <v>18</v>
      </c>
      <c r="B36" s="20"/>
      <c r="C36" s="20">
        <f>C17/B17-1</f>
        <v>0.48938093086308188</v>
      </c>
      <c r="D36" s="20">
        <f t="shared" ref="D36:R36" si="186">D17/C17-1</f>
        <v>0.43043962378640765</v>
      </c>
      <c r="E36" s="20">
        <f>E17/D17-1</f>
        <v>0.76815105385696669</v>
      </c>
      <c r="F36" s="20">
        <f>F17/E17-1</f>
        <v>0.69624418168086089</v>
      </c>
      <c r="G36" s="20">
        <f t="shared" si="186"/>
        <v>0.66680256776767144</v>
      </c>
      <c r="H36" s="20">
        <f t="shared" si="186"/>
        <v>0.4052269329672189</v>
      </c>
      <c r="I36" s="20">
        <f t="shared" si="186"/>
        <v>0.22638704958473732</v>
      </c>
      <c r="J36" s="20">
        <f t="shared" si="186"/>
        <v>0.10000000000000009</v>
      </c>
      <c r="K36" s="20">
        <f t="shared" si="186"/>
        <v>0.10000000000000009</v>
      </c>
      <c r="L36" s="20">
        <f t="shared" si="186"/>
        <v>0.10000000000000009</v>
      </c>
      <c r="M36" s="20">
        <f t="shared" si="186"/>
        <v>0.10000000000000009</v>
      </c>
      <c r="N36" s="20">
        <f t="shared" si="186"/>
        <v>0.10000000000000009</v>
      </c>
      <c r="O36" s="20">
        <f t="shared" si="186"/>
        <v>0.10000000000000009</v>
      </c>
      <c r="P36" s="20">
        <f t="shared" si="186"/>
        <v>0.10000000000000009</v>
      </c>
      <c r="Q36" s="20">
        <f t="shared" si="186"/>
        <v>0.10000000000000009</v>
      </c>
      <c r="R36" s="20">
        <f t="shared" si="186"/>
        <v>0.10000000000000009</v>
      </c>
      <c r="S36" s="20"/>
      <c r="T36" s="20"/>
    </row>
    <row r="37" spans="1:20" x14ac:dyDescent="0.15">
      <c r="A37" s="1" t="s">
        <v>42</v>
      </c>
      <c r="B37" s="21"/>
      <c r="C37" s="21">
        <f t="shared" ref="C37:R37" si="187">C20/B20-1</f>
        <v>0.54179566563467496</v>
      </c>
      <c r="D37" s="21">
        <f t="shared" si="187"/>
        <v>0.34595180722891561</v>
      </c>
      <c r="E37" s="21">
        <f t="shared" si="187"/>
        <v>0.25</v>
      </c>
      <c r="F37" s="21">
        <f t="shared" si="187"/>
        <v>0.24999999999999978</v>
      </c>
      <c r="G37" s="21">
        <f t="shared" si="187"/>
        <v>0.25</v>
      </c>
      <c r="H37" s="21">
        <f t="shared" si="187"/>
        <v>0.25</v>
      </c>
      <c r="I37" s="21">
        <f t="shared" si="187"/>
        <v>0.25</v>
      </c>
      <c r="J37" s="21">
        <f t="shared" si="187"/>
        <v>0.10000000000000009</v>
      </c>
      <c r="K37" s="21">
        <f t="shared" si="187"/>
        <v>0.10000000000000009</v>
      </c>
      <c r="L37" s="21">
        <f t="shared" si="187"/>
        <v>0.10000000000000009</v>
      </c>
      <c r="M37" s="21">
        <f t="shared" si="187"/>
        <v>0.10000000000000009</v>
      </c>
      <c r="N37" s="21">
        <f t="shared" si="187"/>
        <v>0.10000000000000009</v>
      </c>
      <c r="O37" s="21">
        <f t="shared" si="187"/>
        <v>0.10000000000000009</v>
      </c>
      <c r="P37" s="21">
        <f t="shared" si="187"/>
        <v>0.10000000000000009</v>
      </c>
      <c r="Q37" s="21">
        <f t="shared" si="187"/>
        <v>0.10000000000000009</v>
      </c>
      <c r="R37" s="21">
        <f t="shared" si="187"/>
        <v>0.10000000000000009</v>
      </c>
      <c r="S37" s="21"/>
      <c r="T37" s="21"/>
    </row>
    <row r="38" spans="1:20" x14ac:dyDescent="0.15">
      <c r="A38" s="1" t="s">
        <v>43</v>
      </c>
      <c r="B38" s="21"/>
      <c r="C38" s="21">
        <f t="shared" ref="C38:R38" si="188">C21/B21-1</f>
        <v>0.61417322834645671</v>
      </c>
      <c r="D38" s="21">
        <f t="shared" si="188"/>
        <v>0.52251463414634136</v>
      </c>
      <c r="E38" s="21">
        <f t="shared" si="188"/>
        <v>0.25</v>
      </c>
      <c r="F38" s="21">
        <f t="shared" si="188"/>
        <v>0.25</v>
      </c>
      <c r="G38" s="21">
        <f t="shared" si="188"/>
        <v>0.25</v>
      </c>
      <c r="H38" s="21">
        <f t="shared" si="188"/>
        <v>0.25</v>
      </c>
      <c r="I38" s="21">
        <f t="shared" si="188"/>
        <v>0.25</v>
      </c>
      <c r="J38" s="21">
        <f t="shared" si="188"/>
        <v>5.0000000000000044E-2</v>
      </c>
      <c r="K38" s="21">
        <f t="shared" si="188"/>
        <v>2.0000000000000018E-2</v>
      </c>
      <c r="L38" s="21">
        <f t="shared" si="188"/>
        <v>2.0000000000000018E-2</v>
      </c>
      <c r="M38" s="21">
        <f t="shared" si="188"/>
        <v>2.0000000000000018E-2</v>
      </c>
      <c r="N38" s="21">
        <f t="shared" si="188"/>
        <v>2.0000000000000018E-2</v>
      </c>
      <c r="O38" s="21">
        <f t="shared" si="188"/>
        <v>2.0000000000000018E-2</v>
      </c>
      <c r="P38" s="21">
        <f t="shared" si="188"/>
        <v>2.0000000000000018E-2</v>
      </c>
      <c r="Q38" s="21">
        <f t="shared" si="188"/>
        <v>2.0000000000000018E-2</v>
      </c>
      <c r="R38" s="21">
        <f t="shared" si="188"/>
        <v>2.0000000000000018E-2</v>
      </c>
      <c r="S38" s="21"/>
      <c r="T38" s="21"/>
    </row>
    <row r="39" spans="1:20" x14ac:dyDescent="0.15">
      <c r="A39" s="1" t="s">
        <v>44</v>
      </c>
      <c r="B39" s="21"/>
      <c r="C39" s="21">
        <f t="shared" ref="C39:R39" si="189">C22/B22-1</f>
        <v>0.35962145110410093</v>
      </c>
      <c r="D39" s="21">
        <f t="shared" si="189"/>
        <v>0.32018561484918795</v>
      </c>
      <c r="E39" s="21">
        <f t="shared" si="189"/>
        <v>0.14999999999999991</v>
      </c>
      <c r="F39" s="21">
        <f t="shared" si="189"/>
        <v>0.14999999999999991</v>
      </c>
      <c r="G39" s="21">
        <f t="shared" si="189"/>
        <v>0.14999999999999991</v>
      </c>
      <c r="H39" s="21">
        <f t="shared" si="189"/>
        <v>0.14999999999999991</v>
      </c>
      <c r="I39" s="21">
        <f t="shared" si="189"/>
        <v>0.14999999999999991</v>
      </c>
      <c r="J39" s="21">
        <f t="shared" si="189"/>
        <v>-2.0000000000000129E-2</v>
      </c>
      <c r="K39" s="21">
        <f t="shared" si="189"/>
        <v>-1.9999999999999907E-2</v>
      </c>
      <c r="L39" s="21">
        <f t="shared" si="189"/>
        <v>-2.0000000000000018E-2</v>
      </c>
      <c r="M39" s="21">
        <f t="shared" si="189"/>
        <v>-2.0000000000000018E-2</v>
      </c>
      <c r="N39" s="21">
        <f t="shared" si="189"/>
        <v>-2.0000000000000018E-2</v>
      </c>
      <c r="O39" s="21">
        <f t="shared" si="189"/>
        <v>-2.0000000000000018E-2</v>
      </c>
      <c r="P39" s="21">
        <f t="shared" si="189"/>
        <v>-2.0000000000000018E-2</v>
      </c>
      <c r="Q39" s="21">
        <f t="shared" si="189"/>
        <v>-2.0000000000000018E-2</v>
      </c>
      <c r="R39" s="21">
        <f t="shared" si="189"/>
        <v>-1.9999999999999907E-2</v>
      </c>
      <c r="S39" s="21"/>
      <c r="T39" s="21"/>
    </row>
    <row r="40" spans="1:20" s="67" customFormat="1" x14ac:dyDescent="0.15">
      <c r="A40" s="67" t="s">
        <v>83</v>
      </c>
      <c r="B40" s="21"/>
      <c r="C40" s="21">
        <f>C23/B23-1</f>
        <v>0.49776286353467558</v>
      </c>
      <c r="D40" s="21">
        <f t="shared" ref="D40:R40" si="190">D23/C23-1</f>
        <v>0.39172143390589986</v>
      </c>
      <c r="E40" s="21">
        <f t="shared" si="190"/>
        <v>0.21946630426908276</v>
      </c>
      <c r="F40" s="21">
        <f t="shared" si="190"/>
        <v>0.22120564137965171</v>
      </c>
      <c r="G40" s="21">
        <f t="shared" si="190"/>
        <v>0.222884573006074</v>
      </c>
      <c r="H40" s="21">
        <f t="shared" si="190"/>
        <v>0.22450066692201198</v>
      </c>
      <c r="I40" s="21">
        <f t="shared" si="190"/>
        <v>0.22605208896014939</v>
      </c>
      <c r="J40" s="21">
        <f t="shared" si="190"/>
        <v>5.435030969677479E-2</v>
      </c>
      <c r="K40" s="21">
        <f t="shared" si="190"/>
        <v>4.5157652180400687E-2</v>
      </c>
      <c r="L40" s="21">
        <f t="shared" si="190"/>
        <v>4.7436608881102016E-2</v>
      </c>
      <c r="M40" s="21">
        <f t="shared" si="190"/>
        <v>4.9710587241875936E-2</v>
      </c>
      <c r="N40" s="21">
        <f t="shared" si="190"/>
        <v>5.1971510945105326E-2</v>
      </c>
      <c r="O40" s="21">
        <f t="shared" si="190"/>
        <v>5.4211442955001354E-2</v>
      </c>
      <c r="P40" s="21">
        <f t="shared" si="190"/>
        <v>5.6422705328300182E-2</v>
      </c>
      <c r="Q40" s="21">
        <f t="shared" si="190"/>
        <v>5.8597990899370567E-2</v>
      </c>
      <c r="R40" s="21">
        <f t="shared" si="190"/>
        <v>6.0730463454501615E-2</v>
      </c>
      <c r="S40" s="21"/>
      <c r="T40" s="21"/>
    </row>
    <row r="41" spans="1:20" x14ac:dyDescent="0.15"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</row>
    <row r="42" spans="1:20" x14ac:dyDescent="0.15">
      <c r="A42" s="16" t="s">
        <v>25</v>
      </c>
      <c r="B42" s="3"/>
      <c r="C42" s="23">
        <f>C43-C44</f>
        <v>689</v>
      </c>
      <c r="D42" s="23">
        <f>D43-D44</f>
        <v>1137</v>
      </c>
      <c r="E42" s="18">
        <f>D42+E28</f>
        <v>2067.2714309271214</v>
      </c>
      <c r="F42" s="18">
        <f t="shared" ref="F42:R42" si="191">E42+F28</f>
        <v>4565.189640326309</v>
      </c>
      <c r="G42" s="18">
        <f t="shared" si="191"/>
        <v>9794.9171981203672</v>
      </c>
      <c r="H42" s="18">
        <f t="shared" si="191"/>
        <v>17722.662982149959</v>
      </c>
      <c r="I42" s="18">
        <f t="shared" si="191"/>
        <v>27543.406075676958</v>
      </c>
      <c r="J42" s="18">
        <f t="shared" si="191"/>
        <v>38680.745310344908</v>
      </c>
      <c r="K42" s="18">
        <f t="shared" si="191"/>
        <v>51324.74702135683</v>
      </c>
      <c r="L42" s="18">
        <f t="shared" si="191"/>
        <v>65633.189575451193</v>
      </c>
      <c r="M42" s="18">
        <f t="shared" si="191"/>
        <v>81779.850249095573</v>
      </c>
      <c r="N42" s="18">
        <f t="shared" si="191"/>
        <v>99956.109050634972</v>
      </c>
      <c r="O42" s="18">
        <f t="shared" si="191"/>
        <v>120372.7130315518</v>
      </c>
      <c r="P42" s="18">
        <f t="shared" si="191"/>
        <v>143261.71713763502</v>
      </c>
      <c r="Q42" s="18">
        <f t="shared" si="191"/>
        <v>168878.61925598397</v>
      </c>
      <c r="R42" s="18">
        <f t="shared" si="191"/>
        <v>197504.70887941375</v>
      </c>
      <c r="S42" s="18"/>
      <c r="T42" s="18"/>
    </row>
    <row r="43" spans="1:20" x14ac:dyDescent="0.15">
      <c r="A43" s="1" t="s">
        <v>26</v>
      </c>
      <c r="B43" s="3"/>
      <c r="C43" s="17">
        <f>Reports!I34</f>
        <v>1589</v>
      </c>
      <c r="D43" s="17">
        <f>Reports!M34</f>
        <v>2076</v>
      </c>
    </row>
    <row r="44" spans="1:20" x14ac:dyDescent="0.15">
      <c r="A44" s="1" t="s">
        <v>27</v>
      </c>
      <c r="B44" s="3"/>
      <c r="C44" s="17">
        <f>Reports!I35</f>
        <v>900</v>
      </c>
      <c r="D44" s="17">
        <f>Reports!M35</f>
        <v>939</v>
      </c>
    </row>
    <row r="45" spans="1:20" x14ac:dyDescent="0.15">
      <c r="B45" s="3"/>
    </row>
    <row r="46" spans="1:20" x14ac:dyDescent="0.15">
      <c r="A46" s="1" t="s">
        <v>54</v>
      </c>
      <c r="B46" s="3"/>
      <c r="C46" s="17">
        <f>Reports!I37</f>
        <v>339</v>
      </c>
      <c r="D46" s="17">
        <f>Reports!M37</f>
        <v>335</v>
      </c>
    </row>
    <row r="47" spans="1:20" x14ac:dyDescent="0.15">
      <c r="A47" s="1" t="s">
        <v>55</v>
      </c>
      <c r="B47" s="3"/>
      <c r="C47" s="17">
        <f>Reports!I38</f>
        <v>3281</v>
      </c>
      <c r="D47" s="17">
        <f>Reports!M38</f>
        <v>4551</v>
      </c>
    </row>
    <row r="48" spans="1:20" x14ac:dyDescent="0.15">
      <c r="A48" s="1" t="s">
        <v>56</v>
      </c>
      <c r="B48" s="3"/>
      <c r="C48" s="17">
        <f>Reports!I39</f>
        <v>2161</v>
      </c>
      <c r="D48" s="17">
        <f>Reports!M39</f>
        <v>2836</v>
      </c>
    </row>
    <row r="49" spans="1:9" x14ac:dyDescent="0.15">
      <c r="B49" s="3"/>
    </row>
    <row r="50" spans="1:9" x14ac:dyDescent="0.15">
      <c r="A50" s="1" t="s">
        <v>57</v>
      </c>
      <c r="B50" s="3"/>
      <c r="C50" s="25">
        <f>C47-C46-C43</f>
        <v>1353</v>
      </c>
      <c r="D50" s="25">
        <f>D47-D46-D43</f>
        <v>2140</v>
      </c>
    </row>
    <row r="51" spans="1:9" x14ac:dyDescent="0.15">
      <c r="A51" s="1" t="s">
        <v>58</v>
      </c>
      <c r="B51" s="3"/>
      <c r="C51" s="25">
        <f>C47-C48</f>
        <v>1120</v>
      </c>
      <c r="D51" s="25">
        <f>D47-D48</f>
        <v>1715</v>
      </c>
    </row>
    <row r="52" spans="1:9" x14ac:dyDescent="0.15">
      <c r="B52" s="3"/>
    </row>
    <row r="53" spans="1:9" x14ac:dyDescent="0.15">
      <c r="A53" s="1" t="s">
        <v>59</v>
      </c>
      <c r="B53" s="3"/>
      <c r="C53" s="14">
        <f>C28/C51</f>
        <v>-3.214285714285714E-2</v>
      </c>
      <c r="D53" s="14">
        <f>D28/D51</f>
        <v>0.21681282798833784</v>
      </c>
    </row>
    <row r="54" spans="1:9" x14ac:dyDescent="0.15">
      <c r="A54" s="1" t="s">
        <v>60</v>
      </c>
      <c r="B54" s="3"/>
      <c r="C54" s="14">
        <f>C28/C47</f>
        <v>-1.0972264553489789E-2</v>
      </c>
      <c r="D54" s="14">
        <f>D28/D47</f>
        <v>8.1703801362337805E-2</v>
      </c>
    </row>
    <row r="55" spans="1:9" x14ac:dyDescent="0.15">
      <c r="A55" s="1" t="s">
        <v>61</v>
      </c>
      <c r="B55" s="3"/>
      <c r="C55" s="14">
        <f>C28/(C51-C46)</f>
        <v>-4.6094750320102434E-2</v>
      </c>
      <c r="D55" s="14">
        <f>D28/(D51-D46)</f>
        <v>0.26944492753623145</v>
      </c>
    </row>
    <row r="56" spans="1:9" x14ac:dyDescent="0.15">
      <c r="A56" s="1" t="s">
        <v>62</v>
      </c>
      <c r="B56" s="3"/>
      <c r="C56" s="14">
        <f>C28/C50</f>
        <v>-2.6607538802660754E-2</v>
      </c>
      <c r="D56" s="14">
        <f>D28/D50</f>
        <v>0.17375420560747634</v>
      </c>
    </row>
    <row r="58" spans="1:9" x14ac:dyDescent="0.15">
      <c r="A58" s="35" t="s">
        <v>77</v>
      </c>
      <c r="C58" s="14">
        <f t="shared" ref="C58:D60" si="192">C12/B12-1</f>
        <v>0.28697916666666656</v>
      </c>
      <c r="D58" s="14">
        <f t="shared" si="192"/>
        <v>0.24734115742614327</v>
      </c>
      <c r="E58" s="14">
        <f t="shared" ref="E58:I58" si="193">E12/D12-1</f>
        <v>6.4624713676683543E-2</v>
      </c>
      <c r="F58" s="14">
        <f t="shared" si="193"/>
        <v>5.0000000000000044E-2</v>
      </c>
      <c r="G58" s="14">
        <f t="shared" si="193"/>
        <v>5.0000000000000044E-2</v>
      </c>
      <c r="H58" s="14">
        <f t="shared" si="193"/>
        <v>5.0000000000000044E-2</v>
      </c>
      <c r="I58" s="14">
        <f t="shared" si="193"/>
        <v>5.0000000000000044E-2</v>
      </c>
    </row>
    <row r="59" spans="1:9" x14ac:dyDescent="0.15">
      <c r="A59" s="35" t="s">
        <v>78</v>
      </c>
      <c r="C59" s="14">
        <f t="shared" si="192"/>
        <v>1.3452380952380953</v>
      </c>
      <c r="D59" s="14">
        <f t="shared" si="192"/>
        <v>0.74520304568527918</v>
      </c>
      <c r="E59" s="14">
        <f t="shared" ref="E59:I59" si="194">E13/D13-1</f>
        <v>0.39788615639679459</v>
      </c>
      <c r="F59" s="14">
        <f t="shared" si="194"/>
        <v>0.25</v>
      </c>
      <c r="G59" s="14">
        <f t="shared" si="194"/>
        <v>0.25000000000000022</v>
      </c>
      <c r="H59" s="14">
        <f t="shared" si="194"/>
        <v>0.25</v>
      </c>
      <c r="I59" s="14">
        <f t="shared" si="194"/>
        <v>0.25</v>
      </c>
    </row>
    <row r="60" spans="1:9" x14ac:dyDescent="0.15">
      <c r="A60" s="35" t="s">
        <v>79</v>
      </c>
      <c r="B60" s="14"/>
      <c r="C60" s="14">
        <f t="shared" si="192"/>
        <v>0.65853658536585358</v>
      </c>
      <c r="D60" s="14">
        <f t="shared" si="192"/>
        <v>0.24363235294117658</v>
      </c>
      <c r="E60" s="14">
        <f t="shared" ref="E60:I60" si="195">E14/D14-1</f>
        <v>3.5880426170964874E-2</v>
      </c>
      <c r="F60" s="14">
        <f t="shared" si="195"/>
        <v>-0.10000000000000009</v>
      </c>
      <c r="G60" s="14">
        <f t="shared" si="195"/>
        <v>-0.10000000000000009</v>
      </c>
      <c r="H60" s="14">
        <f t="shared" si="195"/>
        <v>-9.9999999999999978E-2</v>
      </c>
      <c r="I60" s="14">
        <f t="shared" si="195"/>
        <v>-9.9999999999999978E-2</v>
      </c>
    </row>
    <row r="61" spans="1:9" x14ac:dyDescent="0.15">
      <c r="A61" s="35" t="s">
        <v>80</v>
      </c>
      <c r="B61" s="14"/>
      <c r="C61" s="14"/>
      <c r="D61" s="14">
        <f>D15/C15-1</f>
        <v>2.1118493975903614</v>
      </c>
      <c r="E61" s="14">
        <f t="shared" ref="E61:I61" si="196">E15/D15-1</f>
        <v>5.825031409284759</v>
      </c>
      <c r="F61" s="14">
        <f t="shared" si="196"/>
        <v>1.5</v>
      </c>
      <c r="G61" s="14">
        <f t="shared" si="196"/>
        <v>1</v>
      </c>
      <c r="H61" s="14">
        <f t="shared" si="196"/>
        <v>0.5</v>
      </c>
      <c r="I61" s="14">
        <f t="shared" si="196"/>
        <v>0.25</v>
      </c>
    </row>
    <row r="63" spans="1:9" s="17" customFormat="1" x14ac:dyDescent="0.15">
      <c r="A63" s="75" t="s">
        <v>97</v>
      </c>
      <c r="B63" s="17">
        <f>SUM(Reports!B55:E55)</f>
        <v>65342</v>
      </c>
      <c r="C63" s="17">
        <f>SUM(Reports!F55:I55)</f>
        <v>84655</v>
      </c>
      <c r="D63" s="17">
        <f>SUM(Reports!J55:M55)</f>
        <v>106239</v>
      </c>
      <c r="E63" s="17">
        <f>SUM(Reports!N55:Q55)</f>
        <v>124935.65</v>
      </c>
      <c r="F63" s="75">
        <f>E63*1.15</f>
        <v>143675.99749999997</v>
      </c>
      <c r="G63" s="75">
        <f t="shared" ref="G63:I63" si="197">F63*1.15</f>
        <v>165227.39712499996</v>
      </c>
      <c r="H63" s="75">
        <f t="shared" si="197"/>
        <v>190011.50669374995</v>
      </c>
      <c r="I63" s="75">
        <f t="shared" si="197"/>
        <v>218513.23269781243</v>
      </c>
    </row>
    <row r="64" spans="1:9" s="14" customFormat="1" x14ac:dyDescent="0.15">
      <c r="A64" s="84" t="s">
        <v>98</v>
      </c>
      <c r="C64" s="14">
        <f>C63/B63-1</f>
        <v>0.29556793486578314</v>
      </c>
      <c r="D64" s="14">
        <f>D63/C63-1</f>
        <v>0.25496426672966743</v>
      </c>
      <c r="E64" s="14">
        <f>E63/D63-1</f>
        <v>0.17598669038676951</v>
      </c>
      <c r="F64" s="14">
        <f>F63/E63-1</f>
        <v>0.14999999999999991</v>
      </c>
      <c r="G64" s="14">
        <f>G63/F63-1</f>
        <v>0.14999999999999991</v>
      </c>
      <c r="H64" s="14">
        <f>H63/G63-1</f>
        <v>0.14999999999999991</v>
      </c>
      <c r="I64" s="14">
        <f>I63/H63-1</f>
        <v>0.14999999999999991</v>
      </c>
    </row>
    <row r="66" spans="1:9" s="14" customFormat="1" x14ac:dyDescent="0.15">
      <c r="A66" s="84" t="s">
        <v>102</v>
      </c>
      <c r="B66" s="14">
        <f>B17/B63</f>
        <v>3.3867956291512354E-2</v>
      </c>
      <c r="C66" s="14">
        <f>C17/C63</f>
        <v>3.8934498848266497E-2</v>
      </c>
      <c r="D66" s="14">
        <f>D17/D63</f>
        <v>4.4378514481499258E-2</v>
      </c>
      <c r="E66" s="14">
        <f t="shared" ref="E66:I66" si="198">E17/E63</f>
        <v>6.6725174519842834E-2</v>
      </c>
      <c r="F66" s="14">
        <f t="shared" si="198"/>
        <v>9.841929482688995E-2</v>
      </c>
      <c r="G66" s="14">
        <f t="shared" si="198"/>
        <v>0.1426482898568206</v>
      </c>
      <c r="H66" s="14">
        <f t="shared" si="198"/>
        <v>0.174307146824799</v>
      </c>
      <c r="I66" s="14">
        <f t="shared" si="198"/>
        <v>0.1858852413182599</v>
      </c>
    </row>
  </sheetData>
  <hyperlinks>
    <hyperlink ref="A4" r:id="rId1" xr:uid="{00000000-0004-0000-0000-000000000000}"/>
    <hyperlink ref="A7" r:id="rId2" xr:uid="{00000000-0004-0000-0000-000001000000}"/>
    <hyperlink ref="A1" r:id="rId3" xr:uid="{00000000-0004-0000-0000-000005000000}"/>
    <hyperlink ref="A8" r:id="rId4" xr:uid="{8298DD47-5FA0-9D4A-81E4-20B3E615A1C8}"/>
  </hyperlinks>
  <pageMargins left="0.7" right="0.7" top="0.75" bottom="0.75" header="0.3" footer="0.3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58"/>
  <sheetViews>
    <sheetView zoomScale="130" zoomScaleNormal="130" workbookViewId="0">
      <pane xSplit="1" ySplit="2" topLeftCell="H3" activePane="bottomRight" state="frozen"/>
      <selection pane="topRight" activeCell="B1" sqref="B1"/>
      <selection pane="bottomLeft" activeCell="A3" sqref="A3"/>
      <selection pane="bottomRight" activeCell="S17" sqref="S17"/>
    </sheetView>
  </sheetViews>
  <sheetFormatPr baseColWidth="10" defaultRowHeight="13" x14ac:dyDescent="0.15"/>
  <cols>
    <col min="1" max="1" width="24.5" style="32" customWidth="1"/>
    <col min="2" max="2" width="10.83203125" style="27"/>
    <col min="3" max="5" width="10.83203125" style="26"/>
    <col min="6" max="6" width="10.83203125" style="27"/>
    <col min="7" max="8" width="10.83203125" style="26"/>
    <col min="9" max="9" width="10.83203125" style="34"/>
    <col min="10" max="10" width="10.83203125" style="31"/>
    <col min="11" max="13" width="10.83203125" style="32"/>
    <col min="14" max="14" width="10.83203125" style="31"/>
    <col min="15" max="16384" width="10.83203125" style="32"/>
  </cols>
  <sheetData>
    <row r="1" spans="1:19" x14ac:dyDescent="0.15">
      <c r="A1" s="33" t="s">
        <v>45</v>
      </c>
      <c r="B1" s="28" t="s">
        <v>0</v>
      </c>
      <c r="C1" s="29" t="s">
        <v>1</v>
      </c>
      <c r="D1" s="29" t="s">
        <v>2</v>
      </c>
      <c r="E1" s="29" t="s">
        <v>3</v>
      </c>
      <c r="F1" s="28" t="s">
        <v>34</v>
      </c>
      <c r="G1" s="29" t="s">
        <v>35</v>
      </c>
      <c r="H1" s="29" t="s">
        <v>36</v>
      </c>
      <c r="I1" s="30" t="s">
        <v>37</v>
      </c>
      <c r="J1" s="28" t="s">
        <v>65</v>
      </c>
      <c r="K1" s="29" t="s">
        <v>66</v>
      </c>
      <c r="L1" s="29" t="s">
        <v>67</v>
      </c>
      <c r="M1" s="30" t="s">
        <v>68</v>
      </c>
      <c r="N1" s="68" t="s">
        <v>93</v>
      </c>
      <c r="O1" s="74" t="s">
        <v>94</v>
      </c>
      <c r="P1" s="74" t="s">
        <v>95</v>
      </c>
      <c r="Q1" s="74" t="s">
        <v>96</v>
      </c>
    </row>
    <row r="2" spans="1:19" x14ac:dyDescent="0.15">
      <c r="A2" s="33"/>
      <c r="B2" s="27" t="s">
        <v>24</v>
      </c>
      <c r="C2" s="26" t="s">
        <v>23</v>
      </c>
      <c r="D2" s="26" t="s">
        <v>22</v>
      </c>
      <c r="E2" s="26" t="s">
        <v>28</v>
      </c>
      <c r="F2" s="27" t="s">
        <v>38</v>
      </c>
      <c r="G2" s="26" t="s">
        <v>39</v>
      </c>
      <c r="H2" s="26" t="s">
        <v>40</v>
      </c>
      <c r="I2" s="34" t="s">
        <v>41</v>
      </c>
      <c r="J2" s="27" t="s">
        <v>69</v>
      </c>
      <c r="K2" s="26" t="s">
        <v>70</v>
      </c>
      <c r="L2" s="26" t="s">
        <v>71</v>
      </c>
      <c r="M2" s="34" t="s">
        <v>72</v>
      </c>
      <c r="N2" s="69">
        <v>43921</v>
      </c>
      <c r="O2" s="79">
        <v>44012</v>
      </c>
      <c r="P2" s="79">
        <v>44104</v>
      </c>
    </row>
    <row r="3" spans="1:19" s="35" customFormat="1" x14ac:dyDescent="0.15">
      <c r="A3" s="35" t="s">
        <v>73</v>
      </c>
      <c r="B3" s="28">
        <v>403</v>
      </c>
      <c r="C3" s="36">
        <v>482</v>
      </c>
      <c r="D3" s="36">
        <v>510</v>
      </c>
      <c r="E3" s="36">
        <v>525</v>
      </c>
      <c r="F3" s="28">
        <v>523</v>
      </c>
      <c r="G3" s="36">
        <v>625</v>
      </c>
      <c r="H3" s="36">
        <v>655</v>
      </c>
      <c r="I3" s="37">
        <v>668</v>
      </c>
      <c r="J3" s="28">
        <v>657</v>
      </c>
      <c r="K3" s="36">
        <v>776</v>
      </c>
      <c r="L3" s="36">
        <v>817</v>
      </c>
      <c r="M3" s="36">
        <v>832.18</v>
      </c>
      <c r="N3" s="70">
        <v>758.101</v>
      </c>
      <c r="O3" s="35">
        <v>682.572</v>
      </c>
      <c r="P3" s="35">
        <v>925.29399999999998</v>
      </c>
      <c r="Q3" s="35">
        <f>M3*1.1</f>
        <v>915.39800000000002</v>
      </c>
    </row>
    <row r="4" spans="1:19" s="35" customFormat="1" x14ac:dyDescent="0.15">
      <c r="A4" s="35" t="s">
        <v>74</v>
      </c>
      <c r="B4" s="28">
        <v>49</v>
      </c>
      <c r="C4" s="36">
        <v>59</v>
      </c>
      <c r="D4" s="36">
        <v>65</v>
      </c>
      <c r="E4" s="36">
        <v>79</v>
      </c>
      <c r="F4" s="28">
        <v>97</v>
      </c>
      <c r="G4" s="36">
        <v>134</v>
      </c>
      <c r="H4" s="36">
        <v>166</v>
      </c>
      <c r="I4" s="37">
        <v>194</v>
      </c>
      <c r="J4" s="28">
        <v>219</v>
      </c>
      <c r="K4" s="36">
        <v>251</v>
      </c>
      <c r="L4" s="36">
        <v>280</v>
      </c>
      <c r="M4" s="36">
        <v>281.41500000000002</v>
      </c>
      <c r="N4" s="70">
        <v>296.23500000000001</v>
      </c>
      <c r="O4" s="35">
        <v>346.27499999999998</v>
      </c>
      <c r="P4" s="35">
        <v>447.52199999999999</v>
      </c>
      <c r="Q4" s="35">
        <f>M4*1.25</f>
        <v>351.76875000000001</v>
      </c>
    </row>
    <row r="5" spans="1:19" s="35" customFormat="1" x14ac:dyDescent="0.15">
      <c r="A5" s="35" t="s">
        <v>75</v>
      </c>
      <c r="B5" s="28">
        <v>9</v>
      </c>
      <c r="C5" s="36">
        <v>10</v>
      </c>
      <c r="D5" s="36">
        <v>10</v>
      </c>
      <c r="E5" s="36">
        <v>12</v>
      </c>
      <c r="F5" s="28">
        <v>14</v>
      </c>
      <c r="G5" s="36">
        <v>18</v>
      </c>
      <c r="H5" s="36">
        <v>18</v>
      </c>
      <c r="I5" s="37">
        <v>18</v>
      </c>
      <c r="J5" s="28">
        <v>18</v>
      </c>
      <c r="K5" s="36">
        <v>22</v>
      </c>
      <c r="L5" s="36">
        <v>22</v>
      </c>
      <c r="M5" s="36">
        <v>22.567</v>
      </c>
      <c r="N5" s="70">
        <v>20.675000000000001</v>
      </c>
      <c r="O5" s="35">
        <v>19.321999999999999</v>
      </c>
      <c r="P5" s="35">
        <v>27.294</v>
      </c>
      <c r="Q5" s="35">
        <f>M5*0.9</f>
        <v>20.310300000000002</v>
      </c>
    </row>
    <row r="6" spans="1:19" s="35" customFormat="1" x14ac:dyDescent="0.15">
      <c r="A6" s="35" t="s">
        <v>76</v>
      </c>
      <c r="B6" s="28"/>
      <c r="C6" s="36"/>
      <c r="D6" s="36"/>
      <c r="E6" s="36"/>
      <c r="F6" s="28">
        <v>34</v>
      </c>
      <c r="G6" s="36">
        <v>37</v>
      </c>
      <c r="H6" s="36">
        <v>43</v>
      </c>
      <c r="I6" s="37">
        <v>52</v>
      </c>
      <c r="J6" s="28">
        <v>66</v>
      </c>
      <c r="K6" s="36">
        <v>125</v>
      </c>
      <c r="L6" s="36">
        <v>148</v>
      </c>
      <c r="M6" s="36">
        <v>177.56700000000001</v>
      </c>
      <c r="N6" s="70">
        <v>306.09800000000001</v>
      </c>
      <c r="O6" s="35">
        <v>875.45600000000002</v>
      </c>
      <c r="P6" s="35">
        <v>1633.7639999999999</v>
      </c>
      <c r="Q6" s="35">
        <f>M6*4</f>
        <v>710.26800000000003</v>
      </c>
      <c r="S6" s="35">
        <f>SUM(Q3:Q6)</f>
        <v>1997.7450500000002</v>
      </c>
    </row>
    <row r="7" spans="1:19" s="75" customFormat="1" x14ac:dyDescent="0.15">
      <c r="B7" s="76"/>
      <c r="C7" s="77"/>
      <c r="D7" s="77"/>
      <c r="E7" s="77"/>
      <c r="F7" s="76"/>
      <c r="G7" s="77"/>
      <c r="H7" s="77"/>
      <c r="I7" s="74"/>
      <c r="J7" s="76"/>
      <c r="K7" s="77"/>
      <c r="L7" s="77"/>
      <c r="M7" s="77">
        <v>1160</v>
      </c>
      <c r="N7" s="78">
        <v>1340</v>
      </c>
    </row>
    <row r="8" spans="1:19" s="81" customFormat="1" x14ac:dyDescent="0.15">
      <c r="A8" s="81" t="s">
        <v>4</v>
      </c>
      <c r="B8" s="82">
        <f>SUM(B3:B6)</f>
        <v>461</v>
      </c>
      <c r="C8" s="83">
        <f>SUM(C3:C6)</f>
        <v>551</v>
      </c>
      <c r="D8" s="83">
        <f>SUM(D3:D6)</f>
        <v>585</v>
      </c>
      <c r="E8" s="83">
        <f>SUM(E3:E6)</f>
        <v>616</v>
      </c>
      <c r="F8" s="82">
        <f>SUM(F3:F6)</f>
        <v>668</v>
      </c>
      <c r="G8" s="83">
        <f>SUM(G3:G6)</f>
        <v>814</v>
      </c>
      <c r="H8" s="83">
        <f>SUM(H3:H6)</f>
        <v>882</v>
      </c>
      <c r="I8" s="83">
        <f>SUM(I3:I6)</f>
        <v>932</v>
      </c>
      <c r="J8" s="82">
        <f>SUM(J3:J6)</f>
        <v>960</v>
      </c>
      <c r="K8" s="83">
        <f>SUM(K3:K6)</f>
        <v>1174</v>
      </c>
      <c r="L8" s="83">
        <f>SUM(L3:L6)</f>
        <v>1267</v>
      </c>
      <c r="M8" s="83">
        <f>SUM(M3:M6)</f>
        <v>1313.729</v>
      </c>
      <c r="N8" s="82">
        <f>SUM(N3:N6)</f>
        <v>1381.1089999999999</v>
      </c>
      <c r="O8" s="83">
        <f>SUM(O3:O6)</f>
        <v>1923.625</v>
      </c>
      <c r="P8" s="83">
        <f>SUM(P3:P6)</f>
        <v>3033.8739999999998</v>
      </c>
      <c r="Q8" s="81">
        <f>Q55*P58</f>
        <v>3108.9509026504811</v>
      </c>
      <c r="S8" s="81">
        <f>SUM(N8:Q8)</f>
        <v>9447.5589026504822</v>
      </c>
    </row>
    <row r="9" spans="1:19" s="35" customFormat="1" x14ac:dyDescent="0.15">
      <c r="A9" s="35" t="s">
        <v>5</v>
      </c>
      <c r="B9" s="28">
        <v>288</v>
      </c>
      <c r="C9" s="36">
        <v>344</v>
      </c>
      <c r="D9" s="36">
        <v>367</v>
      </c>
      <c r="E9" s="36">
        <v>376</v>
      </c>
      <c r="F9" s="28">
        <v>413</v>
      </c>
      <c r="G9" s="36">
        <v>499</v>
      </c>
      <c r="H9" s="36">
        <v>529</v>
      </c>
      <c r="I9" s="37">
        <v>552</v>
      </c>
      <c r="J9" s="28">
        <v>563</v>
      </c>
      <c r="K9" s="36">
        <v>708</v>
      </c>
      <c r="L9" s="36">
        <v>766</v>
      </c>
      <c r="M9" s="36">
        <v>786.38</v>
      </c>
      <c r="N9" s="70">
        <v>843</v>
      </c>
      <c r="O9" s="35">
        <v>1326.8620000000001</v>
      </c>
      <c r="P9" s="35">
        <v>2239.4189999999999</v>
      </c>
      <c r="Q9" s="35">
        <f>Q8-Q10</f>
        <v>2294.8361472700044</v>
      </c>
    </row>
    <row r="10" spans="1:19" s="35" customFormat="1" x14ac:dyDescent="0.15">
      <c r="A10" s="35" t="s">
        <v>6</v>
      </c>
      <c r="B10" s="42">
        <f t="shared" ref="B10:D10" si="0">B8-B9</f>
        <v>173</v>
      </c>
      <c r="C10" s="41">
        <f t="shared" si="0"/>
        <v>207</v>
      </c>
      <c r="D10" s="41">
        <f t="shared" si="0"/>
        <v>218</v>
      </c>
      <c r="E10" s="41">
        <f t="shared" ref="E10:G10" si="1">E8-E9</f>
        <v>240</v>
      </c>
      <c r="F10" s="42">
        <f t="shared" ref="F10" si="2">F8-F9</f>
        <v>255</v>
      </c>
      <c r="G10" s="41">
        <f t="shared" si="1"/>
        <v>315</v>
      </c>
      <c r="H10" s="41">
        <f t="shared" ref="H10:P10" si="3">H8-H9</f>
        <v>353</v>
      </c>
      <c r="I10" s="41">
        <f t="shared" si="3"/>
        <v>380</v>
      </c>
      <c r="J10" s="42">
        <f t="shared" si="3"/>
        <v>397</v>
      </c>
      <c r="K10" s="41">
        <f t="shared" si="3"/>
        <v>466</v>
      </c>
      <c r="L10" s="41">
        <f t="shared" si="3"/>
        <v>501</v>
      </c>
      <c r="M10" s="41">
        <f t="shared" si="3"/>
        <v>527.34900000000005</v>
      </c>
      <c r="N10" s="42">
        <f t="shared" si="3"/>
        <v>538.10899999999992</v>
      </c>
      <c r="O10" s="41">
        <f t="shared" si="3"/>
        <v>596.76299999999992</v>
      </c>
      <c r="P10" s="41">
        <f t="shared" si="3"/>
        <v>794.45499999999993</v>
      </c>
      <c r="Q10" s="35">
        <f>Q8*P23</f>
        <v>814.11475538047659</v>
      </c>
    </row>
    <row r="11" spans="1:19" s="35" customFormat="1" x14ac:dyDescent="0.15">
      <c r="A11" s="35" t="s">
        <v>7</v>
      </c>
      <c r="B11" s="28">
        <v>69</v>
      </c>
      <c r="C11" s="36">
        <v>78</v>
      </c>
      <c r="D11" s="36">
        <v>83</v>
      </c>
      <c r="E11" s="36">
        <v>93</v>
      </c>
      <c r="F11" s="28">
        <v>105</v>
      </c>
      <c r="G11" s="36">
        <v>115</v>
      </c>
      <c r="H11" s="36">
        <v>136</v>
      </c>
      <c r="I11" s="37">
        <v>142</v>
      </c>
      <c r="J11" s="28">
        <v>154</v>
      </c>
      <c r="K11" s="36">
        <v>174</v>
      </c>
      <c r="L11" s="36">
        <v>169</v>
      </c>
      <c r="M11" s="36">
        <v>173.28399999999999</v>
      </c>
      <c r="N11" s="70">
        <v>195</v>
      </c>
      <c r="O11" s="35">
        <v>207</v>
      </c>
      <c r="P11" s="35">
        <v>227</v>
      </c>
      <c r="Q11" s="35">
        <f>M11*1.35</f>
        <v>233.93340000000001</v>
      </c>
    </row>
    <row r="12" spans="1:19" s="35" customFormat="1" x14ac:dyDescent="0.15">
      <c r="A12" s="35" t="s">
        <v>8</v>
      </c>
      <c r="B12" s="28">
        <v>50</v>
      </c>
      <c r="C12" s="36">
        <v>60</v>
      </c>
      <c r="D12" s="36">
        <v>67</v>
      </c>
      <c r="E12" s="36">
        <v>77</v>
      </c>
      <c r="F12" s="28">
        <v>77</v>
      </c>
      <c r="G12" s="36">
        <v>98</v>
      </c>
      <c r="H12" s="36">
        <v>116</v>
      </c>
      <c r="I12" s="37">
        <v>119</v>
      </c>
      <c r="J12" s="28">
        <v>134</v>
      </c>
      <c r="K12" s="36">
        <v>156</v>
      </c>
      <c r="L12" s="36">
        <v>149</v>
      </c>
      <c r="M12" s="36">
        <v>185.23099999999999</v>
      </c>
      <c r="N12" s="70">
        <v>195</v>
      </c>
      <c r="O12" s="35">
        <v>238</v>
      </c>
      <c r="P12" s="35">
        <v>348</v>
      </c>
      <c r="Q12" s="35">
        <f>M12*2.2</f>
        <v>407.50820000000004</v>
      </c>
    </row>
    <row r="13" spans="1:19" s="35" customFormat="1" x14ac:dyDescent="0.15">
      <c r="A13" s="35" t="s">
        <v>9</v>
      </c>
      <c r="B13" s="28">
        <f>57+12</f>
        <v>69</v>
      </c>
      <c r="C13" s="36">
        <f>63+18</f>
        <v>81</v>
      </c>
      <c r="D13" s="36">
        <f>64+20</f>
        <v>84</v>
      </c>
      <c r="E13" s="36">
        <f>66+17+0</f>
        <v>83</v>
      </c>
      <c r="F13" s="28">
        <f>76+18+0</f>
        <v>94</v>
      </c>
      <c r="G13" s="36">
        <f>83+22+0</f>
        <v>105</v>
      </c>
      <c r="H13" s="36">
        <f>86+24+1</f>
        <v>111</v>
      </c>
      <c r="I13" s="37">
        <f>95+24+2</f>
        <v>121</v>
      </c>
      <c r="J13" s="28">
        <f>102+28+2</f>
        <v>132</v>
      </c>
      <c r="K13" s="36">
        <f>101+34+1</f>
        <v>136</v>
      </c>
      <c r="L13" s="36">
        <f>116+33+1</f>
        <v>150</v>
      </c>
      <c r="M13" s="36">
        <f>118+32+1</f>
        <v>151</v>
      </c>
      <c r="N13" s="70">
        <f>129+109+1</f>
        <v>239</v>
      </c>
      <c r="O13" s="35">
        <f>136+38+1</f>
        <v>175</v>
      </c>
      <c r="P13" s="35">
        <f>154+15+1</f>
        <v>170</v>
      </c>
      <c r="Q13" s="35">
        <f>M13*1.2</f>
        <v>181.2</v>
      </c>
    </row>
    <row r="14" spans="1:19" s="35" customFormat="1" x14ac:dyDescent="0.15">
      <c r="A14" s="35" t="s">
        <v>10</v>
      </c>
      <c r="B14" s="42">
        <f t="shared" ref="B14:D14" si="4">SUM(B11:B13)</f>
        <v>188</v>
      </c>
      <c r="C14" s="41">
        <f t="shared" si="4"/>
        <v>219</v>
      </c>
      <c r="D14" s="41">
        <f t="shared" si="4"/>
        <v>234</v>
      </c>
      <c r="E14" s="41">
        <f t="shared" ref="E14:G14" si="5">SUM(E11:E13)</f>
        <v>253</v>
      </c>
      <c r="F14" s="42">
        <f t="shared" ref="F14" si="6">SUM(F11:F13)</f>
        <v>276</v>
      </c>
      <c r="G14" s="41">
        <f t="shared" si="5"/>
        <v>318</v>
      </c>
      <c r="H14" s="41">
        <f t="shared" ref="H14:L14" si="7">SUM(H11:H13)</f>
        <v>363</v>
      </c>
      <c r="I14" s="41">
        <f t="shared" si="7"/>
        <v>382</v>
      </c>
      <c r="J14" s="42">
        <f t="shared" si="7"/>
        <v>420</v>
      </c>
      <c r="K14" s="41">
        <f t="shared" si="7"/>
        <v>466</v>
      </c>
      <c r="L14" s="41">
        <f t="shared" si="7"/>
        <v>468</v>
      </c>
      <c r="M14" s="41">
        <f t="shared" ref="M14:N14" si="8">SUM(M11:M13)</f>
        <v>509.51499999999999</v>
      </c>
      <c r="N14" s="42">
        <f t="shared" si="8"/>
        <v>629</v>
      </c>
      <c r="O14" s="41">
        <f t="shared" ref="O14:P14" si="9">SUM(O11:O13)</f>
        <v>620</v>
      </c>
      <c r="P14" s="41">
        <f t="shared" si="9"/>
        <v>745</v>
      </c>
      <c r="Q14" s="41">
        <f t="shared" ref="Q14" si="10">SUM(Q11:Q13)</f>
        <v>822.64160000000015</v>
      </c>
    </row>
    <row r="15" spans="1:19" s="35" customFormat="1" x14ac:dyDescent="0.15">
      <c r="A15" s="35" t="s">
        <v>11</v>
      </c>
      <c r="B15" s="42">
        <f t="shared" ref="B15:H15" si="11">B10-B14</f>
        <v>-15</v>
      </c>
      <c r="C15" s="41">
        <f t="shared" si="11"/>
        <v>-12</v>
      </c>
      <c r="D15" s="41">
        <f t="shared" si="11"/>
        <v>-16</v>
      </c>
      <c r="E15" s="41">
        <f t="shared" ref="E15" si="12">E10-E14</f>
        <v>-13</v>
      </c>
      <c r="F15" s="42">
        <f t="shared" si="11"/>
        <v>-21</v>
      </c>
      <c r="G15" s="41">
        <f t="shared" si="11"/>
        <v>-3</v>
      </c>
      <c r="H15" s="41">
        <f t="shared" si="11"/>
        <v>-10</v>
      </c>
      <c r="I15" s="41">
        <f>I10-I14</f>
        <v>-2</v>
      </c>
      <c r="J15" s="42">
        <f t="shared" ref="J15" si="13">J10-J14</f>
        <v>-23</v>
      </c>
      <c r="K15" s="41">
        <f t="shared" ref="K15:L15" si="14">K10-K14</f>
        <v>0</v>
      </c>
      <c r="L15" s="41">
        <f t="shared" si="14"/>
        <v>33</v>
      </c>
      <c r="M15" s="41">
        <f t="shared" ref="M15:N15" si="15">M10-M14</f>
        <v>17.83400000000006</v>
      </c>
      <c r="N15" s="42">
        <f t="shared" si="15"/>
        <v>-90.891000000000076</v>
      </c>
      <c r="O15" s="41">
        <f t="shared" ref="O15:P15" si="16">O10-O14</f>
        <v>-23.23700000000008</v>
      </c>
      <c r="P15" s="41">
        <f t="shared" si="16"/>
        <v>49.454999999999927</v>
      </c>
      <c r="Q15" s="41">
        <f t="shared" ref="Q15" si="17">Q10-Q14</f>
        <v>-8.5268446195235583</v>
      </c>
    </row>
    <row r="16" spans="1:19" s="35" customFormat="1" x14ac:dyDescent="0.15">
      <c r="A16" s="35" t="s">
        <v>12</v>
      </c>
      <c r="B16" s="28">
        <v>-1</v>
      </c>
      <c r="C16" s="36">
        <v>-3</v>
      </c>
      <c r="D16" s="36">
        <f>-3+1</f>
        <v>-2</v>
      </c>
      <c r="E16" s="36">
        <v>-2</v>
      </c>
      <c r="F16" s="28">
        <f>-2-1</f>
        <v>-3</v>
      </c>
      <c r="G16" s="36">
        <f>-3+1</f>
        <v>-2</v>
      </c>
      <c r="H16" s="36">
        <f>-7+38</f>
        <v>31</v>
      </c>
      <c r="I16" s="37">
        <f>-5-19</f>
        <v>-24</v>
      </c>
      <c r="J16" s="28">
        <f>-5-11</f>
        <v>-16</v>
      </c>
      <c r="K16" s="36">
        <f>-5-2</f>
        <v>-7</v>
      </c>
      <c r="L16" s="36">
        <f>-6+5</f>
        <v>-1</v>
      </c>
      <c r="M16" s="36">
        <f>373+6-7</f>
        <v>372</v>
      </c>
      <c r="N16" s="70">
        <f>-9-6</f>
        <v>-15</v>
      </c>
      <c r="O16" s="35">
        <f>-15+26</f>
        <v>11</v>
      </c>
      <c r="P16" s="35">
        <f>-15+1</f>
        <v>-14</v>
      </c>
    </row>
    <row r="17" spans="1:17" s="35" customFormat="1" x14ac:dyDescent="0.15">
      <c r="A17" s="35" t="s">
        <v>13</v>
      </c>
      <c r="B17" s="42">
        <f>B15+B16</f>
        <v>-16</v>
      </c>
      <c r="C17" s="41">
        <f t="shared" ref="C17" si="18">C15+C16</f>
        <v>-15</v>
      </c>
      <c r="D17" s="41">
        <f t="shared" ref="D17:E17" si="19">D15+D16</f>
        <v>-18</v>
      </c>
      <c r="E17" s="41">
        <f t="shared" si="19"/>
        <v>-15</v>
      </c>
      <c r="F17" s="42">
        <f t="shared" ref="F17" si="20">F15+F16</f>
        <v>-24</v>
      </c>
      <c r="G17" s="41">
        <f t="shared" ref="G17:H17" si="21">G15+G16</f>
        <v>-5</v>
      </c>
      <c r="H17" s="41">
        <f t="shared" si="21"/>
        <v>21</v>
      </c>
      <c r="I17" s="41">
        <f>I15+I16</f>
        <v>-26</v>
      </c>
      <c r="J17" s="42">
        <f t="shared" ref="J17" si="22">J15+J16</f>
        <v>-39</v>
      </c>
      <c r="K17" s="41">
        <f t="shared" ref="K17:P17" si="23">K15+K16</f>
        <v>-7</v>
      </c>
      <c r="L17" s="41">
        <f t="shared" si="23"/>
        <v>32</v>
      </c>
      <c r="M17" s="41">
        <f t="shared" si="23"/>
        <v>389.83400000000006</v>
      </c>
      <c r="N17" s="42">
        <f t="shared" si="23"/>
        <v>-105.89100000000008</v>
      </c>
      <c r="O17" s="41">
        <f t="shared" si="23"/>
        <v>-12.23700000000008</v>
      </c>
      <c r="P17" s="41">
        <f t="shared" si="23"/>
        <v>35.454999999999927</v>
      </c>
    </row>
    <row r="18" spans="1:17" s="35" customFormat="1" x14ac:dyDescent="0.15">
      <c r="A18" s="35" t="s">
        <v>14</v>
      </c>
      <c r="B18" s="28">
        <v>0</v>
      </c>
      <c r="C18" s="36">
        <v>0</v>
      </c>
      <c r="D18" s="36">
        <v>-1</v>
      </c>
      <c r="E18" s="36">
        <v>0</v>
      </c>
      <c r="F18" s="28">
        <v>0</v>
      </c>
      <c r="G18" s="36">
        <v>1</v>
      </c>
      <c r="H18" s="36">
        <v>1</v>
      </c>
      <c r="I18" s="37">
        <v>0</v>
      </c>
      <c r="J18" s="28">
        <v>0</v>
      </c>
      <c r="K18" s="36">
        <v>0</v>
      </c>
      <c r="L18" s="36">
        <v>3</v>
      </c>
      <c r="M18" s="36">
        <v>1</v>
      </c>
      <c r="N18" s="70">
        <v>1</v>
      </c>
      <c r="O18" s="35">
        <v>-1</v>
      </c>
      <c r="P18" s="35">
        <v>-1</v>
      </c>
    </row>
    <row r="19" spans="1:17" s="38" customFormat="1" x14ac:dyDescent="0.15">
      <c r="A19" s="38" t="s">
        <v>15</v>
      </c>
      <c r="B19" s="40">
        <f t="shared" ref="B19:F19" si="24">B17-B18</f>
        <v>-16</v>
      </c>
      <c r="C19" s="39">
        <f t="shared" si="24"/>
        <v>-15</v>
      </c>
      <c r="D19" s="39">
        <f t="shared" si="24"/>
        <v>-17</v>
      </c>
      <c r="E19" s="39">
        <f t="shared" si="24"/>
        <v>-15</v>
      </c>
      <c r="F19" s="40">
        <f t="shared" si="24"/>
        <v>-24</v>
      </c>
      <c r="G19" s="39">
        <f t="shared" ref="G19:H19" si="25">G17-G18</f>
        <v>-6</v>
      </c>
      <c r="H19" s="39">
        <f t="shared" si="25"/>
        <v>20</v>
      </c>
      <c r="I19" s="39">
        <f t="shared" ref="I19:J19" si="26">I17-I18</f>
        <v>-26</v>
      </c>
      <c r="J19" s="40">
        <f t="shared" si="26"/>
        <v>-39</v>
      </c>
      <c r="K19" s="39">
        <f t="shared" ref="K19:L19" si="27">K17-K18</f>
        <v>-7</v>
      </c>
      <c r="L19" s="39">
        <f t="shared" si="27"/>
        <v>29</v>
      </c>
      <c r="M19" s="39">
        <f t="shared" ref="M19:N19" si="28">M17-M18</f>
        <v>388.83400000000006</v>
      </c>
      <c r="N19" s="40">
        <f t="shared" si="28"/>
        <v>-106.89100000000008</v>
      </c>
      <c r="O19" s="39">
        <f t="shared" ref="O19:P19" si="29">O17-O18</f>
        <v>-11.23700000000008</v>
      </c>
      <c r="P19" s="39">
        <f t="shared" si="29"/>
        <v>36.454999999999927</v>
      </c>
    </row>
    <row r="20" spans="1:17" x14ac:dyDescent="0.15">
      <c r="A20" s="32" t="s">
        <v>16</v>
      </c>
      <c r="B20" s="44">
        <f t="shared" ref="B20:C20" si="30">IFERROR(B19/B21,0)</f>
        <v>-4.3596730245231606E-2</v>
      </c>
      <c r="C20" s="43">
        <f t="shared" si="30"/>
        <v>-3.9893617021276598E-2</v>
      </c>
      <c r="D20" s="43">
        <f t="shared" ref="D20:E20" si="31">IFERROR(D19/D21,0)</f>
        <v>-4.4270833333333336E-2</v>
      </c>
      <c r="E20" s="43">
        <f t="shared" si="31"/>
        <v>-3.8461538461538464E-2</v>
      </c>
      <c r="F20" s="44">
        <f t="shared" ref="F20" si="32">IFERROR(F19/F21,0)</f>
        <v>-6.0606060606060608E-2</v>
      </c>
      <c r="G20" s="43">
        <f t="shared" ref="G20:H20" si="33">IFERROR(G19/G21,0)</f>
        <v>-1.488833746898263E-2</v>
      </c>
      <c r="H20" s="43">
        <f t="shared" si="33"/>
        <v>4.2105263157894736E-2</v>
      </c>
      <c r="I20" s="43">
        <f t="shared" ref="I20:J20" si="34">IFERROR(I19/I21,0)</f>
        <v>-6.280193236714976E-2</v>
      </c>
      <c r="J20" s="44">
        <f t="shared" si="34"/>
        <v>-9.3078758949880672E-2</v>
      </c>
      <c r="K20" s="43">
        <f t="shared" ref="K20:L20" si="35">IFERROR(K19/K21,0)</f>
        <v>-1.6548463356973995E-2</v>
      </c>
      <c r="L20" s="43">
        <f t="shared" si="35"/>
        <v>6.2231759656652362E-2</v>
      </c>
      <c r="M20" s="43">
        <f t="shared" ref="M20:N20" si="36">IFERROR(M19/M21,0)</f>
        <v>0.80106882244115096</v>
      </c>
      <c r="N20" s="44">
        <f t="shared" si="36"/>
        <v>-0.24576033475881748</v>
      </c>
      <c r="O20" s="43">
        <f t="shared" ref="O20:P20" si="37">IFERROR(O19/O21,0)</f>
        <v>-2.5531847213354813E-2</v>
      </c>
      <c r="P20" s="43">
        <f t="shared" si="37"/>
        <v>7.4692307849914513E-2</v>
      </c>
    </row>
    <row r="21" spans="1:17" x14ac:dyDescent="0.15">
      <c r="A21" s="32" t="s">
        <v>17</v>
      </c>
      <c r="B21" s="28">
        <v>367</v>
      </c>
      <c r="C21" s="36">
        <v>376</v>
      </c>
      <c r="D21" s="36">
        <v>384</v>
      </c>
      <c r="E21" s="36">
        <v>390</v>
      </c>
      <c r="F21" s="28">
        <v>396</v>
      </c>
      <c r="G21" s="36">
        <v>403</v>
      </c>
      <c r="H21" s="36">
        <v>475</v>
      </c>
      <c r="I21" s="37">
        <v>414</v>
      </c>
      <c r="J21" s="28">
        <v>419</v>
      </c>
      <c r="K21" s="36">
        <v>423</v>
      </c>
      <c r="L21" s="36">
        <v>466</v>
      </c>
      <c r="M21" s="36">
        <v>485.39400000000001</v>
      </c>
      <c r="N21" s="68">
        <v>434.94</v>
      </c>
      <c r="O21" s="74">
        <v>440.11700000000002</v>
      </c>
      <c r="P21" s="36">
        <v>488.06900000000002</v>
      </c>
    </row>
    <row r="22" spans="1:17" x14ac:dyDescent="0.15">
      <c r="B22" s="28"/>
      <c r="C22" s="36"/>
      <c r="D22" s="36"/>
      <c r="E22" s="36"/>
      <c r="F22" s="28"/>
      <c r="G22" s="36"/>
      <c r="H22" s="36"/>
      <c r="I22" s="37"/>
      <c r="J22" s="28"/>
      <c r="K22" s="36"/>
      <c r="L22" s="36"/>
      <c r="M22" s="36"/>
    </row>
    <row r="23" spans="1:17" x14ac:dyDescent="0.15">
      <c r="A23" s="32" t="s">
        <v>19</v>
      </c>
      <c r="B23" s="46">
        <f t="shared" ref="B23:J23" si="38">IFERROR(B10/B8,0)</f>
        <v>0.37527114967462039</v>
      </c>
      <c r="C23" s="45">
        <f t="shared" si="38"/>
        <v>0.37568058076225047</v>
      </c>
      <c r="D23" s="45">
        <f t="shared" si="38"/>
        <v>0.37264957264957266</v>
      </c>
      <c r="E23" s="45">
        <f t="shared" ref="E23" si="39">IFERROR(E10/E8,0)</f>
        <v>0.38961038961038963</v>
      </c>
      <c r="F23" s="46">
        <f t="shared" si="38"/>
        <v>0.38173652694610777</v>
      </c>
      <c r="G23" s="45">
        <f t="shared" si="38"/>
        <v>0.38697788697788699</v>
      </c>
      <c r="H23" s="45">
        <f t="shared" si="38"/>
        <v>0.40022675736961449</v>
      </c>
      <c r="I23" s="47">
        <f t="shared" si="38"/>
        <v>0.40772532188841204</v>
      </c>
      <c r="J23" s="46">
        <f t="shared" si="38"/>
        <v>0.41354166666666664</v>
      </c>
      <c r="K23" s="45">
        <f t="shared" ref="K23:L23" si="40">IFERROR(K10/K8,0)</f>
        <v>0.39693356047700168</v>
      </c>
      <c r="L23" s="45">
        <f t="shared" si="40"/>
        <v>0.39542225730071034</v>
      </c>
      <c r="M23" s="45">
        <f t="shared" ref="M23:N23" si="41">IFERROR(M10/M8,0)</f>
        <v>0.40141383801377606</v>
      </c>
      <c r="N23" s="46">
        <f t="shared" si="41"/>
        <v>0.38962094954127441</v>
      </c>
      <c r="O23" s="45">
        <f t="shared" ref="O23:P23" si="42">IFERROR(O10/O8,0)</f>
        <v>0.31022834492169726</v>
      </c>
      <c r="P23" s="45">
        <f t="shared" si="42"/>
        <v>0.26186156709210734</v>
      </c>
    </row>
    <row r="24" spans="1:17" x14ac:dyDescent="0.15">
      <c r="A24" s="32" t="s">
        <v>20</v>
      </c>
      <c r="B24" s="49">
        <f t="shared" ref="B24:J24" si="43">IFERROR(B15/B8,0)</f>
        <v>-3.2537960954446853E-2</v>
      </c>
      <c r="C24" s="48">
        <f t="shared" si="43"/>
        <v>-2.1778584392014518E-2</v>
      </c>
      <c r="D24" s="48">
        <f t="shared" si="43"/>
        <v>-2.735042735042735E-2</v>
      </c>
      <c r="E24" s="48">
        <f t="shared" ref="E24" si="44">IFERROR(E15/E8,0)</f>
        <v>-2.1103896103896104E-2</v>
      </c>
      <c r="F24" s="49">
        <f t="shared" si="43"/>
        <v>-3.1437125748502992E-2</v>
      </c>
      <c r="G24" s="48">
        <f t="shared" si="43"/>
        <v>-3.6855036855036856E-3</v>
      </c>
      <c r="H24" s="48">
        <f t="shared" si="43"/>
        <v>-1.1337868480725623E-2</v>
      </c>
      <c r="I24" s="50">
        <f t="shared" si="43"/>
        <v>-2.1459227467811159E-3</v>
      </c>
      <c r="J24" s="49">
        <f t="shared" si="43"/>
        <v>-2.3958333333333335E-2</v>
      </c>
      <c r="K24" s="48">
        <f t="shared" ref="K24:L24" si="45">IFERROR(K15/K8,0)</f>
        <v>0</v>
      </c>
      <c r="L24" s="48">
        <f t="shared" si="45"/>
        <v>2.6045777426992895E-2</v>
      </c>
      <c r="M24" s="48">
        <f t="shared" ref="M24:N24" si="46">IFERROR(M15/M8,0)</f>
        <v>1.3575098060558958E-2</v>
      </c>
      <c r="N24" s="49">
        <f t="shared" si="46"/>
        <v>-6.5810156910135323E-2</v>
      </c>
      <c r="O24" s="48">
        <f t="shared" ref="O24:P24" si="47">IFERROR(O15/O8,0)</f>
        <v>-1.2079797257781574E-2</v>
      </c>
      <c r="P24" s="48">
        <f t="shared" si="47"/>
        <v>1.6300940645524477E-2</v>
      </c>
    </row>
    <row r="25" spans="1:17" x14ac:dyDescent="0.15">
      <c r="A25" s="32" t="s">
        <v>21</v>
      </c>
      <c r="B25" s="49">
        <f t="shared" ref="B25:J25" si="48">IFERROR(B18/B17,0)</f>
        <v>0</v>
      </c>
      <c r="C25" s="48">
        <f t="shared" si="48"/>
        <v>0</v>
      </c>
      <c r="D25" s="48">
        <f t="shared" si="48"/>
        <v>5.5555555555555552E-2</v>
      </c>
      <c r="E25" s="48">
        <f t="shared" ref="E25" si="49">IFERROR(E18/E17,0)</f>
        <v>0</v>
      </c>
      <c r="F25" s="49">
        <f t="shared" si="48"/>
        <v>0</v>
      </c>
      <c r="G25" s="48">
        <f t="shared" si="48"/>
        <v>-0.2</v>
      </c>
      <c r="H25" s="48">
        <f t="shared" si="48"/>
        <v>4.7619047619047616E-2</v>
      </c>
      <c r="I25" s="50">
        <f t="shared" si="48"/>
        <v>0</v>
      </c>
      <c r="J25" s="49">
        <f t="shared" si="48"/>
        <v>0</v>
      </c>
      <c r="K25" s="48">
        <f t="shared" ref="K25:L25" si="50">IFERROR(K18/K17,0)</f>
        <v>0</v>
      </c>
      <c r="L25" s="48">
        <f t="shared" si="50"/>
        <v>9.375E-2</v>
      </c>
      <c r="M25" s="48">
        <f t="shared" ref="M25:N25" si="51">IFERROR(M18/M17,0)</f>
        <v>2.5651944160847945E-3</v>
      </c>
      <c r="N25" s="49">
        <f t="shared" si="51"/>
        <v>-9.4436732111321947E-3</v>
      </c>
      <c r="O25" s="48">
        <f t="shared" ref="O25:P25" si="52">IFERROR(O18/O17,0)</f>
        <v>8.171937566396939E-2</v>
      </c>
      <c r="P25" s="48">
        <f t="shared" si="52"/>
        <v>-2.8204766605556396E-2</v>
      </c>
    </row>
    <row r="26" spans="1:17" x14ac:dyDescent="0.15">
      <c r="B26" s="28"/>
      <c r="C26" s="36"/>
      <c r="D26" s="36"/>
      <c r="E26" s="36"/>
      <c r="F26" s="28"/>
      <c r="G26" s="36"/>
      <c r="H26" s="36"/>
      <c r="I26" s="37"/>
      <c r="J26" s="28"/>
      <c r="K26" s="36"/>
      <c r="L26" s="36"/>
      <c r="M26" s="36"/>
      <c r="N26" s="28"/>
      <c r="O26" s="36"/>
      <c r="P26" s="36"/>
    </row>
    <row r="27" spans="1:17" s="51" customFormat="1" x14ac:dyDescent="0.15">
      <c r="A27" s="51" t="s">
        <v>18</v>
      </c>
      <c r="B27" s="53"/>
      <c r="C27" s="52"/>
      <c r="D27" s="52"/>
      <c r="E27" s="52"/>
      <c r="F27" s="53">
        <f t="shared" ref="F27:I27" si="53">IFERROR((F8/B8)-1,0)</f>
        <v>0.44902386117136661</v>
      </c>
      <c r="G27" s="52">
        <f t="shared" si="53"/>
        <v>0.47731397459165148</v>
      </c>
      <c r="H27" s="52">
        <f t="shared" si="53"/>
        <v>0.50769230769230766</v>
      </c>
      <c r="I27" s="54">
        <f t="shared" si="53"/>
        <v>0.51298701298701288</v>
      </c>
      <c r="J27" s="53">
        <f t="shared" ref="J27:P27" si="54">IFERROR((J8/F8)-1,0)</f>
        <v>0.43712574850299402</v>
      </c>
      <c r="K27" s="52">
        <f t="shared" si="54"/>
        <v>0.44226044226044237</v>
      </c>
      <c r="L27" s="52">
        <f t="shared" si="54"/>
        <v>0.43650793650793651</v>
      </c>
      <c r="M27" s="52">
        <f t="shared" si="54"/>
        <v>0.4095804721030043</v>
      </c>
      <c r="N27" s="53">
        <f>IFERROR((N8/J8)-1,0)</f>
        <v>0.43865520833333327</v>
      </c>
      <c r="O27" s="52">
        <f t="shared" si="54"/>
        <v>0.63852214650766603</v>
      </c>
      <c r="P27" s="52">
        <f t="shared" si="54"/>
        <v>1.3945335438042621</v>
      </c>
      <c r="Q27" s="52">
        <f>IFERROR((Q8/M8)-1,0)</f>
        <v>1.3665085437335107</v>
      </c>
    </row>
    <row r="28" spans="1:17" x14ac:dyDescent="0.15">
      <c r="A28" s="32" t="s">
        <v>42</v>
      </c>
      <c r="B28" s="56"/>
      <c r="C28" s="55"/>
      <c r="D28" s="55"/>
      <c r="E28" s="55"/>
      <c r="F28" s="56">
        <f t="shared" ref="F28:I30" si="55">F11/B11-1</f>
        <v>0.52173913043478271</v>
      </c>
      <c r="G28" s="55">
        <f t="shared" si="55"/>
        <v>0.47435897435897445</v>
      </c>
      <c r="H28" s="55">
        <f t="shared" si="55"/>
        <v>0.63855421686746983</v>
      </c>
      <c r="I28" s="57">
        <f t="shared" si="55"/>
        <v>0.5268817204301075</v>
      </c>
      <c r="J28" s="56">
        <f t="shared" ref="J28:Q30" si="56">J11/F11-1</f>
        <v>0.46666666666666656</v>
      </c>
      <c r="K28" s="55">
        <f t="shared" si="56"/>
        <v>0.51304347826086949</v>
      </c>
      <c r="L28" s="55">
        <f t="shared" si="56"/>
        <v>0.24264705882352944</v>
      </c>
      <c r="M28" s="55">
        <f t="shared" si="56"/>
        <v>0.22030985915492951</v>
      </c>
      <c r="N28" s="56">
        <f t="shared" si="56"/>
        <v>0.26623376623376616</v>
      </c>
      <c r="O28" s="55">
        <f t="shared" si="56"/>
        <v>0.18965517241379315</v>
      </c>
      <c r="P28" s="55">
        <f t="shared" si="56"/>
        <v>0.34319526627218933</v>
      </c>
      <c r="Q28" s="55">
        <f t="shared" si="56"/>
        <v>0.35000000000000009</v>
      </c>
    </row>
    <row r="29" spans="1:17" x14ac:dyDescent="0.15">
      <c r="A29" s="32" t="s">
        <v>43</v>
      </c>
      <c r="B29" s="56"/>
      <c r="C29" s="55"/>
      <c r="D29" s="55"/>
      <c r="E29" s="55"/>
      <c r="F29" s="56">
        <f t="shared" si="55"/>
        <v>0.54</v>
      </c>
      <c r="G29" s="55">
        <f t="shared" si="55"/>
        <v>0.6333333333333333</v>
      </c>
      <c r="H29" s="55">
        <f t="shared" si="55"/>
        <v>0.73134328358208944</v>
      </c>
      <c r="I29" s="57">
        <f t="shared" si="55"/>
        <v>0.54545454545454541</v>
      </c>
      <c r="J29" s="56">
        <f t="shared" si="56"/>
        <v>0.74025974025974017</v>
      </c>
      <c r="K29" s="55">
        <f t="shared" si="56"/>
        <v>0.59183673469387754</v>
      </c>
      <c r="L29" s="55">
        <f t="shared" si="56"/>
        <v>0.28448275862068972</v>
      </c>
      <c r="M29" s="55">
        <f t="shared" si="56"/>
        <v>0.55656302521008394</v>
      </c>
      <c r="N29" s="56">
        <f t="shared" si="56"/>
        <v>0.45522388059701502</v>
      </c>
      <c r="O29" s="55">
        <f t="shared" si="56"/>
        <v>0.52564102564102555</v>
      </c>
      <c r="P29" s="55">
        <f t="shared" si="56"/>
        <v>1.3355704697986579</v>
      </c>
      <c r="Q29" s="55">
        <f t="shared" si="56"/>
        <v>1.2000000000000002</v>
      </c>
    </row>
    <row r="30" spans="1:17" x14ac:dyDescent="0.15">
      <c r="A30" s="32" t="s">
        <v>44</v>
      </c>
      <c r="B30" s="56"/>
      <c r="C30" s="55"/>
      <c r="D30" s="55"/>
      <c r="E30" s="55"/>
      <c r="F30" s="56">
        <f t="shared" si="55"/>
        <v>0.3623188405797102</v>
      </c>
      <c r="G30" s="55">
        <f t="shared" si="55"/>
        <v>0.29629629629629628</v>
      </c>
      <c r="H30" s="55">
        <f t="shared" si="55"/>
        <v>0.3214285714285714</v>
      </c>
      <c r="I30" s="57">
        <f t="shared" si="55"/>
        <v>0.45783132530120474</v>
      </c>
      <c r="J30" s="56">
        <f t="shared" si="56"/>
        <v>0.4042553191489362</v>
      </c>
      <c r="K30" s="55">
        <f t="shared" si="56"/>
        <v>0.2952380952380953</v>
      </c>
      <c r="L30" s="55">
        <f t="shared" si="56"/>
        <v>0.35135135135135132</v>
      </c>
      <c r="M30" s="55">
        <f t="shared" si="56"/>
        <v>0.24793388429752072</v>
      </c>
      <c r="N30" s="56">
        <f t="shared" si="56"/>
        <v>0.81060606060606055</v>
      </c>
      <c r="O30" s="55">
        <f t="shared" si="56"/>
        <v>0.28676470588235303</v>
      </c>
      <c r="P30" s="55">
        <f t="shared" si="56"/>
        <v>0.1333333333333333</v>
      </c>
      <c r="Q30" s="55">
        <f t="shared" si="56"/>
        <v>0.19999999999999996</v>
      </c>
    </row>
    <row r="31" spans="1:17" x14ac:dyDescent="0.15">
      <c r="A31" s="67" t="s">
        <v>83</v>
      </c>
      <c r="B31" s="56"/>
      <c r="C31" s="55"/>
      <c r="D31" s="55"/>
      <c r="E31" s="55"/>
      <c r="F31" s="56">
        <f>F14/B14-1</f>
        <v>0.46808510638297873</v>
      </c>
      <c r="G31" s="55">
        <f>G14/C14-1</f>
        <v>0.45205479452054798</v>
      </c>
      <c r="H31" s="55">
        <f>H14/D14-1</f>
        <v>0.55128205128205132</v>
      </c>
      <c r="I31" s="55">
        <f>I14/E14-1</f>
        <v>0.50988142292490113</v>
      </c>
      <c r="J31" s="56">
        <f>J14/F14-1</f>
        <v>0.52173913043478271</v>
      </c>
      <c r="K31" s="55">
        <f>K14/G14-1</f>
        <v>0.46540880503144644</v>
      </c>
      <c r="L31" s="55">
        <f>L14/H14-1</f>
        <v>0.28925619834710736</v>
      </c>
      <c r="M31" s="55">
        <f>M14/I14-1</f>
        <v>0.33380890052356027</v>
      </c>
      <c r="N31" s="56">
        <f>N14/J14-1</f>
        <v>0.49761904761904763</v>
      </c>
      <c r="O31" s="55">
        <f>O14/K14-1</f>
        <v>0.33047210300429186</v>
      </c>
      <c r="P31" s="55">
        <f>P14/L14-1</f>
        <v>0.59188034188034178</v>
      </c>
      <c r="Q31" s="55">
        <f>Q14/M14-1</f>
        <v>0.61455815824853088</v>
      </c>
    </row>
    <row r="32" spans="1:17" x14ac:dyDescent="0.15">
      <c r="C32" s="58"/>
      <c r="D32" s="58"/>
      <c r="G32" s="58"/>
      <c r="H32" s="58"/>
      <c r="I32" s="59"/>
      <c r="J32" s="27"/>
      <c r="K32" s="58"/>
      <c r="L32" s="58"/>
      <c r="M32" s="58"/>
      <c r="N32" s="27"/>
      <c r="P32" s="58"/>
    </row>
    <row r="33" spans="1:16" s="51" customFormat="1" x14ac:dyDescent="0.15">
      <c r="A33" s="51" t="s">
        <v>25</v>
      </c>
      <c r="B33" s="28"/>
      <c r="C33" s="36"/>
      <c r="D33" s="36"/>
      <c r="E33" s="26"/>
      <c r="F33" s="27"/>
      <c r="G33" s="58"/>
      <c r="H33" s="58"/>
      <c r="I33" s="39">
        <f t="shared" ref="I33:N33" si="57">I34-I35</f>
        <v>689</v>
      </c>
      <c r="J33" s="40">
        <f t="shared" si="57"/>
        <v>661</v>
      </c>
      <c r="K33" s="39">
        <f t="shared" si="57"/>
        <v>731</v>
      </c>
      <c r="L33" s="39">
        <f t="shared" si="57"/>
        <v>806</v>
      </c>
      <c r="M33" s="39">
        <f t="shared" si="57"/>
        <v>1137</v>
      </c>
      <c r="N33" s="40">
        <f t="shared" si="57"/>
        <v>1252</v>
      </c>
      <c r="O33" s="39">
        <f t="shared" ref="O33:P33" si="58">O34-O35</f>
        <v>1356</v>
      </c>
      <c r="P33" s="39">
        <f t="shared" si="58"/>
        <v>1521</v>
      </c>
    </row>
    <row r="34" spans="1:16" x14ac:dyDescent="0.15">
      <c r="A34" s="32" t="s">
        <v>26</v>
      </c>
      <c r="B34" s="28"/>
      <c r="C34" s="36"/>
      <c r="D34" s="36"/>
      <c r="G34" s="58"/>
      <c r="H34" s="58"/>
      <c r="I34" s="36">
        <f>583+541+465</f>
        <v>1589</v>
      </c>
      <c r="J34" s="28">
        <f>522+567+481</f>
        <v>1570</v>
      </c>
      <c r="K34" s="36">
        <f>617+572+461</f>
        <v>1650</v>
      </c>
      <c r="L34" s="36">
        <f>612+558+565</f>
        <v>1735</v>
      </c>
      <c r="M34" s="36">
        <f>1047+492+537</f>
        <v>2076</v>
      </c>
      <c r="N34" s="28">
        <f>1962+522+529</f>
        <v>3013</v>
      </c>
      <c r="O34" s="36">
        <f>1973+714+447</f>
        <v>3134</v>
      </c>
      <c r="P34" s="36">
        <f>2119+762+399</f>
        <v>3280</v>
      </c>
    </row>
    <row r="35" spans="1:16" x14ac:dyDescent="0.15">
      <c r="A35" s="32" t="s">
        <v>27</v>
      </c>
      <c r="B35" s="28"/>
      <c r="C35" s="36"/>
      <c r="D35" s="36"/>
      <c r="G35" s="58"/>
      <c r="H35" s="58"/>
      <c r="I35" s="36">
        <v>900</v>
      </c>
      <c r="J35" s="28">
        <v>909</v>
      </c>
      <c r="K35" s="36">
        <v>919</v>
      </c>
      <c r="L35" s="36">
        <v>929</v>
      </c>
      <c r="M35" s="36">
        <v>939</v>
      </c>
      <c r="N35" s="28">
        <v>1761</v>
      </c>
      <c r="O35" s="36">
        <v>1778</v>
      </c>
      <c r="P35" s="36">
        <v>1759</v>
      </c>
    </row>
    <row r="36" spans="1:16" x14ac:dyDescent="0.15">
      <c r="B36" s="28"/>
      <c r="C36" s="36"/>
      <c r="D36" s="36"/>
      <c r="G36" s="58"/>
      <c r="H36" s="58"/>
      <c r="I36" s="36"/>
      <c r="J36" s="28"/>
      <c r="K36" s="36"/>
      <c r="L36" s="36"/>
      <c r="M36" s="36"/>
      <c r="N36" s="28"/>
      <c r="P36" s="36"/>
    </row>
    <row r="37" spans="1:16" x14ac:dyDescent="0.15">
      <c r="A37" s="32" t="s">
        <v>54</v>
      </c>
      <c r="B37" s="28"/>
      <c r="C37" s="36"/>
      <c r="D37" s="36"/>
      <c r="G37" s="58"/>
      <c r="H37" s="58"/>
      <c r="I37" s="36">
        <f>262+77</f>
        <v>339</v>
      </c>
      <c r="J37" s="28">
        <f>267+80</f>
        <v>347</v>
      </c>
      <c r="K37" s="36">
        <f>270+84</f>
        <v>354</v>
      </c>
      <c r="L37" s="36">
        <f>266+73</f>
        <v>339</v>
      </c>
      <c r="M37" s="36">
        <f>266+69</f>
        <v>335</v>
      </c>
      <c r="N37" s="28">
        <f>289+82</f>
        <v>371</v>
      </c>
      <c r="O37" s="32">
        <f>296+100</f>
        <v>396</v>
      </c>
      <c r="P37" s="36">
        <f>301+108</f>
        <v>409</v>
      </c>
    </row>
    <row r="38" spans="1:16" x14ac:dyDescent="0.15">
      <c r="A38" s="32" t="s">
        <v>55</v>
      </c>
      <c r="B38" s="28"/>
      <c r="C38" s="36"/>
      <c r="D38" s="36"/>
      <c r="G38" s="58"/>
      <c r="H38" s="58"/>
      <c r="I38" s="36">
        <v>3281</v>
      </c>
      <c r="J38" s="28">
        <v>4403</v>
      </c>
      <c r="K38" s="36">
        <v>4654</v>
      </c>
      <c r="L38" s="36">
        <v>4001</v>
      </c>
      <c r="M38" s="36">
        <v>4551</v>
      </c>
      <c r="N38" s="28">
        <v>6004</v>
      </c>
      <c r="O38" s="74">
        <v>7812</v>
      </c>
      <c r="P38" s="36">
        <v>8114</v>
      </c>
    </row>
    <row r="39" spans="1:16" x14ac:dyDescent="0.15">
      <c r="A39" s="32" t="s">
        <v>56</v>
      </c>
      <c r="B39" s="28"/>
      <c r="C39" s="36"/>
      <c r="D39" s="36"/>
      <c r="G39" s="58"/>
      <c r="H39" s="58"/>
      <c r="I39" s="36">
        <v>2161</v>
      </c>
      <c r="J39" s="28">
        <v>3281</v>
      </c>
      <c r="K39" s="36">
        <v>3470</v>
      </c>
      <c r="L39" s="36">
        <v>2751</v>
      </c>
      <c r="M39" s="36">
        <v>2836</v>
      </c>
      <c r="N39" s="28">
        <v>4196</v>
      </c>
      <c r="O39" s="74">
        <v>5886</v>
      </c>
      <c r="P39" s="36">
        <v>6051</v>
      </c>
    </row>
    <row r="40" spans="1:16" x14ac:dyDescent="0.15">
      <c r="B40" s="28"/>
      <c r="C40" s="36"/>
      <c r="D40" s="36"/>
      <c r="G40" s="58"/>
      <c r="H40" s="58"/>
      <c r="I40" s="36"/>
      <c r="J40" s="28"/>
      <c r="K40" s="36"/>
      <c r="L40" s="36"/>
      <c r="M40" s="36"/>
      <c r="N40" s="28"/>
      <c r="P40" s="36"/>
    </row>
    <row r="41" spans="1:16" x14ac:dyDescent="0.15">
      <c r="A41" s="32" t="s">
        <v>57</v>
      </c>
      <c r="B41" s="28"/>
      <c r="C41" s="36"/>
      <c r="D41" s="36"/>
      <c r="G41" s="58"/>
      <c r="H41" s="58"/>
      <c r="I41" s="41">
        <f t="shared" ref="I41:N41" si="59">I38-I37-I34</f>
        <v>1353</v>
      </c>
      <c r="J41" s="42">
        <f t="shared" si="59"/>
        <v>2486</v>
      </c>
      <c r="K41" s="41">
        <f t="shared" si="59"/>
        <v>2650</v>
      </c>
      <c r="L41" s="41">
        <f t="shared" si="59"/>
        <v>1927</v>
      </c>
      <c r="M41" s="41">
        <f t="shared" si="59"/>
        <v>2140</v>
      </c>
      <c r="N41" s="42">
        <f t="shared" si="59"/>
        <v>2620</v>
      </c>
      <c r="O41" s="41">
        <f t="shared" ref="O41:P41" si="60">O38-O37-O34</f>
        <v>4282</v>
      </c>
      <c r="P41" s="41">
        <f t="shared" si="60"/>
        <v>4425</v>
      </c>
    </row>
    <row r="42" spans="1:16" x14ac:dyDescent="0.15">
      <c r="A42" s="32" t="s">
        <v>58</v>
      </c>
      <c r="B42" s="28"/>
      <c r="C42" s="36"/>
      <c r="D42" s="36"/>
      <c r="G42" s="58"/>
      <c r="H42" s="58"/>
      <c r="I42" s="41">
        <f t="shared" ref="I42:N42" si="61">I38-I39</f>
        <v>1120</v>
      </c>
      <c r="J42" s="42">
        <f t="shared" si="61"/>
        <v>1122</v>
      </c>
      <c r="K42" s="41">
        <f t="shared" si="61"/>
        <v>1184</v>
      </c>
      <c r="L42" s="41">
        <f t="shared" si="61"/>
        <v>1250</v>
      </c>
      <c r="M42" s="41">
        <f t="shared" si="61"/>
        <v>1715</v>
      </c>
      <c r="N42" s="42">
        <f t="shared" si="61"/>
        <v>1808</v>
      </c>
      <c r="O42" s="41">
        <f t="shared" ref="O42:P42" si="62">O38-O39</f>
        <v>1926</v>
      </c>
      <c r="P42" s="41">
        <f t="shared" si="62"/>
        <v>2063</v>
      </c>
    </row>
    <row r="43" spans="1:16" x14ac:dyDescent="0.15">
      <c r="B43" s="28"/>
      <c r="C43" s="36"/>
      <c r="D43" s="36"/>
      <c r="G43" s="58"/>
      <c r="H43" s="58"/>
      <c r="I43" s="36"/>
      <c r="J43" s="28"/>
      <c r="K43" s="36"/>
      <c r="L43" s="36"/>
      <c r="M43" s="36"/>
      <c r="N43" s="28"/>
      <c r="P43" s="36"/>
    </row>
    <row r="44" spans="1:16" s="38" customFormat="1" x14ac:dyDescent="0.15">
      <c r="A44" s="38" t="s">
        <v>63</v>
      </c>
      <c r="B44" s="61"/>
      <c r="C44" s="60"/>
      <c r="D44" s="60"/>
      <c r="E44" s="26"/>
      <c r="F44" s="27"/>
      <c r="G44" s="58"/>
      <c r="H44" s="58"/>
      <c r="I44" s="39">
        <f t="shared" ref="I44:O44" si="63">SUM(F19:I19)</f>
        <v>-36</v>
      </c>
      <c r="J44" s="40">
        <f t="shared" si="63"/>
        <v>-51</v>
      </c>
      <c r="K44" s="39">
        <f t="shared" si="63"/>
        <v>-52</v>
      </c>
      <c r="L44" s="39">
        <f t="shared" si="63"/>
        <v>-43</v>
      </c>
      <c r="M44" s="39">
        <f t="shared" si="63"/>
        <v>371.83400000000006</v>
      </c>
      <c r="N44" s="40">
        <f t="shared" si="63"/>
        <v>303.94299999999998</v>
      </c>
      <c r="O44" s="39">
        <f t="shared" si="63"/>
        <v>299.7059999999999</v>
      </c>
      <c r="P44" s="39">
        <f>SUM(M19:P19)</f>
        <v>307.16099999999983</v>
      </c>
    </row>
    <row r="45" spans="1:16" s="64" customFormat="1" x14ac:dyDescent="0.15">
      <c r="A45" s="62" t="s">
        <v>59</v>
      </c>
      <c r="B45" s="46"/>
      <c r="C45" s="45"/>
      <c r="D45" s="45"/>
      <c r="E45" s="26"/>
      <c r="F45" s="27"/>
      <c r="G45" s="58"/>
      <c r="H45" s="58"/>
      <c r="I45" s="45">
        <f t="shared" ref="I45:N45" si="64">I44/I42</f>
        <v>-3.214285714285714E-2</v>
      </c>
      <c r="J45" s="46">
        <f t="shared" si="64"/>
        <v>-4.5454545454545456E-2</v>
      </c>
      <c r="K45" s="45">
        <f t="shared" si="64"/>
        <v>-4.3918918918918921E-2</v>
      </c>
      <c r="L45" s="45">
        <f t="shared" si="64"/>
        <v>-3.44E-2</v>
      </c>
      <c r="M45" s="45">
        <f t="shared" si="64"/>
        <v>0.21681282798833823</v>
      </c>
      <c r="N45" s="46">
        <f t="shared" si="64"/>
        <v>0.16811006637168141</v>
      </c>
      <c r="O45" s="45">
        <f t="shared" ref="O45:P45" si="65">O44/O42</f>
        <v>0.15561059190031148</v>
      </c>
      <c r="P45" s="45">
        <f t="shared" si="65"/>
        <v>0.14889045079980603</v>
      </c>
    </row>
    <row r="46" spans="1:16" s="64" customFormat="1" x14ac:dyDescent="0.15">
      <c r="A46" s="62" t="s">
        <v>60</v>
      </c>
      <c r="B46" s="46"/>
      <c r="C46" s="45"/>
      <c r="D46" s="45"/>
      <c r="E46" s="26"/>
      <c r="F46" s="27"/>
      <c r="G46" s="58"/>
      <c r="H46" s="58"/>
      <c r="I46" s="45">
        <f t="shared" ref="I46:N46" si="66">I44/I38</f>
        <v>-1.0972264553489789E-2</v>
      </c>
      <c r="J46" s="46">
        <f t="shared" si="66"/>
        <v>-1.1583011583011582E-2</v>
      </c>
      <c r="K46" s="45">
        <f t="shared" si="66"/>
        <v>-1.11731843575419E-2</v>
      </c>
      <c r="L46" s="45">
        <f t="shared" si="66"/>
        <v>-1.0747313171707074E-2</v>
      </c>
      <c r="M46" s="45">
        <f t="shared" si="66"/>
        <v>8.1703801362337958E-2</v>
      </c>
      <c r="N46" s="46">
        <f t="shared" si="66"/>
        <v>5.0623417721518987E-2</v>
      </c>
      <c r="O46" s="45">
        <f t="shared" ref="O46:P46" si="67">O44/O38</f>
        <v>3.8364823348694302E-2</v>
      </c>
      <c r="P46" s="45">
        <f t="shared" si="67"/>
        <v>3.7855681538082303E-2</v>
      </c>
    </row>
    <row r="47" spans="1:16" s="64" customFormat="1" x14ac:dyDescent="0.15">
      <c r="A47" s="62" t="s">
        <v>61</v>
      </c>
      <c r="B47" s="46"/>
      <c r="C47" s="45"/>
      <c r="D47" s="45"/>
      <c r="E47" s="26"/>
      <c r="F47" s="27"/>
      <c r="G47" s="58"/>
      <c r="H47" s="58"/>
      <c r="I47" s="45">
        <f t="shared" ref="I47:N47" si="68">I44/(I42-I37)</f>
        <v>-4.6094750320102434E-2</v>
      </c>
      <c r="J47" s="46">
        <f t="shared" si="68"/>
        <v>-6.580645161290323E-2</v>
      </c>
      <c r="K47" s="45">
        <f t="shared" si="68"/>
        <v>-6.2650602409638559E-2</v>
      </c>
      <c r="L47" s="45">
        <f t="shared" si="68"/>
        <v>-4.7200878155872671E-2</v>
      </c>
      <c r="M47" s="45">
        <f t="shared" si="68"/>
        <v>0.26944492753623195</v>
      </c>
      <c r="N47" s="46">
        <f t="shared" si="68"/>
        <v>0.21151217814892134</v>
      </c>
      <c r="O47" s="45">
        <f t="shared" ref="O47:P47" si="69">O44/(O42-O37)</f>
        <v>0.19588627450980386</v>
      </c>
      <c r="P47" s="45">
        <f t="shared" si="69"/>
        <v>0.1857079806529624</v>
      </c>
    </row>
    <row r="48" spans="1:16" s="64" customFormat="1" x14ac:dyDescent="0.15">
      <c r="A48" s="62" t="s">
        <v>62</v>
      </c>
      <c r="B48" s="46"/>
      <c r="C48" s="45"/>
      <c r="D48" s="45"/>
      <c r="E48" s="26"/>
      <c r="F48" s="27"/>
      <c r="G48" s="58"/>
      <c r="H48" s="58"/>
      <c r="I48" s="45">
        <f t="shared" ref="I48:N48" si="70">I44/I41</f>
        <v>-2.6607538802660754E-2</v>
      </c>
      <c r="J48" s="46">
        <f t="shared" si="70"/>
        <v>-2.0514883346741754E-2</v>
      </c>
      <c r="K48" s="45">
        <f t="shared" si="70"/>
        <v>-1.9622641509433963E-2</v>
      </c>
      <c r="L48" s="45">
        <f t="shared" si="70"/>
        <v>-2.2314478463933574E-2</v>
      </c>
      <c r="M48" s="45">
        <f t="shared" si="70"/>
        <v>0.17375420560747667</v>
      </c>
      <c r="N48" s="46">
        <f t="shared" si="70"/>
        <v>0.1160087786259542</v>
      </c>
      <c r="O48" s="45">
        <f t="shared" ref="O48:P48" si="71">O44/O41</f>
        <v>6.9992059785147109E-2</v>
      </c>
      <c r="P48" s="45">
        <f t="shared" si="71"/>
        <v>6.941491525423725E-2</v>
      </c>
    </row>
    <row r="49" spans="1:17" x14ac:dyDescent="0.15">
      <c r="B49" s="28"/>
      <c r="C49" s="36"/>
      <c r="D49" s="36"/>
      <c r="F49" s="28"/>
      <c r="G49" s="36"/>
      <c r="H49" s="36"/>
      <c r="I49" s="36"/>
      <c r="J49" s="28"/>
      <c r="K49" s="36"/>
      <c r="L49" s="36"/>
      <c r="M49" s="36"/>
      <c r="N49" s="28"/>
      <c r="O49" s="36"/>
      <c r="P49" s="36"/>
    </row>
    <row r="50" spans="1:17" x14ac:dyDescent="0.15">
      <c r="A50" s="35" t="s">
        <v>77</v>
      </c>
      <c r="B50" s="28"/>
      <c r="C50" s="36"/>
      <c r="D50" s="36"/>
      <c r="F50" s="46">
        <f>F3/B3-1</f>
        <v>0.29776674937965253</v>
      </c>
      <c r="G50" s="45">
        <f>G3/C3-1</f>
        <v>0.29668049792531126</v>
      </c>
      <c r="H50" s="45">
        <f>H3/D3-1</f>
        <v>0.28431372549019618</v>
      </c>
      <c r="I50" s="45">
        <f>I3/E3-1</f>
        <v>0.27238095238095239</v>
      </c>
      <c r="J50" s="46">
        <f>J3/F3-1</f>
        <v>0.25621414913957929</v>
      </c>
      <c r="K50" s="45">
        <f>K3/G3-1</f>
        <v>0.24160000000000004</v>
      </c>
      <c r="L50" s="45">
        <f>L3/H3-1</f>
        <v>0.24732824427480926</v>
      </c>
      <c r="M50" s="45">
        <f>M3/I3-1</f>
        <v>0.24577844311377239</v>
      </c>
      <c r="N50" s="46">
        <f>N3/J3-1</f>
        <v>0.15388280060882797</v>
      </c>
      <c r="O50" s="45">
        <f>O3/K3-1</f>
        <v>-0.12039690721649488</v>
      </c>
      <c r="P50" s="45">
        <f>P3/L3-1</f>
        <v>0.13255079559363514</v>
      </c>
      <c r="Q50" s="45"/>
    </row>
    <row r="51" spans="1:17" x14ac:dyDescent="0.15">
      <c r="A51" s="35" t="s">
        <v>78</v>
      </c>
      <c r="B51" s="28"/>
      <c r="C51" s="36"/>
      <c r="D51" s="36"/>
      <c r="F51" s="46">
        <f>F4/B4-1</f>
        <v>0.97959183673469385</v>
      </c>
      <c r="G51" s="45">
        <f>G4/C4-1</f>
        <v>1.2711864406779663</v>
      </c>
      <c r="H51" s="45">
        <f>H4/D4-1</f>
        <v>1.5538461538461537</v>
      </c>
      <c r="I51" s="45">
        <f>I4/E4-1</f>
        <v>1.4556962025316458</v>
      </c>
      <c r="J51" s="46">
        <f>J4/F4-1</f>
        <v>1.2577319587628866</v>
      </c>
      <c r="K51" s="45">
        <f>K4/G4-1</f>
        <v>0.87313432835820892</v>
      </c>
      <c r="L51" s="45">
        <f>L4/H4-1</f>
        <v>0.68674698795180733</v>
      </c>
      <c r="M51" s="45">
        <f>M4/I4-1</f>
        <v>0.45059278350515464</v>
      </c>
      <c r="N51" s="46">
        <f>N4/J4-1</f>
        <v>0.35267123287671232</v>
      </c>
      <c r="O51" s="45">
        <f>O4/K4-1</f>
        <v>0.37958167330677273</v>
      </c>
      <c r="P51" s="45">
        <f>P4/L4-1</f>
        <v>0.59829285714285718</v>
      </c>
      <c r="Q51" s="45"/>
    </row>
    <row r="52" spans="1:17" x14ac:dyDescent="0.15">
      <c r="A52" s="35" t="s">
        <v>79</v>
      </c>
      <c r="B52" s="28"/>
      <c r="C52" s="36"/>
      <c r="D52" s="36"/>
      <c r="E52" s="45"/>
      <c r="F52" s="46">
        <f>F5/B5-1</f>
        <v>0.55555555555555558</v>
      </c>
      <c r="G52" s="45">
        <f>G5/C5-1</f>
        <v>0.8</v>
      </c>
      <c r="H52" s="45">
        <f>H5/D5-1</f>
        <v>0.8</v>
      </c>
      <c r="I52" s="45">
        <f>I5/E5-1</f>
        <v>0.5</v>
      </c>
      <c r="J52" s="46">
        <f>J5/F5-1</f>
        <v>0.28571428571428581</v>
      </c>
      <c r="K52" s="45">
        <f>K5/G5-1</f>
        <v>0.22222222222222232</v>
      </c>
      <c r="L52" s="45">
        <f>L5/H5-1</f>
        <v>0.22222222222222232</v>
      </c>
      <c r="M52" s="45">
        <f>M5/I5-1</f>
        <v>0.25372222222222218</v>
      </c>
      <c r="N52" s="46">
        <f>N5/J5-1</f>
        <v>0.14861111111111125</v>
      </c>
      <c r="O52" s="45">
        <f>O5/K5-1</f>
        <v>-0.1217272727272728</v>
      </c>
      <c r="P52" s="45">
        <f>P5/L5-1</f>
        <v>0.24063636363636376</v>
      </c>
      <c r="Q52" s="45"/>
    </row>
    <row r="53" spans="1:17" x14ac:dyDescent="0.15">
      <c r="A53" s="35" t="s">
        <v>80</v>
      </c>
      <c r="B53" s="28"/>
      <c r="C53" s="36"/>
      <c r="D53" s="36"/>
      <c r="E53" s="45"/>
      <c r="F53" s="46"/>
      <c r="G53" s="45"/>
      <c r="H53" s="45"/>
      <c r="I53" s="45"/>
      <c r="J53" s="46">
        <f>J6/F6-1</f>
        <v>0.94117647058823528</v>
      </c>
      <c r="K53" s="45">
        <f>K6/G6-1</f>
        <v>2.3783783783783785</v>
      </c>
      <c r="L53" s="45">
        <f>L6/H6-1</f>
        <v>2.441860465116279</v>
      </c>
      <c r="M53" s="45">
        <f>M6/I6-1</f>
        <v>2.4147500000000002</v>
      </c>
      <c r="N53" s="46">
        <f>N6/J6-1</f>
        <v>3.6378484848484849</v>
      </c>
      <c r="O53" s="45">
        <f>O6/K6-1</f>
        <v>6.0036480000000001</v>
      </c>
      <c r="P53" s="45">
        <f>P6/L6-1</f>
        <v>10.038945945945946</v>
      </c>
      <c r="Q53" s="45"/>
    </row>
    <row r="54" spans="1:17" x14ac:dyDescent="0.15">
      <c r="B54" s="28"/>
      <c r="C54" s="36"/>
      <c r="D54" s="36"/>
      <c r="E54" s="29"/>
      <c r="F54" s="28"/>
      <c r="G54" s="36"/>
      <c r="H54" s="36"/>
      <c r="I54" s="37"/>
      <c r="J54" s="28"/>
      <c r="K54" s="36"/>
      <c r="L54" s="36"/>
      <c r="M54" s="36"/>
      <c r="P54" s="36"/>
    </row>
    <row r="55" spans="1:17" s="35" customFormat="1" x14ac:dyDescent="0.15">
      <c r="A55" s="75" t="s">
        <v>97</v>
      </c>
      <c r="B55" s="28">
        <v>13647</v>
      </c>
      <c r="C55" s="29">
        <v>16421</v>
      </c>
      <c r="D55" s="29">
        <v>17386</v>
      </c>
      <c r="E55" s="29">
        <v>17888</v>
      </c>
      <c r="F55" s="28">
        <v>17827</v>
      </c>
      <c r="G55" s="29">
        <v>21372</v>
      </c>
      <c r="H55" s="29">
        <v>22498</v>
      </c>
      <c r="I55" s="30">
        <v>22958</v>
      </c>
      <c r="J55" s="70">
        <v>22587</v>
      </c>
      <c r="K55" s="35">
        <v>26785</v>
      </c>
      <c r="L55" s="35">
        <v>28228</v>
      </c>
      <c r="M55" s="35">
        <v>28639</v>
      </c>
      <c r="N55" s="70">
        <v>25743</v>
      </c>
      <c r="O55" s="35">
        <v>22801</v>
      </c>
      <c r="P55" s="35">
        <v>37729</v>
      </c>
      <c r="Q55" s="35">
        <f>M55*1.35</f>
        <v>38662.65</v>
      </c>
    </row>
    <row r="56" spans="1:17" x14ac:dyDescent="0.15">
      <c r="A56" s="67" t="s">
        <v>98</v>
      </c>
      <c r="B56" s="65"/>
      <c r="F56" s="63">
        <f t="shared" ref="F56:Q56" si="72">F55/B55-1</f>
        <v>0.30629442368286064</v>
      </c>
      <c r="G56" s="64">
        <f t="shared" si="72"/>
        <v>0.30150417148772912</v>
      </c>
      <c r="H56" s="64">
        <f t="shared" si="72"/>
        <v>0.29402967905211086</v>
      </c>
      <c r="I56" s="64">
        <f t="shared" si="72"/>
        <v>0.28343023255813948</v>
      </c>
      <c r="J56" s="63">
        <f t="shared" si="72"/>
        <v>0.26701071408537613</v>
      </c>
      <c r="K56" s="64">
        <f t="shared" si="72"/>
        <v>0.25327531349429155</v>
      </c>
      <c r="L56" s="64">
        <f t="shared" si="72"/>
        <v>0.25468930571606374</v>
      </c>
      <c r="M56" s="64">
        <f t="shared" si="72"/>
        <v>0.24745186862967161</v>
      </c>
      <c r="N56" s="63">
        <f t="shared" si="72"/>
        <v>0.13972639128702347</v>
      </c>
      <c r="O56" s="64">
        <f t="shared" si="72"/>
        <v>-0.14873996639910403</v>
      </c>
      <c r="P56" s="64">
        <f t="shared" si="72"/>
        <v>0.33658070001417029</v>
      </c>
      <c r="Q56" s="64">
        <f t="shared" si="72"/>
        <v>0.35000000000000009</v>
      </c>
    </row>
    <row r="58" spans="1:17" x14ac:dyDescent="0.15">
      <c r="A58" s="67" t="s">
        <v>102</v>
      </c>
      <c r="B58" s="46">
        <f>B8/B55</f>
        <v>3.378031801861215E-2</v>
      </c>
      <c r="C58" s="45">
        <f>C8/C55</f>
        <v>3.3554594726265145E-2</v>
      </c>
      <c r="D58" s="45">
        <f>D8/D55</f>
        <v>3.364776256758311E-2</v>
      </c>
      <c r="E58" s="45">
        <f>E8/E55</f>
        <v>3.4436493738819317E-2</v>
      </c>
      <c r="F58" s="46">
        <f>F8/F55</f>
        <v>3.7471251472485555E-2</v>
      </c>
      <c r="G58" s="45">
        <f>G8/G55</f>
        <v>3.8087216919333707E-2</v>
      </c>
      <c r="H58" s="45">
        <f>H8/H55</f>
        <v>3.9203484754200373E-2</v>
      </c>
      <c r="I58" s="45">
        <f>I8/I55</f>
        <v>4.0595870720446035E-2</v>
      </c>
      <c r="J58" s="46">
        <f>J8/J55</f>
        <v>4.2502324345862666E-2</v>
      </c>
      <c r="K58" s="45">
        <f>K8/K55</f>
        <v>4.3830502146723911E-2</v>
      </c>
      <c r="L58" s="45">
        <f>L8/L55</f>
        <v>4.4884511832223327E-2</v>
      </c>
      <c r="M58" s="45">
        <f>M8/M55</f>
        <v>4.5872027654596879E-2</v>
      </c>
      <c r="N58" s="46">
        <f>N8/N55</f>
        <v>5.3649885405741365E-2</v>
      </c>
      <c r="O58" s="45">
        <f>O8/O55</f>
        <v>8.4365817288715408E-2</v>
      </c>
      <c r="P58" s="45">
        <f>P8/P55</f>
        <v>8.0412255824432136E-2</v>
      </c>
      <c r="Q58" s="45">
        <f>Q8/Q55</f>
        <v>8.0412255824432136E-2</v>
      </c>
    </row>
  </sheetData>
  <hyperlinks>
    <hyperlink ref="A1" r:id="rId1" display="https://www.sec.gov/cgi-bin/browse-edgar?CIK=SQ" xr:uid="{EDCBF689-DFA5-934C-B6FC-5D6E9835B685}"/>
  </hyperlink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97EBE-1DCF-814D-89D9-C0446CB926E5}">
  <dimension ref="B4:C13"/>
  <sheetViews>
    <sheetView zoomScale="130" zoomScaleNormal="130" workbookViewId="0">
      <selection activeCell="C25" sqref="C25"/>
    </sheetView>
  </sheetViews>
  <sheetFormatPr baseColWidth="10" defaultRowHeight="13" x14ac:dyDescent="0.15"/>
  <cols>
    <col min="1" max="1" width="10.83203125" style="1"/>
    <col min="2" max="2" width="13" style="1" bestFit="1" customWidth="1"/>
    <col min="3" max="3" width="49.6640625" style="1" bestFit="1" customWidth="1"/>
    <col min="4" max="16384" width="10.83203125" style="1"/>
  </cols>
  <sheetData>
    <row r="4" spans="2:3" x14ac:dyDescent="0.15">
      <c r="B4" s="80" t="s">
        <v>99</v>
      </c>
    </row>
    <row r="6" spans="2:3" x14ac:dyDescent="0.15">
      <c r="B6" s="67" t="s">
        <v>84</v>
      </c>
      <c r="C6" s="67" t="s">
        <v>85</v>
      </c>
    </row>
    <row r="7" spans="2:3" x14ac:dyDescent="0.15">
      <c r="B7" s="67" t="s">
        <v>86</v>
      </c>
      <c r="C7" s="67" t="s">
        <v>87</v>
      </c>
    </row>
    <row r="8" spans="2:3" s="16" customFormat="1" x14ac:dyDescent="0.15">
      <c r="B8" s="16" t="s">
        <v>88</v>
      </c>
      <c r="C8" s="16" t="s">
        <v>101</v>
      </c>
    </row>
    <row r="9" spans="2:3" x14ac:dyDescent="0.15">
      <c r="B9" s="67"/>
      <c r="C9" s="67"/>
    </row>
    <row r="10" spans="2:3" x14ac:dyDescent="0.15">
      <c r="B10" s="80" t="s">
        <v>100</v>
      </c>
      <c r="C10" s="67"/>
    </row>
    <row r="11" spans="2:3" x14ac:dyDescent="0.15">
      <c r="B11" s="67"/>
      <c r="C11" s="67"/>
    </row>
    <row r="12" spans="2:3" x14ac:dyDescent="0.15">
      <c r="B12" s="67" t="s">
        <v>89</v>
      </c>
      <c r="C12" s="67" t="s">
        <v>90</v>
      </c>
    </row>
    <row r="13" spans="2:3" x14ac:dyDescent="0.15">
      <c r="B13" s="67" t="s">
        <v>91</v>
      </c>
      <c r="C13" s="67" t="s">
        <v>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Reports</vt:lpstr>
      <vt:lpstr>Products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Michael Sjoeberg</cp:lastModifiedBy>
  <dcterms:created xsi:type="dcterms:W3CDTF">2018-01-04T19:16:18Z</dcterms:created>
  <dcterms:modified xsi:type="dcterms:W3CDTF">2021-02-15T12:49:17Z</dcterms:modified>
</cp:coreProperties>
</file>