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78CBEDB8-5BBB-1949-BEC8-2A6E8DAAFF2B}" xr6:coauthVersionLast="46" xr6:coauthVersionMax="46" xr10:uidLastSave="{00000000-0000-0000-0000-000000000000}"/>
  <bookViews>
    <workbookView xWindow="-56540" yWindow="-5940" windowWidth="28260" windowHeight="2674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5" i="2" l="1"/>
  <c r="L25" i="2"/>
  <c r="M20" i="2"/>
  <c r="N20" i="2" s="1"/>
  <c r="O20" i="2" s="1"/>
  <c r="P20" i="2" s="1"/>
  <c r="Q20" i="2" s="1"/>
  <c r="R20" i="2" s="1"/>
  <c r="L20" i="2"/>
  <c r="K20" i="2"/>
  <c r="J20" i="2"/>
  <c r="K18" i="2"/>
  <c r="L18" i="2" s="1"/>
  <c r="M18" i="2" s="1"/>
  <c r="J18" i="2"/>
  <c r="I20" i="2"/>
  <c r="I19" i="2"/>
  <c r="I18" i="2"/>
  <c r="I21" i="2"/>
  <c r="L23" i="1"/>
  <c r="N27" i="1"/>
  <c r="H16" i="2"/>
  <c r="H13" i="2"/>
  <c r="M50" i="1"/>
  <c r="C12" i="3"/>
  <c r="N19" i="2"/>
  <c r="O19" i="2" s="1"/>
  <c r="P19" i="2" s="1"/>
  <c r="Q19" i="2" s="1"/>
  <c r="R19" i="2" s="1"/>
  <c r="S19" i="2" s="1"/>
  <c r="T19" i="2" s="1"/>
  <c r="U19" i="2" s="1"/>
  <c r="V19" i="2" s="1"/>
  <c r="W19" i="2" s="1"/>
  <c r="J19" i="2"/>
  <c r="K19" i="2" s="1"/>
  <c r="L19" i="2" s="1"/>
  <c r="M19" i="2" s="1"/>
  <c r="J11" i="2"/>
  <c r="K11" i="2" s="1"/>
  <c r="L11" i="2" s="1"/>
  <c r="M11" i="2" s="1"/>
  <c r="I11" i="2"/>
  <c r="W28" i="2"/>
  <c r="W9" i="2"/>
  <c r="R28" i="2"/>
  <c r="R9" i="2"/>
  <c r="M10" i="2"/>
  <c r="L10" i="2"/>
  <c r="K10" i="2"/>
  <c r="J10" i="2"/>
  <c r="J58" i="2"/>
  <c r="I10" i="2"/>
  <c r="I58" i="2"/>
  <c r="C5" i="2"/>
  <c r="C4" i="2"/>
  <c r="C3" i="2"/>
  <c r="H28" i="2"/>
  <c r="H15" i="2"/>
  <c r="H59" i="2"/>
  <c r="H58" i="2"/>
  <c r="H46" i="2"/>
  <c r="H45" i="2"/>
  <c r="H49" i="2" s="1"/>
  <c r="H44" i="2"/>
  <c r="H42" i="2"/>
  <c r="H41" i="2"/>
  <c r="H40" i="2" s="1"/>
  <c r="H25" i="2"/>
  <c r="H23" i="2"/>
  <c r="H20" i="2"/>
  <c r="H19" i="2"/>
  <c r="H18" i="2"/>
  <c r="H21" i="2" s="1"/>
  <c r="G25" i="2"/>
  <c r="G23" i="2"/>
  <c r="G20" i="2"/>
  <c r="G19" i="2"/>
  <c r="G18" i="2"/>
  <c r="G16" i="2"/>
  <c r="G13" i="2"/>
  <c r="G15" i="2" s="1"/>
  <c r="K16" i="1"/>
  <c r="J16" i="1"/>
  <c r="J8" i="1"/>
  <c r="H8" i="1"/>
  <c r="F8" i="1"/>
  <c r="G16" i="1"/>
  <c r="F16" i="1"/>
  <c r="M53" i="1"/>
  <c r="M52" i="1"/>
  <c r="E15" i="2"/>
  <c r="M42" i="1"/>
  <c r="M41" i="1"/>
  <c r="M34" i="1"/>
  <c r="M33" i="1"/>
  <c r="I16" i="1"/>
  <c r="M30" i="1"/>
  <c r="M29" i="1"/>
  <c r="M28" i="1"/>
  <c r="M25" i="1"/>
  <c r="M24" i="1"/>
  <c r="M23" i="1"/>
  <c r="M19" i="1"/>
  <c r="M20" i="1" s="1"/>
  <c r="M16" i="1"/>
  <c r="M14" i="1"/>
  <c r="M8" i="1"/>
  <c r="M10" i="1" s="1"/>
  <c r="C34" i="2"/>
  <c r="B15" i="2"/>
  <c r="C15" i="2"/>
  <c r="D15" i="2"/>
  <c r="D34" i="2" s="1"/>
  <c r="L53" i="1"/>
  <c r="L52" i="1"/>
  <c r="L8" i="1"/>
  <c r="F9" i="2"/>
  <c r="G8" i="1"/>
  <c r="G10" i="1" s="1"/>
  <c r="G14" i="1"/>
  <c r="F10" i="1"/>
  <c r="F14" i="1"/>
  <c r="E34" i="1"/>
  <c r="E33" i="1" s="1"/>
  <c r="E42" i="1"/>
  <c r="N18" i="2" l="1"/>
  <c r="O18" i="2" s="1"/>
  <c r="P18" i="2" s="1"/>
  <c r="Q18" i="2" s="1"/>
  <c r="R18" i="2" s="1"/>
  <c r="S18" i="2" s="1"/>
  <c r="T18" i="2" s="1"/>
  <c r="U18" i="2" s="1"/>
  <c r="V18" i="2" s="1"/>
  <c r="W18" i="2" s="1"/>
  <c r="M59" i="2"/>
  <c r="I59" i="2"/>
  <c r="J59" i="2"/>
  <c r="L59" i="2"/>
  <c r="K59" i="2"/>
  <c r="K58" i="2"/>
  <c r="H17" i="2"/>
  <c r="E34" i="2"/>
  <c r="H48" i="2"/>
  <c r="I13" i="2"/>
  <c r="H56" i="2"/>
  <c r="R36" i="2"/>
  <c r="E41" i="1"/>
  <c r="M15" i="1"/>
  <c r="M17" i="1" s="1"/>
  <c r="F15" i="1"/>
  <c r="F23" i="1"/>
  <c r="G15" i="1"/>
  <c r="G23" i="1"/>
  <c r="F23" i="2"/>
  <c r="F15" i="2"/>
  <c r="F34" i="2" s="1"/>
  <c r="K34" i="1"/>
  <c r="I34" i="1"/>
  <c r="G41" i="2" s="1"/>
  <c r="H34" i="1"/>
  <c r="H16" i="1"/>
  <c r="L34" i="1"/>
  <c r="L16" i="1"/>
  <c r="J13" i="2" l="1"/>
  <c r="I15" i="2"/>
  <c r="I56" i="2"/>
  <c r="H22" i="2"/>
  <c r="H24" i="2" s="1"/>
  <c r="H30" i="2"/>
  <c r="I17" i="2" s="1"/>
  <c r="I22" i="2" s="1"/>
  <c r="L58" i="2"/>
  <c r="G17" i="1"/>
  <c r="G24" i="1"/>
  <c r="F17" i="1"/>
  <c r="F24" i="1"/>
  <c r="L50" i="1"/>
  <c r="L42" i="1"/>
  <c r="L33" i="1"/>
  <c r="L29" i="1"/>
  <c r="L28" i="1"/>
  <c r="L14" i="1"/>
  <c r="L10" i="1"/>
  <c r="K13" i="2" l="1"/>
  <c r="J15" i="2"/>
  <c r="J56" i="2"/>
  <c r="R35" i="2"/>
  <c r="M58" i="2"/>
  <c r="F19" i="1"/>
  <c r="F20" i="1" s="1"/>
  <c r="F25" i="1"/>
  <c r="G19" i="1"/>
  <c r="G20" i="1" s="1"/>
  <c r="G25" i="1"/>
  <c r="L15" i="1"/>
  <c r="L41" i="1"/>
  <c r="K50" i="1"/>
  <c r="K42" i="1"/>
  <c r="K33" i="1"/>
  <c r="K29" i="1"/>
  <c r="K28" i="1"/>
  <c r="K8" i="1"/>
  <c r="K10" i="1" s="1"/>
  <c r="K23" i="1" s="1"/>
  <c r="L13" i="2" l="1"/>
  <c r="K15" i="2"/>
  <c r="K56" i="2"/>
  <c r="W35" i="2"/>
  <c r="K41" i="1"/>
  <c r="K14" i="1"/>
  <c r="L17" i="1"/>
  <c r="L24" i="1"/>
  <c r="G46" i="2"/>
  <c r="G45" i="2"/>
  <c r="G49" i="2" s="1"/>
  <c r="I42" i="1"/>
  <c r="I14" i="1"/>
  <c r="M31" i="1" s="1"/>
  <c r="I8" i="1"/>
  <c r="M27" i="1" s="1"/>
  <c r="L15" i="2" l="1"/>
  <c r="M13" i="2"/>
  <c r="L56" i="2"/>
  <c r="I33" i="1"/>
  <c r="L19" i="1"/>
  <c r="L20" i="1" s="1"/>
  <c r="L25" i="1"/>
  <c r="I41" i="1"/>
  <c r="G42" i="2"/>
  <c r="G40" i="2" s="1"/>
  <c r="K15" i="1"/>
  <c r="I10" i="1"/>
  <c r="I23" i="1" s="1"/>
  <c r="G44" i="2"/>
  <c r="H35" i="2"/>
  <c r="M15" i="2" l="1"/>
  <c r="M56" i="2"/>
  <c r="K24" i="1"/>
  <c r="K17" i="1"/>
  <c r="I15" i="1"/>
  <c r="G48" i="2"/>
  <c r="G17" i="2"/>
  <c r="I24" i="1" l="1"/>
  <c r="I17" i="1"/>
  <c r="K25" i="1"/>
  <c r="K19" i="1"/>
  <c r="K20" i="1" s="1"/>
  <c r="I19" i="1" l="1"/>
  <c r="I25" i="1"/>
  <c r="I20" i="1" l="1"/>
  <c r="H42" i="1"/>
  <c r="L30" i="1"/>
  <c r="L27" i="1"/>
  <c r="J50" i="1"/>
  <c r="J29" i="1"/>
  <c r="J28" i="1"/>
  <c r="J14" i="1"/>
  <c r="H10" i="1" l="1"/>
  <c r="H14" i="1"/>
  <c r="H33" i="1"/>
  <c r="H41" i="1"/>
  <c r="J10" i="1"/>
  <c r="K30" i="1"/>
  <c r="G56" i="2"/>
  <c r="F44" i="2"/>
  <c r="F41" i="2"/>
  <c r="J30" i="1"/>
  <c r="F45" i="2"/>
  <c r="F42" i="2"/>
  <c r="F46" i="2"/>
  <c r="I28" i="2"/>
  <c r="J28" i="2" s="1"/>
  <c r="K28" i="2" s="1"/>
  <c r="L28" i="2" s="1"/>
  <c r="M28" i="2" s="1"/>
  <c r="N28" i="2" s="1"/>
  <c r="O28" i="2" s="1"/>
  <c r="P28" i="2" s="1"/>
  <c r="Q28" i="2" s="1"/>
  <c r="S28" i="2" s="1"/>
  <c r="T28" i="2" s="1"/>
  <c r="U28" i="2" s="1"/>
  <c r="V28" i="2" s="1"/>
  <c r="G9" i="2"/>
  <c r="H9" i="2" s="1"/>
  <c r="I9" i="2" s="1"/>
  <c r="J9" i="2" s="1"/>
  <c r="K9" i="2" s="1"/>
  <c r="L9" i="2" s="1"/>
  <c r="M9" i="2" s="1"/>
  <c r="N9" i="2" s="1"/>
  <c r="O9" i="2" s="1"/>
  <c r="P9" i="2" s="1"/>
  <c r="Q9" i="2" s="1"/>
  <c r="S9" i="2" s="1"/>
  <c r="T9" i="2" s="1"/>
  <c r="U9" i="2" s="1"/>
  <c r="V9" i="2" s="1"/>
  <c r="K27" i="1" l="1"/>
  <c r="J31" i="1"/>
  <c r="J27" i="1"/>
  <c r="H15" i="1"/>
  <c r="H17" i="1" s="1"/>
  <c r="H19" i="1" s="1"/>
  <c r="L31" i="1"/>
  <c r="F40" i="2"/>
  <c r="J15" i="1"/>
  <c r="J23" i="1"/>
  <c r="F49" i="2"/>
  <c r="F48" i="2"/>
  <c r="C6" i="2"/>
  <c r="C7" i="2" s="1"/>
  <c r="G21" i="2" l="1"/>
  <c r="G22" i="2" s="1"/>
  <c r="G24" i="2" s="1"/>
  <c r="H20" i="1"/>
  <c r="K31" i="1"/>
  <c r="J24" i="1"/>
  <c r="J17" i="1"/>
  <c r="G36" i="2"/>
  <c r="F17" i="2"/>
  <c r="F21" i="2"/>
  <c r="J19" i="1" l="1"/>
  <c r="M44" i="1" s="1"/>
  <c r="J25" i="1"/>
  <c r="G35" i="2"/>
  <c r="H36" i="2"/>
  <c r="H23" i="1"/>
  <c r="G37" i="2"/>
  <c r="F22" i="2"/>
  <c r="F30" i="2"/>
  <c r="G38" i="2"/>
  <c r="M46" i="1" l="1"/>
  <c r="M47" i="1"/>
  <c r="M48" i="1"/>
  <c r="M45" i="1"/>
  <c r="L44" i="1"/>
  <c r="K44" i="1"/>
  <c r="J20" i="1"/>
  <c r="H24" i="1"/>
  <c r="H37" i="2"/>
  <c r="I36" i="2"/>
  <c r="G34" i="2"/>
  <c r="F31" i="2"/>
  <c r="F24" i="2"/>
  <c r="H38" i="2"/>
  <c r="I44" i="1" l="1"/>
  <c r="K48" i="1"/>
  <c r="K45" i="1"/>
  <c r="K47" i="1"/>
  <c r="K46" i="1"/>
  <c r="L48" i="1"/>
  <c r="L46" i="1"/>
  <c r="L47" i="1"/>
  <c r="L45" i="1"/>
  <c r="H44" i="1"/>
  <c r="I38" i="2"/>
  <c r="I35" i="2"/>
  <c r="G30" i="2"/>
  <c r="I37" i="2"/>
  <c r="J36" i="2"/>
  <c r="H34" i="2"/>
  <c r="F32" i="2"/>
  <c r="F26" i="2"/>
  <c r="H47" i="1" l="1"/>
  <c r="H45" i="1"/>
  <c r="H48" i="1"/>
  <c r="H46" i="1"/>
  <c r="I48" i="1"/>
  <c r="I46" i="1"/>
  <c r="I47" i="1"/>
  <c r="I45" i="1"/>
  <c r="J21" i="2"/>
  <c r="J38" i="2" s="1"/>
  <c r="F54" i="2"/>
  <c r="F53" i="2"/>
  <c r="F51" i="2"/>
  <c r="J35" i="2"/>
  <c r="I34" i="2"/>
  <c r="H25" i="1"/>
  <c r="F27" i="2"/>
  <c r="F52" i="2"/>
  <c r="K36" i="2"/>
  <c r="G31" i="2"/>
  <c r="J37" i="2"/>
  <c r="H31" i="2" l="1"/>
  <c r="K21" i="2"/>
  <c r="K38" i="2" s="1"/>
  <c r="K35" i="2"/>
  <c r="G32" i="2"/>
  <c r="J34" i="2"/>
  <c r="L36" i="2"/>
  <c r="K37" i="2"/>
  <c r="O15" i="2" l="1"/>
  <c r="P15" i="2" s="1"/>
  <c r="Q15" i="2" s="1"/>
  <c r="I16" i="2"/>
  <c r="I30" i="2"/>
  <c r="J17" i="2" s="1"/>
  <c r="J16" i="2" s="1"/>
  <c r="S35" i="2"/>
  <c r="G26" i="2"/>
  <c r="L35" i="2"/>
  <c r="K34" i="2"/>
  <c r="L37" i="2"/>
  <c r="L21" i="2"/>
  <c r="L38" i="2" s="1"/>
  <c r="M36" i="2"/>
  <c r="I31" i="2"/>
  <c r="R15" i="2" l="1"/>
  <c r="J30" i="2"/>
  <c r="K17" i="2" s="1"/>
  <c r="K16" i="2" s="1"/>
  <c r="J22" i="2"/>
  <c r="J31" i="2" s="1"/>
  <c r="T35" i="2"/>
  <c r="G27" i="2"/>
  <c r="G51" i="2"/>
  <c r="G53" i="2"/>
  <c r="G52" i="2"/>
  <c r="G54" i="2"/>
  <c r="M35" i="2"/>
  <c r="N21" i="2"/>
  <c r="M37" i="2"/>
  <c r="L34" i="2"/>
  <c r="M21" i="2"/>
  <c r="M38" i="2" s="1"/>
  <c r="N36" i="2"/>
  <c r="R34" i="2" l="1"/>
  <c r="S15" i="2"/>
  <c r="T15" i="2" s="1"/>
  <c r="U15" i="2" s="1"/>
  <c r="V15" i="2" s="1"/>
  <c r="W15" i="2" s="1"/>
  <c r="K22" i="2"/>
  <c r="K31" i="2" s="1"/>
  <c r="K30" i="2"/>
  <c r="L17" i="2" s="1"/>
  <c r="L16" i="2" s="1"/>
  <c r="U35" i="2"/>
  <c r="N35" i="2"/>
  <c r="H32" i="2"/>
  <c r="M34" i="2"/>
  <c r="N38" i="2"/>
  <c r="O36" i="2"/>
  <c r="N37" i="2"/>
  <c r="W34" i="2" l="1"/>
  <c r="L30" i="2"/>
  <c r="M17" i="2" s="1"/>
  <c r="M30" i="2" s="1"/>
  <c r="N17" i="2" s="1"/>
  <c r="L22" i="2"/>
  <c r="L31" i="2" s="1"/>
  <c r="V35" i="2"/>
  <c r="H26" i="2"/>
  <c r="O35" i="2"/>
  <c r="N34" i="2"/>
  <c r="P36" i="2"/>
  <c r="O37" i="2"/>
  <c r="O21" i="2"/>
  <c r="O38" i="2" s="1"/>
  <c r="H52" i="2" l="1"/>
  <c r="H53" i="2"/>
  <c r="H51" i="2"/>
  <c r="H54" i="2"/>
  <c r="M22" i="2"/>
  <c r="M31" i="2" s="1"/>
  <c r="M16" i="2"/>
  <c r="H27" i="2"/>
  <c r="P35" i="2"/>
  <c r="N22" i="2"/>
  <c r="N30" i="2"/>
  <c r="O17" i="2" s="1"/>
  <c r="N16" i="2"/>
  <c r="P37" i="2"/>
  <c r="P21" i="2"/>
  <c r="P38" i="2" s="1"/>
  <c r="Q36" i="2"/>
  <c r="O34" i="2"/>
  <c r="R37" i="2" l="1"/>
  <c r="R21" i="2"/>
  <c r="Q21" i="2"/>
  <c r="S20" i="2"/>
  <c r="S21" i="2" s="1"/>
  <c r="S36" i="2"/>
  <c r="Q35" i="2"/>
  <c r="O30" i="2"/>
  <c r="P17" i="2" s="1"/>
  <c r="P16" i="2" s="1"/>
  <c r="O22" i="2"/>
  <c r="O16" i="2"/>
  <c r="P34" i="2"/>
  <c r="Q38" i="2"/>
  <c r="I23" i="2"/>
  <c r="I24" i="2" s="1"/>
  <c r="Q37" i="2"/>
  <c r="N31" i="2"/>
  <c r="R38" i="2" l="1"/>
  <c r="S38" i="2"/>
  <c r="T36" i="2"/>
  <c r="S37" i="2"/>
  <c r="T20" i="2"/>
  <c r="I32" i="2"/>
  <c r="O31" i="2"/>
  <c r="Q34" i="2"/>
  <c r="P22" i="2"/>
  <c r="P30" i="2"/>
  <c r="Q17" i="2" s="1"/>
  <c r="T21" i="2" l="1"/>
  <c r="T38" i="2" s="1"/>
  <c r="U20" i="2"/>
  <c r="U21" i="2" s="1"/>
  <c r="T37" i="2"/>
  <c r="U36" i="2"/>
  <c r="S34" i="2"/>
  <c r="I26" i="2"/>
  <c r="Q22" i="2"/>
  <c r="Q30" i="2"/>
  <c r="R17" i="2" s="1"/>
  <c r="Q16" i="2"/>
  <c r="P31" i="2"/>
  <c r="W36" i="2" l="1"/>
  <c r="R30" i="2"/>
  <c r="R22" i="2"/>
  <c r="R16" i="2"/>
  <c r="U38" i="2"/>
  <c r="U37" i="2"/>
  <c r="V20" i="2"/>
  <c r="V36" i="2"/>
  <c r="S17" i="2"/>
  <c r="T34" i="2"/>
  <c r="I27" i="2"/>
  <c r="I40" i="2"/>
  <c r="J23" i="2" s="1"/>
  <c r="J24" i="2" s="1"/>
  <c r="Q31" i="2"/>
  <c r="V37" i="2" l="1"/>
  <c r="W20" i="2"/>
  <c r="R31" i="2"/>
  <c r="V21" i="2"/>
  <c r="U34" i="2"/>
  <c r="S30" i="2"/>
  <c r="T17" i="2" s="1"/>
  <c r="S22" i="2"/>
  <c r="S16" i="2"/>
  <c r="J32" i="2"/>
  <c r="W37" i="2" l="1"/>
  <c r="W21" i="2"/>
  <c r="V38" i="2"/>
  <c r="W38" i="2"/>
  <c r="S31" i="2"/>
  <c r="T30" i="2"/>
  <c r="U17" i="2" s="1"/>
  <c r="T22" i="2"/>
  <c r="T16" i="2"/>
  <c r="V34" i="2"/>
  <c r="J26" i="2"/>
  <c r="J40" i="2" l="1"/>
  <c r="K23" i="2" s="1"/>
  <c r="K24" i="2" s="1"/>
  <c r="T31" i="2"/>
  <c r="U16" i="2"/>
  <c r="U30" i="2"/>
  <c r="V17" i="2" s="1"/>
  <c r="U22" i="2"/>
  <c r="J27" i="2"/>
  <c r="U31" i="2" l="1"/>
  <c r="V30" i="2"/>
  <c r="W17" i="2" s="1"/>
  <c r="V22" i="2"/>
  <c r="V16" i="2"/>
  <c r="K32" i="2"/>
  <c r="W22" i="2" l="1"/>
  <c r="W30" i="2"/>
  <c r="W16" i="2"/>
  <c r="V31" i="2"/>
  <c r="K26" i="2"/>
  <c r="W31" i="2" l="1"/>
  <c r="K27" i="2"/>
  <c r="K40" i="2"/>
  <c r="L23" i="2" s="1"/>
  <c r="L24" i="2" s="1"/>
  <c r="L32" i="2" l="1"/>
  <c r="L26" i="2" l="1"/>
  <c r="L27" i="2"/>
  <c r="L40" i="2"/>
  <c r="M23" i="2" l="1"/>
  <c r="M24" i="2" s="1"/>
  <c r="M25" i="2" s="1"/>
  <c r="M32" i="2" l="1"/>
  <c r="M26" i="2" l="1"/>
  <c r="M27" i="2" s="1"/>
  <c r="M40" i="2" l="1"/>
  <c r="N23" i="2"/>
  <c r="N24" i="2" s="1"/>
  <c r="N25" i="2" s="1"/>
  <c r="N32" i="2" l="1"/>
  <c r="N26" i="2" l="1"/>
  <c r="N27" i="2" l="1"/>
  <c r="N40" i="2"/>
  <c r="O23" i="2" l="1"/>
  <c r="O24" i="2" s="1"/>
  <c r="O25" i="2" s="1"/>
  <c r="O32" i="2" l="1"/>
  <c r="O26" i="2" l="1"/>
  <c r="O27" i="2" s="1"/>
  <c r="O40" i="2" l="1"/>
  <c r="P23" i="2" s="1"/>
  <c r="P24" i="2" s="1"/>
  <c r="P25" i="2" l="1"/>
  <c r="P32" i="2" s="1"/>
  <c r="P26" i="2" l="1"/>
  <c r="P27" i="2" s="1"/>
  <c r="P40" i="2" l="1"/>
  <c r="Q23" i="2" s="1"/>
  <c r="Q24" i="2" s="1"/>
  <c r="Q25" i="2" l="1"/>
  <c r="Q32" i="2" s="1"/>
  <c r="Q26" i="2" l="1"/>
  <c r="Q27" i="2" l="1"/>
  <c r="Q40" i="2"/>
  <c r="R23" i="2" l="1"/>
  <c r="R24" i="2" s="1"/>
  <c r="R25" i="2" l="1"/>
  <c r="R32" i="2" s="1"/>
  <c r="R26" i="2"/>
  <c r="R27" i="2" l="1"/>
  <c r="R40" i="2"/>
  <c r="S23" i="2" s="1"/>
  <c r="S24" i="2" s="1"/>
  <c r="S25" i="2" s="1"/>
  <c r="S32" i="2" s="1"/>
  <c r="S26" i="2" l="1"/>
  <c r="S27" i="2" s="1"/>
  <c r="S40" i="2"/>
  <c r="T23" i="2" s="1"/>
  <c r="T24" i="2" s="1"/>
  <c r="T25" i="2" l="1"/>
  <c r="T32" i="2" s="1"/>
  <c r="T26" i="2" l="1"/>
  <c r="T27" i="2" l="1"/>
  <c r="T40" i="2"/>
  <c r="U23" i="2" l="1"/>
  <c r="U24" i="2" s="1"/>
  <c r="U25" i="2" l="1"/>
  <c r="U32" i="2" s="1"/>
  <c r="U26" i="2" l="1"/>
  <c r="U27" i="2" s="1"/>
  <c r="U40" i="2" l="1"/>
  <c r="V23" i="2" s="1"/>
  <c r="V24" i="2" s="1"/>
  <c r="V25" i="2" l="1"/>
  <c r="V32" i="2" s="1"/>
  <c r="V26" i="2" l="1"/>
  <c r="V27" i="2" l="1"/>
  <c r="V40" i="2"/>
  <c r="W23" i="2" l="1"/>
  <c r="W24" i="2" s="1"/>
  <c r="W25" i="2" l="1"/>
  <c r="W32" i="2" s="1"/>
  <c r="W26" i="2"/>
  <c r="W27" i="2" l="1"/>
  <c r="W40" i="2"/>
  <c r="X26" i="2"/>
  <c r="Y26" i="2" l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GR26" i="2" s="1"/>
  <c r="GS26" i="2" s="1"/>
  <c r="F5" i="2" l="1"/>
  <c r="F6" i="2" s="1"/>
  <c r="F7" i="2" s="1"/>
  <c r="G7" i="2" s="1"/>
</calcChain>
</file>

<file path=xl/sharedStrings.xml><?xml version="1.0" encoding="utf-8"?>
<sst xmlns="http://schemas.openxmlformats.org/spreadsheetml/2006/main" count="153" uniqueCount="99">
  <si>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</si>
  <si>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</si>
  <si>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</si>
  <si>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</si>
  <si>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</si>
  <si>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</si>
  <si>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</si>
  <si>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</si>
  <si>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</si>
  <si>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</si>
  <si>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</si>
  <si>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</si>
  <si>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</si>
  <si>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</si>
  <si>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</si>
  <si>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</si>
  <si>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</si>
  <si>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</si>
  <si>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</si>
  <si>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</si>
  <si>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</si>
  <si>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</si>
  <si>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</si>
  <si>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</si>
  <si>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</si>
  <si>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</si>
  <si>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</si>
  <si>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</si>
  <si>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</si>
  <si>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</si>
  <si>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</si>
  <si>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</si>
  <si>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</si>
  <si>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</si>
  <si>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</si>
  <si>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</si>
  <si>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</si>
  <si>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</si>
  <si>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</si>
  <si>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</si>
  <si>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</si>
  <si>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</si>
  <si>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</si>
  <si>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</si>
  <si>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</si>
  <si>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</si>
  <si>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</si>
  <si>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</si>
  <si>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</si>
  <si>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</si>
  <si>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</si>
  <si>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</si>
  <si>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</si>
  <si>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</si>
  <si>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</si>
  <si>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</si>
  <si>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Subscription</t>
  </si>
  <si>
    <t>Subscription y/y</t>
  </si>
  <si>
    <t>Operating Expenses y/y</t>
  </si>
  <si>
    <t>Q120</t>
  </si>
  <si>
    <t>Q420</t>
  </si>
  <si>
    <t>Risk-free rate + market premium (opportunity cost)</t>
  </si>
  <si>
    <t>http://www.worldgovernmentbonds.com/country/united-states/</t>
  </si>
  <si>
    <t>Net present value on future net income (terminal value)</t>
  </si>
  <si>
    <t>Q220</t>
  </si>
  <si>
    <t>Q320</t>
  </si>
  <si>
    <t>Palantir Technologies (PLTR)</t>
  </si>
  <si>
    <t>Alex Karp</t>
  </si>
  <si>
    <t>Peter Thiel</t>
  </si>
  <si>
    <t>Gotham</t>
  </si>
  <si>
    <t>Foundry</t>
  </si>
  <si>
    <t>Data management</t>
  </si>
  <si>
    <t>Apollo</t>
  </si>
  <si>
    <t>CDS</t>
  </si>
  <si>
    <t>Products</t>
  </si>
  <si>
    <t>Data analytics and pattern detection</t>
  </si>
  <si>
    <t>ML for public applications (non-technical)</t>
  </si>
  <si>
    <t>Data safety and security</t>
  </si>
  <si>
    <t>Government</t>
  </si>
  <si>
    <t>Commercial</t>
  </si>
  <si>
    <t>Government y/y</t>
  </si>
  <si>
    <t>Commercial y/y</t>
  </si>
  <si>
    <t>US Army Research Lab</t>
  </si>
  <si>
    <t>NCATS</t>
  </si>
  <si>
    <t>FDA</t>
  </si>
  <si>
    <t>Army Vantage</t>
  </si>
  <si>
    <t>NHS</t>
  </si>
  <si>
    <t>Japan Business</t>
  </si>
  <si>
    <t>Fujitsu</t>
  </si>
  <si>
    <t>Commercial TAM</t>
  </si>
  <si>
    <t>Government TAM</t>
  </si>
  <si>
    <t>10% of TAM</t>
  </si>
  <si>
    <t>CONTRACTS</t>
  </si>
  <si>
    <t>in millions</t>
  </si>
  <si>
    <t>Rio Tinto</t>
  </si>
  <si>
    <t>PG&amp;E</t>
  </si>
  <si>
    <t>bp</t>
  </si>
  <si>
    <t>US Air Force</t>
  </si>
  <si>
    <t>Quarterly operational cost include one-time stock compensation from direct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</si>
</sst>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14" fontId="6" fillId="0" borderId="0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3" fontId="6" fillId="0" borderId="0" xfId="0" applyNumberFormat="1" applyFont="1" applyFill="1" applyBorder="1"/>
    <xf numFmtId="3" fontId="5" fillId="0" borderId="0" xfId="0" applyNumberFormat="1" applyFont="1" applyFill="1" applyBorder="1"/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/>
    <xf numFmtId="0" fontId="4" fillId="0" borderId="0" xfId="4" applyBorder="1"/>
    <xf numFmtId="3" fontId="4" fillId="0" borderId="0" xfId="4" applyNumberFormat="1" applyFont="1" applyBorder="1"/>
    <xf numFmtId="9" fontId="6" fillId="0" borderId="0" xfId="0" applyNumberFormat="1" applyFont="1" applyBorder="1"/>
    <xf numFmtId="0" fontId="8" fillId="0" borderId="0" xfId="0" applyFont="1"/>
    <xf numFmtId="0" fontId="7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9" fontId="7" fillId="0" borderId="0" xfId="1" applyFont="1" applyBorder="1" applyAlignment="1">
      <alignment horizontal="right"/>
    </xf>
    <xf numFmtId="0" fontId="7" fillId="0" borderId="0" xfId="0" applyFont="1" applyBorder="1" applyAlignment="1">
      <alignment horizontal="left"/>
    </xf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7</xdr:row>
      <xdr:rowOff>152400</xdr:rowOff>
    </xdr:from>
    <xdr:to>
      <xdr:col>8</xdr:col>
      <xdr:colOff>114300</xdr:colOff>
      <xdr:row>60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429500" y="1290320"/>
          <a:ext cx="0" cy="846328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239184</xdr:colOff>
      <xdr:row>0</xdr:row>
      <xdr:rowOff>152400</xdr:rowOff>
    </xdr:from>
    <xdr:to>
      <xdr:col>13</xdr:col>
      <xdr:colOff>239184</xdr:colOff>
      <xdr:row>54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1690351" y="152400"/>
          <a:ext cx="0" cy="9160933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Alex_Karp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nvestors.palantir.com/home/default.aspx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en.wikipedia.org/wiki/Peter_Thiel" TargetMode="External"/><Relationship Id="rId4" Type="http://schemas.openxmlformats.org/officeDocument/2006/relationships/hyperlink" Target="https://en.wikipedia.org/wiki/Alex_Kar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321655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59"/>
  <sheetViews>
    <sheetView tabSelected="1" zoomScale="125" zoomScaleNormal="125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B20" sqref="B20"/>
    </sheetView>
  </sheetViews>
  <sheetFormatPr baseColWidth="10" defaultRowHeight="13" x14ac:dyDescent="0.15"/>
  <cols>
    <col min="1" max="1" width="20.33203125" style="3" bestFit="1" customWidth="1"/>
    <col min="2" max="7" width="10.83203125" style="3"/>
    <col min="8" max="8" width="10.83203125" style="3" customWidth="1"/>
    <col min="9" max="16384" width="10.83203125" style="3"/>
  </cols>
  <sheetData>
    <row r="1" spans="1:118" x14ac:dyDescent="0.15">
      <c r="A1" s="64" t="s">
        <v>54</v>
      </c>
      <c r="B1" s="2" t="s">
        <v>66</v>
      </c>
    </row>
    <row r="2" spans="1:118" x14ac:dyDescent="0.15">
      <c r="B2" s="3" t="s">
        <v>36</v>
      </c>
      <c r="C2" s="4">
        <v>28.95</v>
      </c>
      <c r="D2" s="61">
        <v>44243</v>
      </c>
      <c r="E2" s="6" t="s">
        <v>21</v>
      </c>
      <c r="F2" s="7">
        <v>0.01</v>
      </c>
      <c r="I2" s="16"/>
      <c r="L2" s="2"/>
    </row>
    <row r="3" spans="1:118" x14ac:dyDescent="0.15">
      <c r="A3" s="2" t="s">
        <v>34</v>
      </c>
      <c r="B3" s="3" t="s">
        <v>13</v>
      </c>
      <c r="C3" s="8">
        <f>Reports!M21</f>
        <v>1763.5139220000001</v>
      </c>
      <c r="D3" s="62" t="s">
        <v>60</v>
      </c>
      <c r="E3" s="6" t="s">
        <v>22</v>
      </c>
      <c r="F3" s="7">
        <v>0.05</v>
      </c>
      <c r="G3" s="5" t="s">
        <v>55</v>
      </c>
      <c r="I3" s="16"/>
    </row>
    <row r="4" spans="1:118" x14ac:dyDescent="0.15">
      <c r="A4" s="63" t="s">
        <v>67</v>
      </c>
      <c r="B4" s="3" t="s">
        <v>37</v>
      </c>
      <c r="C4" s="10">
        <f>C2*C3</f>
        <v>51053.728041900002</v>
      </c>
      <c r="D4" s="62"/>
      <c r="E4" s="6" t="s">
        <v>23</v>
      </c>
      <c r="F4" s="7">
        <v>7.0000000000000007E-2</v>
      </c>
      <c r="G4" s="5" t="s">
        <v>61</v>
      </c>
      <c r="I4" s="19"/>
      <c r="L4" s="9" t="s">
        <v>62</v>
      </c>
    </row>
    <row r="5" spans="1:118" x14ac:dyDescent="0.15">
      <c r="B5" s="3" t="s">
        <v>18</v>
      </c>
      <c r="C5" s="8">
        <f>Reports!M33</f>
        <v>1850</v>
      </c>
      <c r="D5" s="62" t="s">
        <v>60</v>
      </c>
      <c r="E5" s="6" t="s">
        <v>24</v>
      </c>
      <c r="F5" s="11">
        <f>NPV(F4,I26:GS26)</f>
        <v>86228.043562508785</v>
      </c>
      <c r="G5" s="5" t="s">
        <v>63</v>
      </c>
      <c r="I5" s="19"/>
    </row>
    <row r="6" spans="1:118" x14ac:dyDescent="0.15">
      <c r="A6" s="2" t="s">
        <v>35</v>
      </c>
      <c r="B6" s="3" t="s">
        <v>38</v>
      </c>
      <c r="C6" s="10">
        <f>C4-C5</f>
        <v>49203.728041900002</v>
      </c>
      <c r="D6" s="62"/>
      <c r="E6" s="12" t="s">
        <v>25</v>
      </c>
      <c r="F6" s="13">
        <f>F5+C5</f>
        <v>88078.043562508785</v>
      </c>
      <c r="I6" s="19"/>
    </row>
    <row r="7" spans="1:118" x14ac:dyDescent="0.15">
      <c r="A7" s="63" t="s">
        <v>68</v>
      </c>
      <c r="B7" s="5" t="s">
        <v>39</v>
      </c>
      <c r="C7" s="43">
        <f>C6/C3</f>
        <v>27.900958097397996</v>
      </c>
      <c r="D7" s="62"/>
      <c r="E7" s="14" t="s">
        <v>39</v>
      </c>
      <c r="F7" s="42">
        <f>F6/C3</f>
        <v>49.944626160149348</v>
      </c>
      <c r="G7" s="19">
        <f>F7/C2-1</f>
        <v>0.72520297617096197</v>
      </c>
    </row>
    <row r="8" spans="1:118" x14ac:dyDescent="0.15">
      <c r="A8" s="63" t="s">
        <v>67</v>
      </c>
      <c r="F8" s="6"/>
      <c r="G8" s="15"/>
    </row>
    <row r="9" spans="1:118" x14ac:dyDescent="0.15">
      <c r="B9" s="38">
        <v>2014</v>
      </c>
      <c r="C9" s="38">
        <v>2015</v>
      </c>
      <c r="D9" s="38">
        <v>2016</v>
      </c>
      <c r="E9" s="38">
        <v>2017</v>
      </c>
      <c r="F9" s="38">
        <f>2018</f>
        <v>2018</v>
      </c>
      <c r="G9" s="38">
        <f t="shared" ref="G9:W9" si="0">F9+1</f>
        <v>2019</v>
      </c>
      <c r="H9" s="38">
        <f t="shared" si="0"/>
        <v>2020</v>
      </c>
      <c r="I9" s="38">
        <f t="shared" si="0"/>
        <v>2021</v>
      </c>
      <c r="J9" s="38">
        <f t="shared" si="0"/>
        <v>2022</v>
      </c>
      <c r="K9" s="38">
        <f t="shared" si="0"/>
        <v>2023</v>
      </c>
      <c r="L9" s="38">
        <f t="shared" si="0"/>
        <v>2024</v>
      </c>
      <c r="M9" s="38">
        <f t="shared" si="0"/>
        <v>2025</v>
      </c>
      <c r="N9" s="38">
        <f t="shared" si="0"/>
        <v>2026</v>
      </c>
      <c r="O9" s="38">
        <f t="shared" si="0"/>
        <v>2027</v>
      </c>
      <c r="P9" s="38">
        <f t="shared" si="0"/>
        <v>2028</v>
      </c>
      <c r="Q9" s="38">
        <f t="shared" si="0"/>
        <v>2029</v>
      </c>
      <c r="R9" s="38">
        <f t="shared" si="0"/>
        <v>2030</v>
      </c>
      <c r="S9" s="38">
        <f t="shared" si="0"/>
        <v>2031</v>
      </c>
      <c r="T9" s="38">
        <f t="shared" si="0"/>
        <v>2032</v>
      </c>
      <c r="U9" s="38">
        <f t="shared" si="0"/>
        <v>2033</v>
      </c>
      <c r="V9" s="38">
        <f t="shared" si="0"/>
        <v>2034</v>
      </c>
      <c r="W9" s="38">
        <f t="shared" si="0"/>
        <v>2035</v>
      </c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</row>
    <row r="10" spans="1:118" s="16" customFormat="1" x14ac:dyDescent="0.15">
      <c r="A10" s="16" t="s">
        <v>78</v>
      </c>
      <c r="G10" s="16">
        <v>346</v>
      </c>
      <c r="H10" s="16">
        <v>610</v>
      </c>
      <c r="I10" s="16">
        <f>H10*1.6</f>
        <v>976</v>
      </c>
      <c r="J10" s="16">
        <f>I10*1.5</f>
        <v>1464</v>
      </c>
      <c r="K10" s="16">
        <f>J10*1.4</f>
        <v>2049.6</v>
      </c>
      <c r="L10" s="16">
        <f>K10*1.35</f>
        <v>2766.96</v>
      </c>
      <c r="M10" s="16">
        <f>L10*1.3</f>
        <v>3597.0480000000002</v>
      </c>
    </row>
    <row r="11" spans="1:118" s="16" customFormat="1" x14ac:dyDescent="0.15">
      <c r="A11" s="16" t="s">
        <v>79</v>
      </c>
      <c r="G11" s="16">
        <v>397</v>
      </c>
      <c r="H11" s="16">
        <v>482</v>
      </c>
      <c r="I11" s="16">
        <f>H11*1.2</f>
        <v>578.4</v>
      </c>
      <c r="J11" s="16">
        <f t="shared" ref="J11:M11" si="1">I11*1.2</f>
        <v>694.07999999999993</v>
      </c>
      <c r="K11" s="16">
        <f t="shared" si="1"/>
        <v>832.89599999999984</v>
      </c>
      <c r="L11" s="16">
        <f t="shared" si="1"/>
        <v>999.47519999999975</v>
      </c>
      <c r="M11" s="16">
        <f t="shared" si="1"/>
        <v>1199.3702399999997</v>
      </c>
    </row>
    <row r="12" spans="1:118" x14ac:dyDescent="0.15"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</row>
    <row r="13" spans="1:118" x14ac:dyDescent="0.15">
      <c r="A13" s="8" t="s">
        <v>56</v>
      </c>
      <c r="B13" s="37">
        <v>235</v>
      </c>
      <c r="C13" s="37">
        <v>364</v>
      </c>
      <c r="D13" s="37">
        <v>466</v>
      </c>
      <c r="E13" s="37">
        <v>515</v>
      </c>
      <c r="F13" s="37">
        <v>595.40899999999999</v>
      </c>
      <c r="G13" s="37">
        <f>SUM(Reports!F6:I6)</f>
        <v>742.55500000000006</v>
      </c>
      <c r="H13" s="37">
        <f>SUM(Reports!J6:M6)</f>
        <v>1092.673</v>
      </c>
      <c r="I13" s="37">
        <f t="shared" ref="I13:M13" si="2">H13*1.4</f>
        <v>1529.7421999999999</v>
      </c>
      <c r="J13" s="37">
        <f t="shared" si="2"/>
        <v>2141.6390799999999</v>
      </c>
      <c r="K13" s="37">
        <f t="shared" si="2"/>
        <v>2998.2947119999999</v>
      </c>
      <c r="L13" s="37">
        <f t="shared" si="2"/>
        <v>4197.6125967999997</v>
      </c>
      <c r="M13" s="37">
        <f t="shared" si="2"/>
        <v>5876.6576355199995</v>
      </c>
      <c r="N13" s="37"/>
      <c r="O13" s="37"/>
      <c r="P13" s="37"/>
      <c r="Q13" s="37"/>
      <c r="R13" s="37"/>
      <c r="S13" s="37"/>
      <c r="T13" s="37"/>
      <c r="U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</row>
    <row r="14" spans="1:118" s="70" customFormat="1" x14ac:dyDescent="0.15">
      <c r="H14" s="70">
        <v>1070</v>
      </c>
      <c r="M14" s="70">
        <v>4000</v>
      </c>
      <c r="V14" s="70" t="s">
        <v>91</v>
      </c>
    </row>
    <row r="15" spans="1:118" x14ac:dyDescent="0.15">
      <c r="A15" s="2" t="s">
        <v>0</v>
      </c>
      <c r="B15" s="24">
        <f t="shared" ref="B15" si="3">SUM(B13:B13)</f>
        <v>235</v>
      </c>
      <c r="C15" s="24">
        <f t="shared" ref="C15" si="4">SUM(C13:C13)</f>
        <v>364</v>
      </c>
      <c r="D15" s="24">
        <f t="shared" ref="D15:L15" si="5">SUM(D13:D13)</f>
        <v>466</v>
      </c>
      <c r="E15" s="24">
        <f>SUM(E13:E13)</f>
        <v>515</v>
      </c>
      <c r="F15" s="24">
        <f t="shared" si="5"/>
        <v>595.40899999999999</v>
      </c>
      <c r="G15" s="24">
        <f>SUM(G13:G13)</f>
        <v>742.55500000000006</v>
      </c>
      <c r="H15" s="24">
        <f>SUM(H13:H13)</f>
        <v>1092.673</v>
      </c>
      <c r="I15" s="45">
        <f>SUM(I13)</f>
        <v>1529.7421999999999</v>
      </c>
      <c r="J15" s="45">
        <f>SUM(J13)</f>
        <v>2141.6390799999999</v>
      </c>
      <c r="K15" s="45">
        <f>SUM(K13)</f>
        <v>2998.2947119999999</v>
      </c>
      <c r="L15" s="45">
        <f>SUM(L13)</f>
        <v>4197.6125967999997</v>
      </c>
      <c r="M15" s="45">
        <f>SUM(M13)</f>
        <v>5876.6576355199995</v>
      </c>
      <c r="N15" s="45">
        <f>M15*1.2</f>
        <v>7051.9891626239996</v>
      </c>
      <c r="O15" s="45">
        <f t="shared" ref="N15:R15" si="6">N15*1.2</f>
        <v>8462.3869951487995</v>
      </c>
      <c r="P15" s="45">
        <f t="shared" si="6"/>
        <v>10154.864394178559</v>
      </c>
      <c r="Q15" s="45">
        <f t="shared" si="6"/>
        <v>12185.837273014271</v>
      </c>
      <c r="R15" s="45">
        <f t="shared" si="6"/>
        <v>14623.004727617124</v>
      </c>
      <c r="S15" s="45">
        <f t="shared" ref="R15:W15" si="7">R15*1.1</f>
        <v>16085.305200378838</v>
      </c>
      <c r="T15" s="45">
        <f t="shared" si="7"/>
        <v>17693.835720416722</v>
      </c>
      <c r="U15" s="45">
        <f t="shared" si="7"/>
        <v>19463.219292458398</v>
      </c>
      <c r="V15" s="45">
        <f t="shared" si="7"/>
        <v>21409.541221704239</v>
      </c>
      <c r="W15" s="45">
        <f t="shared" si="7"/>
        <v>23550.495343874667</v>
      </c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</row>
    <row r="16" spans="1:118" x14ac:dyDescent="0.15">
      <c r="A16" s="3" t="s">
        <v>1</v>
      </c>
      <c r="B16" s="23"/>
      <c r="C16" s="23"/>
      <c r="D16" s="23"/>
      <c r="E16" s="23"/>
      <c r="F16" s="37">
        <v>165.40100000000001</v>
      </c>
      <c r="G16" s="37">
        <f>SUM(Reports!F9:I9)</f>
        <v>242.37299999999999</v>
      </c>
      <c r="H16" s="37">
        <f>SUM(Reports!J9:M9)</f>
        <v>352.54699999999997</v>
      </c>
      <c r="I16" s="23">
        <f t="shared" ref="I16" si="8">I15-I17</f>
        <v>493.56580000000008</v>
      </c>
      <c r="J16" s="23">
        <f t="shared" ref="J16:Q16" si="9">J15-J17</f>
        <v>690.99212000000011</v>
      </c>
      <c r="K16" s="23">
        <f t="shared" si="9"/>
        <v>967.38896799999998</v>
      </c>
      <c r="L16" s="23">
        <f>L15-L17</f>
        <v>1354.3445551999998</v>
      </c>
      <c r="M16" s="23">
        <f t="shared" si="9"/>
        <v>1896.0823772799999</v>
      </c>
      <c r="N16" s="23">
        <f t="shared" si="9"/>
        <v>2275.2988527360003</v>
      </c>
      <c r="O16" s="23">
        <f t="shared" si="9"/>
        <v>2730.3586232832004</v>
      </c>
      <c r="P16" s="23">
        <f t="shared" si="9"/>
        <v>3276.4303479398404</v>
      </c>
      <c r="Q16" s="23">
        <f t="shared" si="9"/>
        <v>3931.7164175278085</v>
      </c>
      <c r="R16" s="23">
        <f t="shared" ref="R16" si="10">R15-R17</f>
        <v>4718.0597010333695</v>
      </c>
      <c r="S16" s="23">
        <f t="shared" ref="R16:V16" si="11">S15-S17</f>
        <v>5189.8656711367057</v>
      </c>
      <c r="T16" s="23">
        <f t="shared" si="11"/>
        <v>5708.8522382503779</v>
      </c>
      <c r="U16" s="23">
        <f t="shared" si="11"/>
        <v>6279.7374620754163</v>
      </c>
      <c r="V16" s="23">
        <f t="shared" si="11"/>
        <v>6907.711208282959</v>
      </c>
      <c r="W16" s="23">
        <f t="shared" ref="W16" si="12">W15-W17</f>
        <v>7598.4823291112552</v>
      </c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</row>
    <row r="17" spans="1:201" x14ac:dyDescent="0.15">
      <c r="A17" s="3" t="s">
        <v>2</v>
      </c>
      <c r="B17" s="23"/>
      <c r="C17" s="23"/>
      <c r="D17" s="23"/>
      <c r="E17" s="23"/>
      <c r="F17" s="26">
        <f>F15-F16</f>
        <v>430.00799999999998</v>
      </c>
      <c r="G17" s="26">
        <f>G15-G16</f>
        <v>500.18200000000007</v>
      </c>
      <c r="H17" s="26">
        <f>H15-H16</f>
        <v>740.12599999999998</v>
      </c>
      <c r="I17" s="23">
        <f>I15*H30</f>
        <v>1036.1763999999998</v>
      </c>
      <c r="J17" s="23">
        <f t="shared" ref="I17:W17" si="13">J15*I30</f>
        <v>1450.6469599999998</v>
      </c>
      <c r="K17" s="23">
        <f t="shared" si="13"/>
        <v>2030.9057439999999</v>
      </c>
      <c r="L17" s="23">
        <f>L15*K30</f>
        <v>2843.2680415999998</v>
      </c>
      <c r="M17" s="23">
        <f t="shared" si="13"/>
        <v>3980.5752582399996</v>
      </c>
      <c r="N17" s="23">
        <f t="shared" si="13"/>
        <v>4776.6903098879993</v>
      </c>
      <c r="O17" s="23">
        <f t="shared" si="13"/>
        <v>5732.0283718655992</v>
      </c>
      <c r="P17" s="23">
        <f t="shared" si="13"/>
        <v>6878.434046238719</v>
      </c>
      <c r="Q17" s="23">
        <f t="shared" si="13"/>
        <v>8254.1208554864625</v>
      </c>
      <c r="R17" s="23">
        <f t="shared" si="13"/>
        <v>9904.945026583755</v>
      </c>
      <c r="S17" s="23">
        <f t="shared" si="13"/>
        <v>10895.439529242132</v>
      </c>
      <c r="T17" s="23">
        <f t="shared" si="13"/>
        <v>11984.983482166344</v>
      </c>
      <c r="U17" s="23">
        <f t="shared" si="13"/>
        <v>13183.481830382982</v>
      </c>
      <c r="V17" s="23">
        <f t="shared" si="13"/>
        <v>14501.83001342128</v>
      </c>
      <c r="W17" s="23">
        <f t="shared" si="13"/>
        <v>15952.013014763412</v>
      </c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</row>
    <row r="18" spans="1:201" x14ac:dyDescent="0.15">
      <c r="A18" s="3" t="s">
        <v>3</v>
      </c>
      <c r="B18" s="23"/>
      <c r="C18" s="23"/>
      <c r="D18" s="23"/>
      <c r="E18" s="23"/>
      <c r="F18" s="37">
        <v>285</v>
      </c>
      <c r="G18" s="37">
        <f>SUM(Reports!F11:I11)</f>
        <v>306</v>
      </c>
      <c r="H18" s="37">
        <f>SUM(Reports!J11:M11)</f>
        <v>561</v>
      </c>
      <c r="I18" s="23">
        <f>H18*0.8</f>
        <v>448.8</v>
      </c>
      <c r="J18" s="23">
        <f>I18*1.25</f>
        <v>561</v>
      </c>
      <c r="K18" s="23">
        <f t="shared" ref="K18:M18" si="14">J18*1.25</f>
        <v>701.25</v>
      </c>
      <c r="L18" s="23">
        <f t="shared" si="14"/>
        <v>876.5625</v>
      </c>
      <c r="M18" s="23">
        <f t="shared" si="14"/>
        <v>1095.703125</v>
      </c>
      <c r="N18" s="23">
        <f>M18*1.2</f>
        <v>1314.84375</v>
      </c>
      <c r="O18" s="23">
        <f t="shared" ref="O18:R18" si="15">N18*1.2</f>
        <v>1577.8125</v>
      </c>
      <c r="P18" s="23">
        <f t="shared" si="15"/>
        <v>1893.375</v>
      </c>
      <c r="Q18" s="23">
        <f t="shared" si="15"/>
        <v>2272.0499999999997</v>
      </c>
      <c r="R18" s="23">
        <f t="shared" si="15"/>
        <v>2726.4599999999996</v>
      </c>
      <c r="S18" s="23">
        <f>R18*1.1</f>
        <v>2999.1059999999998</v>
      </c>
      <c r="T18" s="23">
        <f t="shared" ref="T18:W18" si="16">S18*1.1</f>
        <v>3299.0165999999999</v>
      </c>
      <c r="U18" s="23">
        <f t="shared" si="16"/>
        <v>3628.9182600000004</v>
      </c>
      <c r="V18" s="23">
        <f t="shared" si="16"/>
        <v>3991.8100860000009</v>
      </c>
      <c r="W18" s="23">
        <f t="shared" si="16"/>
        <v>4390.9910946000009</v>
      </c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</row>
    <row r="19" spans="1:201" x14ac:dyDescent="0.15">
      <c r="A19" s="3" t="s">
        <v>4</v>
      </c>
      <c r="B19" s="23"/>
      <c r="C19" s="23"/>
      <c r="D19" s="23"/>
      <c r="E19" s="23"/>
      <c r="F19" s="37">
        <v>462</v>
      </c>
      <c r="G19" s="37">
        <f>SUM(Reports!F12:I12)</f>
        <v>451</v>
      </c>
      <c r="H19" s="37">
        <f>SUM(Reports!J12:M12)</f>
        <v>685</v>
      </c>
      <c r="I19" s="23">
        <f>H19*0.8</f>
        <v>548</v>
      </c>
      <c r="J19" s="23">
        <f t="shared" ref="J19:M19" si="17">I19*1.2</f>
        <v>657.6</v>
      </c>
      <c r="K19" s="23">
        <f t="shared" si="17"/>
        <v>789.12</v>
      </c>
      <c r="L19" s="23">
        <f t="shared" si="17"/>
        <v>946.94399999999996</v>
      </c>
      <c r="M19" s="23">
        <f t="shared" si="17"/>
        <v>1136.3327999999999</v>
      </c>
      <c r="N19" s="23">
        <f>M19*1.1</f>
        <v>1249.9660799999999</v>
      </c>
      <c r="O19" s="23">
        <f t="shared" ref="O19:R19" si="18">N19*1.1</f>
        <v>1374.9626880000001</v>
      </c>
      <c r="P19" s="23">
        <f t="shared" si="18"/>
        <v>1512.4589568000001</v>
      </c>
      <c r="Q19" s="23">
        <f t="shared" si="18"/>
        <v>1663.7048524800002</v>
      </c>
      <c r="R19" s="23">
        <f t="shared" si="18"/>
        <v>1830.0753377280005</v>
      </c>
      <c r="S19" s="23">
        <f>R19*0.95</f>
        <v>1738.5715708416003</v>
      </c>
      <c r="T19" s="23">
        <f t="shared" ref="T19:W19" si="19">S19*0.95</f>
        <v>1651.6429922995203</v>
      </c>
      <c r="U19" s="23">
        <f t="shared" si="19"/>
        <v>1569.0608426845442</v>
      </c>
      <c r="V19" s="23">
        <f t="shared" si="19"/>
        <v>1490.6078005503171</v>
      </c>
      <c r="W19" s="23">
        <f t="shared" si="19"/>
        <v>1416.0774105228011</v>
      </c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</row>
    <row r="20" spans="1:201" x14ac:dyDescent="0.15">
      <c r="A20" s="3" t="s">
        <v>5</v>
      </c>
      <c r="B20" s="23"/>
      <c r="C20" s="23"/>
      <c r="D20" s="23"/>
      <c r="E20" s="23"/>
      <c r="F20" s="37">
        <v>306</v>
      </c>
      <c r="G20" s="37">
        <f>SUM(Reports!F13:I13)</f>
        <v>321</v>
      </c>
      <c r="H20" s="37">
        <f>SUM(Reports!J13:M13)</f>
        <v>669</v>
      </c>
      <c r="I20" s="23">
        <f>H20*0.7</f>
        <v>468.29999999999995</v>
      </c>
      <c r="J20" s="23">
        <f>I20*1.15</f>
        <v>538.54499999999996</v>
      </c>
      <c r="K20" s="23">
        <f t="shared" ref="K20:M20" si="20">J20*1.15</f>
        <v>619.32674999999995</v>
      </c>
      <c r="L20" s="23">
        <f t="shared" si="20"/>
        <v>712.22576249999986</v>
      </c>
      <c r="M20" s="23">
        <f t="shared" si="20"/>
        <v>819.05962687499982</v>
      </c>
      <c r="N20" s="23">
        <f>M20*1.05</f>
        <v>860.01260821874985</v>
      </c>
      <c r="O20" s="23">
        <f t="shared" ref="O20:R20" si="21">N20*1.05</f>
        <v>903.01323862968741</v>
      </c>
      <c r="P20" s="23">
        <f t="shared" si="21"/>
        <v>948.16390056117177</v>
      </c>
      <c r="Q20" s="23">
        <f t="shared" si="21"/>
        <v>995.57209558923046</v>
      </c>
      <c r="R20" s="23">
        <f t="shared" si="21"/>
        <v>1045.3507003686921</v>
      </c>
      <c r="S20" s="23">
        <f t="shared" ref="M20:W20" si="22">R20*0.98</f>
        <v>1024.4436863613182</v>
      </c>
      <c r="T20" s="23">
        <f t="shared" si="22"/>
        <v>1003.9548126340918</v>
      </c>
      <c r="U20" s="23">
        <f t="shared" si="22"/>
        <v>983.87571638140992</v>
      </c>
      <c r="V20" s="23">
        <f t="shared" si="22"/>
        <v>964.19820205378176</v>
      </c>
      <c r="W20" s="23">
        <f t="shared" si="22"/>
        <v>944.91423801270605</v>
      </c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</row>
    <row r="21" spans="1:201" x14ac:dyDescent="0.15">
      <c r="A21" s="3" t="s">
        <v>6</v>
      </c>
      <c r="B21" s="23"/>
      <c r="C21" s="23"/>
      <c r="D21" s="23"/>
      <c r="E21" s="23"/>
      <c r="F21" s="26">
        <f>SUM(F18:F20)</f>
        <v>1053</v>
      </c>
      <c r="G21" s="26">
        <f>SUM(G18:G20)</f>
        <v>1078</v>
      </c>
      <c r="H21" s="26">
        <f>SUM(H18:H20)</f>
        <v>1915</v>
      </c>
      <c r="I21" s="23">
        <f>SUM(I18:I20)</f>
        <v>1465.1</v>
      </c>
      <c r="J21" s="23">
        <f t="shared" ref="J21:Q21" si="23">SUM(J18:J20)</f>
        <v>1757.145</v>
      </c>
      <c r="K21" s="23">
        <f t="shared" si="23"/>
        <v>2109.6967500000001</v>
      </c>
      <c r="L21" s="23">
        <f t="shared" si="23"/>
        <v>2535.7322624999997</v>
      </c>
      <c r="M21" s="23">
        <f t="shared" si="23"/>
        <v>3051.0955518749997</v>
      </c>
      <c r="N21" s="23">
        <f t="shared" si="23"/>
        <v>3424.82243821875</v>
      </c>
      <c r="O21" s="23">
        <f t="shared" si="23"/>
        <v>3855.7884266296874</v>
      </c>
      <c r="P21" s="23">
        <f t="shared" si="23"/>
        <v>4353.9978573611716</v>
      </c>
      <c r="Q21" s="23">
        <f t="shared" si="23"/>
        <v>4931.3269480692306</v>
      </c>
      <c r="R21" s="23">
        <f t="shared" ref="R21" si="24">SUM(R18:R20)</f>
        <v>5601.8860380966917</v>
      </c>
      <c r="S21" s="23">
        <f t="shared" ref="R21:V21" si="25">SUM(S18:S20)</f>
        <v>5762.1212572029181</v>
      </c>
      <c r="T21" s="23">
        <f t="shared" si="25"/>
        <v>5954.6144049336117</v>
      </c>
      <c r="U21" s="23">
        <f t="shared" si="25"/>
        <v>6181.8548190659549</v>
      </c>
      <c r="V21" s="23">
        <f t="shared" si="25"/>
        <v>6446.6160886040998</v>
      </c>
      <c r="W21" s="23">
        <f t="shared" ref="W21" si="26">SUM(W18:W20)</f>
        <v>6751.9827431355079</v>
      </c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</row>
    <row r="22" spans="1:201" x14ac:dyDescent="0.15">
      <c r="A22" s="3" t="s">
        <v>7</v>
      </c>
      <c r="B22" s="23"/>
      <c r="C22" s="23"/>
      <c r="D22" s="23"/>
      <c r="E22" s="23"/>
      <c r="F22" s="26">
        <f>F17-F21</f>
        <v>-622.99199999999996</v>
      </c>
      <c r="G22" s="26">
        <f>G17-G21</f>
        <v>-577.81799999999998</v>
      </c>
      <c r="H22" s="26">
        <f>H17-H21</f>
        <v>-1174.874</v>
      </c>
      <c r="I22" s="23">
        <f>I17-I21</f>
        <v>-428.92360000000008</v>
      </c>
      <c r="J22" s="23">
        <f t="shared" ref="J22:Q22" si="27">J17-J21</f>
        <v>-306.49804000000017</v>
      </c>
      <c r="K22" s="23">
        <f t="shared" si="27"/>
        <v>-78.791006000000152</v>
      </c>
      <c r="L22" s="23">
        <f t="shared" si="27"/>
        <v>307.53577910000013</v>
      </c>
      <c r="M22" s="23">
        <f t="shared" si="27"/>
        <v>929.47970636499986</v>
      </c>
      <c r="N22" s="23">
        <f t="shared" si="27"/>
        <v>1351.8678716692493</v>
      </c>
      <c r="O22" s="23">
        <f t="shared" si="27"/>
        <v>1876.2399452359118</v>
      </c>
      <c r="P22" s="23">
        <f t="shared" si="27"/>
        <v>2524.4361888775475</v>
      </c>
      <c r="Q22" s="23">
        <f t="shared" si="27"/>
        <v>3322.7939074172318</v>
      </c>
      <c r="R22" s="23">
        <f t="shared" ref="R22" si="28">R17-R21</f>
        <v>4303.0589884870633</v>
      </c>
      <c r="S22" s="23">
        <f t="shared" ref="R22:V22" si="29">S17-S21</f>
        <v>5133.3182720392142</v>
      </c>
      <c r="T22" s="23">
        <f t="shared" si="29"/>
        <v>6030.3690772327327</v>
      </c>
      <c r="U22" s="23">
        <f t="shared" si="29"/>
        <v>7001.6270113170267</v>
      </c>
      <c r="V22" s="23">
        <f t="shared" si="29"/>
        <v>8055.2139248171807</v>
      </c>
      <c r="W22" s="23">
        <f t="shared" ref="W22" si="30">W17-W21</f>
        <v>9200.0302716279039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</row>
    <row r="23" spans="1:201" x14ac:dyDescent="0.15">
      <c r="A23" s="3" t="s">
        <v>8</v>
      </c>
      <c r="B23" s="23"/>
      <c r="C23" s="23"/>
      <c r="D23" s="23"/>
      <c r="E23" s="23"/>
      <c r="F23" s="23">
        <f>10-3+48-3</f>
        <v>52</v>
      </c>
      <c r="G23" s="37">
        <f>SUM(Reports!F16:I16)</f>
        <v>7</v>
      </c>
      <c r="H23" s="37">
        <f>SUM(Reports!J16:M16)</f>
        <v>-7</v>
      </c>
      <c r="I23" s="23">
        <f>H40*$F$3</f>
        <v>92.5</v>
      </c>
      <c r="J23" s="23">
        <f>I40*$F$3</f>
        <v>75.678820000000002</v>
      </c>
      <c r="K23" s="23">
        <f>J40*$F$3</f>
        <v>64.137858999999992</v>
      </c>
      <c r="L23" s="23">
        <f>K40*$F$3</f>
        <v>63.405201649999981</v>
      </c>
      <c r="M23" s="23">
        <f>L40*$F$3</f>
        <v>80.097545783749979</v>
      </c>
      <c r="N23" s="23">
        <f>M40*$F$3</f>
        <v>125.52852213044372</v>
      </c>
      <c r="O23" s="23">
        <f>N40*$F$3</f>
        <v>192.01135985142992</v>
      </c>
      <c r="P23" s="23">
        <f>O40*$F$3</f>
        <v>285.08266858036029</v>
      </c>
      <c r="Q23" s="23">
        <f>P40*$F$3</f>
        <v>411.51101716596617</v>
      </c>
      <c r="R23" s="23">
        <f>Q40*$F$3</f>
        <v>579.55473877221004</v>
      </c>
      <c r="S23" s="23">
        <f>R40*$F$3</f>
        <v>799.27235649887734</v>
      </c>
      <c r="T23" s="23">
        <f>S40*$F$3</f>
        <v>1066.2389347830915</v>
      </c>
      <c r="U23" s="23">
        <f>T40*$F$3</f>
        <v>1385.5862953238038</v>
      </c>
      <c r="V23" s="23">
        <f>U40*$F$3</f>
        <v>1763.0108941226413</v>
      </c>
      <c r="W23" s="23">
        <f>V40*$F$3</f>
        <v>2204.8310109749332</v>
      </c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</row>
    <row r="24" spans="1:201" x14ac:dyDescent="0.15">
      <c r="A24" s="3" t="s">
        <v>9</v>
      </c>
      <c r="B24" s="23"/>
      <c r="C24" s="23"/>
      <c r="D24" s="23"/>
      <c r="E24" s="23"/>
      <c r="F24" s="26">
        <f>F22+F23</f>
        <v>-570.99199999999996</v>
      </c>
      <c r="G24" s="26">
        <f>G22+G23</f>
        <v>-570.81799999999998</v>
      </c>
      <c r="H24" s="26">
        <f>H22+H23</f>
        <v>-1181.874</v>
      </c>
      <c r="I24" s="23">
        <f>I22+I23</f>
        <v>-336.42360000000008</v>
      </c>
      <c r="J24" s="23">
        <f t="shared" ref="J24" si="31">J22+J23</f>
        <v>-230.81922000000017</v>
      </c>
      <c r="K24" s="23">
        <f t="shared" ref="K24" si="32">K22+K23</f>
        <v>-14.65314700000016</v>
      </c>
      <c r="L24" s="23">
        <f t="shared" ref="L24" si="33">L22+L23</f>
        <v>370.94098075000011</v>
      </c>
      <c r="M24" s="23">
        <f t="shared" ref="M24" si="34">M22+M23</f>
        <v>1009.5772521487498</v>
      </c>
      <c r="N24" s="23">
        <f t="shared" ref="N24" si="35">N22+N23</f>
        <v>1477.396393799693</v>
      </c>
      <c r="O24" s="23">
        <f t="shared" ref="O24" si="36">O22+O23</f>
        <v>2068.2513050873417</v>
      </c>
      <c r="P24" s="23">
        <f t="shared" ref="P24" si="37">P22+P23</f>
        <v>2809.5188574579079</v>
      </c>
      <c r="Q24" s="23">
        <f t="shared" ref="Q24:R24" si="38">Q22+Q23</f>
        <v>3734.304924583198</v>
      </c>
      <c r="R24" s="23">
        <f t="shared" ref="R24" si="39">R22+R23</f>
        <v>4882.6137272592732</v>
      </c>
      <c r="S24" s="23">
        <f t="shared" ref="S24:V24" si="40">S22+S23</f>
        <v>5932.5906285380916</v>
      </c>
      <c r="T24" s="23">
        <f t="shared" si="40"/>
        <v>7096.608012015824</v>
      </c>
      <c r="U24" s="23">
        <f t="shared" si="40"/>
        <v>8387.2133066408314</v>
      </c>
      <c r="V24" s="23">
        <f t="shared" si="40"/>
        <v>9818.2248189398215</v>
      </c>
      <c r="W24" s="23">
        <f t="shared" ref="W24" si="41">W22+W23</f>
        <v>11404.861282602837</v>
      </c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</row>
    <row r="25" spans="1:201" x14ac:dyDescent="0.15">
      <c r="A25" s="3" t="s">
        <v>10</v>
      </c>
      <c r="B25" s="23"/>
      <c r="C25" s="23"/>
      <c r="D25" s="23"/>
      <c r="E25" s="23"/>
      <c r="F25" s="23">
        <v>9</v>
      </c>
      <c r="G25" s="37">
        <f>SUM(Reports!F18:I18)</f>
        <v>12</v>
      </c>
      <c r="H25" s="37">
        <f>SUM(Reports!J18:M18)</f>
        <v>-13</v>
      </c>
      <c r="I25" s="23">
        <v>0</v>
      </c>
      <c r="J25" s="23">
        <v>0</v>
      </c>
      <c r="K25" s="23">
        <v>0</v>
      </c>
      <c r="L25" s="23">
        <f t="shared" ref="K25:Q25" si="42">L24*0.1</f>
        <v>37.094098075000012</v>
      </c>
      <c r="M25" s="23">
        <f t="shared" si="42"/>
        <v>100.95772521487498</v>
      </c>
      <c r="N25" s="23">
        <f t="shared" si="42"/>
        <v>147.7396393799693</v>
      </c>
      <c r="O25" s="23">
        <f t="shared" si="42"/>
        <v>206.82513050873419</v>
      </c>
      <c r="P25" s="23">
        <f t="shared" si="42"/>
        <v>280.95188574579078</v>
      </c>
      <c r="Q25" s="23">
        <f t="shared" si="42"/>
        <v>373.4304924583198</v>
      </c>
      <c r="R25" s="23">
        <f t="shared" ref="R25" si="43">R24*0.1</f>
        <v>488.26137272592734</v>
      </c>
      <c r="S25" s="23">
        <f t="shared" ref="R25:V25" si="44">S24*0.1</f>
        <v>593.25906285380916</v>
      </c>
      <c r="T25" s="23">
        <f t="shared" si="44"/>
        <v>709.66080120158244</v>
      </c>
      <c r="U25" s="23">
        <f t="shared" si="44"/>
        <v>838.72133066408321</v>
      </c>
      <c r="V25" s="23">
        <f t="shared" si="44"/>
        <v>981.82248189398217</v>
      </c>
      <c r="W25" s="23">
        <f t="shared" ref="W25" si="45">W24*0.1</f>
        <v>1140.4861282602837</v>
      </c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</row>
    <row r="26" spans="1:201" s="2" customFormat="1" x14ac:dyDescent="0.15">
      <c r="A26" s="2" t="s">
        <v>11</v>
      </c>
      <c r="B26" s="23"/>
      <c r="C26" s="23"/>
      <c r="D26" s="23"/>
      <c r="E26" s="23"/>
      <c r="F26" s="24">
        <f>F24-F25</f>
        <v>-579.99199999999996</v>
      </c>
      <c r="G26" s="24">
        <f t="shared" ref="G26:I26" si="46">G24-G25</f>
        <v>-582.81799999999998</v>
      </c>
      <c r="H26" s="24">
        <f>H24-H25</f>
        <v>-1168.874</v>
      </c>
      <c r="I26" s="24">
        <f t="shared" si="46"/>
        <v>-336.42360000000008</v>
      </c>
      <c r="J26" s="24">
        <f t="shared" ref="J26:Q26" si="47">J24-J25</f>
        <v>-230.81922000000017</v>
      </c>
      <c r="K26" s="24">
        <f t="shared" si="47"/>
        <v>-14.65314700000016</v>
      </c>
      <c r="L26" s="24">
        <f t="shared" si="47"/>
        <v>333.84688267500007</v>
      </c>
      <c r="M26" s="24">
        <f t="shared" si="47"/>
        <v>908.61952693387479</v>
      </c>
      <c r="N26" s="24">
        <f t="shared" si="47"/>
        <v>1329.6567544197237</v>
      </c>
      <c r="O26" s="24">
        <f t="shared" si="47"/>
        <v>1861.4261745786075</v>
      </c>
      <c r="P26" s="24">
        <f t="shared" si="47"/>
        <v>2528.5669717121173</v>
      </c>
      <c r="Q26" s="24">
        <f t="shared" si="47"/>
        <v>3360.8744321248782</v>
      </c>
      <c r="R26" s="24">
        <f t="shared" ref="R26" si="48">R24-R25</f>
        <v>4394.3523545333455</v>
      </c>
      <c r="S26" s="24">
        <f t="shared" ref="R26:V26" si="49">S24-S25</f>
        <v>5339.3315656842824</v>
      </c>
      <c r="T26" s="24">
        <f t="shared" si="49"/>
        <v>6386.9472108142418</v>
      </c>
      <c r="U26" s="24">
        <f t="shared" si="49"/>
        <v>7548.4919759767481</v>
      </c>
      <c r="V26" s="24">
        <f t="shared" si="49"/>
        <v>8836.4023370458399</v>
      </c>
      <c r="W26" s="24">
        <f t="shared" ref="W26" si="50">W24-W25</f>
        <v>10264.375154342553</v>
      </c>
      <c r="X26" s="24">
        <f>W26*($F$2+1)</f>
        <v>10367.01890588598</v>
      </c>
      <c r="Y26" s="24">
        <f>X26*($F$2+1)</f>
        <v>10470.689094944839</v>
      </c>
      <c r="Z26" s="24">
        <f>Y26*($F$2+1)</f>
        <v>10575.395985894287</v>
      </c>
      <c r="AA26" s="24">
        <f>Z26*($F$2+1)</f>
        <v>10681.14994575323</v>
      </c>
      <c r="AB26" s="24">
        <f>AA26*($F$2+1)</f>
        <v>10787.961445210762</v>
      </c>
      <c r="AC26" s="24">
        <f>AB26*($F$2+1)</f>
        <v>10895.841059662869</v>
      </c>
      <c r="AD26" s="24">
        <f>AC26*($F$2+1)</f>
        <v>11004.799470259499</v>
      </c>
      <c r="AE26" s="24">
        <f>AD26*($F$2+1)</f>
        <v>11114.847464962093</v>
      </c>
      <c r="AF26" s="24">
        <f>AE26*($F$2+1)</f>
        <v>11225.995939611714</v>
      </c>
      <c r="AG26" s="24">
        <f>AF26*($F$2+1)</f>
        <v>11338.255899007831</v>
      </c>
      <c r="AH26" s="24">
        <f>AG26*($F$2+1)</f>
        <v>11451.638457997909</v>
      </c>
      <c r="AI26" s="24">
        <f>AH26*($F$2+1)</f>
        <v>11566.154842577889</v>
      </c>
      <c r="AJ26" s="24">
        <f>AI26*($F$2+1)</f>
        <v>11681.816391003667</v>
      </c>
      <c r="AK26" s="24">
        <f>AJ26*($F$2+1)</f>
        <v>11798.634554913704</v>
      </c>
      <c r="AL26" s="24">
        <f>AK26*($F$2+1)</f>
        <v>11916.620900462842</v>
      </c>
      <c r="AM26" s="24">
        <f>AL26*($F$2+1)</f>
        <v>12035.78710946747</v>
      </c>
      <c r="AN26" s="24">
        <f>AM26*($F$2+1)</f>
        <v>12156.144980562145</v>
      </c>
      <c r="AO26" s="24">
        <f>AN26*($F$2+1)</f>
        <v>12277.706430367767</v>
      </c>
      <c r="AP26" s="24">
        <f>AO26*($F$2+1)</f>
        <v>12400.483494671445</v>
      </c>
      <c r="AQ26" s="24">
        <f>AP26*($F$2+1)</f>
        <v>12524.48832961816</v>
      </c>
      <c r="AR26" s="24">
        <f>AQ26*($F$2+1)</f>
        <v>12649.733212914341</v>
      </c>
      <c r="AS26" s="24">
        <f>AR26*($F$2+1)</f>
        <v>12776.230545043485</v>
      </c>
      <c r="AT26" s="24">
        <f>AS26*($F$2+1)</f>
        <v>12903.99285049392</v>
      </c>
      <c r="AU26" s="24">
        <f>AT26*($F$2+1)</f>
        <v>13033.032778998859</v>
      </c>
      <c r="AV26" s="24">
        <f>AU26*($F$2+1)</f>
        <v>13163.363106788847</v>
      </c>
      <c r="AW26" s="24">
        <f>AV26*($F$2+1)</f>
        <v>13294.996737856736</v>
      </c>
      <c r="AX26" s="24">
        <f>AW26*($F$2+1)</f>
        <v>13427.946705235303</v>
      </c>
      <c r="AY26" s="24">
        <f>AX26*($F$2+1)</f>
        <v>13562.226172287656</v>
      </c>
      <c r="AZ26" s="24">
        <f>AY26*($F$2+1)</f>
        <v>13697.848434010531</v>
      </c>
      <c r="BA26" s="24">
        <f>AZ26*($F$2+1)</f>
        <v>13834.826918350636</v>
      </c>
      <c r="BB26" s="24">
        <f>BA26*($F$2+1)</f>
        <v>13973.175187534143</v>
      </c>
      <c r="BC26" s="24">
        <f>BB26*($F$2+1)</f>
        <v>14112.906939409484</v>
      </c>
      <c r="BD26" s="24">
        <f>BC26*($F$2+1)</f>
        <v>14254.03600880358</v>
      </c>
      <c r="BE26" s="24">
        <f>BD26*($F$2+1)</f>
        <v>14396.576368891616</v>
      </c>
      <c r="BF26" s="24">
        <f>BE26*($F$2+1)</f>
        <v>14540.542132580533</v>
      </c>
      <c r="BG26" s="24">
        <f>BF26*($F$2+1)</f>
        <v>14685.947553906339</v>
      </c>
      <c r="BH26" s="24">
        <f>BG26*($F$2+1)</f>
        <v>14832.807029445403</v>
      </c>
      <c r="BI26" s="24">
        <f>BH26*($F$2+1)</f>
        <v>14981.135099739857</v>
      </c>
      <c r="BJ26" s="24">
        <f>BI26*($F$2+1)</f>
        <v>15130.946450737256</v>
      </c>
      <c r="BK26" s="24">
        <f>BJ26*($F$2+1)</f>
        <v>15282.255915244628</v>
      </c>
      <c r="BL26" s="24">
        <f>BK26*($F$2+1)</f>
        <v>15435.078474397074</v>
      </c>
      <c r="BM26" s="24">
        <f>BL26*($F$2+1)</f>
        <v>15589.429259141045</v>
      </c>
      <c r="BN26" s="24">
        <f>BM26*($F$2+1)</f>
        <v>15745.323551732456</v>
      </c>
      <c r="BO26" s="24">
        <f>BN26*($F$2+1)</f>
        <v>15902.776787249781</v>
      </c>
      <c r="BP26" s="24">
        <f>BO26*($F$2+1)</f>
        <v>16061.804555122279</v>
      </c>
      <c r="BQ26" s="24">
        <f>BP26*($F$2+1)</f>
        <v>16222.422600673501</v>
      </c>
      <c r="BR26" s="24">
        <f>BQ26*($F$2+1)</f>
        <v>16384.646826680237</v>
      </c>
      <c r="BS26" s="24">
        <f>BR26*($F$2+1)</f>
        <v>16548.493294947039</v>
      </c>
      <c r="BT26" s="24">
        <f>BS26*($F$2+1)</f>
        <v>16713.97822789651</v>
      </c>
      <c r="BU26" s="24">
        <f>BT26*($F$2+1)</f>
        <v>16881.118010175476</v>
      </c>
      <c r="BV26" s="24">
        <f>BU26*($F$2+1)</f>
        <v>17049.929190277231</v>
      </c>
      <c r="BW26" s="24">
        <f>BV26*($F$2+1)</f>
        <v>17220.428482180003</v>
      </c>
      <c r="BX26" s="24">
        <f>BW26*($F$2+1)</f>
        <v>17392.632767001804</v>
      </c>
      <c r="BY26" s="24">
        <f>BX26*($F$2+1)</f>
        <v>17566.559094671822</v>
      </c>
      <c r="BZ26" s="24">
        <f>BY26*($F$2+1)</f>
        <v>17742.224685618541</v>
      </c>
      <c r="CA26" s="24">
        <f>BZ26*($F$2+1)</f>
        <v>17919.646932474727</v>
      </c>
      <c r="CB26" s="24">
        <f>CA26*($F$2+1)</f>
        <v>18098.843401799473</v>
      </c>
      <c r="CC26" s="24">
        <f>CB26*($F$2+1)</f>
        <v>18279.831835817469</v>
      </c>
      <c r="CD26" s="24">
        <f>CC26*($F$2+1)</f>
        <v>18462.630154175644</v>
      </c>
      <c r="CE26" s="24">
        <f>CD26*($F$2+1)</f>
        <v>18647.256455717401</v>
      </c>
      <c r="CF26" s="24">
        <f>CE26*($F$2+1)</f>
        <v>18833.729020274575</v>
      </c>
      <c r="CG26" s="24">
        <f>CF26*($F$2+1)</f>
        <v>19022.066310477323</v>
      </c>
      <c r="CH26" s="24">
        <f>CG26*($F$2+1)</f>
        <v>19212.286973582097</v>
      </c>
      <c r="CI26" s="24">
        <f>CH26*($F$2+1)</f>
        <v>19404.409843317917</v>
      </c>
      <c r="CJ26" s="24">
        <f>CI26*($F$2+1)</f>
        <v>19598.453941751097</v>
      </c>
      <c r="CK26" s="24">
        <f>CJ26*($F$2+1)</f>
        <v>19794.438481168607</v>
      </c>
      <c r="CL26" s="24">
        <f>CK26*($F$2+1)</f>
        <v>19992.382865980293</v>
      </c>
      <c r="CM26" s="24">
        <f>CL26*($F$2+1)</f>
        <v>20192.306694640098</v>
      </c>
      <c r="CN26" s="24">
        <f>CM26*($F$2+1)</f>
        <v>20394.229761586499</v>
      </c>
      <c r="CO26" s="24">
        <f>CN26*($F$2+1)</f>
        <v>20598.172059202363</v>
      </c>
      <c r="CP26" s="24">
        <f>CO26*($F$2+1)</f>
        <v>20804.153779794386</v>
      </c>
      <c r="CQ26" s="24">
        <f>CP26*($F$2+1)</f>
        <v>21012.19531759233</v>
      </c>
      <c r="CR26" s="24">
        <f>CQ26*($F$2+1)</f>
        <v>21222.317270768253</v>
      </c>
      <c r="CS26" s="24">
        <f>CR26*($F$2+1)</f>
        <v>21434.540443475937</v>
      </c>
      <c r="CT26" s="24">
        <f>CS26*($F$2+1)</f>
        <v>21648.885847910697</v>
      </c>
      <c r="CU26" s="24">
        <f>CT26*($F$2+1)</f>
        <v>21865.374706389804</v>
      </c>
      <c r="CV26" s="24">
        <f>CU26*($F$2+1)</f>
        <v>22084.028453453702</v>
      </c>
      <c r="CW26" s="24">
        <f>CV26*($F$2+1)</f>
        <v>22304.868737988239</v>
      </c>
      <c r="CX26" s="24">
        <f>CW26*($F$2+1)</f>
        <v>22527.917425368123</v>
      </c>
      <c r="CY26" s="24">
        <f>CX26*($F$2+1)</f>
        <v>22753.196599621806</v>
      </c>
      <c r="CZ26" s="24">
        <f>CY26*($F$2+1)</f>
        <v>22980.728565618025</v>
      </c>
      <c r="DA26" s="24">
        <f>CZ26*($F$2+1)</f>
        <v>23210.535851274206</v>
      </c>
      <c r="DB26" s="24">
        <f>DA26*($F$2+1)</f>
        <v>23442.641209786947</v>
      </c>
      <c r="DC26" s="24">
        <f>DB26*($F$2+1)</f>
        <v>23677.067621884817</v>
      </c>
      <c r="DD26" s="24">
        <f>DC26*($F$2+1)</f>
        <v>23913.838298103667</v>
      </c>
      <c r="DE26" s="24">
        <f>DD26*($F$2+1)</f>
        <v>24152.976681084703</v>
      </c>
      <c r="DF26" s="24">
        <f>DE26*($F$2+1)</f>
        <v>24394.50644789555</v>
      </c>
      <c r="DG26" s="24">
        <f>DF26*($F$2+1)</f>
        <v>24638.451512374504</v>
      </c>
      <c r="DH26" s="24">
        <f>DG26*($F$2+1)</f>
        <v>24884.836027498248</v>
      </c>
      <c r="DI26" s="24">
        <f>DH26*($F$2+1)</f>
        <v>25133.684387773232</v>
      </c>
      <c r="DJ26" s="24">
        <f>DI26*($F$2+1)</f>
        <v>25385.021231650964</v>
      </c>
      <c r="DK26" s="24">
        <f>DJ26*($F$2+1)</f>
        <v>25638.871443967473</v>
      </c>
      <c r="DL26" s="24">
        <f>DK26*($F$2+1)</f>
        <v>25895.260158407149</v>
      </c>
      <c r="DM26" s="24">
        <f>DL26*($F$2+1)</f>
        <v>26154.21275999122</v>
      </c>
      <c r="DN26" s="24">
        <f>DM26*($F$2+1)</f>
        <v>26415.754887591134</v>
      </c>
      <c r="DO26" s="24">
        <f>DN26*($F$2+1)</f>
        <v>26679.912436467046</v>
      </c>
      <c r="DP26" s="24">
        <f>DO26*($F$2+1)</f>
        <v>26946.711560831718</v>
      </c>
      <c r="DQ26" s="24">
        <f>DP26*($F$2+1)</f>
        <v>27216.178676440035</v>
      </c>
      <c r="DR26" s="24">
        <f>DQ26*($F$2+1)</f>
        <v>27488.340463204437</v>
      </c>
      <c r="DS26" s="24">
        <f>DR26*($F$2+1)</f>
        <v>27763.223867836481</v>
      </c>
      <c r="DT26" s="24">
        <f>DS26*($F$2+1)</f>
        <v>28040.856106514846</v>
      </c>
      <c r="DU26" s="24">
        <f>DT26*($F$2+1)</f>
        <v>28321.264667579995</v>
      </c>
      <c r="DV26" s="24">
        <f>DU26*($F$2+1)</f>
        <v>28604.477314255797</v>
      </c>
      <c r="DW26" s="24">
        <f>DV26*($F$2+1)</f>
        <v>28890.522087398356</v>
      </c>
      <c r="DX26" s="24">
        <f>DW26*($F$2+1)</f>
        <v>29179.427308272341</v>
      </c>
      <c r="DY26" s="24">
        <f>DX26*($F$2+1)</f>
        <v>29471.221581355065</v>
      </c>
      <c r="DZ26" s="24">
        <f>DY26*($F$2+1)</f>
        <v>29765.933797168615</v>
      </c>
      <c r="EA26" s="24">
        <f>DZ26*($F$2+1)</f>
        <v>30063.593135140301</v>
      </c>
      <c r="EB26" s="24">
        <f>EA26*($F$2+1)</f>
        <v>30364.229066491705</v>
      </c>
      <c r="EC26" s="24">
        <f>EB26*($F$2+1)</f>
        <v>30667.871357156622</v>
      </c>
      <c r="ED26" s="24">
        <f>EC26*($F$2+1)</f>
        <v>30974.55007072819</v>
      </c>
      <c r="EE26" s="24">
        <f>ED26*($F$2+1)</f>
        <v>31284.295571435472</v>
      </c>
      <c r="EF26" s="24">
        <f>EE26*($F$2+1)</f>
        <v>31597.138527149826</v>
      </c>
      <c r="EG26" s="24">
        <f>EF26*($F$2+1)</f>
        <v>31913.109912421325</v>
      </c>
      <c r="EH26" s="24">
        <f>EG26*($F$2+1)</f>
        <v>32232.241011545539</v>
      </c>
      <c r="EI26" s="24">
        <f>EH26*($F$2+1)</f>
        <v>32554.563421660994</v>
      </c>
      <c r="EJ26" s="24">
        <f>EI26*($F$2+1)</f>
        <v>32880.109055877605</v>
      </c>
      <c r="EK26" s="24">
        <f>EJ26*($F$2+1)</f>
        <v>33208.910146436385</v>
      </c>
      <c r="EL26" s="24">
        <f>EK26*($F$2+1)</f>
        <v>33540.999247900749</v>
      </c>
      <c r="EM26" s="24">
        <f>EL26*($F$2+1)</f>
        <v>33876.409240379755</v>
      </c>
      <c r="EN26" s="24">
        <f>EM26*($F$2+1)</f>
        <v>34215.173332783554</v>
      </c>
      <c r="EO26" s="24">
        <f>EN26*($F$2+1)</f>
        <v>34557.325066111393</v>
      </c>
      <c r="EP26" s="24">
        <f>EO26*($F$2+1)</f>
        <v>34902.898316772509</v>
      </c>
      <c r="EQ26" s="24">
        <f>EP26*($F$2+1)</f>
        <v>35251.927299940231</v>
      </c>
      <c r="ER26" s="24">
        <f>EQ26*($F$2+1)</f>
        <v>35604.446572939632</v>
      </c>
      <c r="ES26" s="24">
        <f>ER26*($F$2+1)</f>
        <v>35960.491038669032</v>
      </c>
      <c r="ET26" s="24">
        <f>ES26*($F$2+1)</f>
        <v>36320.095949055722</v>
      </c>
      <c r="EU26" s="24">
        <f>ET26*($F$2+1)</f>
        <v>36683.296908546276</v>
      </c>
      <c r="EV26" s="24">
        <f>EU26*($F$2+1)</f>
        <v>37050.129877631742</v>
      </c>
      <c r="EW26" s="24">
        <f>EV26*($F$2+1)</f>
        <v>37420.63117640806</v>
      </c>
      <c r="EX26" s="24">
        <f>EW26*($F$2+1)</f>
        <v>37794.837488172139</v>
      </c>
      <c r="EY26" s="24">
        <f>EX26*($F$2+1)</f>
        <v>38172.785863053861</v>
      </c>
      <c r="EZ26" s="24">
        <f>EY26*($F$2+1)</f>
        <v>38554.513721684401</v>
      </c>
      <c r="FA26" s="24">
        <f>EZ26*($F$2+1)</f>
        <v>38940.058858901248</v>
      </c>
      <c r="FB26" s="24">
        <f>FA26*($F$2+1)</f>
        <v>39329.459447490262</v>
      </c>
      <c r="FC26" s="24">
        <f>FB26*($F$2+1)</f>
        <v>39722.754041965163</v>
      </c>
      <c r="FD26" s="24">
        <f>FC26*($F$2+1)</f>
        <v>40119.981582384818</v>
      </c>
      <c r="FE26" s="24">
        <f>FD26*($F$2+1)</f>
        <v>40521.181398208668</v>
      </c>
      <c r="FF26" s="24">
        <f>FE26*($F$2+1)</f>
        <v>40926.393212190756</v>
      </c>
      <c r="FG26" s="24">
        <f>FF26*($F$2+1)</f>
        <v>41335.657144312667</v>
      </c>
      <c r="FH26" s="24">
        <f>FG26*($F$2+1)</f>
        <v>41749.013715755791</v>
      </c>
      <c r="FI26" s="24">
        <f>FH26*($F$2+1)</f>
        <v>42166.503852913353</v>
      </c>
      <c r="FJ26" s="24">
        <f>FI26*($F$2+1)</f>
        <v>42588.168891442489</v>
      </c>
      <c r="FK26" s="24">
        <f>FJ26*($F$2+1)</f>
        <v>43014.05058035691</v>
      </c>
      <c r="FL26" s="24">
        <f>FK26*($F$2+1)</f>
        <v>43444.191086160477</v>
      </c>
      <c r="FM26" s="24">
        <f>FL26*($F$2+1)</f>
        <v>43878.632997022083</v>
      </c>
      <c r="FN26" s="24">
        <f>FM26*($F$2+1)</f>
        <v>44317.419326992305</v>
      </c>
      <c r="FO26" s="24">
        <f>FN26*($F$2+1)</f>
        <v>44760.593520262228</v>
      </c>
      <c r="FP26" s="24">
        <f>FO26*($F$2+1)</f>
        <v>45208.199455464848</v>
      </c>
      <c r="FQ26" s="24">
        <f>FP26*($F$2+1)</f>
        <v>45660.281450019495</v>
      </c>
      <c r="FR26" s="24">
        <f>FQ26*($F$2+1)</f>
        <v>46116.884264519693</v>
      </c>
      <c r="FS26" s="24">
        <f>FR26*($F$2+1)</f>
        <v>46578.053107164887</v>
      </c>
      <c r="FT26" s="24">
        <f>FS26*($F$2+1)</f>
        <v>47043.833638236538</v>
      </c>
      <c r="FU26" s="24">
        <f>FT26*($F$2+1)</f>
        <v>47514.271974618903</v>
      </c>
      <c r="FV26" s="24">
        <f>FU26*($F$2+1)</f>
        <v>47989.414694365092</v>
      </c>
      <c r="FW26" s="24">
        <f>FV26*($F$2+1)</f>
        <v>48469.308841308746</v>
      </c>
      <c r="FX26" s="24">
        <f>FW26*($F$2+1)</f>
        <v>48954.001929721831</v>
      </c>
      <c r="FY26" s="24">
        <f>FX26*($F$2+1)</f>
        <v>49443.541949019047</v>
      </c>
      <c r="FZ26" s="24">
        <f>FY26*($F$2+1)</f>
        <v>49937.977368509237</v>
      </c>
      <c r="GA26" s="24">
        <f>FZ26*($F$2+1)</f>
        <v>50437.357142194327</v>
      </c>
      <c r="GB26" s="24">
        <f>GA26*($F$2+1)</f>
        <v>50941.730713616271</v>
      </c>
      <c r="GC26" s="24">
        <f>GB26*($F$2+1)</f>
        <v>51451.148020752436</v>
      </c>
      <c r="GD26" s="24">
        <f>GC26*($F$2+1)</f>
        <v>51965.659500959962</v>
      </c>
      <c r="GE26" s="24">
        <f>GD26*($F$2+1)</f>
        <v>52485.31609596956</v>
      </c>
      <c r="GF26" s="24">
        <f>GE26*($F$2+1)</f>
        <v>53010.169256929257</v>
      </c>
      <c r="GG26" s="24">
        <f>GF26*($F$2+1)</f>
        <v>53540.270949498554</v>
      </c>
      <c r="GH26" s="24">
        <f>GG26*($F$2+1)</f>
        <v>54075.673658993539</v>
      </c>
      <c r="GI26" s="24">
        <f>GH26*($F$2+1)</f>
        <v>54616.430395583477</v>
      </c>
      <c r="GJ26" s="24">
        <f>GI26*($F$2+1)</f>
        <v>55162.59469953931</v>
      </c>
      <c r="GK26" s="24">
        <f>GJ26*($F$2+1)</f>
        <v>55714.220646534704</v>
      </c>
      <c r="GL26" s="24">
        <f>GK26*($F$2+1)</f>
        <v>56271.36285300005</v>
      </c>
      <c r="GM26" s="24">
        <f>GL26*($F$2+1)</f>
        <v>56834.07648153005</v>
      </c>
      <c r="GN26" s="24">
        <f>GM26*($F$2+1)</f>
        <v>57402.417246345351</v>
      </c>
      <c r="GO26" s="24">
        <f>GN26*($F$2+1)</f>
        <v>57976.441418808805</v>
      </c>
      <c r="GP26" s="24">
        <f>GO26*($F$2+1)</f>
        <v>58556.205832996893</v>
      </c>
      <c r="GQ26" s="24">
        <f>GP26*($F$2+1)</f>
        <v>59141.767891326861</v>
      </c>
      <c r="GR26" s="24">
        <f>GQ26*($F$2+1)</f>
        <v>59733.18557024013</v>
      </c>
      <c r="GS26" s="24">
        <f>GR26*($F$2+1)</f>
        <v>60330.517425942533</v>
      </c>
    </row>
    <row r="27" spans="1:201" x14ac:dyDescent="0.15">
      <c r="A27" s="3" t="s">
        <v>12</v>
      </c>
      <c r="B27" s="46"/>
      <c r="C27" s="46"/>
      <c r="D27" s="46"/>
      <c r="E27" s="46"/>
      <c r="F27" s="28">
        <f t="shared" ref="F27:H27" si="51">F26/F28</f>
        <v>-1.0661335572421149</v>
      </c>
      <c r="G27" s="28">
        <f t="shared" si="51"/>
        <v>-1.0101557380481536</v>
      </c>
      <c r="H27" s="46">
        <f t="shared" si="51"/>
        <v>-0.66280962424973699</v>
      </c>
      <c r="I27" s="46">
        <f t="shared" ref="I27" si="52">I26/I28</f>
        <v>-0.19076889374281905</v>
      </c>
      <c r="J27" s="46">
        <f t="shared" ref="J27:Q27" si="53">J26/J28</f>
        <v>-0.130885964165357</v>
      </c>
      <c r="K27" s="46">
        <f t="shared" si="53"/>
        <v>-8.309062274587567E-3</v>
      </c>
      <c r="L27" s="46">
        <f t="shared" si="53"/>
        <v>0.18930776701574578</v>
      </c>
      <c r="M27" s="46">
        <f t="shared" si="53"/>
        <v>0.51523240933840198</v>
      </c>
      <c r="N27" s="46">
        <f t="shared" si="53"/>
        <v>0.75398143322382216</v>
      </c>
      <c r="O27" s="46">
        <f t="shared" si="53"/>
        <v>1.0555211112070866</v>
      </c>
      <c r="P27" s="46">
        <f t="shared" si="53"/>
        <v>1.4338230847899804</v>
      </c>
      <c r="Q27" s="46">
        <f t="shared" si="53"/>
        <v>1.9057827614501124</v>
      </c>
      <c r="R27" s="46">
        <f t="shared" ref="R27" si="54">R26/R28</f>
        <v>2.4918160836233789</v>
      </c>
      <c r="S27" s="46">
        <f t="shared" ref="R27:V27" si="55">S26/S28</f>
        <v>3.0276662401558756</v>
      </c>
      <c r="T27" s="46">
        <f t="shared" si="55"/>
        <v>3.6217163534330417</v>
      </c>
      <c r="U27" s="46">
        <f t="shared" si="55"/>
        <v>4.2803699374349184</v>
      </c>
      <c r="V27" s="46">
        <f t="shared" si="55"/>
        <v>5.0106790917899202</v>
      </c>
      <c r="W27" s="46">
        <f t="shared" ref="W27" si="56">W26/W28</f>
        <v>5.8204106167201282</v>
      </c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</row>
    <row r="28" spans="1:201" s="16" customFormat="1" x14ac:dyDescent="0.15">
      <c r="A28" s="16" t="s">
        <v>13</v>
      </c>
      <c r="B28" s="23"/>
      <c r="C28" s="23"/>
      <c r="D28" s="23"/>
      <c r="E28" s="23"/>
      <c r="F28" s="23">
        <v>544.01439300000004</v>
      </c>
      <c r="G28" s="23">
        <v>576.95856000000003</v>
      </c>
      <c r="H28" s="23">
        <f>Reports!M21</f>
        <v>1763.5139220000001</v>
      </c>
      <c r="I28" s="23">
        <f t="shared" ref="I28" si="57">H28</f>
        <v>1763.5139220000001</v>
      </c>
      <c r="J28" s="23">
        <f t="shared" ref="J28" si="58">I28</f>
        <v>1763.5139220000001</v>
      </c>
      <c r="K28" s="23">
        <f t="shared" ref="K28" si="59">J28</f>
        <v>1763.5139220000001</v>
      </c>
      <c r="L28" s="23">
        <f t="shared" ref="L28" si="60">K28</f>
        <v>1763.5139220000001</v>
      </c>
      <c r="M28" s="23">
        <f t="shared" ref="M28" si="61">L28</f>
        <v>1763.5139220000001</v>
      </c>
      <c r="N28" s="23">
        <f t="shared" ref="N28" si="62">M28</f>
        <v>1763.5139220000001</v>
      </c>
      <c r="O28" s="23">
        <f t="shared" ref="O28" si="63">N28</f>
        <v>1763.5139220000001</v>
      </c>
      <c r="P28" s="23">
        <f t="shared" ref="P28" si="64">O28</f>
        <v>1763.5139220000001</v>
      </c>
      <c r="Q28" s="23">
        <f t="shared" ref="Q28:W28" si="65">P28</f>
        <v>1763.5139220000001</v>
      </c>
      <c r="R28" s="23">
        <f t="shared" si="65"/>
        <v>1763.5139220000001</v>
      </c>
      <c r="S28" s="23">
        <f t="shared" si="65"/>
        <v>1763.5139220000001</v>
      </c>
      <c r="T28" s="23">
        <f t="shared" si="65"/>
        <v>1763.5139220000001</v>
      </c>
      <c r="U28" s="23">
        <f t="shared" si="65"/>
        <v>1763.5139220000001</v>
      </c>
      <c r="V28" s="23">
        <f t="shared" si="65"/>
        <v>1763.5139220000001</v>
      </c>
      <c r="W28" s="23">
        <f t="shared" si="65"/>
        <v>1763.5139220000001</v>
      </c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</row>
    <row r="29" spans="1:201" x14ac:dyDescent="0.15"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</row>
    <row r="30" spans="1:201" x14ac:dyDescent="0.15">
      <c r="A30" s="3" t="s">
        <v>15</v>
      </c>
      <c r="B30" s="33"/>
      <c r="C30" s="33"/>
      <c r="D30" s="33"/>
      <c r="E30" s="33"/>
      <c r="F30" s="33">
        <f>IFERROR(F17/F15,0)</f>
        <v>0.72220608019025578</v>
      </c>
      <c r="G30" s="33">
        <f t="shared" ref="G30:Q30" si="66">IFERROR(G17/G15,0)</f>
        <v>0.67359589525355024</v>
      </c>
      <c r="H30" s="33">
        <f>IFERROR(H17/H15,0)</f>
        <v>0.67735360899372454</v>
      </c>
      <c r="I30" s="33">
        <f>IFERROR(I17/I15,0)</f>
        <v>0.67735360899372454</v>
      </c>
      <c r="J30" s="33">
        <f t="shared" si="66"/>
        <v>0.67735360899372454</v>
      </c>
      <c r="K30" s="33">
        <f t="shared" si="66"/>
        <v>0.67735360899372454</v>
      </c>
      <c r="L30" s="33">
        <f t="shared" si="66"/>
        <v>0.67735360899372454</v>
      </c>
      <c r="M30" s="33">
        <f t="shared" si="66"/>
        <v>0.67735360899372454</v>
      </c>
      <c r="N30" s="33">
        <f t="shared" si="66"/>
        <v>0.67735360899372454</v>
      </c>
      <c r="O30" s="33">
        <f t="shared" si="66"/>
        <v>0.67735360899372454</v>
      </c>
      <c r="P30" s="33">
        <f t="shared" si="66"/>
        <v>0.67735360899372454</v>
      </c>
      <c r="Q30" s="33">
        <f t="shared" si="66"/>
        <v>0.67735360899372454</v>
      </c>
      <c r="R30" s="33">
        <f t="shared" ref="R30" si="67">IFERROR(R17/R15,0)</f>
        <v>0.67735360899372454</v>
      </c>
      <c r="S30" s="33">
        <f t="shared" ref="R30:V30" si="68">IFERROR(S17/S15,0)</f>
        <v>0.67735360899372454</v>
      </c>
      <c r="T30" s="33">
        <f t="shared" si="68"/>
        <v>0.67735360899372454</v>
      </c>
      <c r="U30" s="33">
        <f t="shared" si="68"/>
        <v>0.67735360899372454</v>
      </c>
      <c r="V30" s="33">
        <f t="shared" si="68"/>
        <v>0.67735360899372454</v>
      </c>
      <c r="W30" s="33">
        <f t="shared" ref="W30" si="69">IFERROR(W17/W15,0)</f>
        <v>0.67735360899372454</v>
      </c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</row>
    <row r="31" spans="1:201" x14ac:dyDescent="0.15">
      <c r="A31" s="3" t="s">
        <v>16</v>
      </c>
      <c r="B31" s="35"/>
      <c r="C31" s="35"/>
      <c r="D31" s="35"/>
      <c r="E31" s="35"/>
      <c r="F31" s="35">
        <f>IFERROR(F22/F15,0)</f>
        <v>-1.0463261388390166</v>
      </c>
      <c r="G31" s="35">
        <f t="shared" ref="G31:Q31" si="70">IFERROR(G22/G15,0)</f>
        <v>-0.77814841998235817</v>
      </c>
      <c r="H31" s="35">
        <f>IFERROR(H22/H15,0)</f>
        <v>-1.0752292771945495</v>
      </c>
      <c r="I31" s="35">
        <f t="shared" si="70"/>
        <v>-0.28038946693109473</v>
      </c>
      <c r="J31" s="35">
        <f t="shared" si="70"/>
        <v>-0.14311376873081724</v>
      </c>
      <c r="K31" s="35">
        <f t="shared" si="70"/>
        <v>-2.6278606197268361E-2</v>
      </c>
      <c r="L31" s="35">
        <f t="shared" si="70"/>
        <v>7.3264450210209109E-2</v>
      </c>
      <c r="M31" s="35">
        <f t="shared" si="70"/>
        <v>0.15816468544074958</v>
      </c>
      <c r="N31" s="35">
        <f t="shared" si="70"/>
        <v>0.19170021968187881</v>
      </c>
      <c r="O31" s="35">
        <f t="shared" si="70"/>
        <v>0.22171521419565152</v>
      </c>
      <c r="P31" s="35">
        <f t="shared" si="70"/>
        <v>0.24859378627692177</v>
      </c>
      <c r="Q31" s="35">
        <f t="shared" si="70"/>
        <v>0.2726767010729424</v>
      </c>
      <c r="R31" s="35">
        <f t="shared" ref="R31" si="71">IFERROR(R22/R15,0)</f>
        <v>0.29426640205896065</v>
      </c>
      <c r="S31" s="35">
        <f t="shared" ref="R31:V31" si="72">IFERROR(S22/S15,0)</f>
        <v>0.31913092155182204</v>
      </c>
      <c r="T31" s="35">
        <f t="shared" si="72"/>
        <v>0.3408175125235483</v>
      </c>
      <c r="U31" s="35">
        <f t="shared" si="72"/>
        <v>0.35973632656083854</v>
      </c>
      <c r="V31" s="35">
        <f t="shared" si="72"/>
        <v>0.37624411664884666</v>
      </c>
      <c r="W31" s="35">
        <f t="shared" ref="W31" si="73">IFERROR(W22/W15,0)</f>
        <v>0.39065124267208984</v>
      </c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</row>
    <row r="32" spans="1:201" x14ac:dyDescent="0.15">
      <c r="A32" s="3" t="s">
        <v>17</v>
      </c>
      <c r="B32" s="35"/>
      <c r="C32" s="35"/>
      <c r="D32" s="35"/>
      <c r="E32" s="35"/>
      <c r="F32" s="35">
        <f>IFERROR(F25/F24,0)</f>
        <v>-1.5762042200240984E-2</v>
      </c>
      <c r="G32" s="35">
        <f t="shared" ref="G32:Q32" si="74">IFERROR(G25/G24,0)</f>
        <v>-2.1022462501182514E-2</v>
      </c>
      <c r="H32" s="35">
        <f t="shared" si="74"/>
        <v>1.0999480486075503E-2</v>
      </c>
      <c r="I32" s="35">
        <f t="shared" si="74"/>
        <v>0</v>
      </c>
      <c r="J32" s="35">
        <f t="shared" si="74"/>
        <v>0</v>
      </c>
      <c r="K32" s="35">
        <f t="shared" si="74"/>
        <v>0</v>
      </c>
      <c r="L32" s="35">
        <f t="shared" si="74"/>
        <v>0.1</v>
      </c>
      <c r="M32" s="35">
        <f t="shared" si="74"/>
        <v>0.1</v>
      </c>
      <c r="N32" s="35">
        <f t="shared" si="74"/>
        <v>0.1</v>
      </c>
      <c r="O32" s="35">
        <f t="shared" si="74"/>
        <v>0.1</v>
      </c>
      <c r="P32" s="35">
        <f t="shared" si="74"/>
        <v>9.9999999999999992E-2</v>
      </c>
      <c r="Q32" s="35">
        <f t="shared" si="74"/>
        <v>0.1</v>
      </c>
      <c r="R32" s="35">
        <f t="shared" ref="R32" si="75">IFERROR(R25/R24,0)</f>
        <v>0.1</v>
      </c>
      <c r="S32" s="35">
        <f t="shared" ref="R32:V32" si="76">IFERROR(S25/S24,0)</f>
        <v>0.1</v>
      </c>
      <c r="T32" s="35">
        <f t="shared" si="76"/>
        <v>0.1</v>
      </c>
      <c r="U32" s="35">
        <f t="shared" si="76"/>
        <v>0.1</v>
      </c>
      <c r="V32" s="35">
        <f t="shared" si="76"/>
        <v>0.1</v>
      </c>
      <c r="W32" s="35">
        <f t="shared" ref="W32" si="77">IFERROR(W25/W24,0)</f>
        <v>0.1</v>
      </c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</row>
    <row r="33" spans="1:118" s="5" customFormat="1" x14ac:dyDescent="0.15">
      <c r="B33" s="71"/>
      <c r="C33" s="71"/>
      <c r="D33" s="71"/>
      <c r="E33" s="71"/>
      <c r="F33" s="71"/>
      <c r="G33" s="71"/>
      <c r="H33" s="71">
        <v>0.44</v>
      </c>
      <c r="I33" s="71">
        <v>0.35</v>
      </c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  <c r="BC33" s="68"/>
      <c r="BD33" s="68"/>
      <c r="BE33" s="68"/>
      <c r="BF33" s="68"/>
      <c r="BG33" s="68"/>
      <c r="BH33" s="68"/>
      <c r="BI33" s="68"/>
      <c r="BJ33" s="68"/>
      <c r="BK33" s="68"/>
      <c r="BL33" s="68"/>
      <c r="BM33" s="68"/>
      <c r="BN33" s="68"/>
      <c r="BO33" s="68"/>
      <c r="BP33" s="68"/>
      <c r="BQ33" s="68"/>
      <c r="BR33" s="68"/>
      <c r="BS33" s="68"/>
      <c r="BT33" s="68"/>
      <c r="BU33" s="68"/>
      <c r="BV33" s="68"/>
      <c r="BW33" s="68"/>
      <c r="BX33" s="68"/>
      <c r="BY33" s="68"/>
      <c r="BZ33" s="68"/>
      <c r="CA33" s="68"/>
      <c r="CB33" s="68"/>
      <c r="CC33" s="68"/>
      <c r="CD33" s="68"/>
      <c r="CE33" s="68"/>
      <c r="CF33" s="68"/>
      <c r="CG33" s="68"/>
      <c r="CH33" s="68"/>
      <c r="CI33" s="68"/>
      <c r="CJ33" s="68"/>
      <c r="CK33" s="68"/>
      <c r="CL33" s="68"/>
      <c r="CM33" s="68"/>
      <c r="CN33" s="68"/>
      <c r="CO33" s="68"/>
      <c r="CP33" s="68"/>
      <c r="CQ33" s="68"/>
      <c r="CR33" s="68"/>
      <c r="CS33" s="68"/>
      <c r="CT33" s="68"/>
      <c r="CU33" s="68"/>
      <c r="CV33" s="68"/>
      <c r="CW33" s="68"/>
      <c r="CX33" s="68"/>
      <c r="CY33" s="68"/>
      <c r="CZ33" s="68"/>
      <c r="DA33" s="68"/>
      <c r="DB33" s="68"/>
      <c r="DC33" s="68"/>
      <c r="DD33" s="68"/>
      <c r="DE33" s="68"/>
      <c r="DF33" s="68"/>
      <c r="DG33" s="68"/>
      <c r="DH33" s="68"/>
      <c r="DI33" s="68"/>
      <c r="DJ33" s="68"/>
      <c r="DK33" s="68"/>
      <c r="DL33" s="68"/>
      <c r="DM33" s="68"/>
      <c r="DN33" s="68"/>
    </row>
    <row r="34" spans="1:118" x14ac:dyDescent="0.15">
      <c r="A34" s="2" t="s">
        <v>14</v>
      </c>
      <c r="B34" s="35"/>
      <c r="C34" s="47">
        <f>C15/B15-1</f>
        <v>0.54893617021276597</v>
      </c>
      <c r="D34" s="47">
        <f>D15/C15-1</f>
        <v>0.28021978021978011</v>
      </c>
      <c r="E34" s="47">
        <f>E15/D15-1</f>
        <v>0.10515021459227469</v>
      </c>
      <c r="F34" s="47">
        <f>F15/E15-1</f>
        <v>0.15613398058252415</v>
      </c>
      <c r="G34" s="47">
        <f>G15/F15-1</f>
        <v>0.24713432279323966</v>
      </c>
      <c r="H34" s="47">
        <f t="shared" ref="H34:W34" si="78">H15/G15-1</f>
        <v>0.47150446768252841</v>
      </c>
      <c r="I34" s="47">
        <f t="shared" si="78"/>
        <v>0.39999999999999991</v>
      </c>
      <c r="J34" s="47">
        <f t="shared" si="78"/>
        <v>0.40000000000000013</v>
      </c>
      <c r="K34" s="47">
        <f t="shared" si="78"/>
        <v>0.39999999999999991</v>
      </c>
      <c r="L34" s="47">
        <f t="shared" si="78"/>
        <v>0.39999999999999991</v>
      </c>
      <c r="M34" s="47">
        <f t="shared" si="78"/>
        <v>0.39999999999999991</v>
      </c>
      <c r="N34" s="47">
        <f t="shared" si="78"/>
        <v>0.19999999999999996</v>
      </c>
      <c r="O34" s="47">
        <f t="shared" si="78"/>
        <v>0.19999999999999996</v>
      </c>
      <c r="P34" s="47">
        <f t="shared" si="78"/>
        <v>0.19999999999999996</v>
      </c>
      <c r="Q34" s="47">
        <f t="shared" si="78"/>
        <v>0.19999999999999996</v>
      </c>
      <c r="R34" s="47">
        <f t="shared" si="78"/>
        <v>0.19999999999999996</v>
      </c>
      <c r="S34" s="47">
        <f t="shared" si="78"/>
        <v>0.10000000000000009</v>
      </c>
      <c r="T34" s="47">
        <f t="shared" si="78"/>
        <v>0.10000000000000009</v>
      </c>
      <c r="U34" s="47">
        <f t="shared" si="78"/>
        <v>0.10000000000000009</v>
      </c>
      <c r="V34" s="47">
        <f t="shared" si="78"/>
        <v>0.10000000000000009</v>
      </c>
      <c r="W34" s="47">
        <f t="shared" si="78"/>
        <v>0.10000000000000009</v>
      </c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</row>
    <row r="35" spans="1:118" x14ac:dyDescent="0.15">
      <c r="A35" s="3" t="s">
        <v>30</v>
      </c>
      <c r="B35" s="35"/>
      <c r="C35" s="35"/>
      <c r="D35" s="35"/>
      <c r="E35" s="35"/>
      <c r="F35" s="35"/>
      <c r="G35" s="35">
        <f t="shared" ref="G35:W35" si="79">G18/F18-1</f>
        <v>7.3684210526315796E-2</v>
      </c>
      <c r="H35" s="35">
        <f t="shared" si="79"/>
        <v>0.83333333333333326</v>
      </c>
      <c r="I35" s="35">
        <f t="shared" si="79"/>
        <v>-0.19999999999999996</v>
      </c>
      <c r="J35" s="35">
        <f t="shared" si="79"/>
        <v>0.25</v>
      </c>
      <c r="K35" s="35">
        <f t="shared" si="79"/>
        <v>0.25</v>
      </c>
      <c r="L35" s="35">
        <f t="shared" si="79"/>
        <v>0.25</v>
      </c>
      <c r="M35" s="35">
        <f t="shared" si="79"/>
        <v>0.25</v>
      </c>
      <c r="N35" s="35">
        <f t="shared" si="79"/>
        <v>0.19999999999999996</v>
      </c>
      <c r="O35" s="35">
        <f t="shared" si="79"/>
        <v>0.19999999999999996</v>
      </c>
      <c r="P35" s="35">
        <f t="shared" si="79"/>
        <v>0.19999999999999996</v>
      </c>
      <c r="Q35" s="35">
        <f t="shared" si="79"/>
        <v>0.19999999999999996</v>
      </c>
      <c r="R35" s="35">
        <f t="shared" si="79"/>
        <v>0.19999999999999996</v>
      </c>
      <c r="S35" s="35">
        <f t="shared" si="79"/>
        <v>0.10000000000000009</v>
      </c>
      <c r="T35" s="35">
        <f t="shared" si="79"/>
        <v>0.10000000000000009</v>
      </c>
      <c r="U35" s="35">
        <f t="shared" si="79"/>
        <v>0.10000000000000009</v>
      </c>
      <c r="V35" s="35">
        <f t="shared" si="79"/>
        <v>0.10000000000000009</v>
      </c>
      <c r="W35" s="35">
        <f t="shared" si="79"/>
        <v>0.10000000000000009</v>
      </c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</row>
    <row r="36" spans="1:118" x14ac:dyDescent="0.15">
      <c r="A36" s="3" t="s">
        <v>31</v>
      </c>
      <c r="B36" s="35"/>
      <c r="C36" s="35"/>
      <c r="D36" s="35"/>
      <c r="E36" s="35"/>
      <c r="F36" s="35"/>
      <c r="G36" s="35">
        <f t="shared" ref="G36:W36" si="80">G19/F19-1</f>
        <v>-2.3809523809523836E-2</v>
      </c>
      <c r="H36" s="35">
        <f t="shared" si="80"/>
        <v>0.51884700665188466</v>
      </c>
      <c r="I36" s="35">
        <f t="shared" si="80"/>
        <v>-0.19999999999999996</v>
      </c>
      <c r="J36" s="35">
        <f t="shared" si="80"/>
        <v>0.19999999999999996</v>
      </c>
      <c r="K36" s="35">
        <f t="shared" si="80"/>
        <v>0.19999999999999996</v>
      </c>
      <c r="L36" s="35">
        <f t="shared" si="80"/>
        <v>0.19999999999999996</v>
      </c>
      <c r="M36" s="35">
        <f t="shared" si="80"/>
        <v>0.19999999999999996</v>
      </c>
      <c r="N36" s="35">
        <f t="shared" si="80"/>
        <v>0.10000000000000009</v>
      </c>
      <c r="O36" s="35">
        <f t="shared" si="80"/>
        <v>0.10000000000000009</v>
      </c>
      <c r="P36" s="35">
        <f t="shared" si="80"/>
        <v>0.10000000000000009</v>
      </c>
      <c r="Q36" s="35">
        <f t="shared" si="80"/>
        <v>0.10000000000000009</v>
      </c>
      <c r="R36" s="35">
        <f t="shared" si="80"/>
        <v>0.10000000000000009</v>
      </c>
      <c r="S36" s="35">
        <f t="shared" si="80"/>
        <v>-5.0000000000000044E-2</v>
      </c>
      <c r="T36" s="35">
        <f t="shared" si="80"/>
        <v>-5.0000000000000044E-2</v>
      </c>
      <c r="U36" s="35">
        <f t="shared" si="80"/>
        <v>-5.0000000000000044E-2</v>
      </c>
      <c r="V36" s="35">
        <f t="shared" si="80"/>
        <v>-4.9999999999999933E-2</v>
      </c>
      <c r="W36" s="35">
        <f t="shared" si="80"/>
        <v>-5.0000000000000044E-2</v>
      </c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</row>
    <row r="37" spans="1:118" x14ac:dyDescent="0.15">
      <c r="A37" s="3" t="s">
        <v>32</v>
      </c>
      <c r="B37" s="35"/>
      <c r="C37" s="35"/>
      <c r="D37" s="35"/>
      <c r="E37" s="35"/>
      <c r="F37" s="35"/>
      <c r="G37" s="35">
        <f t="shared" ref="G37:W37" si="81">G20/F20-1</f>
        <v>4.9019607843137303E-2</v>
      </c>
      <c r="H37" s="35">
        <f t="shared" si="81"/>
        <v>1.0841121495327104</v>
      </c>
      <c r="I37" s="35">
        <f t="shared" si="81"/>
        <v>-0.30000000000000004</v>
      </c>
      <c r="J37" s="35">
        <f t="shared" si="81"/>
        <v>0.15000000000000013</v>
      </c>
      <c r="K37" s="35">
        <f t="shared" si="81"/>
        <v>0.14999999999999991</v>
      </c>
      <c r="L37" s="35">
        <f t="shared" si="81"/>
        <v>0.14999999999999991</v>
      </c>
      <c r="M37" s="35">
        <f t="shared" si="81"/>
        <v>0.14999999999999991</v>
      </c>
      <c r="N37" s="35">
        <f t="shared" si="81"/>
        <v>5.0000000000000044E-2</v>
      </c>
      <c r="O37" s="35">
        <f t="shared" si="81"/>
        <v>5.0000000000000044E-2</v>
      </c>
      <c r="P37" s="35">
        <f t="shared" si="81"/>
        <v>5.0000000000000044E-2</v>
      </c>
      <c r="Q37" s="35">
        <f t="shared" si="81"/>
        <v>5.0000000000000044E-2</v>
      </c>
      <c r="R37" s="35">
        <f t="shared" si="81"/>
        <v>5.0000000000000044E-2</v>
      </c>
      <c r="S37" s="35">
        <f t="shared" si="81"/>
        <v>-2.0000000000000018E-2</v>
      </c>
      <c r="T37" s="35">
        <f t="shared" si="81"/>
        <v>-2.0000000000000018E-2</v>
      </c>
      <c r="U37" s="35">
        <f t="shared" si="81"/>
        <v>-2.0000000000000018E-2</v>
      </c>
      <c r="V37" s="35">
        <f t="shared" si="81"/>
        <v>-1.9999999999999907E-2</v>
      </c>
      <c r="W37" s="35">
        <f t="shared" si="81"/>
        <v>-2.0000000000000018E-2</v>
      </c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</row>
    <row r="38" spans="1:118" x14ac:dyDescent="0.15">
      <c r="A38" s="6" t="s">
        <v>58</v>
      </c>
      <c r="B38" s="44"/>
      <c r="C38" s="44"/>
      <c r="D38" s="44"/>
      <c r="E38" s="44"/>
      <c r="F38" s="44"/>
      <c r="G38" s="44">
        <f t="shared" ref="G38:W38" si="82">G21/F21-1</f>
        <v>2.3741690408357163E-2</v>
      </c>
      <c r="H38" s="44">
        <f t="shared" si="82"/>
        <v>0.77643784786641934</v>
      </c>
      <c r="I38" s="44">
        <f t="shared" si="82"/>
        <v>-0.23493472584856401</v>
      </c>
      <c r="J38" s="44">
        <f t="shared" si="82"/>
        <v>0.19933451641526179</v>
      </c>
      <c r="K38" s="44">
        <f t="shared" si="82"/>
        <v>0.20063896263541148</v>
      </c>
      <c r="L38" s="44">
        <f t="shared" si="82"/>
        <v>0.20194158828751085</v>
      </c>
      <c r="M38" s="44">
        <f>M21/L21-1</f>
        <v>0.20324041973851736</v>
      </c>
      <c r="N38" s="44">
        <f t="shared" si="82"/>
        <v>0.12248940748974002</v>
      </c>
      <c r="O38" s="44">
        <f t="shared" si="82"/>
        <v>0.12583600936551997</v>
      </c>
      <c r="P38" s="44">
        <f t="shared" si="82"/>
        <v>0.12921078015864196</v>
      </c>
      <c r="Q38" s="44">
        <f t="shared" si="82"/>
        <v>0.13259746780352377</v>
      </c>
      <c r="R38" s="44">
        <f t="shared" si="82"/>
        <v>0.13597944267110629</v>
      </c>
      <c r="S38" s="44">
        <f t="shared" si="82"/>
        <v>2.8603798437975447E-2</v>
      </c>
      <c r="T38" s="44">
        <f t="shared" si="82"/>
        <v>3.3406646465495404E-2</v>
      </c>
      <c r="U38" s="44">
        <f t="shared" si="82"/>
        <v>3.8162070401076997E-2</v>
      </c>
      <c r="V38" s="44">
        <f t="shared" si="82"/>
        <v>4.2828775066275249E-2</v>
      </c>
      <c r="W38" s="44">
        <f t="shared" si="82"/>
        <v>4.7368518666904169E-2</v>
      </c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</row>
    <row r="39" spans="1:118" x14ac:dyDescent="0.15"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</row>
    <row r="40" spans="1:118" x14ac:dyDescent="0.15">
      <c r="A40" s="2" t="s">
        <v>18</v>
      </c>
      <c r="B40" s="48"/>
      <c r="C40" s="48"/>
      <c r="D40" s="48"/>
      <c r="E40" s="48"/>
      <c r="F40" s="24">
        <f>F41-F42</f>
        <v>1126</v>
      </c>
      <c r="G40" s="24">
        <f>G41-G42</f>
        <v>735</v>
      </c>
      <c r="H40" s="24">
        <f>H41-H42</f>
        <v>1850</v>
      </c>
      <c r="I40" s="48">
        <f>H40+I26</f>
        <v>1513.5763999999999</v>
      </c>
      <c r="J40" s="48">
        <f t="shared" ref="J40:W40" si="83">I40+J26</f>
        <v>1282.7571799999998</v>
      </c>
      <c r="K40" s="48">
        <f t="shared" si="83"/>
        <v>1268.1040329999996</v>
      </c>
      <c r="L40" s="48">
        <f t="shared" si="83"/>
        <v>1601.9509156749996</v>
      </c>
      <c r="M40" s="48">
        <f t="shared" si="83"/>
        <v>2510.5704426088741</v>
      </c>
      <c r="N40" s="48">
        <f t="shared" si="83"/>
        <v>3840.2271970285979</v>
      </c>
      <c r="O40" s="48">
        <f t="shared" si="83"/>
        <v>5701.6533716072054</v>
      </c>
      <c r="P40" s="48">
        <f t="shared" si="83"/>
        <v>8230.2203433193226</v>
      </c>
      <c r="Q40" s="48">
        <f t="shared" si="83"/>
        <v>11591.0947754442</v>
      </c>
      <c r="R40" s="48">
        <f t="shared" si="83"/>
        <v>15985.447129977547</v>
      </c>
      <c r="S40" s="48">
        <f t="shared" si="83"/>
        <v>21324.778695661829</v>
      </c>
      <c r="T40" s="48">
        <f t="shared" si="83"/>
        <v>27711.725906476073</v>
      </c>
      <c r="U40" s="48">
        <f t="shared" si="83"/>
        <v>35260.217882452824</v>
      </c>
      <c r="V40" s="48">
        <f t="shared" si="83"/>
        <v>44096.620219498662</v>
      </c>
      <c r="W40" s="48">
        <f t="shared" si="83"/>
        <v>54360.995373841215</v>
      </c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</row>
    <row r="41" spans="1:118" x14ac:dyDescent="0.15">
      <c r="A41" s="3" t="s">
        <v>19</v>
      </c>
      <c r="B41" s="49"/>
      <c r="C41" s="49"/>
      <c r="D41" s="49"/>
      <c r="E41" s="49"/>
      <c r="F41" s="49">
        <f>Reports!E34</f>
        <v>1126</v>
      </c>
      <c r="G41" s="49">
        <f>Reports!I34</f>
        <v>1131</v>
      </c>
      <c r="H41" s="49">
        <f>Reports!M34</f>
        <v>2048</v>
      </c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</row>
    <row r="42" spans="1:118" x14ac:dyDescent="0.15">
      <c r="A42" s="3" t="s">
        <v>20</v>
      </c>
      <c r="B42" s="49"/>
      <c r="C42" s="49"/>
      <c r="D42" s="49"/>
      <c r="E42" s="49"/>
      <c r="F42" s="49">
        <f>Reports!E35</f>
        <v>0</v>
      </c>
      <c r="G42" s="49">
        <f>Reports!I35</f>
        <v>396</v>
      </c>
      <c r="H42" s="49">
        <f>Reports!M35</f>
        <v>198</v>
      </c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</row>
    <row r="43" spans="1:118" x14ac:dyDescent="0.15"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</row>
    <row r="44" spans="1:118" x14ac:dyDescent="0.15">
      <c r="A44" s="3" t="s">
        <v>44</v>
      </c>
      <c r="B44" s="51"/>
      <c r="C44" s="51"/>
      <c r="D44" s="51"/>
      <c r="E44" s="51"/>
      <c r="F44" s="49">
        <f>Reports!E37</f>
        <v>23</v>
      </c>
      <c r="G44" s="49">
        <f>Reports!I37</f>
        <v>51</v>
      </c>
      <c r="H44" s="49">
        <f>Reports!M37</f>
        <v>217</v>
      </c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  <c r="DN44" s="37"/>
    </row>
    <row r="45" spans="1:118" x14ac:dyDescent="0.15">
      <c r="A45" s="3" t="s">
        <v>45</v>
      </c>
      <c r="B45" s="51"/>
      <c r="C45" s="51"/>
      <c r="D45" s="51"/>
      <c r="E45" s="51"/>
      <c r="F45" s="49">
        <f>Reports!E38</f>
        <v>1431</v>
      </c>
      <c r="G45" s="49">
        <f>Reports!I38</f>
        <v>1594</v>
      </c>
      <c r="H45" s="49">
        <f>Reports!M38</f>
        <v>2691</v>
      </c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  <c r="DN45" s="37"/>
    </row>
    <row r="46" spans="1:118" x14ac:dyDescent="0.15">
      <c r="A46" s="3" t="s">
        <v>46</v>
      </c>
      <c r="B46" s="51"/>
      <c r="C46" s="51"/>
      <c r="D46" s="51"/>
      <c r="E46" s="51"/>
      <c r="F46" s="49">
        <f>Reports!E39</f>
        <v>923</v>
      </c>
      <c r="G46" s="49">
        <f>Reports!I39</f>
        <v>1447</v>
      </c>
      <c r="H46" s="49">
        <f>Reports!M39</f>
        <v>1168</v>
      </c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  <c r="CE46" s="37"/>
      <c r="CF46" s="37"/>
      <c r="CG46" s="37"/>
      <c r="CH46" s="37"/>
      <c r="CI46" s="37"/>
      <c r="CJ46" s="37"/>
      <c r="CK46" s="37"/>
      <c r="CL46" s="37"/>
      <c r="CM46" s="37"/>
      <c r="CN46" s="37"/>
      <c r="CO46" s="37"/>
      <c r="CP46" s="37"/>
      <c r="CQ46" s="37"/>
      <c r="CR46" s="37"/>
      <c r="CS46" s="37"/>
      <c r="CT46" s="37"/>
      <c r="CU46" s="37"/>
      <c r="CV46" s="37"/>
      <c r="CW46" s="37"/>
      <c r="CX46" s="37"/>
      <c r="CY46" s="37"/>
      <c r="CZ46" s="37"/>
      <c r="DA46" s="37"/>
      <c r="DB46" s="37"/>
      <c r="DC46" s="37"/>
      <c r="DD46" s="37"/>
      <c r="DE46" s="37"/>
      <c r="DF46" s="37"/>
      <c r="DG46" s="37"/>
      <c r="DH46" s="37"/>
      <c r="DI46" s="37"/>
      <c r="DJ46" s="37"/>
      <c r="DK46" s="37"/>
      <c r="DL46" s="37"/>
      <c r="DM46" s="37"/>
      <c r="DN46" s="37"/>
    </row>
    <row r="47" spans="1:118" x14ac:dyDescent="0.15"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</row>
    <row r="48" spans="1:118" x14ac:dyDescent="0.15">
      <c r="A48" s="3" t="s">
        <v>47</v>
      </c>
      <c r="B48" s="37"/>
      <c r="C48" s="37"/>
      <c r="D48" s="37"/>
      <c r="E48" s="37"/>
      <c r="F48" s="52">
        <f>F45-F44-F41</f>
        <v>282</v>
      </c>
      <c r="G48" s="52">
        <f>G45-G44-G41</f>
        <v>412</v>
      </c>
      <c r="H48" s="52">
        <f>H45-H44-H41</f>
        <v>426</v>
      </c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  <c r="DN48" s="37"/>
    </row>
    <row r="49" spans="1:118" x14ac:dyDescent="0.15">
      <c r="A49" s="3" t="s">
        <v>48</v>
      </c>
      <c r="B49" s="37"/>
      <c r="C49" s="37"/>
      <c r="D49" s="37"/>
      <c r="E49" s="37"/>
      <c r="F49" s="52">
        <f>F45-F46</f>
        <v>508</v>
      </c>
      <c r="G49" s="52">
        <f>G45-G46</f>
        <v>147</v>
      </c>
      <c r="H49" s="52">
        <f>H45-H46</f>
        <v>1523</v>
      </c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  <c r="CE49" s="37"/>
      <c r="CF49" s="37"/>
      <c r="CG49" s="37"/>
      <c r="CH49" s="37"/>
      <c r="CI49" s="37"/>
      <c r="CJ49" s="37"/>
      <c r="CK49" s="37"/>
      <c r="CL49" s="37"/>
      <c r="CM49" s="37"/>
      <c r="CN49" s="37"/>
      <c r="CO49" s="37"/>
      <c r="CP49" s="37"/>
      <c r="CQ49" s="37"/>
      <c r="CR49" s="37"/>
      <c r="CS49" s="37"/>
      <c r="CT49" s="37"/>
      <c r="CU49" s="37"/>
      <c r="CV49" s="37"/>
      <c r="CW49" s="37"/>
      <c r="CX49" s="37"/>
      <c r="CY49" s="37"/>
      <c r="CZ49" s="37"/>
      <c r="DA49" s="37"/>
      <c r="DB49" s="37"/>
      <c r="DC49" s="37"/>
      <c r="DD49" s="37"/>
      <c r="DE49" s="37"/>
      <c r="DF49" s="37"/>
      <c r="DG49" s="37"/>
      <c r="DH49" s="37"/>
      <c r="DI49" s="37"/>
      <c r="DJ49" s="37"/>
      <c r="DK49" s="37"/>
      <c r="DL49" s="37"/>
      <c r="DM49" s="37"/>
      <c r="DN49" s="37"/>
    </row>
    <row r="50" spans="1:118" x14ac:dyDescent="0.15"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</row>
    <row r="51" spans="1:118" x14ac:dyDescent="0.15">
      <c r="A51" s="18" t="s">
        <v>50</v>
      </c>
      <c r="B51" s="38"/>
      <c r="C51" s="38"/>
      <c r="D51" s="38"/>
      <c r="E51" s="38"/>
      <c r="F51" s="53">
        <f>F26/F49</f>
        <v>-1.1417165354330707</v>
      </c>
      <c r="G51" s="53">
        <f>G26/G49</f>
        <v>-3.9647482993197278</v>
      </c>
      <c r="H51" s="53">
        <f>H26/H49</f>
        <v>-0.76748128693368356</v>
      </c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</row>
    <row r="52" spans="1:118" x14ac:dyDescent="0.15">
      <c r="A52" s="18" t="s">
        <v>51</v>
      </c>
      <c r="B52" s="38"/>
      <c r="C52" s="38"/>
      <c r="D52" s="38"/>
      <c r="E52" s="38"/>
      <c r="F52" s="53">
        <f>F26/F45</f>
        <v>-0.40530538085255063</v>
      </c>
      <c r="G52" s="53">
        <f>G26/G45</f>
        <v>-0.3656323713927227</v>
      </c>
      <c r="H52" s="53">
        <f>H26/H45</f>
        <v>-0.434364176885916</v>
      </c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</row>
    <row r="53" spans="1:118" x14ac:dyDescent="0.15">
      <c r="A53" s="18" t="s">
        <v>52</v>
      </c>
      <c r="B53" s="38"/>
      <c r="C53" s="38"/>
      <c r="D53" s="38"/>
      <c r="E53" s="38"/>
      <c r="F53" s="53">
        <f>F26/(F49-F44)</f>
        <v>-1.1958597938144329</v>
      </c>
      <c r="G53" s="53">
        <f>G26/(G49-G44)</f>
        <v>-6.0710208333333329</v>
      </c>
      <c r="H53" s="53">
        <f>H26/(H49-H44)</f>
        <v>-0.89500306278713626</v>
      </c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</row>
    <row r="54" spans="1:118" x14ac:dyDescent="0.15">
      <c r="A54" s="18" t="s">
        <v>53</v>
      </c>
      <c r="B54" s="38"/>
      <c r="C54" s="38"/>
      <c r="D54" s="38"/>
      <c r="E54" s="38"/>
      <c r="F54" s="53">
        <f>F26/F48</f>
        <v>-2.0567092198581558</v>
      </c>
      <c r="G54" s="53">
        <f>G26/G48</f>
        <v>-1.4146067961165047</v>
      </c>
      <c r="H54" s="53">
        <f>H26/H48</f>
        <v>-2.7438356807511739</v>
      </c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</row>
    <row r="55" spans="1:118" x14ac:dyDescent="0.15"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</row>
    <row r="56" spans="1:118" x14ac:dyDescent="0.15">
      <c r="A56" s="6" t="s">
        <v>57</v>
      </c>
      <c r="B56" s="38"/>
      <c r="C56" s="38"/>
      <c r="D56" s="38"/>
      <c r="E56" s="38"/>
      <c r="F56" s="53"/>
      <c r="G56" s="53">
        <f t="shared" ref="G56:L56" si="84">G13/F13-1</f>
        <v>0.24713432279323966</v>
      </c>
      <c r="H56" s="53">
        <f>H13/G13-1</f>
        <v>0.47150446768252841</v>
      </c>
      <c r="I56" s="53">
        <f t="shared" ref="I56:M56" si="85">I13/H13-1</f>
        <v>0.39999999999999991</v>
      </c>
      <c r="J56" s="53">
        <f t="shared" si="85"/>
        <v>0.40000000000000013</v>
      </c>
      <c r="K56" s="53">
        <f t="shared" si="85"/>
        <v>0.39999999999999991</v>
      </c>
      <c r="L56" s="53">
        <f t="shared" si="85"/>
        <v>0.39999999999999991</v>
      </c>
      <c r="M56" s="53">
        <f t="shared" si="85"/>
        <v>0.39999999999999991</v>
      </c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</row>
    <row r="58" spans="1:118" s="19" customFormat="1" x14ac:dyDescent="0.15">
      <c r="A58" s="19" t="s">
        <v>80</v>
      </c>
      <c r="H58" s="19">
        <f>H10/G10-1</f>
        <v>0.76300578034682087</v>
      </c>
      <c r="I58" s="19">
        <f t="shared" ref="I58:M58" si="86">I10/H10-1</f>
        <v>0.60000000000000009</v>
      </c>
      <c r="J58" s="19">
        <f t="shared" si="86"/>
        <v>0.5</v>
      </c>
      <c r="K58" s="19">
        <f t="shared" si="86"/>
        <v>0.39999999999999991</v>
      </c>
      <c r="L58" s="19">
        <f t="shared" si="86"/>
        <v>0.35000000000000009</v>
      </c>
      <c r="M58" s="19">
        <f t="shared" si="86"/>
        <v>0.30000000000000004</v>
      </c>
    </row>
    <row r="59" spans="1:118" s="19" customFormat="1" x14ac:dyDescent="0.15">
      <c r="A59" s="19" t="s">
        <v>81</v>
      </c>
      <c r="H59" s="19">
        <f>H11/G11-1</f>
        <v>0.21410579345088165</v>
      </c>
      <c r="I59" s="19">
        <f t="shared" ref="I59:M59" si="87">I11/H11-1</f>
        <v>0.19999999999999996</v>
      </c>
      <c r="J59" s="19">
        <f t="shared" si="87"/>
        <v>0.19999999999999996</v>
      </c>
      <c r="K59" s="19">
        <f t="shared" si="87"/>
        <v>0.19999999999999996</v>
      </c>
      <c r="L59" s="19">
        <f t="shared" si="87"/>
        <v>0.19999999999999996</v>
      </c>
      <c r="M59" s="19">
        <f t="shared" si="87"/>
        <v>0.19999999999999996</v>
      </c>
    </row>
  </sheetData>
  <hyperlinks>
    <hyperlink ref="A1" r:id="rId1" xr:uid="{00000000-0004-0000-0000-000000000000}"/>
    <hyperlink ref="L4" r:id="rId2" xr:uid="{CBCA994A-BC74-CB48-8009-AD2DE8254A02}"/>
    <hyperlink ref="A4" r:id="rId3" xr:uid="{741A8B4D-19A2-5A48-9F00-2808126CAB69}"/>
    <hyperlink ref="A8" r:id="rId4" xr:uid="{5AAA0731-2696-3C4C-85B5-10147C1B3A1B}"/>
    <hyperlink ref="A7" r:id="rId5" xr:uid="{F2473224-43D8-9D42-9A8B-40E31A9FA9BD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5"/>
  <sheetViews>
    <sheetView zoomScale="120" zoomScaleNormal="120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L58" sqref="L58"/>
    </sheetView>
  </sheetViews>
  <sheetFormatPr baseColWidth="10" defaultRowHeight="13" x14ac:dyDescent="0.15"/>
  <cols>
    <col min="1" max="1" width="20.33203125" style="6" bestFit="1" customWidth="1"/>
    <col min="2" max="2" width="10.83203125" style="21"/>
    <col min="3" max="5" width="10.83203125" style="20"/>
    <col min="6" max="6" width="10.83203125" style="21"/>
    <col min="7" max="9" width="10.83203125" style="20"/>
    <col min="10" max="10" width="10.83203125" style="21"/>
    <col min="11" max="13" width="10.83203125" style="20"/>
    <col min="14" max="16384" width="10.83203125" style="6"/>
  </cols>
  <sheetData>
    <row r="1" spans="1:14" x14ac:dyDescent="0.15">
      <c r="A1" s="64" t="s">
        <v>33</v>
      </c>
      <c r="B1" s="22" t="s">
        <v>26</v>
      </c>
      <c r="C1" s="23" t="s">
        <v>27</v>
      </c>
      <c r="D1" s="23" t="s">
        <v>28</v>
      </c>
      <c r="E1" s="23" t="s">
        <v>29</v>
      </c>
      <c r="F1" s="22" t="s">
        <v>40</v>
      </c>
      <c r="G1" s="23" t="s">
        <v>41</v>
      </c>
      <c r="H1" s="23" t="s">
        <v>42</v>
      </c>
      <c r="I1" s="23" t="s">
        <v>43</v>
      </c>
      <c r="J1" s="22" t="s">
        <v>59</v>
      </c>
      <c r="K1" s="23" t="s">
        <v>64</v>
      </c>
      <c r="L1" s="23" t="s">
        <v>65</v>
      </c>
      <c r="M1" s="23" t="s">
        <v>60</v>
      </c>
    </row>
    <row r="2" spans="1:14" s="20" customFormat="1" x14ac:dyDescent="0.15">
      <c r="A2" s="1"/>
      <c r="B2" s="21"/>
      <c r="E2" s="55">
        <v>43465</v>
      </c>
      <c r="F2" s="56">
        <v>43555</v>
      </c>
      <c r="G2" s="55">
        <v>43646</v>
      </c>
      <c r="H2" s="55">
        <v>43738</v>
      </c>
      <c r="I2" s="55">
        <v>43830</v>
      </c>
      <c r="J2" s="56">
        <v>43921</v>
      </c>
      <c r="K2" s="55">
        <v>44012</v>
      </c>
      <c r="L2" s="55">
        <v>44104</v>
      </c>
      <c r="M2" s="55">
        <v>44196</v>
      </c>
    </row>
    <row r="3" spans="1:14" s="23" customFormat="1" x14ac:dyDescent="0.15">
      <c r="A3" s="8" t="s">
        <v>78</v>
      </c>
      <c r="B3" s="22"/>
      <c r="E3" s="39"/>
      <c r="F3" s="22"/>
      <c r="H3" s="23">
        <v>96.801000000000002</v>
      </c>
      <c r="I3" s="23">
        <v>102.5</v>
      </c>
      <c r="J3" s="22"/>
      <c r="L3" s="23">
        <v>162.56100000000001</v>
      </c>
      <c r="M3" s="23">
        <v>190</v>
      </c>
    </row>
    <row r="4" spans="1:14" s="23" customFormat="1" x14ac:dyDescent="0.15">
      <c r="A4" s="8" t="s">
        <v>79</v>
      </c>
      <c r="B4" s="22"/>
      <c r="E4" s="39"/>
      <c r="F4" s="22"/>
      <c r="H4" s="23">
        <v>93.74</v>
      </c>
      <c r="I4" s="23">
        <v>127</v>
      </c>
      <c r="J4" s="22"/>
      <c r="L4" s="23">
        <v>126.80500000000001</v>
      </c>
      <c r="M4" s="23">
        <v>132</v>
      </c>
    </row>
    <row r="5" spans="1:14" s="23" customFormat="1" x14ac:dyDescent="0.15">
      <c r="A5" s="65"/>
      <c r="B5" s="22"/>
      <c r="E5" s="39"/>
      <c r="F5" s="22"/>
      <c r="J5" s="22"/>
    </row>
    <row r="6" spans="1:14" s="8" customFormat="1" x14ac:dyDescent="0.15">
      <c r="A6" s="8" t="s">
        <v>56</v>
      </c>
      <c r="B6" s="22"/>
      <c r="C6" s="23"/>
      <c r="D6" s="23"/>
      <c r="E6" s="39"/>
      <c r="F6" s="22">
        <v>146.33600000000001</v>
      </c>
      <c r="G6" s="23">
        <v>176.32</v>
      </c>
      <c r="H6" s="23">
        <v>190.541</v>
      </c>
      <c r="I6" s="23">
        <v>229.358</v>
      </c>
      <c r="J6" s="22">
        <v>229.327</v>
      </c>
      <c r="K6" s="23">
        <v>251.88900000000001</v>
      </c>
      <c r="L6" s="23">
        <v>289.36599999999999</v>
      </c>
      <c r="M6" s="23">
        <v>322.09100000000001</v>
      </c>
    </row>
    <row r="7" spans="1:14" s="39" customFormat="1" x14ac:dyDescent="0.15">
      <c r="F7" s="40"/>
      <c r="J7" s="40"/>
      <c r="M7" s="39">
        <v>299</v>
      </c>
    </row>
    <row r="8" spans="1:14" s="17" customFormat="1" x14ac:dyDescent="0.15">
      <c r="A8" s="17" t="s">
        <v>0</v>
      </c>
      <c r="B8" s="39"/>
      <c r="C8" s="39"/>
      <c r="D8" s="39"/>
      <c r="E8" s="39"/>
      <c r="F8" s="25">
        <f>SUM(F6:F6)</f>
        <v>146.33600000000001</v>
      </c>
      <c r="G8" s="24">
        <f t="shared" ref="E8:K8" si="0">SUM(G6:G6)</f>
        <v>176.32</v>
      </c>
      <c r="H8" s="24">
        <f>SUM(H3:H4)</f>
        <v>190.541</v>
      </c>
      <c r="I8" s="24">
        <f t="shared" si="0"/>
        <v>229.358</v>
      </c>
      <c r="J8" s="25">
        <f>SUM(J6:J6)</f>
        <v>229.327</v>
      </c>
      <c r="K8" s="24">
        <f t="shared" si="0"/>
        <v>251.88900000000001</v>
      </c>
      <c r="L8" s="24">
        <f>SUM(L3:L4)</f>
        <v>289.36599999999999</v>
      </c>
      <c r="M8" s="24">
        <f>M6</f>
        <v>322.09100000000001</v>
      </c>
      <c r="N8" s="17">
        <v>332</v>
      </c>
    </row>
    <row r="9" spans="1:14" s="8" customFormat="1" x14ac:dyDescent="0.15">
      <c r="A9" s="8" t="s">
        <v>1</v>
      </c>
      <c r="B9" s="39"/>
      <c r="C9" s="39"/>
      <c r="D9" s="39"/>
      <c r="E9" s="39"/>
      <c r="F9" s="22">
        <v>44.808999999999997</v>
      </c>
      <c r="G9" s="23">
        <v>56.588999999999999</v>
      </c>
      <c r="H9" s="49">
        <v>65.072999999999993</v>
      </c>
      <c r="I9" s="49">
        <v>75.902000000000001</v>
      </c>
      <c r="J9" s="22">
        <v>64.293999999999997</v>
      </c>
      <c r="K9" s="49">
        <v>68.41</v>
      </c>
      <c r="L9" s="49">
        <v>149.34</v>
      </c>
      <c r="M9" s="49">
        <v>70.503</v>
      </c>
    </row>
    <row r="10" spans="1:14" s="8" customFormat="1" x14ac:dyDescent="0.15">
      <c r="A10" s="8" t="s">
        <v>2</v>
      </c>
      <c r="B10" s="39"/>
      <c r="C10" s="39"/>
      <c r="D10" s="39"/>
      <c r="E10" s="39"/>
      <c r="F10" s="27">
        <f t="shared" ref="E10:F10" si="1">F8-F9</f>
        <v>101.52700000000002</v>
      </c>
      <c r="G10" s="26">
        <f t="shared" ref="G10:M10" si="2">G8-G9</f>
        <v>119.73099999999999</v>
      </c>
      <c r="H10" s="26">
        <f t="shared" si="2"/>
        <v>125.468</v>
      </c>
      <c r="I10" s="26">
        <f t="shared" si="2"/>
        <v>153.45600000000002</v>
      </c>
      <c r="J10" s="27">
        <f t="shared" ref="J10" si="3">J8-J9</f>
        <v>165.03300000000002</v>
      </c>
      <c r="K10" s="26">
        <f t="shared" si="2"/>
        <v>183.47900000000001</v>
      </c>
      <c r="L10" s="26">
        <f t="shared" si="2"/>
        <v>140.02599999999998</v>
      </c>
      <c r="M10" s="26">
        <f t="shared" si="2"/>
        <v>251.58800000000002</v>
      </c>
    </row>
    <row r="11" spans="1:14" s="8" customFormat="1" x14ac:dyDescent="0.15">
      <c r="A11" s="8" t="s">
        <v>3</v>
      </c>
      <c r="B11" s="39"/>
      <c r="C11" s="39"/>
      <c r="D11" s="39"/>
      <c r="E11" s="39"/>
      <c r="F11" s="22">
        <v>75</v>
      </c>
      <c r="G11" s="23">
        <v>79</v>
      </c>
      <c r="H11" s="49">
        <v>76</v>
      </c>
      <c r="I11" s="49">
        <v>76</v>
      </c>
      <c r="J11" s="22">
        <v>66</v>
      </c>
      <c r="K11" s="49">
        <v>87</v>
      </c>
      <c r="L11" s="49">
        <v>314</v>
      </c>
      <c r="M11" s="49">
        <v>94</v>
      </c>
    </row>
    <row r="12" spans="1:14" s="8" customFormat="1" x14ac:dyDescent="0.15">
      <c r="A12" s="8" t="s">
        <v>4</v>
      </c>
      <c r="B12" s="39"/>
      <c r="C12" s="39"/>
      <c r="D12" s="39"/>
      <c r="E12" s="39"/>
      <c r="F12" s="22">
        <v>107</v>
      </c>
      <c r="G12" s="23">
        <v>111</v>
      </c>
      <c r="H12" s="49">
        <v>120</v>
      </c>
      <c r="I12" s="49">
        <v>113</v>
      </c>
      <c r="J12" s="22">
        <v>99</v>
      </c>
      <c r="K12" s="49">
        <v>103</v>
      </c>
      <c r="L12" s="49">
        <v>335</v>
      </c>
      <c r="M12" s="49">
        <v>148</v>
      </c>
    </row>
    <row r="13" spans="1:14" s="8" customFormat="1" x14ac:dyDescent="0.15">
      <c r="A13" s="8" t="s">
        <v>5</v>
      </c>
      <c r="B13" s="39"/>
      <c r="C13" s="39"/>
      <c r="D13" s="39"/>
      <c r="E13" s="39"/>
      <c r="F13" s="22">
        <v>64</v>
      </c>
      <c r="G13" s="23">
        <v>71</v>
      </c>
      <c r="H13" s="49">
        <v>74</v>
      </c>
      <c r="I13" s="49">
        <v>112</v>
      </c>
      <c r="J13" s="22">
        <v>71</v>
      </c>
      <c r="K13" s="49">
        <v>93</v>
      </c>
      <c r="L13" s="49">
        <v>339</v>
      </c>
      <c r="M13" s="49">
        <v>166</v>
      </c>
    </row>
    <row r="14" spans="1:14" s="8" customFormat="1" x14ac:dyDescent="0.15">
      <c r="A14" s="8" t="s">
        <v>6</v>
      </c>
      <c r="B14" s="39"/>
      <c r="C14" s="39"/>
      <c r="D14" s="39"/>
      <c r="E14" s="39"/>
      <c r="F14" s="27">
        <f t="shared" ref="E14:G14" si="4">SUM(F11:F13)</f>
        <v>246</v>
      </c>
      <c r="G14" s="26">
        <f t="shared" si="4"/>
        <v>261</v>
      </c>
      <c r="H14" s="26">
        <f t="shared" ref="H14:I14" si="5">SUM(H11:H13)</f>
        <v>270</v>
      </c>
      <c r="I14" s="26">
        <f t="shared" si="5"/>
        <v>301</v>
      </c>
      <c r="J14" s="27">
        <f t="shared" ref="J14:L14" si="6">SUM(J11:J13)</f>
        <v>236</v>
      </c>
      <c r="K14" s="26">
        <f t="shared" si="6"/>
        <v>283</v>
      </c>
      <c r="L14" s="26">
        <f t="shared" si="6"/>
        <v>988</v>
      </c>
      <c r="M14" s="26">
        <f t="shared" ref="M14" si="7">SUM(M11:M13)</f>
        <v>408</v>
      </c>
    </row>
    <row r="15" spans="1:14" s="8" customFormat="1" x14ac:dyDescent="0.15">
      <c r="A15" s="8" t="s">
        <v>7</v>
      </c>
      <c r="B15" s="39"/>
      <c r="C15" s="39"/>
      <c r="D15" s="39"/>
      <c r="E15" s="39"/>
      <c r="F15" s="27">
        <f t="shared" ref="E15:G15" si="8">F10-F14</f>
        <v>-144.47299999999998</v>
      </c>
      <c r="G15" s="26">
        <f t="shared" si="8"/>
        <v>-141.26900000000001</v>
      </c>
      <c r="H15" s="26">
        <f t="shared" ref="H15:I15" si="9">H10-H14</f>
        <v>-144.53199999999998</v>
      </c>
      <c r="I15" s="26">
        <f t="shared" si="9"/>
        <v>-147.54399999999998</v>
      </c>
      <c r="J15" s="27">
        <f t="shared" ref="J15:L15" si="10">J10-J14</f>
        <v>-70.966999999999985</v>
      </c>
      <c r="K15" s="26">
        <f t="shared" si="10"/>
        <v>-99.520999999999987</v>
      </c>
      <c r="L15" s="26">
        <f t="shared" si="10"/>
        <v>-847.97400000000005</v>
      </c>
      <c r="M15" s="26">
        <f t="shared" ref="M15" si="11">M10-M14</f>
        <v>-156.41199999999998</v>
      </c>
    </row>
    <row r="16" spans="1:14" s="8" customFormat="1" x14ac:dyDescent="0.15">
      <c r="A16" s="8" t="s">
        <v>8</v>
      </c>
      <c r="B16" s="39"/>
      <c r="C16" s="39"/>
      <c r="D16" s="39"/>
      <c r="E16" s="39"/>
      <c r="F16" s="22">
        <f>5-0-2</f>
        <v>3</v>
      </c>
      <c r="G16" s="23">
        <f>4-0+2+1</f>
        <v>7</v>
      </c>
      <c r="H16" s="49">
        <f>3+1+2</f>
        <v>6</v>
      </c>
      <c r="I16" s="49">
        <f>2-3-3-5</f>
        <v>-9</v>
      </c>
      <c r="J16" s="22">
        <f>3-5+14+6</f>
        <v>18</v>
      </c>
      <c r="K16" s="49">
        <f>1-6-4-2</f>
        <v>-11</v>
      </c>
      <c r="L16" s="49">
        <f>-2-9-3</f>
        <v>-14</v>
      </c>
      <c r="M16" s="49">
        <f>0-2+2</f>
        <v>0</v>
      </c>
    </row>
    <row r="17" spans="1:14" s="8" customFormat="1" x14ac:dyDescent="0.15">
      <c r="A17" s="8" t="s">
        <v>9</v>
      </c>
      <c r="B17" s="39"/>
      <c r="C17" s="39"/>
      <c r="D17" s="39"/>
      <c r="E17" s="39"/>
      <c r="F17" s="27">
        <f t="shared" ref="E17:H17" si="12">F15+F16</f>
        <v>-141.47299999999998</v>
      </c>
      <c r="G17" s="26">
        <f t="shared" si="12"/>
        <v>-134.26900000000001</v>
      </c>
      <c r="H17" s="26">
        <f t="shared" si="12"/>
        <v>-138.53199999999998</v>
      </c>
      <c r="I17" s="26">
        <f t="shared" ref="I17" si="13">I15+I16</f>
        <v>-156.54399999999998</v>
      </c>
      <c r="J17" s="27">
        <f t="shared" ref="J17:M17" si="14">J15+J16</f>
        <v>-52.966999999999985</v>
      </c>
      <c r="K17" s="26">
        <f t="shared" si="14"/>
        <v>-110.52099999999999</v>
      </c>
      <c r="L17" s="26">
        <f t="shared" si="14"/>
        <v>-861.97400000000005</v>
      </c>
      <c r="M17" s="26">
        <f t="shared" si="14"/>
        <v>-156.41199999999998</v>
      </c>
    </row>
    <row r="18" spans="1:14" s="8" customFormat="1" x14ac:dyDescent="0.15">
      <c r="A18" s="8" t="s">
        <v>10</v>
      </c>
      <c r="B18" s="39"/>
      <c r="C18" s="39"/>
      <c r="D18" s="39"/>
      <c r="E18" s="39"/>
      <c r="F18" s="22">
        <v>5</v>
      </c>
      <c r="G18" s="23">
        <v>1</v>
      </c>
      <c r="H18" s="23">
        <v>2</v>
      </c>
      <c r="I18" s="23">
        <v>4</v>
      </c>
      <c r="J18" s="22">
        <v>3</v>
      </c>
      <c r="K18" s="23">
        <v>1</v>
      </c>
      <c r="L18" s="23">
        <v>-9</v>
      </c>
      <c r="M18" s="23">
        <v>-8</v>
      </c>
    </row>
    <row r="19" spans="1:14" s="17" customFormat="1" x14ac:dyDescent="0.15">
      <c r="A19" s="17" t="s">
        <v>11</v>
      </c>
      <c r="B19" s="39"/>
      <c r="C19" s="39"/>
      <c r="D19" s="39"/>
      <c r="E19" s="39"/>
      <c r="F19" s="25">
        <f>F17-F18</f>
        <v>-146.47299999999998</v>
      </c>
      <c r="G19" s="24">
        <f>G17-G18</f>
        <v>-135.26900000000001</v>
      </c>
      <c r="H19" s="24">
        <f>H17-H18</f>
        <v>-140.53199999999998</v>
      </c>
      <c r="I19" s="24">
        <f>I17-I18</f>
        <v>-160.54399999999998</v>
      </c>
      <c r="J19" s="25">
        <f>J17-J18</f>
        <v>-55.966999999999985</v>
      </c>
      <c r="K19" s="24">
        <f>K17-K18</f>
        <v>-111.52099999999999</v>
      </c>
      <c r="L19" s="24">
        <f>L17-L18</f>
        <v>-852.97400000000005</v>
      </c>
      <c r="M19" s="24">
        <f>M17-M18</f>
        <v>-148.41199999999998</v>
      </c>
    </row>
    <row r="20" spans="1:14" s="4" customFormat="1" x14ac:dyDescent="0.15">
      <c r="A20" s="4" t="s">
        <v>12</v>
      </c>
      <c r="B20" s="39"/>
      <c r="C20" s="39"/>
      <c r="D20" s="39"/>
      <c r="E20" s="39"/>
      <c r="F20" s="58">
        <f t="shared" ref="E20:G20" si="15">IFERROR(F19/F21,0)</f>
        <v>0</v>
      </c>
      <c r="G20" s="57">
        <f t="shared" si="15"/>
        <v>0</v>
      </c>
      <c r="H20" s="57">
        <f t="shared" ref="H20:I20" si="16">IFERROR(H19/H21,0)</f>
        <v>-0.24225275994332926</v>
      </c>
      <c r="I20" s="57">
        <f t="shared" si="16"/>
        <v>-0.27456431274480081</v>
      </c>
      <c r="J20" s="58">
        <f t="shared" ref="J20:L20" si="17">IFERROR(J19/J21,0)</f>
        <v>0</v>
      </c>
      <c r="K20" s="57">
        <f t="shared" si="17"/>
        <v>0</v>
      </c>
      <c r="L20" s="57">
        <f t="shared" si="17"/>
        <v>-0.94203179214553689</v>
      </c>
      <c r="M20" s="57">
        <f t="shared" ref="M20" si="18">IFERROR(M19/M21,0)</f>
        <v>-8.4156976675118053E-2</v>
      </c>
    </row>
    <row r="21" spans="1:14" s="8" customFormat="1" x14ac:dyDescent="0.15">
      <c r="A21" s="8" t="s">
        <v>13</v>
      </c>
      <c r="B21" s="39"/>
      <c r="C21" s="39"/>
      <c r="D21" s="39"/>
      <c r="E21" s="39"/>
      <c r="F21" s="22"/>
      <c r="G21" s="23"/>
      <c r="H21" s="49">
        <v>580.10484599999995</v>
      </c>
      <c r="I21" s="49">
        <v>584.72275000000002</v>
      </c>
      <c r="J21" s="22"/>
      <c r="K21" s="49"/>
      <c r="L21" s="49">
        <v>905.46200999999996</v>
      </c>
      <c r="M21" s="49">
        <v>1763.5139220000001</v>
      </c>
    </row>
    <row r="22" spans="1:14" s="41" customFormat="1" x14ac:dyDescent="0.15">
      <c r="B22" s="39"/>
      <c r="C22" s="39"/>
      <c r="D22" s="39"/>
      <c r="E22" s="39"/>
      <c r="F22" s="54"/>
      <c r="J22" s="54"/>
    </row>
    <row r="23" spans="1:14" x14ac:dyDescent="0.15">
      <c r="A23" s="6" t="s">
        <v>15</v>
      </c>
      <c r="B23" s="39"/>
      <c r="C23" s="39"/>
      <c r="D23" s="39"/>
      <c r="E23" s="39"/>
      <c r="F23" s="34">
        <f>IFERROR(F10/F8,0)</f>
        <v>0.69379373496610541</v>
      </c>
      <c r="G23" s="33">
        <f>IFERROR(G10/G8,0)</f>
        <v>0.67905512704174231</v>
      </c>
      <c r="H23" s="33">
        <f>IFERROR(H10/H8,0)</f>
        <v>0.65848295117586242</v>
      </c>
      <c r="I23" s="33">
        <f>IFERROR(I10/I8,0)</f>
        <v>0.66906757122053739</v>
      </c>
      <c r="J23" s="34">
        <f>IFERROR(J10/J8,0)</f>
        <v>0.71964051332812973</v>
      </c>
      <c r="K23" s="33">
        <f>IFERROR(K10/K8,0)</f>
        <v>0.72841211803611916</v>
      </c>
      <c r="L23" s="33">
        <f>IFERROR(L10/L8,0)</f>
        <v>0.48390619492269304</v>
      </c>
      <c r="M23" s="33">
        <f>IFERROR(M10/M8,0)</f>
        <v>0.78110844450791861</v>
      </c>
    </row>
    <row r="24" spans="1:14" x14ac:dyDescent="0.15">
      <c r="A24" s="6" t="s">
        <v>16</v>
      </c>
      <c r="B24" s="39"/>
      <c r="C24" s="39"/>
      <c r="D24" s="39"/>
      <c r="E24" s="39"/>
      <c r="F24" s="36">
        <f>IFERROR(F15/F8,0)</f>
        <v>-0.98726902471025568</v>
      </c>
      <c r="G24" s="35">
        <f>IFERROR(G15/G8,0)</f>
        <v>-0.80120803085299463</v>
      </c>
      <c r="H24" s="35">
        <f>IFERROR(H15/H8,0)</f>
        <v>-0.7585349084973837</v>
      </c>
      <c r="I24" s="35">
        <f>IFERROR(I15/I8,0)</f>
        <v>-0.64329127390367891</v>
      </c>
      <c r="J24" s="36">
        <f>IFERROR(J15/J8,0)</f>
        <v>-0.30945767397646151</v>
      </c>
      <c r="K24" s="35">
        <f>IFERROR(K15/K8,0)</f>
        <v>-0.3950986347160852</v>
      </c>
      <c r="L24" s="35">
        <f>IFERROR(L15/L8,0)</f>
        <v>-2.9304548564793378</v>
      </c>
      <c r="M24" s="35">
        <f>IFERROR(M15/M8,0)</f>
        <v>-0.4856143139671707</v>
      </c>
    </row>
    <row r="25" spans="1:14" x14ac:dyDescent="0.15">
      <c r="A25" s="6" t="s">
        <v>17</v>
      </c>
      <c r="B25" s="39"/>
      <c r="C25" s="39"/>
      <c r="D25" s="39"/>
      <c r="E25" s="39"/>
      <c r="F25" s="36">
        <f>IFERROR(F18/F17,0)</f>
        <v>-3.5342432831706405E-2</v>
      </c>
      <c r="G25" s="35">
        <f>IFERROR(G18/G17,0)</f>
        <v>-7.4477355160163551E-3</v>
      </c>
      <c r="H25" s="35">
        <f>IFERROR(H18/H17,0)</f>
        <v>-1.4437097565905352E-2</v>
      </c>
      <c r="I25" s="35">
        <f>IFERROR(I18/I17,0)</f>
        <v>-2.555192150449714E-2</v>
      </c>
      <c r="J25" s="36">
        <f>IFERROR(J18/J17,0)</f>
        <v>-5.6639039401891758E-2</v>
      </c>
      <c r="K25" s="35">
        <f>IFERROR(K18/K17,0)</f>
        <v>-9.0480542159408622E-3</v>
      </c>
      <c r="L25" s="35">
        <f>IFERROR(L18/L17,0)</f>
        <v>1.0441150197105713E-2</v>
      </c>
      <c r="M25" s="35">
        <f>IFERROR(M18/M17,0)</f>
        <v>5.1146970820653156E-2</v>
      </c>
    </row>
    <row r="26" spans="1:14" s="41" customFormat="1" x14ac:dyDescent="0.15">
      <c r="B26" s="39"/>
      <c r="C26" s="39"/>
      <c r="D26" s="39"/>
      <c r="E26" s="39"/>
      <c r="F26" s="54"/>
      <c r="J26" s="54"/>
      <c r="N26" s="44">
        <v>0.45</v>
      </c>
    </row>
    <row r="27" spans="1:14" s="12" customFormat="1" x14ac:dyDescent="0.15">
      <c r="A27" s="12" t="s">
        <v>14</v>
      </c>
      <c r="B27" s="39"/>
      <c r="C27" s="39"/>
      <c r="D27" s="39"/>
      <c r="E27" s="39"/>
      <c r="F27" s="30"/>
      <c r="G27" s="29"/>
      <c r="H27" s="29"/>
      <c r="I27" s="29"/>
      <c r="J27" s="30">
        <f>IFERROR((J8/F8)-1,0)</f>
        <v>0.56712633938333679</v>
      </c>
      <c r="K27" s="29">
        <f>IFERROR((K8/G8)-1,0)</f>
        <v>0.42859006352087126</v>
      </c>
      <c r="L27" s="29">
        <f>IFERROR((L8/H8)-1,0)</f>
        <v>0.51865477771188351</v>
      </c>
      <c r="M27" s="29">
        <f>IFERROR((M8/I8)-1,0)</f>
        <v>0.40431552420233863</v>
      </c>
      <c r="N27" s="29">
        <f>IFERROR((N8/J8)-1,0)</f>
        <v>0.44771439908950983</v>
      </c>
    </row>
    <row r="28" spans="1:14" s="12" customFormat="1" x14ac:dyDescent="0.15">
      <c r="A28" s="6" t="s">
        <v>30</v>
      </c>
      <c r="B28" s="39"/>
      <c r="C28" s="39"/>
      <c r="D28" s="39"/>
      <c r="E28" s="39"/>
      <c r="F28" s="32"/>
      <c r="G28" s="31"/>
      <c r="H28" s="31"/>
      <c r="I28" s="31"/>
      <c r="J28" s="32">
        <f>J11/F11-1</f>
        <v>-0.12</v>
      </c>
      <c r="K28" s="31">
        <f>K11/G11-1</f>
        <v>0.10126582278481022</v>
      </c>
      <c r="L28" s="31">
        <f>L11/H11-1</f>
        <v>3.1315789473684212</v>
      </c>
      <c r="M28" s="31">
        <f>M11/I11-1</f>
        <v>0.23684210526315796</v>
      </c>
    </row>
    <row r="29" spans="1:14" s="12" customFormat="1" x14ac:dyDescent="0.15">
      <c r="A29" s="6" t="s">
        <v>31</v>
      </c>
      <c r="B29" s="39"/>
      <c r="C29" s="39"/>
      <c r="D29" s="39"/>
      <c r="E29" s="39"/>
      <c r="F29" s="32"/>
      <c r="G29" s="31"/>
      <c r="H29" s="31"/>
      <c r="I29" s="31"/>
      <c r="J29" s="32">
        <f>J12/F12-1</f>
        <v>-7.4766355140186924E-2</v>
      </c>
      <c r="K29" s="31">
        <f>K12/G12-1</f>
        <v>-7.2072072072072113E-2</v>
      </c>
      <c r="L29" s="31">
        <f>L12/H12-1</f>
        <v>1.7916666666666665</v>
      </c>
      <c r="M29" s="31">
        <f>M12/I12-1</f>
        <v>0.30973451327433632</v>
      </c>
    </row>
    <row r="30" spans="1:14" s="12" customFormat="1" x14ac:dyDescent="0.15">
      <c r="A30" s="6" t="s">
        <v>32</v>
      </c>
      <c r="B30" s="39"/>
      <c r="C30" s="39"/>
      <c r="D30" s="39"/>
      <c r="E30" s="39"/>
      <c r="F30" s="32"/>
      <c r="G30" s="31"/>
      <c r="H30" s="31"/>
      <c r="I30" s="31"/>
      <c r="J30" s="32">
        <f>J13/F13-1</f>
        <v>0.109375</v>
      </c>
      <c r="K30" s="31">
        <f>K13/G13-1</f>
        <v>0.3098591549295775</v>
      </c>
      <c r="L30" s="31">
        <f>L13/H13-1</f>
        <v>3.5810810810810807</v>
      </c>
      <c r="M30" s="31">
        <f>M13/I13-1</f>
        <v>0.48214285714285721</v>
      </c>
    </row>
    <row r="31" spans="1:14" x14ac:dyDescent="0.15">
      <c r="A31" s="6" t="s">
        <v>58</v>
      </c>
      <c r="B31" s="39"/>
      <c r="C31" s="39"/>
      <c r="D31" s="39"/>
      <c r="E31" s="39"/>
      <c r="F31" s="34"/>
      <c r="G31" s="33"/>
      <c r="H31" s="33"/>
      <c r="I31" s="33"/>
      <c r="J31" s="34">
        <f>J14/F14-1</f>
        <v>-4.065040650406504E-2</v>
      </c>
      <c r="K31" s="33">
        <f>K14/G14-1</f>
        <v>8.4291187739463647E-2</v>
      </c>
      <c r="L31" s="33">
        <f>L14/H14-1</f>
        <v>2.6592592592592594</v>
      </c>
      <c r="M31" s="33">
        <f>M14/I14-1</f>
        <v>0.35548172757475083</v>
      </c>
    </row>
    <row r="32" spans="1:14" x14ac:dyDescent="0.15">
      <c r="B32" s="39"/>
      <c r="C32" s="39"/>
      <c r="D32" s="39"/>
      <c r="E32" s="39"/>
      <c r="G32" s="44"/>
    </row>
    <row r="33" spans="1:13" s="17" customFormat="1" x14ac:dyDescent="0.15">
      <c r="A33" s="17" t="s">
        <v>18</v>
      </c>
      <c r="B33" s="39"/>
      <c r="C33" s="39"/>
      <c r="D33" s="39"/>
      <c r="E33" s="24">
        <f t="shared" ref="E33:G33" si="19">E34-E35</f>
        <v>1126</v>
      </c>
      <c r="F33" s="21"/>
      <c r="G33" s="44"/>
      <c r="H33" s="24">
        <f t="shared" ref="H33" si="20">H34-H35</f>
        <v>735</v>
      </c>
      <c r="I33" s="24">
        <f t="shared" ref="I33" si="21">I34-I35</f>
        <v>735</v>
      </c>
      <c r="J33" s="22"/>
      <c r="K33" s="24">
        <f t="shared" ref="J33:M33" si="22">K34-K35</f>
        <v>1237</v>
      </c>
      <c r="L33" s="24">
        <f t="shared" si="22"/>
        <v>1646</v>
      </c>
      <c r="M33" s="24">
        <f t="shared" si="22"/>
        <v>1850</v>
      </c>
    </row>
    <row r="34" spans="1:13" s="8" customFormat="1" x14ac:dyDescent="0.15">
      <c r="A34" s="8" t="s">
        <v>19</v>
      </c>
      <c r="B34" s="39"/>
      <c r="C34" s="39"/>
      <c r="D34" s="39"/>
      <c r="E34" s="23">
        <f>1116+10</f>
        <v>1126</v>
      </c>
      <c r="F34" s="22"/>
      <c r="G34" s="23"/>
      <c r="H34" s="23">
        <f>1079+52</f>
        <v>1131</v>
      </c>
      <c r="I34" s="23">
        <f>1079+52</f>
        <v>1131</v>
      </c>
      <c r="J34" s="22"/>
      <c r="K34" s="23">
        <f>1498+37</f>
        <v>1535</v>
      </c>
      <c r="L34" s="23">
        <f>1800+44</f>
        <v>1844</v>
      </c>
      <c r="M34" s="23">
        <f>2011+37</f>
        <v>2048</v>
      </c>
    </row>
    <row r="35" spans="1:13" s="8" customFormat="1" x14ac:dyDescent="0.15">
      <c r="A35" s="8" t="s">
        <v>20</v>
      </c>
      <c r="B35" s="39"/>
      <c r="C35" s="39"/>
      <c r="D35" s="39"/>
      <c r="E35" s="23">
        <v>0</v>
      </c>
      <c r="F35" s="22"/>
      <c r="G35" s="23"/>
      <c r="H35" s="23">
        <v>396</v>
      </c>
      <c r="I35" s="23">
        <v>396</v>
      </c>
      <c r="J35" s="22"/>
      <c r="K35" s="23">
        <v>298</v>
      </c>
      <c r="L35" s="23">
        <v>198</v>
      </c>
      <c r="M35" s="23">
        <v>198</v>
      </c>
    </row>
    <row r="36" spans="1:13" s="8" customFormat="1" x14ac:dyDescent="0.15">
      <c r="B36" s="39"/>
      <c r="C36" s="39"/>
      <c r="D36" s="39"/>
      <c r="E36" s="23"/>
      <c r="F36" s="22"/>
      <c r="G36" s="23"/>
      <c r="H36" s="23"/>
      <c r="I36" s="23"/>
      <c r="J36" s="22"/>
      <c r="K36" s="23"/>
      <c r="L36" s="23"/>
      <c r="M36" s="23"/>
    </row>
    <row r="37" spans="1:13" s="8" customFormat="1" x14ac:dyDescent="0.15">
      <c r="A37" s="59" t="s">
        <v>44</v>
      </c>
      <c r="B37" s="39"/>
      <c r="C37" s="39"/>
      <c r="D37" s="39"/>
      <c r="E37" s="23">
        <v>23</v>
      </c>
      <c r="F37" s="22"/>
      <c r="G37" s="23"/>
      <c r="H37" s="23">
        <v>78</v>
      </c>
      <c r="I37" s="23">
        <v>51</v>
      </c>
      <c r="J37" s="22"/>
      <c r="K37" s="23">
        <v>55</v>
      </c>
      <c r="L37" s="23">
        <v>94</v>
      </c>
      <c r="M37" s="23">
        <v>217</v>
      </c>
    </row>
    <row r="38" spans="1:13" s="8" customFormat="1" x14ac:dyDescent="0.15">
      <c r="A38" s="59" t="s">
        <v>45</v>
      </c>
      <c r="B38" s="39"/>
      <c r="C38" s="39"/>
      <c r="D38" s="39"/>
      <c r="E38" s="23">
        <v>1431</v>
      </c>
      <c r="F38" s="22"/>
      <c r="G38" s="23"/>
      <c r="H38" s="23">
        <v>1594</v>
      </c>
      <c r="I38" s="23">
        <v>1594</v>
      </c>
      <c r="J38" s="22"/>
      <c r="K38" s="23">
        <v>1892</v>
      </c>
      <c r="L38" s="23">
        <v>2604</v>
      </c>
      <c r="M38" s="23">
        <v>2691</v>
      </c>
    </row>
    <row r="39" spans="1:13" s="8" customFormat="1" x14ac:dyDescent="0.15">
      <c r="A39" s="59" t="s">
        <v>46</v>
      </c>
      <c r="B39" s="39"/>
      <c r="C39" s="39"/>
      <c r="D39" s="39"/>
      <c r="E39" s="23">
        <v>923</v>
      </c>
      <c r="F39" s="22"/>
      <c r="G39" s="23"/>
      <c r="H39" s="23">
        <v>1447</v>
      </c>
      <c r="I39" s="23">
        <v>1447</v>
      </c>
      <c r="J39" s="22"/>
      <c r="K39" s="23">
        <v>1163</v>
      </c>
      <c r="L39" s="23">
        <v>1352</v>
      </c>
      <c r="M39" s="23">
        <v>1168</v>
      </c>
    </row>
    <row r="40" spans="1:13" s="8" customFormat="1" x14ac:dyDescent="0.15">
      <c r="B40" s="39"/>
      <c r="C40" s="39"/>
      <c r="D40" s="39"/>
      <c r="E40" s="23"/>
      <c r="F40" s="22"/>
      <c r="G40" s="23"/>
      <c r="H40" s="23"/>
      <c r="I40" s="23"/>
      <c r="J40" s="22"/>
      <c r="K40" s="23"/>
      <c r="L40" s="23"/>
      <c r="M40" s="23"/>
    </row>
    <row r="41" spans="1:13" s="8" customFormat="1" x14ac:dyDescent="0.15">
      <c r="A41" s="59" t="s">
        <v>47</v>
      </c>
      <c r="B41" s="39"/>
      <c r="C41" s="39"/>
      <c r="D41" s="39"/>
      <c r="E41" s="26">
        <f t="shared" ref="E41:J41" si="23">E38-E34-E37</f>
        <v>282</v>
      </c>
      <c r="F41" s="21"/>
      <c r="G41" s="44"/>
      <c r="H41" s="26">
        <f t="shared" si="23"/>
        <v>385</v>
      </c>
      <c r="I41" s="26">
        <f t="shared" si="23"/>
        <v>412</v>
      </c>
      <c r="J41" s="22"/>
      <c r="K41" s="26">
        <f t="shared" ref="K41:L41" si="24">K38-K34-K37</f>
        <v>302</v>
      </c>
      <c r="L41" s="26">
        <f t="shared" si="24"/>
        <v>666</v>
      </c>
      <c r="M41" s="26">
        <f t="shared" ref="M41" si="25">M38-M34-M37</f>
        <v>426</v>
      </c>
    </row>
    <row r="42" spans="1:13" s="8" customFormat="1" x14ac:dyDescent="0.15">
      <c r="A42" s="59" t="s">
        <v>48</v>
      </c>
      <c r="B42" s="39"/>
      <c r="C42" s="39"/>
      <c r="D42" s="39"/>
      <c r="E42" s="26">
        <f t="shared" ref="E42:G42" si="26">E38-E39</f>
        <v>508</v>
      </c>
      <c r="F42" s="21"/>
      <c r="G42" s="44"/>
      <c r="H42" s="26">
        <f>H38-H39</f>
        <v>147</v>
      </c>
      <c r="I42" s="26">
        <f>I38-I39</f>
        <v>147</v>
      </c>
      <c r="J42" s="22"/>
      <c r="K42" s="26">
        <f>K38-K39</f>
        <v>729</v>
      </c>
      <c r="L42" s="26">
        <f>L38-L39</f>
        <v>1252</v>
      </c>
      <c r="M42" s="26">
        <f>M38-M39</f>
        <v>1523</v>
      </c>
    </row>
    <row r="43" spans="1:13" s="8" customFormat="1" x14ac:dyDescent="0.15">
      <c r="B43" s="39"/>
      <c r="C43" s="39"/>
      <c r="D43" s="39"/>
      <c r="E43" s="23"/>
      <c r="F43" s="21"/>
      <c r="G43" s="44"/>
      <c r="H43" s="23"/>
      <c r="I43" s="23"/>
      <c r="J43" s="22"/>
      <c r="K43" s="23"/>
      <c r="L43" s="23"/>
      <c r="M43" s="23"/>
    </row>
    <row r="44" spans="1:13" s="17" customFormat="1" x14ac:dyDescent="0.15">
      <c r="A44" s="60" t="s">
        <v>49</v>
      </c>
      <c r="B44" s="39"/>
      <c r="C44" s="39"/>
      <c r="D44" s="39"/>
      <c r="E44" s="23"/>
      <c r="F44" s="21"/>
      <c r="G44" s="44"/>
      <c r="H44" s="24">
        <f t="shared" ref="E44:I44" si="27">SUM(E19:H19)</f>
        <v>-422.27399999999994</v>
      </c>
      <c r="I44" s="24">
        <f t="shared" si="27"/>
        <v>-582.81799999999998</v>
      </c>
      <c r="J44" s="22"/>
      <c r="K44" s="24">
        <f>SUM(H19:K19)</f>
        <v>-468.56399999999996</v>
      </c>
      <c r="L44" s="24">
        <f>SUM(I19:L19)</f>
        <v>-1181.0059999999999</v>
      </c>
      <c r="M44" s="24">
        <f>SUM(J19:M19)</f>
        <v>-1168.874</v>
      </c>
    </row>
    <row r="45" spans="1:13" x14ac:dyDescent="0.15">
      <c r="A45" s="18" t="s">
        <v>50</v>
      </c>
      <c r="B45" s="39"/>
      <c r="C45" s="39"/>
      <c r="D45" s="39"/>
      <c r="E45" s="23"/>
      <c r="G45" s="44"/>
      <c r="H45" s="33">
        <f t="shared" ref="E45:J45" si="28">H44/H42</f>
        <v>-2.872612244897959</v>
      </c>
      <c r="I45" s="33">
        <f t="shared" si="28"/>
        <v>-3.9647482993197278</v>
      </c>
      <c r="J45" s="22"/>
      <c r="K45" s="33">
        <f t="shared" ref="K45:L45" si="29">K44/K42</f>
        <v>-0.64274897119341556</v>
      </c>
      <c r="L45" s="33">
        <f t="shared" si="29"/>
        <v>-0.94329552715654941</v>
      </c>
      <c r="M45" s="33">
        <f t="shared" ref="M45" si="30">M44/M42</f>
        <v>-0.76748128693368356</v>
      </c>
    </row>
    <row r="46" spans="1:13" x14ac:dyDescent="0.15">
      <c r="A46" s="18" t="s">
        <v>51</v>
      </c>
      <c r="B46" s="39"/>
      <c r="C46" s="39"/>
      <c r="D46" s="39"/>
      <c r="E46" s="23"/>
      <c r="G46" s="44"/>
      <c r="H46" s="33">
        <f t="shared" ref="E46:J46" si="31">H44/H38</f>
        <v>-0.26491468005018814</v>
      </c>
      <c r="I46" s="33">
        <f t="shared" si="31"/>
        <v>-0.3656323713927227</v>
      </c>
      <c r="J46" s="22"/>
      <c r="K46" s="33">
        <f t="shared" ref="K46:L46" si="32">K44/K38</f>
        <v>-0.24765539112050738</v>
      </c>
      <c r="L46" s="33">
        <f t="shared" si="32"/>
        <v>-0.45353533026113668</v>
      </c>
      <c r="M46" s="33">
        <f t="shared" ref="M46" si="33">M44/M38</f>
        <v>-0.434364176885916</v>
      </c>
    </row>
    <row r="47" spans="1:13" x14ac:dyDescent="0.15">
      <c r="A47" s="18" t="s">
        <v>52</v>
      </c>
      <c r="B47" s="39"/>
      <c r="C47" s="39"/>
      <c r="D47" s="39"/>
      <c r="E47" s="23"/>
      <c r="G47" s="44"/>
      <c r="H47" s="33">
        <f t="shared" ref="E47:J47" si="34">H44/(H42-H37)</f>
        <v>-6.1199130434782605</v>
      </c>
      <c r="I47" s="33">
        <f t="shared" si="34"/>
        <v>-6.0710208333333329</v>
      </c>
      <c r="J47" s="22"/>
      <c r="K47" s="33">
        <f t="shared" ref="K47:L47" si="35">K44/(K42-K37)</f>
        <v>-0.69519881305637976</v>
      </c>
      <c r="L47" s="33">
        <f t="shared" si="35"/>
        <v>-1.0198670120898099</v>
      </c>
      <c r="M47" s="33">
        <f t="shared" ref="M47" si="36">M44/(M42-M37)</f>
        <v>-0.89500306278713626</v>
      </c>
    </row>
    <row r="48" spans="1:13" x14ac:dyDescent="0.15">
      <c r="A48" s="18" t="s">
        <v>53</v>
      </c>
      <c r="B48" s="39"/>
      <c r="C48" s="39"/>
      <c r="D48" s="39"/>
      <c r="E48" s="23"/>
      <c r="G48" s="44"/>
      <c r="H48" s="33">
        <f t="shared" ref="E48:J48" si="37">H44/H41</f>
        <v>-1.0968155844155842</v>
      </c>
      <c r="I48" s="33">
        <f t="shared" si="37"/>
        <v>-1.4146067961165047</v>
      </c>
      <c r="J48" s="22"/>
      <c r="K48" s="33">
        <f t="shared" ref="K48:L48" si="38">K44/K41</f>
        <v>-1.5515364238410594</v>
      </c>
      <c r="L48" s="33">
        <f t="shared" si="38"/>
        <v>-1.773282282282282</v>
      </c>
      <c r="M48" s="33">
        <f t="shared" ref="M48" si="39">M44/M41</f>
        <v>-2.7438356807511739</v>
      </c>
    </row>
    <row r="49" spans="1:13" x14ac:dyDescent="0.15">
      <c r="B49" s="39"/>
      <c r="C49" s="39"/>
      <c r="D49" s="39"/>
      <c r="E49" s="23"/>
      <c r="G49" s="44"/>
    </row>
    <row r="50" spans="1:13" x14ac:dyDescent="0.15">
      <c r="A50" s="6" t="s">
        <v>57</v>
      </c>
      <c r="B50" s="39"/>
      <c r="C50" s="39"/>
      <c r="D50" s="39"/>
      <c r="E50" s="23"/>
      <c r="G50" s="44"/>
      <c r="H50" s="33"/>
      <c r="I50" s="33"/>
      <c r="J50" s="34">
        <f t="shared" ref="F50:M50" si="40">J6/F6-1</f>
        <v>0.56712633938333679</v>
      </c>
      <c r="K50" s="33">
        <f t="shared" si="40"/>
        <v>0.42859006352087126</v>
      </c>
      <c r="L50" s="33">
        <f t="shared" si="40"/>
        <v>0.51865477771188351</v>
      </c>
      <c r="M50" s="33">
        <f>M6/I6-1</f>
        <v>0.40431552420233863</v>
      </c>
    </row>
    <row r="51" spans="1:13" x14ac:dyDescent="0.15">
      <c r="B51" s="39"/>
      <c r="C51" s="39"/>
      <c r="D51" s="39"/>
    </row>
    <row r="52" spans="1:13" s="66" customFormat="1" x14ac:dyDescent="0.15">
      <c r="A52" s="66" t="s">
        <v>80</v>
      </c>
      <c r="B52" s="34"/>
      <c r="C52" s="33"/>
      <c r="D52" s="33"/>
      <c r="E52" s="33"/>
      <c r="F52" s="34"/>
      <c r="G52" s="33"/>
      <c r="H52" s="33"/>
      <c r="I52" s="33"/>
      <c r="J52" s="34"/>
      <c r="K52" s="33"/>
      <c r="L52" s="33">
        <f>L3/H3-1</f>
        <v>0.67933182508445156</v>
      </c>
      <c r="M52" s="33">
        <f>M3/I3-1</f>
        <v>0.85365853658536595</v>
      </c>
    </row>
    <row r="53" spans="1:13" s="66" customFormat="1" x14ac:dyDescent="0.15">
      <c r="A53" s="66" t="s">
        <v>81</v>
      </c>
      <c r="B53" s="34"/>
      <c r="C53" s="33"/>
      <c r="D53" s="33"/>
      <c r="E53" s="33"/>
      <c r="F53" s="34"/>
      <c r="G53" s="33"/>
      <c r="H53" s="33"/>
      <c r="I53" s="33"/>
      <c r="J53" s="34"/>
      <c r="K53" s="33"/>
      <c r="L53" s="33">
        <f>L4/H4-1</f>
        <v>0.35273095796885023</v>
      </c>
      <c r="M53" s="33">
        <f>M4/I4-1</f>
        <v>3.937007874015741E-2</v>
      </c>
    </row>
    <row r="55" spans="1:13" s="14" customFormat="1" x14ac:dyDescent="0.15">
      <c r="B55" s="54"/>
      <c r="C55" s="41"/>
      <c r="D55" s="41"/>
      <c r="E55" s="41"/>
      <c r="F55" s="54"/>
      <c r="G55" s="41"/>
      <c r="H55" s="41"/>
      <c r="I55" s="41"/>
      <c r="J55" s="54"/>
      <c r="K55" s="41"/>
      <c r="L55" s="72" t="s">
        <v>98</v>
      </c>
      <c r="M55" s="41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7"/>
  <sheetViews>
    <sheetView zoomScale="120" zoomScaleNormal="120" workbookViewId="0">
      <selection activeCell="C12" sqref="C12"/>
    </sheetView>
  </sheetViews>
  <sheetFormatPr baseColWidth="10" defaultRowHeight="13" x14ac:dyDescent="0.15"/>
  <cols>
    <col min="1" max="1" width="10.83203125" style="3"/>
    <col min="2" max="2" width="19.33203125" style="3" bestFit="1" customWidth="1"/>
    <col min="3" max="3" width="29.6640625" style="3" bestFit="1" customWidth="1"/>
    <col min="4" max="4" width="35.33203125" style="3" bestFit="1" customWidth="1"/>
    <col min="5" max="16384" width="10.83203125" style="3"/>
  </cols>
  <sheetData>
    <row r="3" spans="2:4" x14ac:dyDescent="0.15">
      <c r="B3" s="67" t="s">
        <v>74</v>
      </c>
    </row>
    <row r="5" spans="2:4" x14ac:dyDescent="0.15">
      <c r="B5" s="3" t="s">
        <v>69</v>
      </c>
      <c r="C5" s="3" t="s">
        <v>75</v>
      </c>
      <c r="D5" s="2" t="s">
        <v>76</v>
      </c>
    </row>
    <row r="6" spans="2:4" x14ac:dyDescent="0.15">
      <c r="B6" s="3" t="s">
        <v>70</v>
      </c>
      <c r="C6" s="3" t="s">
        <v>71</v>
      </c>
      <c r="D6" s="2" t="s">
        <v>77</v>
      </c>
    </row>
    <row r="7" spans="2:4" x14ac:dyDescent="0.15">
      <c r="B7" s="3" t="s">
        <v>72</v>
      </c>
      <c r="C7" s="3" t="s">
        <v>73</v>
      </c>
    </row>
    <row r="10" spans="2:4" x14ac:dyDescent="0.15">
      <c r="B10" s="3" t="s">
        <v>89</v>
      </c>
      <c r="C10" s="16">
        <v>158000</v>
      </c>
    </row>
    <row r="11" spans="2:4" x14ac:dyDescent="0.15">
      <c r="B11" s="3" t="s">
        <v>90</v>
      </c>
      <c r="C11" s="16">
        <v>63000</v>
      </c>
    </row>
    <row r="12" spans="2:4" x14ac:dyDescent="0.15">
      <c r="C12" s="16">
        <f>SUM(C10:C11)</f>
        <v>221000</v>
      </c>
    </row>
    <row r="17" spans="2:4" x14ac:dyDescent="0.15">
      <c r="B17" s="67" t="s">
        <v>92</v>
      </c>
      <c r="C17" s="68" t="s">
        <v>93</v>
      </c>
      <c r="D17" s="38"/>
    </row>
    <row r="18" spans="2:4" x14ac:dyDescent="0.15">
      <c r="C18" s="38"/>
      <c r="D18" s="38"/>
    </row>
    <row r="19" spans="2:4" x14ac:dyDescent="0.15">
      <c r="B19" s="3" t="s">
        <v>82</v>
      </c>
      <c r="C19" s="38">
        <v>91</v>
      </c>
      <c r="D19" s="69">
        <v>43840</v>
      </c>
    </row>
    <row r="20" spans="2:4" x14ac:dyDescent="0.15">
      <c r="B20" s="3" t="s">
        <v>83</v>
      </c>
      <c r="C20" s="38">
        <v>36</v>
      </c>
      <c r="D20" s="69">
        <v>43871</v>
      </c>
    </row>
    <row r="21" spans="2:4" x14ac:dyDescent="0.15">
      <c r="B21" s="3" t="s">
        <v>84</v>
      </c>
      <c r="C21" s="38">
        <v>44</v>
      </c>
      <c r="D21" s="69">
        <v>44055</v>
      </c>
    </row>
    <row r="22" spans="2:4" x14ac:dyDescent="0.15">
      <c r="B22" s="3" t="s">
        <v>85</v>
      </c>
      <c r="C22" s="38">
        <v>114</v>
      </c>
      <c r="D22" s="69">
        <v>44186</v>
      </c>
    </row>
    <row r="23" spans="2:4" x14ac:dyDescent="0.15">
      <c r="B23" s="3" t="s">
        <v>86</v>
      </c>
      <c r="C23" s="38">
        <v>32</v>
      </c>
      <c r="D23" s="69">
        <v>44188</v>
      </c>
    </row>
    <row r="24" spans="2:4" x14ac:dyDescent="0.15">
      <c r="B24" s="3" t="s">
        <v>87</v>
      </c>
      <c r="C24" s="38">
        <v>23</v>
      </c>
      <c r="D24" s="69">
        <v>44200</v>
      </c>
    </row>
    <row r="25" spans="2:4" x14ac:dyDescent="0.15">
      <c r="B25" s="3" t="s">
        <v>88</v>
      </c>
      <c r="C25" s="38">
        <v>8</v>
      </c>
      <c r="D25" s="69">
        <v>44202</v>
      </c>
    </row>
    <row r="26" spans="2:4" x14ac:dyDescent="0.15">
      <c r="B26" s="3" t="s">
        <v>94</v>
      </c>
      <c r="C26" s="38"/>
      <c r="D26" s="38" t="s">
        <v>60</v>
      </c>
    </row>
    <row r="27" spans="2:4" x14ac:dyDescent="0.15">
      <c r="B27" s="3" t="s">
        <v>95</v>
      </c>
      <c r="C27" s="38"/>
      <c r="D27" s="38" t="s">
        <v>60</v>
      </c>
    </row>
    <row r="28" spans="2:4" x14ac:dyDescent="0.15">
      <c r="B28" s="3" t="s">
        <v>96</v>
      </c>
      <c r="C28" s="38"/>
      <c r="D28" s="38" t="s">
        <v>60</v>
      </c>
    </row>
    <row r="29" spans="2:4" x14ac:dyDescent="0.15">
      <c r="B29" s="3" t="s">
        <v>97</v>
      </c>
      <c r="C29" s="38"/>
      <c r="D29" s="38" t="s">
        <v>60</v>
      </c>
    </row>
    <row r="30" spans="2:4" x14ac:dyDescent="0.15">
      <c r="B30" s="3" t="s">
        <v>84</v>
      </c>
      <c r="C30" s="38">
        <v>44</v>
      </c>
      <c r="D30" s="38" t="s">
        <v>60</v>
      </c>
    </row>
    <row r="31" spans="2:4" x14ac:dyDescent="0.15">
      <c r="B31" s="3" t="s">
        <v>86</v>
      </c>
      <c r="C31" s="38">
        <v>31</v>
      </c>
      <c r="D31" s="38" t="s">
        <v>60</v>
      </c>
    </row>
    <row r="32" spans="2:4" x14ac:dyDescent="0.15">
      <c r="C32" s="38"/>
      <c r="D32" s="38"/>
    </row>
    <row r="33" spans="3:4" x14ac:dyDescent="0.15">
      <c r="C33" s="38"/>
      <c r="D33" s="38"/>
    </row>
    <row r="34" spans="3:4" x14ac:dyDescent="0.15">
      <c r="C34" s="38"/>
      <c r="D34" s="38"/>
    </row>
    <row r="35" spans="3:4" x14ac:dyDescent="0.15">
      <c r="C35" s="38"/>
      <c r="D35" s="38"/>
    </row>
    <row r="36" spans="3:4" x14ac:dyDescent="0.15">
      <c r="C36" s="38"/>
      <c r="D36" s="38"/>
    </row>
    <row r="37" spans="3:4" x14ac:dyDescent="0.15">
      <c r="C37" s="38"/>
      <c r="D37" s="38"/>
    </row>
    <row r="38" spans="3:4" x14ac:dyDescent="0.15">
      <c r="C38" s="38"/>
      <c r="D38" s="38"/>
    </row>
    <row r="39" spans="3:4" x14ac:dyDescent="0.15">
      <c r="C39" s="38"/>
      <c r="D39" s="38"/>
    </row>
    <row r="40" spans="3:4" x14ac:dyDescent="0.15">
      <c r="C40" s="38"/>
      <c r="D40" s="38"/>
    </row>
    <row r="41" spans="3:4" x14ac:dyDescent="0.15">
      <c r="C41" s="38"/>
      <c r="D41" s="38"/>
    </row>
    <row r="42" spans="3:4" x14ac:dyDescent="0.15">
      <c r="C42" s="38"/>
      <c r="D42" s="38"/>
    </row>
    <row r="43" spans="3:4" x14ac:dyDescent="0.15">
      <c r="C43" s="38"/>
      <c r="D43" s="38"/>
    </row>
    <row r="44" spans="3:4" x14ac:dyDescent="0.15">
      <c r="C44" s="38"/>
      <c r="D44" s="38"/>
    </row>
    <row r="45" spans="3:4" x14ac:dyDescent="0.15">
      <c r="C45" s="38"/>
      <c r="D45" s="38"/>
    </row>
    <row r="46" spans="3:4" x14ac:dyDescent="0.15">
      <c r="C46" s="38"/>
      <c r="D46" s="38"/>
    </row>
    <row r="47" spans="3:4" x14ac:dyDescent="0.15">
      <c r="C47" s="38"/>
      <c r="D47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2021-02-16T13:45:55Z</dcterms:modified>
</cp:coreProperties>
</file>