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9D233BD3-632D-7C4E-94DF-9D151153ED28}" xr6:coauthVersionLast="46" xr6:coauthVersionMax="46" xr10:uidLastSave="{00000000-0000-0000-0000-000000000000}"/>
  <bookViews>
    <workbookView xWindow="-56900" yWindow="-5940" windowWidth="28440" windowHeight="26740" tabRatio="500" xr2:uid="{00000000-000D-0000-FFFF-FFFF00000000}"/>
  </bookViews>
  <sheets>
    <sheet name="Main" sheetId="1" r:id="rId1"/>
    <sheet name="Reports RMB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C4" i="1"/>
  <c r="K14" i="1"/>
  <c r="L14" i="1" s="1"/>
  <c r="M14" i="1" s="1"/>
  <c r="N14" i="1" s="1"/>
  <c r="J27" i="1"/>
  <c r="J25" i="1"/>
  <c r="J22" i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J19" i="1"/>
  <c r="J16" i="1"/>
  <c r="K16" i="1" s="1"/>
  <c r="L16" i="1" s="1"/>
  <c r="M16" i="1" s="1"/>
  <c r="N16" i="1" s="1"/>
  <c r="J15" i="1"/>
  <c r="J14" i="1"/>
  <c r="X31" i="2"/>
  <c r="Y9" i="2"/>
  <c r="Y8" i="2"/>
  <c r="Y15" i="2"/>
  <c r="Y13" i="2"/>
  <c r="Y14" i="2" s="1"/>
  <c r="Y27" i="2" s="1"/>
  <c r="Y12" i="2"/>
  <c r="Y24" i="2"/>
  <c r="Y23" i="2"/>
  <c r="Y22" i="2"/>
  <c r="Y11" i="2"/>
  <c r="Y10" i="2"/>
  <c r="Y26" i="2" s="1"/>
  <c r="C5" i="1"/>
  <c r="J13" i="1"/>
  <c r="K13" i="1" s="1"/>
  <c r="L13" i="1" s="1"/>
  <c r="M13" i="1" s="1"/>
  <c r="N13" i="1" s="1"/>
  <c r="Y6" i="2"/>
  <c r="Y50" i="2"/>
  <c r="Y5" i="2"/>
  <c r="Y4" i="2"/>
  <c r="Y49" i="2"/>
  <c r="Y48" i="2"/>
  <c r="Y3" i="2"/>
  <c r="Y47" i="2" s="1"/>
  <c r="W50" i="2"/>
  <c r="W49" i="2"/>
  <c r="W48" i="2"/>
  <c r="W47" i="2"/>
  <c r="X50" i="2"/>
  <c r="X49" i="2"/>
  <c r="X48" i="2"/>
  <c r="X47" i="2"/>
  <c r="X41" i="2"/>
  <c r="X45" i="2" s="1"/>
  <c r="X39" i="2"/>
  <c r="X38" i="2"/>
  <c r="X32" i="2"/>
  <c r="X28" i="2"/>
  <c r="X27" i="2"/>
  <c r="X26" i="2"/>
  <c r="X24" i="2"/>
  <c r="X23" i="2"/>
  <c r="X22" i="2"/>
  <c r="X18" i="2"/>
  <c r="X19" i="2" s="1"/>
  <c r="X16" i="2"/>
  <c r="X15" i="2"/>
  <c r="X13" i="2"/>
  <c r="X14" i="2" s="1"/>
  <c r="X10" i="2"/>
  <c r="X8" i="2"/>
  <c r="W28" i="2"/>
  <c r="W27" i="2"/>
  <c r="W26" i="2"/>
  <c r="W24" i="2"/>
  <c r="W23" i="2"/>
  <c r="W22" i="2"/>
  <c r="W18" i="2"/>
  <c r="W19" i="2" s="1"/>
  <c r="W16" i="2"/>
  <c r="W15" i="2"/>
  <c r="W13" i="2"/>
  <c r="W14" i="2" s="1"/>
  <c r="W10" i="2"/>
  <c r="W8" i="2"/>
  <c r="J18" i="1" l="1"/>
  <c r="J64" i="1" s="1"/>
  <c r="Y16" i="2"/>
  <c r="X44" i="2"/>
  <c r="X42" i="2"/>
  <c r="X43" i="2"/>
  <c r="X30" i="2"/>
  <c r="V39" i="2"/>
  <c r="V32" i="2"/>
  <c r="U31" i="2"/>
  <c r="V31" i="2"/>
  <c r="V38" i="2" s="1"/>
  <c r="V50" i="2"/>
  <c r="V49" i="2"/>
  <c r="V48" i="2"/>
  <c r="V47" i="2"/>
  <c r="V24" i="2"/>
  <c r="V23" i="2"/>
  <c r="V15" i="2"/>
  <c r="V13" i="2"/>
  <c r="V8" i="2"/>
  <c r="V10" i="2" s="1"/>
  <c r="V26" i="2" s="1"/>
  <c r="Y18" i="2" l="1"/>
  <c r="Y19" i="2" s="1"/>
  <c r="Y17" i="2"/>
  <c r="Y28" i="2" s="1"/>
  <c r="V14" i="2"/>
  <c r="V30" i="2"/>
  <c r="I42" i="1"/>
  <c r="B25" i="1"/>
  <c r="B18" i="1"/>
  <c r="B20" i="1" s="1"/>
  <c r="B16" i="1"/>
  <c r="B13" i="1"/>
  <c r="B23" i="1"/>
  <c r="C35" i="1" s="1"/>
  <c r="E34" i="1"/>
  <c r="E33" i="1"/>
  <c r="C25" i="1"/>
  <c r="C23" i="1"/>
  <c r="D25" i="1"/>
  <c r="C18" i="1"/>
  <c r="C64" i="1" s="1"/>
  <c r="C16" i="1"/>
  <c r="C60" i="1"/>
  <c r="C58" i="1"/>
  <c r="C33" i="1"/>
  <c r="D34" i="1"/>
  <c r="C61" i="1"/>
  <c r="D18" i="1"/>
  <c r="D16" i="1"/>
  <c r="D61" i="1" s="1"/>
  <c r="D58" i="1"/>
  <c r="D33" i="1"/>
  <c r="D23" i="1"/>
  <c r="D60" i="1"/>
  <c r="I30" i="1"/>
  <c r="I27" i="1"/>
  <c r="I25" i="1"/>
  <c r="I22" i="1"/>
  <c r="I21" i="1"/>
  <c r="I19" i="1"/>
  <c r="I16" i="1"/>
  <c r="I15" i="1"/>
  <c r="J60" i="1" s="1"/>
  <c r="I14" i="1"/>
  <c r="I13" i="1"/>
  <c r="I18" i="1" s="1"/>
  <c r="H48" i="1"/>
  <c r="H47" i="1"/>
  <c r="H46" i="1"/>
  <c r="H43" i="1"/>
  <c r="H42" i="1"/>
  <c r="H30" i="1"/>
  <c r="H27" i="1"/>
  <c r="H25" i="1"/>
  <c r="H22" i="1"/>
  <c r="H21" i="1"/>
  <c r="H19" i="1"/>
  <c r="G19" i="1"/>
  <c r="H16" i="1"/>
  <c r="H15" i="1"/>
  <c r="H14" i="1"/>
  <c r="H13" i="1"/>
  <c r="I61" i="1"/>
  <c r="I58" i="1"/>
  <c r="H61" i="1"/>
  <c r="H60" i="1"/>
  <c r="G48" i="1"/>
  <c r="G47" i="1"/>
  <c r="G46" i="1"/>
  <c r="G43" i="1"/>
  <c r="G42" i="1"/>
  <c r="G30" i="1"/>
  <c r="G27" i="1"/>
  <c r="G25" i="1"/>
  <c r="G22" i="1"/>
  <c r="G21" i="1"/>
  <c r="G16" i="1"/>
  <c r="G61" i="1" s="1"/>
  <c r="G15" i="1"/>
  <c r="G60" i="1" s="1"/>
  <c r="G13" i="1"/>
  <c r="G58" i="1" s="1"/>
  <c r="F48" i="1"/>
  <c r="F47" i="1"/>
  <c r="F46" i="1"/>
  <c r="F43" i="1"/>
  <c r="F42" i="1"/>
  <c r="F30" i="1"/>
  <c r="F27" i="1"/>
  <c r="F22" i="1"/>
  <c r="F21" i="1"/>
  <c r="F19" i="1"/>
  <c r="F16" i="1"/>
  <c r="F15" i="1"/>
  <c r="F13" i="1"/>
  <c r="F18" i="1" s="1"/>
  <c r="E30" i="1"/>
  <c r="E27" i="1"/>
  <c r="E22" i="1"/>
  <c r="E21" i="1"/>
  <c r="E19" i="1"/>
  <c r="E16" i="1"/>
  <c r="F61" i="1" s="1"/>
  <c r="E15" i="1"/>
  <c r="E13" i="1"/>
  <c r="E58" i="1" s="1"/>
  <c r="U50" i="2"/>
  <c r="U49" i="2"/>
  <c r="U48" i="2"/>
  <c r="U47" i="2"/>
  <c r="T50" i="2"/>
  <c r="T49" i="2"/>
  <c r="T48" i="2"/>
  <c r="T47" i="2"/>
  <c r="S50" i="2"/>
  <c r="S49" i="2"/>
  <c r="S48" i="2"/>
  <c r="S47" i="2"/>
  <c r="R50" i="2"/>
  <c r="R49" i="2"/>
  <c r="R48" i="2"/>
  <c r="R47" i="2"/>
  <c r="O50" i="2"/>
  <c r="Q50" i="2"/>
  <c r="Q49" i="2"/>
  <c r="Q47" i="2"/>
  <c r="P50" i="2"/>
  <c r="P49" i="2"/>
  <c r="P47" i="2"/>
  <c r="O49" i="2"/>
  <c r="O47" i="2"/>
  <c r="N47" i="2"/>
  <c r="M50" i="2"/>
  <c r="L50" i="2"/>
  <c r="K50" i="2"/>
  <c r="J50" i="2"/>
  <c r="I50" i="2"/>
  <c r="H50" i="2"/>
  <c r="M49" i="2"/>
  <c r="L49" i="2"/>
  <c r="K49" i="2"/>
  <c r="J49" i="2"/>
  <c r="I49" i="2"/>
  <c r="H49" i="2"/>
  <c r="M47" i="2"/>
  <c r="L47" i="2"/>
  <c r="K47" i="2"/>
  <c r="J47" i="2"/>
  <c r="I47" i="2"/>
  <c r="H47" i="2"/>
  <c r="G50" i="2"/>
  <c r="G49" i="2"/>
  <c r="G47" i="2"/>
  <c r="F50" i="2"/>
  <c r="F49" i="2"/>
  <c r="F47" i="2"/>
  <c r="B15" i="2"/>
  <c r="E25" i="1" s="1"/>
  <c r="B8" i="2"/>
  <c r="C15" i="2"/>
  <c r="C8" i="2"/>
  <c r="E15" i="2"/>
  <c r="E8" i="2"/>
  <c r="D15" i="2"/>
  <c r="D8" i="2"/>
  <c r="F15" i="2"/>
  <c r="J15" i="2"/>
  <c r="F8" i="2"/>
  <c r="J8" i="2"/>
  <c r="G15" i="2"/>
  <c r="K15" i="2"/>
  <c r="G8" i="2"/>
  <c r="K8" i="2"/>
  <c r="H15" i="2"/>
  <c r="F25" i="1" s="1"/>
  <c r="F44" i="1" s="1"/>
  <c r="L15" i="2"/>
  <c r="H8" i="2"/>
  <c r="L8" i="2"/>
  <c r="M8" i="2"/>
  <c r="I32" i="2"/>
  <c r="I31" i="2"/>
  <c r="I38" i="2" s="1"/>
  <c r="I39" i="2"/>
  <c r="M32" i="2"/>
  <c r="M31" i="2"/>
  <c r="I15" i="2"/>
  <c r="M15" i="2"/>
  <c r="I8" i="2"/>
  <c r="O8" i="2"/>
  <c r="N15" i="2"/>
  <c r="R15" i="2"/>
  <c r="N8" i="2"/>
  <c r="R8" i="2"/>
  <c r="V22" i="2" s="1"/>
  <c r="O15" i="2"/>
  <c r="S15" i="2"/>
  <c r="S8" i="2"/>
  <c r="P15" i="2"/>
  <c r="T15" i="2"/>
  <c r="P8" i="2"/>
  <c r="T8" i="2"/>
  <c r="Q32" i="2"/>
  <c r="Q31" i="2"/>
  <c r="U32" i="2"/>
  <c r="U30" i="2" s="1"/>
  <c r="Q15" i="2"/>
  <c r="Q8" i="2"/>
  <c r="U15" i="2"/>
  <c r="U8" i="2"/>
  <c r="F41" i="1" l="1"/>
  <c r="F69" i="1" s="1"/>
  <c r="J58" i="1"/>
  <c r="H58" i="1"/>
  <c r="G18" i="1"/>
  <c r="F60" i="1"/>
  <c r="K59" i="1"/>
  <c r="F50" i="1"/>
  <c r="F58" i="1"/>
  <c r="E18" i="1"/>
  <c r="E32" i="1" s="1"/>
  <c r="H18" i="1"/>
  <c r="E60" i="1"/>
  <c r="E61" i="1"/>
  <c r="K15" i="1"/>
  <c r="B64" i="1"/>
  <c r="C67" i="1" s="1"/>
  <c r="V16" i="2"/>
  <c r="V27" i="2"/>
  <c r="J59" i="1"/>
  <c r="B37" i="1"/>
  <c r="B24" i="1"/>
  <c r="C32" i="1"/>
  <c r="D35" i="1"/>
  <c r="C34" i="1"/>
  <c r="C20" i="1"/>
  <c r="D64" i="1"/>
  <c r="D20" i="1"/>
  <c r="D32" i="1"/>
  <c r="I60" i="1"/>
  <c r="I59" i="1"/>
  <c r="F51" i="1"/>
  <c r="I30" i="2"/>
  <c r="L15" i="1" l="1"/>
  <c r="M15" i="1" s="1"/>
  <c r="N15" i="1" s="1"/>
  <c r="K18" i="1"/>
  <c r="L59" i="1"/>
  <c r="L58" i="1"/>
  <c r="V18" i="2"/>
  <c r="V19" i="2" s="1"/>
  <c r="V28" i="2"/>
  <c r="K58" i="1"/>
  <c r="N59" i="1"/>
  <c r="M59" i="1"/>
  <c r="M58" i="1"/>
  <c r="D67" i="1"/>
  <c r="B26" i="1"/>
  <c r="B38" i="1"/>
  <c r="C24" i="1"/>
  <c r="C37" i="1"/>
  <c r="D37" i="1"/>
  <c r="D24" i="1"/>
  <c r="I48" i="1"/>
  <c r="I47" i="1"/>
  <c r="I46" i="1"/>
  <c r="I43" i="1"/>
  <c r="I41" i="1" s="1"/>
  <c r="N58" i="1" l="1"/>
  <c r="K60" i="1"/>
  <c r="B39" i="1"/>
  <c r="B28" i="1"/>
  <c r="C38" i="1"/>
  <c r="C26" i="1"/>
  <c r="D38" i="1"/>
  <c r="D26" i="1"/>
  <c r="I69" i="1"/>
  <c r="I51" i="1"/>
  <c r="I50" i="1"/>
  <c r="B29" i="1" l="1"/>
  <c r="B65" i="1"/>
  <c r="L60" i="1"/>
  <c r="C28" i="1"/>
  <c r="C39" i="1"/>
  <c r="D28" i="1"/>
  <c r="D39" i="1"/>
  <c r="I44" i="1"/>
  <c r="U39" i="2"/>
  <c r="U24" i="2"/>
  <c r="U23" i="2"/>
  <c r="U13" i="2"/>
  <c r="T24" i="2"/>
  <c r="T23" i="2"/>
  <c r="T13" i="2"/>
  <c r="N60" i="1" l="1"/>
  <c r="M60" i="1"/>
  <c r="C29" i="1"/>
  <c r="C65" i="1"/>
  <c r="D29" i="1"/>
  <c r="D65" i="1"/>
  <c r="U10" i="2"/>
  <c r="U14" i="2" s="1"/>
  <c r="U38" i="2"/>
  <c r="I23" i="1"/>
  <c r="U26" i="2"/>
  <c r="T10" i="2"/>
  <c r="S24" i="2"/>
  <c r="S23" i="2"/>
  <c r="S10" i="2"/>
  <c r="S26" i="2" s="1"/>
  <c r="S13" i="2"/>
  <c r="R24" i="2"/>
  <c r="R23" i="2"/>
  <c r="R13" i="2"/>
  <c r="R10" i="2"/>
  <c r="I24" i="2"/>
  <c r="H24" i="2"/>
  <c r="G24" i="2"/>
  <c r="F24" i="2"/>
  <c r="I23" i="2"/>
  <c r="H23" i="2"/>
  <c r="G23" i="2"/>
  <c r="F23" i="2"/>
  <c r="M24" i="2"/>
  <c r="L24" i="2"/>
  <c r="K24" i="2"/>
  <c r="J24" i="2"/>
  <c r="M23" i="2"/>
  <c r="L23" i="2"/>
  <c r="K23" i="2"/>
  <c r="J23" i="2"/>
  <c r="E10" i="2"/>
  <c r="E26" i="2" s="1"/>
  <c r="E13" i="2"/>
  <c r="D10" i="2"/>
  <c r="D13" i="2"/>
  <c r="C10" i="2"/>
  <c r="C26" i="2" s="1"/>
  <c r="C13" i="2"/>
  <c r="B10" i="2"/>
  <c r="B13" i="2"/>
  <c r="F13" i="2"/>
  <c r="G10" i="2"/>
  <c r="G13" i="2"/>
  <c r="H10" i="2"/>
  <c r="H13" i="2"/>
  <c r="I13" i="2"/>
  <c r="I33" i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J13" i="2"/>
  <c r="N50" i="2"/>
  <c r="N49" i="2"/>
  <c r="N10" i="2"/>
  <c r="N13" i="2"/>
  <c r="N24" i="2"/>
  <c r="N23" i="2"/>
  <c r="K10" i="2"/>
  <c r="K26" i="2" s="1"/>
  <c r="K13" i="2"/>
  <c r="O13" i="2"/>
  <c r="O24" i="2"/>
  <c r="O23" i="2"/>
  <c r="L10" i="2"/>
  <c r="L26" i="2" s="1"/>
  <c r="L13" i="2"/>
  <c r="P10" i="2"/>
  <c r="P13" i="2"/>
  <c r="P24" i="2"/>
  <c r="P23" i="2"/>
  <c r="Q39" i="2"/>
  <c r="Q38" i="2"/>
  <c r="Q30" i="2"/>
  <c r="M39" i="2"/>
  <c r="M30" i="2"/>
  <c r="Q24" i="2"/>
  <c r="Q23" i="2"/>
  <c r="M10" i="2"/>
  <c r="M13" i="2"/>
  <c r="Q13" i="2"/>
  <c r="U22" i="2"/>
  <c r="M12" i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E64" i="1" l="1"/>
  <c r="E67" i="1" s="1"/>
  <c r="I22" i="2"/>
  <c r="O22" i="2"/>
  <c r="H26" i="2"/>
  <c r="H14" i="2"/>
  <c r="H27" i="2" s="1"/>
  <c r="R14" i="2"/>
  <c r="R22" i="2"/>
  <c r="G14" i="2"/>
  <c r="G16" i="2" s="1"/>
  <c r="Q22" i="2"/>
  <c r="K22" i="2"/>
  <c r="G22" i="2"/>
  <c r="I10" i="2"/>
  <c r="E23" i="1"/>
  <c r="E35" i="1" s="1"/>
  <c r="F23" i="1"/>
  <c r="I20" i="1"/>
  <c r="I24" i="1" s="1"/>
  <c r="I26" i="1" s="1"/>
  <c r="I39" i="1" s="1"/>
  <c r="M38" i="2"/>
  <c r="E14" i="2"/>
  <c r="E16" i="2" s="1"/>
  <c r="H22" i="2"/>
  <c r="K14" i="2"/>
  <c r="K16" i="2" s="1"/>
  <c r="G41" i="1"/>
  <c r="G69" i="1" s="1"/>
  <c r="D14" i="2"/>
  <c r="D27" i="2" s="1"/>
  <c r="P22" i="2"/>
  <c r="N22" i="2"/>
  <c r="F22" i="2"/>
  <c r="H44" i="1"/>
  <c r="M22" i="2"/>
  <c r="D26" i="2"/>
  <c r="R26" i="2"/>
  <c r="L22" i="2"/>
  <c r="J22" i="2"/>
  <c r="G26" i="2"/>
  <c r="T22" i="2"/>
  <c r="H23" i="1"/>
  <c r="I35" i="1" s="1"/>
  <c r="I64" i="1"/>
  <c r="G23" i="1"/>
  <c r="F34" i="1"/>
  <c r="H33" i="1"/>
  <c r="F33" i="1"/>
  <c r="G51" i="1"/>
  <c r="H34" i="1"/>
  <c r="U16" i="2"/>
  <c r="U27" i="2"/>
  <c r="T14" i="2"/>
  <c r="T26" i="2"/>
  <c r="I34" i="1"/>
  <c r="P26" i="2"/>
  <c r="P14" i="2"/>
  <c r="B26" i="2"/>
  <c r="B14" i="2"/>
  <c r="H50" i="1"/>
  <c r="M14" i="2"/>
  <c r="M26" i="2"/>
  <c r="H41" i="1"/>
  <c r="H69" i="1" s="1"/>
  <c r="N26" i="2"/>
  <c r="N14" i="2"/>
  <c r="R27" i="2"/>
  <c r="R16" i="2"/>
  <c r="G33" i="1"/>
  <c r="Q10" i="2"/>
  <c r="L14" i="2"/>
  <c r="F10" i="2"/>
  <c r="S14" i="2"/>
  <c r="I32" i="1"/>
  <c r="S22" i="2"/>
  <c r="G34" i="1"/>
  <c r="H51" i="1"/>
  <c r="O10" i="2"/>
  <c r="J10" i="2"/>
  <c r="C14" i="2"/>
  <c r="J61" i="1" l="1"/>
  <c r="G27" i="2"/>
  <c r="H16" i="2"/>
  <c r="H28" i="2" s="1"/>
  <c r="E27" i="2"/>
  <c r="D16" i="2"/>
  <c r="D18" i="2" s="1"/>
  <c r="D19" i="2" s="1"/>
  <c r="K27" i="2"/>
  <c r="I26" i="2"/>
  <c r="I14" i="2"/>
  <c r="G44" i="1"/>
  <c r="F35" i="1"/>
  <c r="G35" i="1"/>
  <c r="G50" i="1"/>
  <c r="F32" i="1"/>
  <c r="H64" i="1"/>
  <c r="H32" i="1"/>
  <c r="G64" i="1"/>
  <c r="G32" i="1"/>
  <c r="E20" i="1"/>
  <c r="E37" i="1" s="1"/>
  <c r="H35" i="1"/>
  <c r="G20" i="1"/>
  <c r="G37" i="1" s="1"/>
  <c r="F20" i="1"/>
  <c r="F64" i="1"/>
  <c r="U18" i="2"/>
  <c r="U19" i="2" s="1"/>
  <c r="U28" i="2"/>
  <c r="T16" i="2"/>
  <c r="T27" i="2"/>
  <c r="R28" i="2"/>
  <c r="R18" i="2"/>
  <c r="R19" i="2" s="1"/>
  <c r="N27" i="2"/>
  <c r="N16" i="2"/>
  <c r="S27" i="2"/>
  <c r="S16" i="2"/>
  <c r="B16" i="2"/>
  <c r="B27" i="2"/>
  <c r="F14" i="2"/>
  <c r="F26" i="2"/>
  <c r="P27" i="2"/>
  <c r="P16" i="2"/>
  <c r="J14" i="2"/>
  <c r="J26" i="2"/>
  <c r="L16" i="2"/>
  <c r="L27" i="2"/>
  <c r="E18" i="2"/>
  <c r="E19" i="2" s="1"/>
  <c r="E28" i="2"/>
  <c r="G28" i="2"/>
  <c r="G18" i="2"/>
  <c r="G19" i="2" s="1"/>
  <c r="K28" i="2"/>
  <c r="K18" i="2"/>
  <c r="C16" i="2"/>
  <c r="C27" i="2"/>
  <c r="Q14" i="2"/>
  <c r="Q26" i="2"/>
  <c r="M16" i="2"/>
  <c r="M27" i="2"/>
  <c r="J34" i="1"/>
  <c r="O14" i="2"/>
  <c r="O26" i="2"/>
  <c r="H20" i="1"/>
  <c r="H18" i="2"/>
  <c r="J33" i="1"/>
  <c r="J23" i="1"/>
  <c r="J35" i="1" s="1"/>
  <c r="K61" i="1" l="1"/>
  <c r="J32" i="1"/>
  <c r="D28" i="2"/>
  <c r="H19" i="2"/>
  <c r="I16" i="2"/>
  <c r="I27" i="2"/>
  <c r="G67" i="1"/>
  <c r="H67" i="1"/>
  <c r="F67" i="1"/>
  <c r="I67" i="1"/>
  <c r="E24" i="1"/>
  <c r="G24" i="1"/>
  <c r="G26" i="1" s="1"/>
  <c r="F24" i="1"/>
  <c r="F37" i="1"/>
  <c r="T18" i="2"/>
  <c r="T28" i="2"/>
  <c r="O16" i="2"/>
  <c r="O27" i="2"/>
  <c r="K23" i="1"/>
  <c r="K35" i="1" s="1"/>
  <c r="K33" i="1"/>
  <c r="B28" i="2"/>
  <c r="B18" i="2"/>
  <c r="B19" i="2" s="1"/>
  <c r="J16" i="2"/>
  <c r="J27" i="2"/>
  <c r="C28" i="2"/>
  <c r="C18" i="2"/>
  <c r="C19" i="2" s="1"/>
  <c r="N28" i="2"/>
  <c r="N18" i="2"/>
  <c r="H24" i="1"/>
  <c r="H37" i="1"/>
  <c r="S28" i="2"/>
  <c r="S18" i="2"/>
  <c r="Q16" i="2"/>
  <c r="Q27" i="2"/>
  <c r="K34" i="1"/>
  <c r="L18" i="2"/>
  <c r="L28" i="2"/>
  <c r="M18" i="2"/>
  <c r="M28" i="2"/>
  <c r="P28" i="2"/>
  <c r="P18" i="2"/>
  <c r="K19" i="2"/>
  <c r="F27" i="2"/>
  <c r="F16" i="2"/>
  <c r="S19" i="2" l="1"/>
  <c r="V41" i="2"/>
  <c r="E26" i="1"/>
  <c r="E39" i="1" s="1"/>
  <c r="E38" i="1"/>
  <c r="L61" i="1"/>
  <c r="L18" i="1"/>
  <c r="I18" i="2"/>
  <c r="I19" i="2" s="1"/>
  <c r="I28" i="2"/>
  <c r="G38" i="1"/>
  <c r="U41" i="2"/>
  <c r="U44" i="2" s="1"/>
  <c r="F26" i="1"/>
  <c r="F38" i="1"/>
  <c r="T19" i="2"/>
  <c r="J28" i="2"/>
  <c r="J18" i="2"/>
  <c r="G28" i="1"/>
  <c r="G65" i="1" s="1"/>
  <c r="G39" i="1"/>
  <c r="L33" i="1"/>
  <c r="L23" i="1"/>
  <c r="L35" i="1" s="1"/>
  <c r="P19" i="2"/>
  <c r="N19" i="2"/>
  <c r="F28" i="2"/>
  <c r="F18" i="2"/>
  <c r="O18" i="2"/>
  <c r="Q41" i="2" s="1"/>
  <c r="Q42" i="2" s="1"/>
  <c r="O28" i="2"/>
  <c r="M19" i="2"/>
  <c r="L19" i="2"/>
  <c r="K64" i="1"/>
  <c r="Q18" i="2"/>
  <c r="Q19" i="2" s="1"/>
  <c r="Q28" i="2"/>
  <c r="H38" i="1"/>
  <c r="H26" i="1"/>
  <c r="H28" i="1" s="1"/>
  <c r="L34" i="1"/>
  <c r="E28" i="1" l="1"/>
  <c r="E65" i="1" s="1"/>
  <c r="M61" i="1"/>
  <c r="M18" i="1"/>
  <c r="V45" i="2"/>
  <c r="V44" i="2"/>
  <c r="V42" i="2"/>
  <c r="V43" i="2"/>
  <c r="F19" i="2"/>
  <c r="I41" i="2"/>
  <c r="Q45" i="2"/>
  <c r="U42" i="2"/>
  <c r="U43" i="2"/>
  <c r="U45" i="2"/>
  <c r="F39" i="1"/>
  <c r="F28" i="1"/>
  <c r="K32" i="1"/>
  <c r="M34" i="1"/>
  <c r="M41" i="2"/>
  <c r="J19" i="2"/>
  <c r="M33" i="1"/>
  <c r="M23" i="1"/>
  <c r="M35" i="1" s="1"/>
  <c r="I37" i="1"/>
  <c r="J20" i="1" s="1"/>
  <c r="H65" i="1"/>
  <c r="H39" i="1"/>
  <c r="G53" i="1"/>
  <c r="G56" i="1"/>
  <c r="G54" i="1"/>
  <c r="G29" i="1"/>
  <c r="G55" i="1"/>
  <c r="O19" i="2"/>
  <c r="E29" i="1"/>
  <c r="N61" i="1" l="1"/>
  <c r="N18" i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F54" i="1"/>
  <c r="F56" i="1"/>
  <c r="F55" i="1"/>
  <c r="F53" i="1"/>
  <c r="I45" i="2"/>
  <c r="I44" i="2"/>
  <c r="I42" i="2"/>
  <c r="I43" i="2"/>
  <c r="Q43" i="2"/>
  <c r="Q44" i="2"/>
  <c r="F65" i="1"/>
  <c r="F29" i="1"/>
  <c r="N23" i="1"/>
  <c r="N35" i="1" s="1"/>
  <c r="N33" i="1"/>
  <c r="I38" i="1"/>
  <c r="H55" i="1"/>
  <c r="H29" i="1"/>
  <c r="H53" i="1"/>
  <c r="H56" i="1"/>
  <c r="H54" i="1"/>
  <c r="J37" i="1"/>
  <c r="K20" i="1" s="1"/>
  <c r="J24" i="1"/>
  <c r="J26" i="1" s="1"/>
  <c r="N34" i="1"/>
  <c r="M45" i="2"/>
  <c r="M44" i="2"/>
  <c r="M43" i="2"/>
  <c r="M42" i="2"/>
  <c r="L64" i="1"/>
  <c r="L32" i="1"/>
  <c r="J28" i="1" l="1"/>
  <c r="T34" i="1"/>
  <c r="T33" i="1"/>
  <c r="T23" i="1"/>
  <c r="O34" i="1"/>
  <c r="O23" i="1"/>
  <c r="O35" i="1" s="1"/>
  <c r="O33" i="1"/>
  <c r="J38" i="1"/>
  <c r="K24" i="1"/>
  <c r="K37" i="1"/>
  <c r="L20" i="1" s="1"/>
  <c r="K19" i="1"/>
  <c r="M64" i="1"/>
  <c r="M32" i="1"/>
  <c r="T32" i="1" l="1"/>
  <c r="T64" i="1"/>
  <c r="J41" i="1"/>
  <c r="J65" i="1"/>
  <c r="U64" i="1"/>
  <c r="U32" i="1"/>
  <c r="U23" i="1"/>
  <c r="U35" i="1" s="1"/>
  <c r="U33" i="1"/>
  <c r="U34" i="1"/>
  <c r="K38" i="1"/>
  <c r="N64" i="1"/>
  <c r="N32" i="1"/>
  <c r="L24" i="1"/>
  <c r="L37" i="1"/>
  <c r="M20" i="1" s="1"/>
  <c r="L19" i="1"/>
  <c r="P34" i="1"/>
  <c r="P23" i="1"/>
  <c r="P35" i="1" s="1"/>
  <c r="P33" i="1"/>
  <c r="I28" i="1"/>
  <c r="V64" i="1" l="1"/>
  <c r="V32" i="1"/>
  <c r="V34" i="1"/>
  <c r="V33" i="1"/>
  <c r="V23" i="1"/>
  <c r="V35" i="1" s="1"/>
  <c r="I65" i="1"/>
  <c r="I54" i="1"/>
  <c r="I56" i="1"/>
  <c r="I55" i="1"/>
  <c r="I53" i="1"/>
  <c r="I29" i="1"/>
  <c r="Q33" i="1"/>
  <c r="Q23" i="1"/>
  <c r="Q35" i="1" s="1"/>
  <c r="C6" i="1"/>
  <c r="C7" i="1" s="1"/>
  <c r="M37" i="1"/>
  <c r="N20" i="1" s="1"/>
  <c r="M24" i="1"/>
  <c r="M19" i="1"/>
  <c r="Q34" i="1"/>
  <c r="L38" i="1"/>
  <c r="O64" i="1"/>
  <c r="O32" i="1"/>
  <c r="W64" i="1" l="1"/>
  <c r="W32" i="1"/>
  <c r="W23" i="1"/>
  <c r="W35" i="1" s="1"/>
  <c r="W33" i="1"/>
  <c r="X34" i="1"/>
  <c r="W34" i="1"/>
  <c r="R34" i="1"/>
  <c r="M38" i="1"/>
  <c r="N24" i="1"/>
  <c r="N37" i="1"/>
  <c r="O20" i="1" s="1"/>
  <c r="N19" i="1"/>
  <c r="R23" i="1"/>
  <c r="R35" i="1" s="1"/>
  <c r="R33" i="1"/>
  <c r="P32" i="1"/>
  <c r="P64" i="1"/>
  <c r="X64" i="1" l="1"/>
  <c r="X32" i="1"/>
  <c r="K25" i="1"/>
  <c r="X23" i="1"/>
  <c r="X35" i="1" s="1"/>
  <c r="X33" i="1"/>
  <c r="Q32" i="1"/>
  <c r="Q64" i="1"/>
  <c r="O24" i="1"/>
  <c r="O37" i="1"/>
  <c r="P20" i="1" s="1"/>
  <c r="O19" i="1"/>
  <c r="S23" i="1"/>
  <c r="S33" i="1"/>
  <c r="N38" i="1"/>
  <c r="S34" i="1"/>
  <c r="J39" i="1" l="1"/>
  <c r="S35" i="1"/>
  <c r="T35" i="1"/>
  <c r="O38" i="1"/>
  <c r="P37" i="1"/>
  <c r="Q20" i="1" s="1"/>
  <c r="P24" i="1"/>
  <c r="P19" i="1"/>
  <c r="R32" i="1"/>
  <c r="R64" i="1"/>
  <c r="P38" i="1" l="1"/>
  <c r="Q37" i="1"/>
  <c r="R20" i="1" s="1"/>
  <c r="Q24" i="1"/>
  <c r="Q19" i="1"/>
  <c r="S32" i="1"/>
  <c r="S64" i="1"/>
  <c r="J29" i="1"/>
  <c r="K26" i="1" l="1"/>
  <c r="K27" i="1" s="1"/>
  <c r="Q38" i="1"/>
  <c r="R24" i="1"/>
  <c r="R37" i="1"/>
  <c r="S20" i="1" s="1"/>
  <c r="R19" i="1"/>
  <c r="S24" i="1" l="1"/>
  <c r="S37" i="1"/>
  <c r="T20" i="1" s="1"/>
  <c r="S19" i="1"/>
  <c r="K39" i="1"/>
  <c r="R38" i="1"/>
  <c r="T37" i="1" l="1"/>
  <c r="U20" i="1" s="1"/>
  <c r="T24" i="1"/>
  <c r="T19" i="1"/>
  <c r="K28" i="1"/>
  <c r="S38" i="1"/>
  <c r="T38" i="1" l="1"/>
  <c r="U37" i="1"/>
  <c r="V20" i="1" s="1"/>
  <c r="U24" i="1"/>
  <c r="U38" i="1" s="1"/>
  <c r="U19" i="1"/>
  <c r="K29" i="1"/>
  <c r="K65" i="1"/>
  <c r="K41" i="1"/>
  <c r="L25" i="1" s="1"/>
  <c r="V24" i="1" l="1"/>
  <c r="V38" i="1" s="1"/>
  <c r="V37" i="1"/>
  <c r="W20" i="1" s="1"/>
  <c r="V19" i="1"/>
  <c r="L26" i="1"/>
  <c r="L27" i="1" s="1"/>
  <c r="W37" i="1" l="1"/>
  <c r="X20" i="1" s="1"/>
  <c r="W24" i="1"/>
  <c r="W38" i="1" s="1"/>
  <c r="W19" i="1"/>
  <c r="L39" i="1"/>
  <c r="X24" i="1" l="1"/>
  <c r="X38" i="1" s="1"/>
  <c r="X37" i="1"/>
  <c r="X19" i="1"/>
  <c r="L28" i="1"/>
  <c r="L65" i="1" l="1"/>
  <c r="L41" i="1"/>
  <c r="L29" i="1"/>
  <c r="M25" i="1" l="1"/>
  <c r="M26" i="1" s="1"/>
  <c r="M27" i="1" s="1"/>
  <c r="M39" i="1" s="1"/>
  <c r="M28" i="1" l="1"/>
  <c r="M29" i="1" l="1"/>
  <c r="M65" i="1"/>
  <c r="M41" i="1"/>
  <c r="N25" i="1" s="1"/>
  <c r="N26" i="1" l="1"/>
  <c r="N27" i="1" s="1"/>
  <c r="N39" i="1" l="1"/>
  <c r="N28" i="1" l="1"/>
  <c r="N29" i="1" l="1"/>
  <c r="N65" i="1"/>
  <c r="N41" i="1"/>
  <c r="O25" i="1" s="1"/>
  <c r="O26" i="1" l="1"/>
  <c r="O27" i="1" s="1"/>
  <c r="O39" i="1" l="1"/>
  <c r="O28" i="1" l="1"/>
  <c r="O29" i="1" s="1"/>
  <c r="O41" i="1" l="1"/>
  <c r="P25" i="1" s="1"/>
  <c r="O65" i="1"/>
  <c r="P26" i="1"/>
  <c r="P27" i="1" s="1"/>
  <c r="P39" i="1" l="1"/>
  <c r="P28" i="1"/>
  <c r="P65" i="1" l="1"/>
  <c r="P29" i="1"/>
  <c r="P41" i="1"/>
  <c r="Q25" i="1" s="1"/>
  <c r="Q26" i="1" l="1"/>
  <c r="Q27" i="1" s="1"/>
  <c r="Q39" i="1" l="1"/>
  <c r="Q28" i="1"/>
  <c r="Q65" i="1" l="1"/>
  <c r="Q29" i="1"/>
  <c r="Q41" i="1"/>
  <c r="R25" i="1" s="1"/>
  <c r="R26" i="1" l="1"/>
  <c r="R27" i="1" s="1"/>
  <c r="R39" i="1" l="1"/>
  <c r="R28" i="1" l="1"/>
  <c r="R65" i="1" l="1"/>
  <c r="R29" i="1"/>
  <c r="R41" i="1"/>
  <c r="S25" i="1" s="1"/>
  <c r="S26" i="1" l="1"/>
  <c r="S27" i="1" s="1"/>
  <c r="S39" i="1" l="1"/>
  <c r="S28" i="1"/>
  <c r="S29" i="1" l="1"/>
  <c r="S65" i="1"/>
  <c r="S41" i="1"/>
  <c r="T25" i="1" s="1"/>
  <c r="T26" i="1" l="1"/>
  <c r="T27" i="1" s="1"/>
  <c r="T39" i="1" l="1"/>
  <c r="T28" i="1"/>
  <c r="T29" i="1" l="1"/>
  <c r="T65" i="1"/>
  <c r="T41" i="1"/>
  <c r="U25" i="1" s="1"/>
  <c r="U26" i="1" l="1"/>
  <c r="U27" i="1" s="1"/>
  <c r="U39" i="1" l="1"/>
  <c r="U28" i="1" l="1"/>
  <c r="U65" i="1" s="1"/>
  <c r="U29" i="1"/>
  <c r="U41" i="1"/>
  <c r="V25" i="1" s="1"/>
  <c r="V26" i="1" l="1"/>
  <c r="V27" i="1" s="1"/>
  <c r="V39" i="1" l="1"/>
  <c r="V28" i="1"/>
  <c r="V29" i="1" l="1"/>
  <c r="V65" i="1"/>
  <c r="V41" i="1"/>
  <c r="W25" i="1" s="1"/>
  <c r="W26" i="1" l="1"/>
  <c r="W27" i="1" s="1"/>
  <c r="W39" i="1" l="1"/>
  <c r="W28" i="1" l="1"/>
  <c r="W29" i="1" s="1"/>
  <c r="W41" i="1" l="1"/>
  <c r="X25" i="1" s="1"/>
  <c r="W65" i="1"/>
  <c r="X26" i="1"/>
  <c r="X27" i="1" s="1"/>
  <c r="X39" i="1" l="1"/>
  <c r="X28" i="1" l="1"/>
  <c r="Y28" i="1" l="1"/>
  <c r="X41" i="1"/>
  <c r="X29" i="1"/>
  <c r="X65" i="1"/>
  <c r="Z28" i="1" l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HO28" i="1" s="1"/>
  <c r="HP28" i="1" s="1"/>
  <c r="HQ28" i="1" s="1"/>
  <c r="HR28" i="1" s="1"/>
  <c r="HS28" i="1" s="1"/>
  <c r="HT28" i="1" s="1"/>
  <c r="HU28" i="1" s="1"/>
  <c r="HV28" i="1" s="1"/>
  <c r="HW28" i="1" s="1"/>
  <c r="HX28" i="1" s="1"/>
  <c r="HY28" i="1" s="1"/>
  <c r="HZ28" i="1" s="1"/>
  <c r="IA28" i="1" s="1"/>
  <c r="IB28" i="1" s="1"/>
  <c r="IC28" i="1" s="1"/>
  <c r="ID28" i="1" s="1"/>
  <c r="IE28" i="1" s="1"/>
  <c r="IF28" i="1" s="1"/>
  <c r="IG28" i="1" s="1"/>
  <c r="IH28" i="1" s="1"/>
  <c r="II28" i="1" s="1"/>
  <c r="IJ28" i="1" s="1"/>
  <c r="IK28" i="1" s="1"/>
  <c r="IL28" i="1" s="1"/>
  <c r="IM28" i="1" s="1"/>
  <c r="IN28" i="1" s="1"/>
  <c r="IO28" i="1" s="1"/>
  <c r="IP28" i="1" s="1"/>
  <c r="IQ28" i="1" s="1"/>
  <c r="IR28" i="1" s="1"/>
  <c r="F5" i="1" l="1"/>
  <c r="G7" i="1" s="1"/>
</calcChain>
</file>

<file path=xl/sharedStrings.xml><?xml version="1.0" encoding="utf-8"?>
<sst xmlns="http://schemas.openxmlformats.org/spreadsheetml/2006/main" count="188" uniqueCount="143">
  <si>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</si>
  <si>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</si>
  <si>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</si>
  <si>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</si>
  <si>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</si>
  <si>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</si>
  <si>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</si>
  <si>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</si>
  <si>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Net income</t>
  </si>
  <si>
    <t>Revenue y/y</t>
  </si>
  <si>
    <t>Advertising</t>
  </si>
  <si>
    <t>Other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</si>
  <si>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</si>
  <si>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</si>
  <si>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</si>
  <si>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</si>
  <si>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</si>
  <si>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</si>
  <si>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</si>
  <si>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</si>
  <si>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</si>
  <si>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</si>
  <si>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</si>
  <si>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</si>
  <si>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</si>
  <si>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</si>
  <si>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</si>
  <si>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</si>
  <si>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</si>
  <si>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</si>
  <si>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</si>
  <si>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</si>
  <si>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</si>
  <si>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</si>
  <si>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Maturity</t>
  </si>
  <si>
    <t>Discount</t>
  </si>
  <si>
    <t>NPV</t>
  </si>
  <si>
    <t>Value</t>
  </si>
  <si>
    <t>Investor Relations</t>
  </si>
  <si>
    <t>Q418</t>
  </si>
  <si>
    <t>Advertising y/y</t>
  </si>
  <si>
    <t>Other y/y</t>
  </si>
  <si>
    <t>Q318</t>
  </si>
  <si>
    <t>Q218</t>
  </si>
  <si>
    <t>Q118</t>
  </si>
  <si>
    <t>Q417</t>
  </si>
  <si>
    <t>Q317</t>
  </si>
  <si>
    <t>Q217</t>
  </si>
  <si>
    <t>Q117</t>
  </si>
  <si>
    <t>31/12/2018</t>
  </si>
  <si>
    <t>31/12/2017</t>
  </si>
  <si>
    <t>30/9/2018</t>
  </si>
  <si>
    <t>Total liabilities</t>
  </si>
  <si>
    <t>Net income TTM</t>
  </si>
  <si>
    <t>Net Income</t>
  </si>
  <si>
    <t>30/9/2017</t>
  </si>
  <si>
    <t>30/6/2018</t>
  </si>
  <si>
    <t>30/6/2017</t>
  </si>
  <si>
    <t>31/3/2018</t>
  </si>
  <si>
    <t>31/3/2017</t>
  </si>
  <si>
    <t>USD/RMB</t>
  </si>
  <si>
    <t>Revenue USD</t>
  </si>
  <si>
    <t>Net Income USD</t>
  </si>
  <si>
    <t>31/12/2016</t>
  </si>
  <si>
    <t>30/9/2016</t>
  </si>
  <si>
    <t>30/6/2016</t>
  </si>
  <si>
    <t>31/3/2016</t>
  </si>
  <si>
    <t>Q116</t>
  </si>
  <si>
    <t>Q216</t>
  </si>
  <si>
    <t>Q316</t>
  </si>
  <si>
    <t>Q416</t>
  </si>
  <si>
    <t>30/6/2015</t>
  </si>
  <si>
    <t>30/9/2015</t>
  </si>
  <si>
    <t>31/12/2015</t>
  </si>
  <si>
    <t>Q415</t>
  </si>
  <si>
    <t>Q315</t>
  </si>
  <si>
    <t>Q215</t>
  </si>
  <si>
    <t>Q115</t>
  </si>
  <si>
    <t>31/3/2015</t>
  </si>
  <si>
    <t>31/3/2019</t>
  </si>
  <si>
    <t>Q119</t>
  </si>
  <si>
    <t>30/6/2019</t>
  </si>
  <si>
    <t>Q219</t>
  </si>
  <si>
    <t>31/12/2019</t>
  </si>
  <si>
    <t>30/9/2019</t>
  </si>
  <si>
    <t>Q319</t>
  </si>
  <si>
    <t>Q419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</si>
  <si>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</si>
  <si>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</si>
  <si>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</si>
  <si>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</si>
  <si>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</si>
  <si>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Net Cash USD</t>
  </si>
  <si>
    <t>Revenue y/y USD</t>
  </si>
  <si>
    <t>Ma Huateng</t>
  </si>
  <si>
    <t>Tony Zhang</t>
  </si>
  <si>
    <t>WeChat + Weixin MAU</t>
  </si>
  <si>
    <t>QQ MAU</t>
  </si>
  <si>
    <t>VAS subscriptions</t>
  </si>
  <si>
    <t>QQ</t>
  </si>
  <si>
    <t>VAS</t>
  </si>
  <si>
    <t>Qzone</t>
  </si>
  <si>
    <t>Social networking platform</t>
  </si>
  <si>
    <t>WeChat/ Weixin</t>
  </si>
  <si>
    <t>PUBG Mobile</t>
  </si>
  <si>
    <t>Gaming</t>
  </si>
  <si>
    <t>CoD Mobile</t>
  </si>
  <si>
    <t>Tencent Video</t>
  </si>
  <si>
    <t>Original video content</t>
  </si>
  <si>
    <t>LiCaiTong</t>
  </si>
  <si>
    <t>Wealth management platform</t>
  </si>
  <si>
    <t>Financial</t>
  </si>
  <si>
    <t>WeiLiDai</t>
  </si>
  <si>
    <t>Micro-loans (via WeBank)</t>
  </si>
  <si>
    <t>Tencent Meeting</t>
  </si>
  <si>
    <t>Digital content and services</t>
  </si>
  <si>
    <t>Social media and mini games</t>
  </si>
  <si>
    <t>Services</t>
  </si>
  <si>
    <t>VAS y/y</t>
  </si>
  <si>
    <t>Services y/y</t>
  </si>
  <si>
    <t>S&amp;M</t>
  </si>
  <si>
    <t>G&amp;A</t>
  </si>
  <si>
    <t>FILINGS</t>
  </si>
  <si>
    <t>Video conferencing</t>
  </si>
  <si>
    <t>WeChat Work</t>
  </si>
  <si>
    <t>Teamwork hub</t>
  </si>
  <si>
    <t>Multiplayer action game</t>
  </si>
  <si>
    <t>Competetive modern combat game</t>
  </si>
  <si>
    <t>Brawl Stars</t>
  </si>
  <si>
    <t>Battle royale game</t>
  </si>
  <si>
    <t>Clash of Clans</t>
  </si>
  <si>
    <t>Mobile strategy game</t>
  </si>
  <si>
    <t>Q120</t>
  </si>
  <si>
    <t>Q220</t>
  </si>
  <si>
    <t>Q320</t>
  </si>
  <si>
    <t>Q420</t>
  </si>
  <si>
    <t>S&amp;M y/y</t>
  </si>
  <si>
    <t>G&amp;A y/y</t>
  </si>
  <si>
    <t>Tencent Holdings (0700.HK)</t>
  </si>
  <si>
    <t>PRODUCTS</t>
  </si>
  <si>
    <t>SOURCE</t>
  </si>
  <si>
    <t>Price HKD</t>
  </si>
  <si>
    <t>USD/HKD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</si>
</sst>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7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 applyFill="1" applyBorder="1"/>
    <xf numFmtId="9" fontId="3" fillId="0" borderId="0" xfId="0" applyNumberFormat="1" applyFont="1"/>
    <xf numFmtId="3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0" fontId="3" fillId="0" borderId="0" xfId="0" applyFont="1" applyFill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4" fontId="3" fillId="2" borderId="0" xfId="0" applyNumberFormat="1" applyFont="1" applyFill="1" applyAlignment="1">
      <alignment horizontal="right"/>
    </xf>
    <xf numFmtId="9" fontId="3" fillId="0" borderId="0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2" fillId="0" borderId="0" xfId="0" applyNumberFormat="1" applyFont="1"/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1" applyAlignment="1">
      <alignment horizontal="left"/>
    </xf>
    <xf numFmtId="0" fontId="1" fillId="0" borderId="0" xfId="1"/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6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336062</xdr:colOff>
      <xdr:row>11</xdr:row>
      <xdr:rowOff>12700</xdr:rowOff>
    </xdr:from>
    <xdr:to>
      <xdr:col>9</xdr:col>
      <xdr:colOff>336062</xdr:colOff>
      <xdr:row>70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288216" y="1673469"/>
          <a:ext cx="0" cy="978583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175846</xdr:colOff>
      <xdr:row>1</xdr:row>
      <xdr:rowOff>9769</xdr:rowOff>
    </xdr:from>
    <xdr:to>
      <xdr:col>24</xdr:col>
      <xdr:colOff>175846</xdr:colOff>
      <xdr:row>55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20574000" y="175846"/>
          <a:ext cx="0" cy="8958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_Huateng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tencent.com/en-us/investors.html" TargetMode="External"/><Relationship Id="rId6" Type="http://schemas.openxmlformats.org/officeDocument/2006/relationships/hyperlink" Target="https://www.hkex.com.hk/Market-Data/Securities-Prices/Equities/Equities-Quote?sym=700&amp;sc_lang=en" TargetMode="External"/><Relationship Id="rId5" Type="http://schemas.openxmlformats.org/officeDocument/2006/relationships/hyperlink" Target="https://en.wikipedia.org/wiki/Tony_Zhang" TargetMode="External"/><Relationship Id="rId4" Type="http://schemas.openxmlformats.org/officeDocument/2006/relationships/hyperlink" Target="https://en.wikipedia.org/wiki/Ma_Huate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tencent.com/en-us/investors/financial-ne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9"/>
  <sheetViews>
    <sheetView tabSelected="1" zoomScale="130" zoomScaleNormal="130" workbookViewId="0">
      <pane xSplit="1" ySplit="12" topLeftCell="B20" activePane="bottomRight" state="frozen"/>
      <selection pane="topRight" activeCell="B1" sqref="B1"/>
      <selection pane="bottomLeft" activeCell="A10" sqref="A10"/>
      <selection pane="bottomRight" activeCell="K46" sqref="K46"/>
    </sheetView>
  </sheetViews>
  <sheetFormatPr baseColWidth="10" defaultRowHeight="13" x14ac:dyDescent="0.15"/>
  <cols>
    <col min="1" max="1" width="17.1640625" style="3" bestFit="1" customWidth="1"/>
    <col min="2" max="16384" width="10.83203125" style="3"/>
  </cols>
  <sheetData>
    <row r="1" spans="1:24" x14ac:dyDescent="0.15">
      <c r="A1" s="55" t="s">
        <v>38</v>
      </c>
      <c r="B1" s="2" t="s">
        <v>138</v>
      </c>
    </row>
    <row r="2" spans="1:24" x14ac:dyDescent="0.15">
      <c r="B2" s="3" t="s">
        <v>141</v>
      </c>
      <c r="C2" s="4">
        <v>747.5</v>
      </c>
      <c r="D2" s="58">
        <v>44245</v>
      </c>
      <c r="E2" s="7" t="s">
        <v>34</v>
      </c>
      <c r="F2" s="8">
        <v>-0.01</v>
      </c>
      <c r="I2" s="5"/>
    </row>
    <row r="3" spans="1:24" x14ac:dyDescent="0.15">
      <c r="A3" s="2" t="s">
        <v>5</v>
      </c>
      <c r="B3" s="3" t="s">
        <v>0</v>
      </c>
      <c r="C3" s="5">
        <v>9594.5243310000005</v>
      </c>
      <c r="D3" s="55" t="s">
        <v>140</v>
      </c>
      <c r="E3" s="7" t="s">
        <v>23</v>
      </c>
      <c r="F3" s="8">
        <v>0.02</v>
      </c>
      <c r="G3" s="6" t="s">
        <v>88</v>
      </c>
      <c r="I3" s="5"/>
    </row>
    <row r="4" spans="1:24" x14ac:dyDescent="0.15">
      <c r="A4" s="56" t="s">
        <v>94</v>
      </c>
      <c r="B4" s="3" t="s">
        <v>1</v>
      </c>
      <c r="C4" s="11">
        <f>(C3*C2)/C10</f>
        <v>925407.3467641935</v>
      </c>
      <c r="D4" s="59"/>
      <c r="E4" s="7" t="s">
        <v>35</v>
      </c>
      <c r="F4" s="8">
        <v>7.0000000000000007E-2</v>
      </c>
      <c r="G4" s="6" t="s">
        <v>89</v>
      </c>
      <c r="I4" s="14"/>
      <c r="L4" s="1" t="s">
        <v>90</v>
      </c>
    </row>
    <row r="5" spans="1:24" x14ac:dyDescent="0.15">
      <c r="B5" s="3" t="s">
        <v>2</v>
      </c>
      <c r="C5" s="5">
        <f>'Reports RMB'!X30/C9</f>
        <v>1340.9861325115562</v>
      </c>
      <c r="D5" s="59" t="s">
        <v>134</v>
      </c>
      <c r="E5" s="7" t="s">
        <v>36</v>
      </c>
      <c r="F5" s="16">
        <f>NPV(F4,J28:IR28)</f>
        <v>8612534.9893393312</v>
      </c>
      <c r="G5" s="6" t="s">
        <v>91</v>
      </c>
      <c r="I5" s="14"/>
    </row>
    <row r="6" spans="1:24" x14ac:dyDescent="0.15">
      <c r="A6" s="2" t="s">
        <v>6</v>
      </c>
      <c r="B6" s="3" t="s">
        <v>3</v>
      </c>
      <c r="C6" s="11">
        <f>C4-C5</f>
        <v>924066.36063168198</v>
      </c>
      <c r="D6" s="59"/>
      <c r="E6" s="9" t="s">
        <v>37</v>
      </c>
      <c r="F6" s="17">
        <f>F5/C9+C5</f>
        <v>1328387.9798673855</v>
      </c>
      <c r="I6" s="14"/>
    </row>
    <row r="7" spans="1:24" x14ac:dyDescent="0.15">
      <c r="A7" s="56" t="s">
        <v>94</v>
      </c>
      <c r="B7" s="6" t="s">
        <v>4</v>
      </c>
      <c r="C7" s="12">
        <f>C6/C3</f>
        <v>96.311847127847145</v>
      </c>
      <c r="D7" s="59"/>
      <c r="E7" s="10" t="s">
        <v>4</v>
      </c>
      <c r="F7" s="12">
        <f>(F6/C3)*C10</f>
        <v>1073.0085712231685</v>
      </c>
      <c r="G7" s="14">
        <f>F7/C2-1</f>
        <v>0.43546297153601143</v>
      </c>
    </row>
    <row r="8" spans="1:24" x14ac:dyDescent="0.15">
      <c r="A8" s="56" t="s">
        <v>95</v>
      </c>
      <c r="D8" s="59"/>
    </row>
    <row r="9" spans="1:24" x14ac:dyDescent="0.15">
      <c r="A9" s="1"/>
      <c r="B9" s="2" t="s">
        <v>60</v>
      </c>
      <c r="C9" s="4">
        <v>6.49</v>
      </c>
      <c r="D9" s="58">
        <v>44245</v>
      </c>
    </row>
    <row r="10" spans="1:24" x14ac:dyDescent="0.15">
      <c r="A10" s="1"/>
      <c r="B10" s="2" t="s">
        <v>142</v>
      </c>
      <c r="C10" s="4">
        <v>7.75</v>
      </c>
      <c r="D10" s="58">
        <v>44245</v>
      </c>
    </row>
    <row r="11" spans="1:24" x14ac:dyDescent="0.15">
      <c r="A11" s="1"/>
    </row>
    <row r="12" spans="1:24" x14ac:dyDescent="0.15">
      <c r="B12" s="20">
        <v>2012</v>
      </c>
      <c r="C12" s="20">
        <v>2013</v>
      </c>
      <c r="D12" s="20">
        <v>2014</v>
      </c>
      <c r="E12" s="20">
        <v>2015</v>
      </c>
      <c r="F12" s="20">
        <v>2016</v>
      </c>
      <c r="G12" s="20">
        <v>2017</v>
      </c>
      <c r="H12" s="20">
        <v>2018</v>
      </c>
      <c r="I12" s="20">
        <v>2019</v>
      </c>
      <c r="J12" s="20">
        <v>2020</v>
      </c>
      <c r="K12" s="20">
        <v>2021</v>
      </c>
      <c r="L12" s="20">
        <v>2022</v>
      </c>
      <c r="M12" s="20">
        <f>L12+1</f>
        <v>2023</v>
      </c>
      <c r="N12" s="20">
        <f t="shared" ref="N12:S12" si="0">M12+1</f>
        <v>2024</v>
      </c>
      <c r="O12" s="20">
        <f t="shared" si="0"/>
        <v>2025</v>
      </c>
      <c r="P12" s="20">
        <f t="shared" si="0"/>
        <v>2026</v>
      </c>
      <c r="Q12" s="20">
        <f t="shared" si="0"/>
        <v>2027</v>
      </c>
      <c r="R12" s="20">
        <f t="shared" si="0"/>
        <v>2028</v>
      </c>
      <c r="S12" s="20">
        <f t="shared" si="0"/>
        <v>2029</v>
      </c>
      <c r="T12" s="20">
        <f t="shared" ref="T12" si="1">S12+1</f>
        <v>2030</v>
      </c>
      <c r="U12" s="20">
        <f t="shared" ref="U12" si="2">T12+1</f>
        <v>2031</v>
      </c>
      <c r="V12" s="20">
        <f t="shared" ref="V12" si="3">U12+1</f>
        <v>2032</v>
      </c>
      <c r="W12" s="20">
        <f t="shared" ref="W12" si="4">V12+1</f>
        <v>2033</v>
      </c>
      <c r="X12" s="20">
        <f t="shared" ref="X12" si="5">W12+1</f>
        <v>2034</v>
      </c>
    </row>
    <row r="13" spans="1:24" x14ac:dyDescent="0.15">
      <c r="A13" s="5" t="s">
        <v>100</v>
      </c>
      <c r="B13" s="24">
        <f>31995+3723</f>
        <v>35718</v>
      </c>
      <c r="C13" s="24">
        <v>44985</v>
      </c>
      <c r="D13" s="24">
        <v>63310</v>
      </c>
      <c r="E13" s="24">
        <f>SUM('Reports RMB'!B3:E3)</f>
        <v>80669</v>
      </c>
      <c r="F13" s="24">
        <f>SUM('Reports RMB'!F3:I3)</f>
        <v>107810</v>
      </c>
      <c r="G13" s="24">
        <f>SUM('Reports RMB'!J3:M3)</f>
        <v>153983</v>
      </c>
      <c r="H13" s="24">
        <f>SUM('Reports RMB'!N3:Q3)</f>
        <v>176646</v>
      </c>
      <c r="I13" s="24">
        <f>SUM('Reports RMB'!R3:U3)</f>
        <v>199991</v>
      </c>
      <c r="J13" s="24">
        <f>SUM('Reports RMB'!V3:Y3)</f>
        <v>267848.8</v>
      </c>
      <c r="K13" s="24">
        <f>J13*1.3</f>
        <v>348203.44</v>
      </c>
      <c r="L13" s="24">
        <f t="shared" ref="L13:N13" si="6">K13*1.3</f>
        <v>452664.47200000001</v>
      </c>
      <c r="M13" s="24">
        <f t="shared" si="6"/>
        <v>588463.81359999999</v>
      </c>
      <c r="N13" s="24">
        <f t="shared" si="6"/>
        <v>765002.95767999999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15">
      <c r="A14" s="5" t="s">
        <v>117</v>
      </c>
      <c r="B14" s="24"/>
      <c r="C14" s="24"/>
      <c r="D14" s="24"/>
      <c r="E14" s="24"/>
      <c r="F14" s="24"/>
      <c r="G14" s="24"/>
      <c r="H14" s="24">
        <f>SUM('Reports RMB'!N4:Q4)</f>
        <v>73138</v>
      </c>
      <c r="I14" s="24">
        <f>SUM('Reports RMB'!R4:U4)</f>
        <v>101355</v>
      </c>
      <c r="J14" s="24">
        <f>SUM('Reports RMB'!V4:Y4)</f>
        <v>126992</v>
      </c>
      <c r="K14" s="24">
        <f>J14*1.2</f>
        <v>152390.39999999999</v>
      </c>
      <c r="L14" s="24">
        <f t="shared" ref="L14:N14" si="7">K14*1.2</f>
        <v>182868.47999999998</v>
      </c>
      <c r="M14" s="24">
        <f t="shared" si="7"/>
        <v>219442.17599999998</v>
      </c>
      <c r="N14" s="24">
        <f t="shared" si="7"/>
        <v>263330.61119999998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15">
      <c r="A15" s="5" t="s">
        <v>10</v>
      </c>
      <c r="B15" s="24">
        <v>3382</v>
      </c>
      <c r="C15" s="24">
        <v>5034</v>
      </c>
      <c r="D15" s="24">
        <v>8308</v>
      </c>
      <c r="E15" s="24">
        <f>SUM('Reports RMB'!B5:E5)</f>
        <v>17468</v>
      </c>
      <c r="F15" s="24">
        <f>SUM('Reports RMB'!F5:I5)</f>
        <v>26970</v>
      </c>
      <c r="G15" s="24">
        <f>SUM('Reports RMB'!J5:M5)</f>
        <v>40439</v>
      </c>
      <c r="H15" s="24">
        <f>SUM('Reports RMB'!N5:Q5)</f>
        <v>58079</v>
      </c>
      <c r="I15" s="24">
        <f>SUM('Reports RMB'!R5:U5)</f>
        <v>68377</v>
      </c>
      <c r="J15" s="24">
        <f>SUM('Reports RMB'!V5:Y5)</f>
        <v>80874.75</v>
      </c>
      <c r="K15" s="24">
        <f t="shared" ref="K15:N15" si="8">J15*1.15</f>
        <v>93005.962499999994</v>
      </c>
      <c r="L15" s="24">
        <f t="shared" si="8"/>
        <v>106956.85687499998</v>
      </c>
      <c r="M15" s="24">
        <f t="shared" si="8"/>
        <v>123000.38540624997</v>
      </c>
      <c r="N15" s="24">
        <f t="shared" si="8"/>
        <v>141450.44321718745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15">
      <c r="A16" s="5" t="s">
        <v>11</v>
      </c>
      <c r="B16" s="24">
        <f>4428+365</f>
        <v>4793</v>
      </c>
      <c r="C16" s="24">
        <f>9796+622</f>
        <v>10418</v>
      </c>
      <c r="D16" s="24">
        <f>4743+2561</f>
        <v>7304</v>
      </c>
      <c r="E16" s="24">
        <f>SUM('Reports RMB'!B6:E6)</f>
        <v>4726</v>
      </c>
      <c r="F16" s="24">
        <f>SUM('Reports RMB'!F6:I6)</f>
        <v>17158</v>
      </c>
      <c r="G16" s="24">
        <f>SUM('Reports RMB'!J6:M6)</f>
        <v>43338</v>
      </c>
      <c r="H16" s="24">
        <f>SUM('Reports RMB'!N6:Q6)</f>
        <v>4831</v>
      </c>
      <c r="I16" s="24">
        <f>SUM('Reports RMB'!R6:U6)</f>
        <v>7566</v>
      </c>
      <c r="J16" s="24">
        <f>SUM('Reports RMB'!V6:Y6)</f>
        <v>5279.6</v>
      </c>
      <c r="K16" s="24">
        <f>J16*1.2</f>
        <v>6335.52</v>
      </c>
      <c r="L16" s="24">
        <f t="shared" ref="L16:N16" si="9">K16*1.2</f>
        <v>7602.6239999999998</v>
      </c>
      <c r="M16" s="24">
        <f t="shared" si="9"/>
        <v>9123.148799999999</v>
      </c>
      <c r="N16" s="24">
        <f t="shared" si="9"/>
        <v>10947.778559999999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52" x14ac:dyDescent="0.15">
      <c r="B17" s="20"/>
      <c r="C17" s="20"/>
      <c r="D17" s="20"/>
      <c r="E17" s="20"/>
      <c r="F17" s="20"/>
      <c r="G17" s="20"/>
      <c r="H17" s="4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52" s="2" customFormat="1" x14ac:dyDescent="0.15">
      <c r="A18" s="2" t="s">
        <v>7</v>
      </c>
      <c r="B18" s="27">
        <f t="shared" ref="B18:I18" si="10">SUM(B13:B16)</f>
        <v>43893</v>
      </c>
      <c r="C18" s="27">
        <f t="shared" si="10"/>
        <v>60437</v>
      </c>
      <c r="D18" s="27">
        <f t="shared" si="10"/>
        <v>78922</v>
      </c>
      <c r="E18" s="27">
        <f t="shared" si="10"/>
        <v>102863</v>
      </c>
      <c r="F18" s="27">
        <f t="shared" si="10"/>
        <v>151938</v>
      </c>
      <c r="G18" s="27">
        <f t="shared" si="10"/>
        <v>237760</v>
      </c>
      <c r="H18" s="27">
        <f t="shared" si="10"/>
        <v>312694</v>
      </c>
      <c r="I18" s="27">
        <f t="shared" si="10"/>
        <v>377289</v>
      </c>
      <c r="J18" s="47">
        <f>SUM(J13:J16)</f>
        <v>480995.14999999997</v>
      </c>
      <c r="K18" s="47">
        <f>SUM(K13:K16)</f>
        <v>599935.32250000001</v>
      </c>
      <c r="L18" s="47">
        <f t="shared" ref="L18:M18" si="11">SUM(L13:L16)</f>
        <v>750092.43287499994</v>
      </c>
      <c r="M18" s="47">
        <f t="shared" si="11"/>
        <v>940029.52380624996</v>
      </c>
      <c r="N18" s="47">
        <f>SUM(N13:N16)</f>
        <v>1180731.7906571873</v>
      </c>
      <c r="O18" s="47">
        <f>N18*1.15</f>
        <v>1357841.5592557653</v>
      </c>
      <c r="P18" s="47">
        <f t="shared" ref="P18:S18" si="12">O18*1.15</f>
        <v>1561517.7931441299</v>
      </c>
      <c r="Q18" s="47">
        <f t="shared" si="12"/>
        <v>1795745.4621157493</v>
      </c>
      <c r="R18" s="47">
        <f t="shared" si="12"/>
        <v>2065107.2814331115</v>
      </c>
      <c r="S18" s="47">
        <f t="shared" si="12"/>
        <v>2374873.3736480782</v>
      </c>
      <c r="T18" s="47">
        <f>S18*1.1</f>
        <v>2612360.7110128864</v>
      </c>
      <c r="U18" s="47">
        <f t="shared" ref="U18:X18" si="13">T18*1.1</f>
        <v>2873596.7821141751</v>
      </c>
      <c r="V18" s="47">
        <f t="shared" si="13"/>
        <v>3160956.4603255931</v>
      </c>
      <c r="W18" s="47">
        <f t="shared" si="13"/>
        <v>3477052.1063581528</v>
      </c>
      <c r="X18" s="47">
        <f t="shared" si="13"/>
        <v>3824757.3169939686</v>
      </c>
    </row>
    <row r="19" spans="1:252" s="2" customFormat="1" x14ac:dyDescent="0.15">
      <c r="A19" s="3" t="s">
        <v>12</v>
      </c>
      <c r="B19" s="24">
        <v>18207</v>
      </c>
      <c r="C19" s="24">
        <v>27778</v>
      </c>
      <c r="D19" s="24">
        <v>30873</v>
      </c>
      <c r="E19" s="24">
        <f>SUM('Reports RMB'!B9:E9)</f>
        <v>41631</v>
      </c>
      <c r="F19" s="24">
        <f>SUM('Reports RMB'!F9:I9)</f>
        <v>67439</v>
      </c>
      <c r="G19" s="24">
        <f>SUM('Reports RMB'!J9:M9)</f>
        <v>120835</v>
      </c>
      <c r="H19" s="24">
        <f>SUM('Reports RMB'!N9:Q9)</f>
        <v>170574</v>
      </c>
      <c r="I19" s="24">
        <f>SUM('Reports RMB'!R9:U9)</f>
        <v>209756</v>
      </c>
      <c r="J19" s="24">
        <f>SUM('Reports RMB'!V9:Y9)</f>
        <v>258467.06487998916</v>
      </c>
      <c r="K19" s="45">
        <f t="shared" ref="K19:S19" si="14">K18-K20</f>
        <v>333537.5097241372</v>
      </c>
      <c r="L19" s="45">
        <f t="shared" si="14"/>
        <v>417018.22303361213</v>
      </c>
      <c r="M19" s="45">
        <f t="shared" si="14"/>
        <v>522614.8464320554</v>
      </c>
      <c r="N19" s="45">
        <f t="shared" si="14"/>
        <v>656434.6627680345</v>
      </c>
      <c r="O19" s="45">
        <f t="shared" si="14"/>
        <v>754899.86218323966</v>
      </c>
      <c r="P19" s="45">
        <f t="shared" si="14"/>
        <v>868134.84151072556</v>
      </c>
      <c r="Q19" s="45">
        <f t="shared" si="14"/>
        <v>998355.06773733429</v>
      </c>
      <c r="R19" s="45">
        <f t="shared" si="14"/>
        <v>1148108.3278979342</v>
      </c>
      <c r="S19" s="45">
        <f t="shared" si="14"/>
        <v>1320324.5770826244</v>
      </c>
      <c r="T19" s="45">
        <f t="shared" ref="T19:X19" si="15">T18-T20</f>
        <v>1452357.034790887</v>
      </c>
      <c r="U19" s="45">
        <f t="shared" si="15"/>
        <v>1597592.7382699759</v>
      </c>
      <c r="V19" s="45">
        <f t="shared" si="15"/>
        <v>1757352.0120969738</v>
      </c>
      <c r="W19" s="45">
        <f t="shared" si="15"/>
        <v>1933087.2133066715</v>
      </c>
      <c r="X19" s="45">
        <f t="shared" si="15"/>
        <v>2126395.9346373389</v>
      </c>
    </row>
    <row r="20" spans="1:252" s="2" customFormat="1" x14ac:dyDescent="0.15">
      <c r="A20" s="3" t="s">
        <v>13</v>
      </c>
      <c r="B20" s="28">
        <f t="shared" ref="B20" si="16">B18-B19</f>
        <v>25686</v>
      </c>
      <c r="C20" s="28">
        <f t="shared" ref="C20:D20" si="17">C18-C19</f>
        <v>32659</v>
      </c>
      <c r="D20" s="28">
        <f t="shared" si="17"/>
        <v>48049</v>
      </c>
      <c r="E20" s="28">
        <f t="shared" ref="E20:I20" si="18">E18-E19</f>
        <v>61232</v>
      </c>
      <c r="F20" s="28">
        <f t="shared" si="18"/>
        <v>84499</v>
      </c>
      <c r="G20" s="28">
        <f t="shared" si="18"/>
        <v>116925</v>
      </c>
      <c r="H20" s="28">
        <f t="shared" si="18"/>
        <v>142120</v>
      </c>
      <c r="I20" s="28">
        <f t="shared" si="18"/>
        <v>167533</v>
      </c>
      <c r="J20" s="45">
        <f t="shared" ref="J20:X20" si="19">J18*I37</f>
        <v>213583.11656303258</v>
      </c>
      <c r="K20" s="45">
        <f t="shared" si="19"/>
        <v>266397.81277586281</v>
      </c>
      <c r="L20" s="45">
        <f t="shared" si="19"/>
        <v>333074.20984138781</v>
      </c>
      <c r="M20" s="45">
        <f t="shared" si="19"/>
        <v>417414.67737419455</v>
      </c>
      <c r="N20" s="45">
        <f t="shared" si="19"/>
        <v>524297.12788915285</v>
      </c>
      <c r="O20" s="45">
        <f t="shared" si="19"/>
        <v>602941.69707252563</v>
      </c>
      <c r="P20" s="45">
        <f t="shared" si="19"/>
        <v>693382.95163340436</v>
      </c>
      <c r="Q20" s="45">
        <f t="shared" si="19"/>
        <v>797390.39437841496</v>
      </c>
      <c r="R20" s="45">
        <f t="shared" si="19"/>
        <v>916998.95353517716</v>
      </c>
      <c r="S20" s="45">
        <f t="shared" si="19"/>
        <v>1054548.7965654538</v>
      </c>
      <c r="T20" s="45">
        <f t="shared" si="19"/>
        <v>1160003.6762219993</v>
      </c>
      <c r="U20" s="45">
        <f t="shared" si="19"/>
        <v>1276004.0438441993</v>
      </c>
      <c r="V20" s="45">
        <f t="shared" si="19"/>
        <v>1403604.4482286193</v>
      </c>
      <c r="W20" s="45">
        <f t="shared" si="19"/>
        <v>1543964.8930514813</v>
      </c>
      <c r="X20" s="45">
        <f t="shared" si="19"/>
        <v>1698361.3823566297</v>
      </c>
    </row>
    <row r="21" spans="1:252" s="2" customFormat="1" x14ac:dyDescent="0.15">
      <c r="A21" s="3" t="s">
        <v>120</v>
      </c>
      <c r="B21" s="24">
        <v>2993</v>
      </c>
      <c r="C21" s="24">
        <v>5695</v>
      </c>
      <c r="D21" s="24">
        <v>7797</v>
      </c>
      <c r="E21" s="24">
        <f>SUM('Reports RMB'!B11:E11)</f>
        <v>7993</v>
      </c>
      <c r="F21" s="24">
        <f>SUM('Reports RMB'!F11:I11)</f>
        <v>12136</v>
      </c>
      <c r="G21" s="24">
        <f>SUM('Reports RMB'!J11:M11)</f>
        <v>17652</v>
      </c>
      <c r="H21" s="24">
        <f>SUM('Reports RMB'!N11:Q11)</f>
        <v>24233</v>
      </c>
      <c r="I21" s="24">
        <f>SUM('Reports RMB'!R11:U11)</f>
        <v>21396</v>
      </c>
      <c r="J21" s="24">
        <f>SUM('Reports RMB'!V11:Y11)</f>
        <v>33793</v>
      </c>
      <c r="K21" s="45">
        <f>J21*1.25</f>
        <v>42241.25</v>
      </c>
      <c r="L21" s="45">
        <f t="shared" ref="L21:N21" si="20">K21*1.25</f>
        <v>52801.5625</v>
      </c>
      <c r="M21" s="45">
        <f t="shared" si="20"/>
        <v>66001.953125</v>
      </c>
      <c r="N21" s="45">
        <f t="shared" si="20"/>
        <v>82502.44140625</v>
      </c>
      <c r="O21" s="45">
        <f>N21*1.15</f>
        <v>94877.807617187485</v>
      </c>
      <c r="P21" s="45">
        <f t="shared" ref="P21:S21" si="21">O21*1.15</f>
        <v>109109.4787597656</v>
      </c>
      <c r="Q21" s="45">
        <f t="shared" si="21"/>
        <v>125475.90057373043</v>
      </c>
      <c r="R21" s="45">
        <f t="shared" si="21"/>
        <v>144297.28565978998</v>
      </c>
      <c r="S21" s="45">
        <f t="shared" si="21"/>
        <v>165941.87850875847</v>
      </c>
      <c r="T21" s="45">
        <f>S21*1.1</f>
        <v>182536.06635963434</v>
      </c>
      <c r="U21" s="45">
        <f t="shared" ref="U21:X21" si="22">T21*1.1</f>
        <v>200789.67299559779</v>
      </c>
      <c r="V21" s="45">
        <f t="shared" si="22"/>
        <v>220868.64029515759</v>
      </c>
      <c r="W21" s="45">
        <f t="shared" si="22"/>
        <v>242955.50432467335</v>
      </c>
      <c r="X21" s="45">
        <f t="shared" si="22"/>
        <v>267251.05475714069</v>
      </c>
    </row>
    <row r="22" spans="1:252" s="2" customFormat="1" x14ac:dyDescent="0.15">
      <c r="A22" s="3" t="s">
        <v>121</v>
      </c>
      <c r="B22" s="24">
        <v>7765</v>
      </c>
      <c r="C22" s="24">
        <v>9988</v>
      </c>
      <c r="D22" s="24">
        <v>14155</v>
      </c>
      <c r="E22" s="24">
        <f>SUM('Reports RMB'!B12:E12)</f>
        <v>16825</v>
      </c>
      <c r="F22" s="24">
        <f>SUM('Reports RMB'!F12:I12)</f>
        <v>22459</v>
      </c>
      <c r="G22" s="24">
        <f>SUM('Reports RMB'!J12:M12)</f>
        <v>33051</v>
      </c>
      <c r="H22" s="24">
        <f>SUM('Reports RMB'!N12:Q12)</f>
        <v>41522</v>
      </c>
      <c r="I22" s="24">
        <f>SUM('Reports RMB'!R12:U12)</f>
        <v>53446</v>
      </c>
      <c r="J22" s="24">
        <f>SUM('Reports RMB'!V12:Y12)</f>
        <v>67848.5</v>
      </c>
      <c r="K22" s="45">
        <f>J22*1.2</f>
        <v>81418.2</v>
      </c>
      <c r="L22" s="45">
        <f t="shared" ref="L22:N22" si="23">K22*1.2</f>
        <v>97701.84</v>
      </c>
      <c r="M22" s="45">
        <f t="shared" si="23"/>
        <v>117242.208</v>
      </c>
      <c r="N22" s="45">
        <f t="shared" si="23"/>
        <v>140690.6496</v>
      </c>
      <c r="O22" s="45">
        <f>N22*1.1</f>
        <v>154759.71456000002</v>
      </c>
      <c r="P22" s="45">
        <f t="shared" ref="P22:S22" si="24">O22*1.1</f>
        <v>170235.68601600005</v>
      </c>
      <c r="Q22" s="45">
        <f t="shared" si="24"/>
        <v>187259.25461760006</v>
      </c>
      <c r="R22" s="45">
        <f t="shared" si="24"/>
        <v>205985.18007936009</v>
      </c>
      <c r="S22" s="45">
        <f t="shared" si="24"/>
        <v>226583.6980872961</v>
      </c>
      <c r="T22" s="45">
        <f>S22*1.05</f>
        <v>237912.88299166091</v>
      </c>
      <c r="U22" s="45">
        <f t="shared" ref="U22:X22" si="25">T22*1.05</f>
        <v>249808.52714124398</v>
      </c>
      <c r="V22" s="45">
        <f t="shared" si="25"/>
        <v>262298.95349830616</v>
      </c>
      <c r="W22" s="45">
        <f t="shared" si="25"/>
        <v>275413.90117322147</v>
      </c>
      <c r="X22" s="45">
        <f t="shared" si="25"/>
        <v>289184.59623188258</v>
      </c>
    </row>
    <row r="23" spans="1:252" s="2" customFormat="1" x14ac:dyDescent="0.15">
      <c r="A23" s="3" t="s">
        <v>14</v>
      </c>
      <c r="B23" s="28">
        <f>SUM(B21:B22)</f>
        <v>10758</v>
      </c>
      <c r="C23" s="28">
        <f>SUM(C21:C22)</f>
        <v>15683</v>
      </c>
      <c r="D23" s="28">
        <f t="shared" ref="D23" si="26">SUM(D21:D22)</f>
        <v>21952</v>
      </c>
      <c r="E23" s="28">
        <f t="shared" ref="E23:I23" si="27">SUM(E21:E22)</f>
        <v>24818</v>
      </c>
      <c r="F23" s="28">
        <f t="shared" si="27"/>
        <v>34595</v>
      </c>
      <c r="G23" s="28">
        <f t="shared" si="27"/>
        <v>50703</v>
      </c>
      <c r="H23" s="28">
        <f t="shared" si="27"/>
        <v>65755</v>
      </c>
      <c r="I23" s="28">
        <f t="shared" si="27"/>
        <v>74842</v>
      </c>
      <c r="J23" s="45">
        <f t="shared" ref="J23:S23" si="28">SUM(J21:J22)</f>
        <v>101641.5</v>
      </c>
      <c r="K23" s="45">
        <f t="shared" si="28"/>
        <v>123659.45</v>
      </c>
      <c r="L23" s="45">
        <f t="shared" si="28"/>
        <v>150503.4025</v>
      </c>
      <c r="M23" s="45">
        <f t="shared" si="28"/>
        <v>183244.16112499998</v>
      </c>
      <c r="N23" s="45">
        <f t="shared" si="28"/>
        <v>223193.09100625</v>
      </c>
      <c r="O23" s="45">
        <f t="shared" si="28"/>
        <v>249637.52217718749</v>
      </c>
      <c r="P23" s="45">
        <f t="shared" si="28"/>
        <v>279345.16477576562</v>
      </c>
      <c r="Q23" s="45">
        <f t="shared" si="28"/>
        <v>312735.15519133047</v>
      </c>
      <c r="R23" s="45">
        <f t="shared" si="28"/>
        <v>350282.46573915007</v>
      </c>
      <c r="S23" s="45">
        <f t="shared" si="28"/>
        <v>392525.5765960546</v>
      </c>
      <c r="T23" s="45">
        <f t="shared" ref="T23:X23" si="29">SUM(T21:T22)</f>
        <v>420448.94935129525</v>
      </c>
      <c r="U23" s="45">
        <f t="shared" si="29"/>
        <v>450598.20013684174</v>
      </c>
      <c r="V23" s="45">
        <f t="shared" si="29"/>
        <v>483167.59379346378</v>
      </c>
      <c r="W23" s="45">
        <f t="shared" si="29"/>
        <v>518369.40549789486</v>
      </c>
      <c r="X23" s="45">
        <f t="shared" si="29"/>
        <v>556435.65098902327</v>
      </c>
    </row>
    <row r="24" spans="1:252" s="2" customFormat="1" x14ac:dyDescent="0.15">
      <c r="A24" s="3" t="s">
        <v>15</v>
      </c>
      <c r="B24" s="28">
        <f t="shared" ref="B24" si="30">B20-B23</f>
        <v>14928</v>
      </c>
      <c r="C24" s="28">
        <f t="shared" ref="C24:D24" si="31">C20-C23</f>
        <v>16976</v>
      </c>
      <c r="D24" s="28">
        <f t="shared" si="31"/>
        <v>26097</v>
      </c>
      <c r="E24" s="28">
        <f t="shared" ref="E24:I24" si="32">E20-E23</f>
        <v>36414</v>
      </c>
      <c r="F24" s="28">
        <f t="shared" si="32"/>
        <v>49904</v>
      </c>
      <c r="G24" s="28">
        <f t="shared" si="32"/>
        <v>66222</v>
      </c>
      <c r="H24" s="28">
        <f t="shared" si="32"/>
        <v>76365</v>
      </c>
      <c r="I24" s="28">
        <f t="shared" si="32"/>
        <v>92691</v>
      </c>
      <c r="J24" s="45">
        <f t="shared" ref="J24:S24" si="33">J20-J23</f>
        <v>111941.61656303258</v>
      </c>
      <c r="K24" s="45">
        <f t="shared" si="33"/>
        <v>142738.3627758628</v>
      </c>
      <c r="L24" s="45">
        <f t="shared" si="33"/>
        <v>182570.80734138782</v>
      </c>
      <c r="M24" s="45">
        <f t="shared" si="33"/>
        <v>234170.51624919457</v>
      </c>
      <c r="N24" s="45">
        <f t="shared" si="33"/>
        <v>301104.03688290284</v>
      </c>
      <c r="O24" s="45">
        <f t="shared" si="33"/>
        <v>353304.17489533813</v>
      </c>
      <c r="P24" s="45">
        <f t="shared" si="33"/>
        <v>414037.78685763874</v>
      </c>
      <c r="Q24" s="45">
        <f t="shared" si="33"/>
        <v>484655.23918708449</v>
      </c>
      <c r="R24" s="45">
        <f t="shared" si="33"/>
        <v>566716.4877960271</v>
      </c>
      <c r="S24" s="45">
        <f t="shared" si="33"/>
        <v>662023.21996939916</v>
      </c>
      <c r="T24" s="45">
        <f t="shared" ref="T24:X24" si="34">T20-T23</f>
        <v>739554.72687070409</v>
      </c>
      <c r="U24" s="45">
        <f t="shared" si="34"/>
        <v>825405.84370735753</v>
      </c>
      <c r="V24" s="45">
        <f t="shared" si="34"/>
        <v>920436.85443515552</v>
      </c>
      <c r="W24" s="45">
        <f t="shared" si="34"/>
        <v>1025595.4875535865</v>
      </c>
      <c r="X24" s="45">
        <f t="shared" si="34"/>
        <v>1141925.7313676064</v>
      </c>
    </row>
    <row r="25" spans="1:252" s="2" customFormat="1" x14ac:dyDescent="0.15">
      <c r="A25" s="3" t="s">
        <v>16</v>
      </c>
      <c r="B25" s="24">
        <f>836-284-348-54-26</f>
        <v>124</v>
      </c>
      <c r="C25" s="24">
        <f>1314+904-84+171</f>
        <v>2305</v>
      </c>
      <c r="D25" s="24">
        <f>1676+2759-1182-347</f>
        <v>2906</v>
      </c>
      <c r="E25" s="24">
        <f>SUM('Reports RMB'!B15:E15)</f>
        <v>-198</v>
      </c>
      <c r="F25" s="24">
        <f>SUM('Reports RMB'!F15:I15)</f>
        <v>1736</v>
      </c>
      <c r="G25" s="24">
        <f>SUM('Reports RMB'!J15:M15)</f>
        <v>21960</v>
      </c>
      <c r="H25" s="24">
        <f>SUM('Reports RMB'!N15:Q15)</f>
        <v>18101</v>
      </c>
      <c r="I25" s="24">
        <f>SUM('Reports RMB'!R15:U15)</f>
        <v>16709</v>
      </c>
      <c r="J25" s="24">
        <f>SUM('Reports RMB'!V15:Y15)</f>
        <v>34485.333333333336</v>
      </c>
      <c r="K25" s="45">
        <f t="shared" ref="K25:X25" si="35">J41*$F$3</f>
        <v>2253.627302061132</v>
      </c>
      <c r="L25" s="45">
        <f t="shared" si="35"/>
        <v>4718.491133385839</v>
      </c>
      <c r="M25" s="45">
        <f t="shared" si="35"/>
        <v>7902.4092074569899</v>
      </c>
      <c r="N25" s="45">
        <f t="shared" si="35"/>
        <v>12017.648940220066</v>
      </c>
      <c r="O25" s="45">
        <f t="shared" si="35"/>
        <v>17340.717599213156</v>
      </c>
      <c r="P25" s="45">
        <f t="shared" si="35"/>
        <v>23641.680771620529</v>
      </c>
      <c r="Q25" s="45">
        <f t="shared" si="35"/>
        <v>31082.231721317938</v>
      </c>
      <c r="R25" s="45">
        <f t="shared" si="35"/>
        <v>39849.768726760776</v>
      </c>
      <c r="S25" s="45">
        <f t="shared" si="35"/>
        <v>50161.395087648176</v>
      </c>
      <c r="T25" s="45">
        <f t="shared" si="35"/>
        <v>62268.533543617981</v>
      </c>
      <c r="U25" s="45">
        <f t="shared" si="35"/>
        <v>75899.528970661457</v>
      </c>
      <c r="V25" s="45">
        <f t="shared" si="35"/>
        <v>91221.720306187781</v>
      </c>
      <c r="W25" s="45">
        <f t="shared" si="35"/>
        <v>108419.91607679061</v>
      </c>
      <c r="X25" s="45">
        <f t="shared" si="35"/>
        <v>127698.17793850704</v>
      </c>
    </row>
    <row r="26" spans="1:252" s="2" customFormat="1" x14ac:dyDescent="0.15">
      <c r="A26" s="3" t="s">
        <v>17</v>
      </c>
      <c r="B26" s="28">
        <f t="shared" ref="B26" si="36">B24+B25</f>
        <v>15052</v>
      </c>
      <c r="C26" s="28">
        <f t="shared" ref="C26:D26" si="37">C24+C25</f>
        <v>19281</v>
      </c>
      <c r="D26" s="28">
        <f t="shared" si="37"/>
        <v>29003</v>
      </c>
      <c r="E26" s="28">
        <f t="shared" ref="E26:I26" si="38">E24+E25</f>
        <v>36216</v>
      </c>
      <c r="F26" s="28">
        <f t="shared" si="38"/>
        <v>51640</v>
      </c>
      <c r="G26" s="28">
        <f t="shared" si="38"/>
        <v>88182</v>
      </c>
      <c r="H26" s="28">
        <f t="shared" si="38"/>
        <v>94466</v>
      </c>
      <c r="I26" s="28">
        <f t="shared" si="38"/>
        <v>109400</v>
      </c>
      <c r="J26" s="45">
        <f>J24+J25</f>
        <v>146426.94989636593</v>
      </c>
      <c r="K26" s="45">
        <f t="shared" ref="K26:S26" si="39">K24+K25</f>
        <v>144991.99007792393</v>
      </c>
      <c r="L26" s="45">
        <f t="shared" si="39"/>
        <v>187289.29847477365</v>
      </c>
      <c r="M26" s="45">
        <f t="shared" si="39"/>
        <v>242072.92545665154</v>
      </c>
      <c r="N26" s="45">
        <f t="shared" si="39"/>
        <v>313121.68582312291</v>
      </c>
      <c r="O26" s="45">
        <f t="shared" si="39"/>
        <v>370644.89249455131</v>
      </c>
      <c r="P26" s="45">
        <f t="shared" si="39"/>
        <v>437679.46762925928</v>
      </c>
      <c r="Q26" s="45">
        <f t="shared" si="39"/>
        <v>515737.47090840241</v>
      </c>
      <c r="R26" s="45">
        <f t="shared" si="39"/>
        <v>606566.25652278785</v>
      </c>
      <c r="S26" s="45">
        <f t="shared" si="39"/>
        <v>712184.61505704734</v>
      </c>
      <c r="T26" s="45">
        <f t="shared" ref="T26:X26" si="40">T24+T25</f>
        <v>801823.26041432202</v>
      </c>
      <c r="U26" s="45">
        <f t="shared" si="40"/>
        <v>901305.37267801899</v>
      </c>
      <c r="V26" s="45">
        <f t="shared" si="40"/>
        <v>1011658.5747413433</v>
      </c>
      <c r="W26" s="45">
        <f t="shared" si="40"/>
        <v>1134015.403630377</v>
      </c>
      <c r="X26" s="45">
        <f t="shared" si="40"/>
        <v>1269623.9093061134</v>
      </c>
    </row>
    <row r="27" spans="1:252" s="2" customFormat="1" x14ac:dyDescent="0.15">
      <c r="A27" s="3" t="s">
        <v>18</v>
      </c>
      <c r="B27" s="24">
        <v>2266</v>
      </c>
      <c r="C27" s="24">
        <v>3718</v>
      </c>
      <c r="D27" s="24">
        <v>5125</v>
      </c>
      <c r="E27" s="24">
        <f>SUM('Reports RMB'!B17:E17)</f>
        <v>7108</v>
      </c>
      <c r="F27" s="24">
        <f>SUM('Reports RMB'!F17:I17)</f>
        <v>10193</v>
      </c>
      <c r="G27" s="24">
        <f>SUM('Reports RMB'!J17:M17)</f>
        <v>15744</v>
      </c>
      <c r="H27" s="24">
        <f>SUM('Reports RMB'!N17:Q17)</f>
        <v>14482</v>
      </c>
      <c r="I27" s="24">
        <f>SUM('Reports RMB'!R17:U17)</f>
        <v>13512</v>
      </c>
      <c r="J27" s="24">
        <f>SUM('Reports RMB'!V17:Y17)</f>
        <v>21128.584793309339</v>
      </c>
      <c r="K27" s="45">
        <f t="shared" ref="K27:X27" si="41">K26*0.15</f>
        <v>21748.798511688587</v>
      </c>
      <c r="L27" s="45">
        <f t="shared" si="41"/>
        <v>28093.394771216048</v>
      </c>
      <c r="M27" s="45">
        <f t="shared" si="41"/>
        <v>36310.938818497729</v>
      </c>
      <c r="N27" s="45">
        <f t="shared" si="41"/>
        <v>46968.252873468438</v>
      </c>
      <c r="O27" s="45">
        <f t="shared" si="41"/>
        <v>55596.733874182697</v>
      </c>
      <c r="P27" s="45">
        <f t="shared" si="41"/>
        <v>65651.920144388889</v>
      </c>
      <c r="Q27" s="45">
        <f t="shared" si="41"/>
        <v>77360.620636260355</v>
      </c>
      <c r="R27" s="45">
        <f t="shared" si="41"/>
        <v>90984.938478418175</v>
      </c>
      <c r="S27" s="45">
        <f t="shared" si="41"/>
        <v>106827.6922585571</v>
      </c>
      <c r="T27" s="45">
        <f t="shared" si="41"/>
        <v>120273.48906214829</v>
      </c>
      <c r="U27" s="45">
        <f t="shared" si="41"/>
        <v>135195.80590170284</v>
      </c>
      <c r="V27" s="45">
        <f t="shared" si="41"/>
        <v>151748.78621120148</v>
      </c>
      <c r="W27" s="45">
        <f t="shared" si="41"/>
        <v>170102.31054455656</v>
      </c>
      <c r="X27" s="45">
        <f t="shared" si="41"/>
        <v>190443.58639591699</v>
      </c>
    </row>
    <row r="28" spans="1:252" s="2" customFormat="1" x14ac:dyDescent="0.15">
      <c r="A28" s="2" t="s">
        <v>54</v>
      </c>
      <c r="B28" s="27">
        <f t="shared" ref="B28" si="42">B26-B27</f>
        <v>12786</v>
      </c>
      <c r="C28" s="27">
        <f t="shared" ref="C28:D28" si="43">C26-C27</f>
        <v>15563</v>
      </c>
      <c r="D28" s="27">
        <f t="shared" si="43"/>
        <v>23878</v>
      </c>
      <c r="E28" s="27">
        <f t="shared" ref="E28:I28" si="44">E26-E27</f>
        <v>29108</v>
      </c>
      <c r="F28" s="27">
        <f t="shared" si="44"/>
        <v>41447</v>
      </c>
      <c r="G28" s="27">
        <f t="shared" si="44"/>
        <v>72438</v>
      </c>
      <c r="H28" s="27">
        <f>H26-H27</f>
        <v>79984</v>
      </c>
      <c r="I28" s="27">
        <f t="shared" si="44"/>
        <v>95888</v>
      </c>
      <c r="J28" s="27">
        <f>J26-J27</f>
        <v>125298.3651030566</v>
      </c>
      <c r="K28" s="27">
        <f t="shared" ref="K28:S28" si="45">K26-K27</f>
        <v>123243.19156623534</v>
      </c>
      <c r="L28" s="27">
        <f t="shared" si="45"/>
        <v>159195.90370355759</v>
      </c>
      <c r="M28" s="27">
        <f t="shared" si="45"/>
        <v>205761.98663815382</v>
      </c>
      <c r="N28" s="27">
        <f t="shared" si="45"/>
        <v>266153.43294965447</v>
      </c>
      <c r="O28" s="27">
        <f t="shared" si="45"/>
        <v>315048.15862036863</v>
      </c>
      <c r="P28" s="27">
        <f t="shared" si="45"/>
        <v>372027.54748487042</v>
      </c>
      <c r="Q28" s="27">
        <f t="shared" si="45"/>
        <v>438376.85027214204</v>
      </c>
      <c r="R28" s="27">
        <f t="shared" si="45"/>
        <v>515581.31804436969</v>
      </c>
      <c r="S28" s="27">
        <f t="shared" si="45"/>
        <v>605356.92279849027</v>
      </c>
      <c r="T28" s="27">
        <f t="shared" ref="T28:X28" si="46">T26-T27</f>
        <v>681549.77135217376</v>
      </c>
      <c r="U28" s="27">
        <f t="shared" si="46"/>
        <v>766109.56677631615</v>
      </c>
      <c r="V28" s="27">
        <f t="shared" si="46"/>
        <v>859909.78853014181</v>
      </c>
      <c r="W28" s="27">
        <f t="shared" si="46"/>
        <v>963913.09308582044</v>
      </c>
      <c r="X28" s="27">
        <f t="shared" si="46"/>
        <v>1079180.3229101964</v>
      </c>
      <c r="Y28" s="15">
        <f>X28*($F$2+1)</f>
        <v>1068388.5196810944</v>
      </c>
      <c r="Z28" s="15">
        <f t="shared" ref="Z28:CJ28" si="47">Y28*($F$2+1)</f>
        <v>1057704.6344842834</v>
      </c>
      <c r="AA28" s="15">
        <f t="shared" si="47"/>
        <v>1047127.5881394405</v>
      </c>
      <c r="AB28" s="15">
        <f t="shared" si="47"/>
        <v>1036656.3122580461</v>
      </c>
      <c r="AC28" s="15">
        <f t="shared" si="47"/>
        <v>1026289.7491354656</v>
      </c>
      <c r="AD28" s="15">
        <f t="shared" si="47"/>
        <v>1016026.851644111</v>
      </c>
      <c r="AE28" s="15">
        <f t="shared" si="47"/>
        <v>1005866.5831276699</v>
      </c>
      <c r="AF28" s="15">
        <f t="shared" si="47"/>
        <v>995807.91729639319</v>
      </c>
      <c r="AG28" s="15">
        <f t="shared" si="47"/>
        <v>985849.83812342922</v>
      </c>
      <c r="AH28" s="15">
        <f t="shared" si="47"/>
        <v>975991.33974219486</v>
      </c>
      <c r="AI28" s="15">
        <f t="shared" si="47"/>
        <v>966231.42634477292</v>
      </c>
      <c r="AJ28" s="15">
        <f t="shared" si="47"/>
        <v>956569.11208132515</v>
      </c>
      <c r="AK28" s="15">
        <f t="shared" si="47"/>
        <v>947003.4209605119</v>
      </c>
      <c r="AL28" s="15">
        <f t="shared" si="47"/>
        <v>937533.38675090682</v>
      </c>
      <c r="AM28" s="15">
        <f t="shared" si="47"/>
        <v>928158.05288339779</v>
      </c>
      <c r="AN28" s="15">
        <f t="shared" si="47"/>
        <v>918876.47235456377</v>
      </c>
      <c r="AO28" s="15">
        <f t="shared" si="47"/>
        <v>909687.70763101813</v>
      </c>
      <c r="AP28" s="15">
        <f t="shared" si="47"/>
        <v>900590.83055470791</v>
      </c>
      <c r="AQ28" s="15">
        <f t="shared" si="47"/>
        <v>891584.92224916082</v>
      </c>
      <c r="AR28" s="15">
        <f t="shared" si="47"/>
        <v>882669.07302666921</v>
      </c>
      <c r="AS28" s="15">
        <f t="shared" si="47"/>
        <v>873842.38229640247</v>
      </c>
      <c r="AT28" s="15">
        <f t="shared" si="47"/>
        <v>865103.9584734384</v>
      </c>
      <c r="AU28" s="15">
        <f t="shared" si="47"/>
        <v>856452.91888870404</v>
      </c>
      <c r="AV28" s="15">
        <f t="shared" si="47"/>
        <v>847888.38969981694</v>
      </c>
      <c r="AW28" s="15">
        <f t="shared" si="47"/>
        <v>839409.50580281881</v>
      </c>
      <c r="AX28" s="15">
        <f t="shared" si="47"/>
        <v>831015.41074479057</v>
      </c>
      <c r="AY28" s="15">
        <f t="shared" si="47"/>
        <v>822705.25663734262</v>
      </c>
      <c r="AZ28" s="15">
        <f t="shared" si="47"/>
        <v>814478.20407096914</v>
      </c>
      <c r="BA28" s="15">
        <f t="shared" si="47"/>
        <v>806333.42203025939</v>
      </c>
      <c r="BB28" s="15">
        <f t="shared" si="47"/>
        <v>798270.08780995675</v>
      </c>
      <c r="BC28" s="15">
        <f t="shared" si="47"/>
        <v>790287.38693185721</v>
      </c>
      <c r="BD28" s="15">
        <f t="shared" si="47"/>
        <v>782384.51306253858</v>
      </c>
      <c r="BE28" s="15">
        <f t="shared" si="47"/>
        <v>774560.66793191317</v>
      </c>
      <c r="BF28" s="15">
        <f t="shared" si="47"/>
        <v>766815.06125259399</v>
      </c>
      <c r="BG28" s="15">
        <f t="shared" si="47"/>
        <v>759146.910640068</v>
      </c>
      <c r="BH28" s="15">
        <f t="shared" si="47"/>
        <v>751555.44153366727</v>
      </c>
      <c r="BI28" s="15">
        <f t="shared" si="47"/>
        <v>744039.88711833057</v>
      </c>
      <c r="BJ28" s="15">
        <f t="shared" si="47"/>
        <v>736599.4882471473</v>
      </c>
      <c r="BK28" s="15">
        <f t="shared" si="47"/>
        <v>729233.49336467579</v>
      </c>
      <c r="BL28" s="15">
        <f t="shared" si="47"/>
        <v>721941.15843102906</v>
      </c>
      <c r="BM28" s="15">
        <f t="shared" si="47"/>
        <v>714721.74684671871</v>
      </c>
      <c r="BN28" s="15">
        <f t="shared" si="47"/>
        <v>707574.52937825152</v>
      </c>
      <c r="BO28" s="15">
        <f t="shared" si="47"/>
        <v>700498.78408446896</v>
      </c>
      <c r="BP28" s="15">
        <f t="shared" si="47"/>
        <v>693493.7962436243</v>
      </c>
      <c r="BQ28" s="15">
        <f t="shared" si="47"/>
        <v>686558.85828118806</v>
      </c>
      <c r="BR28" s="15">
        <f t="shared" si="47"/>
        <v>679693.26969837619</v>
      </c>
      <c r="BS28" s="15">
        <f t="shared" si="47"/>
        <v>672896.33700139238</v>
      </c>
      <c r="BT28" s="15">
        <f t="shared" si="47"/>
        <v>666167.3736313784</v>
      </c>
      <c r="BU28" s="15">
        <f t="shared" si="47"/>
        <v>659505.69989506458</v>
      </c>
      <c r="BV28" s="15">
        <f t="shared" si="47"/>
        <v>652910.64289611392</v>
      </c>
      <c r="BW28" s="15">
        <f t="shared" si="47"/>
        <v>646381.53646715276</v>
      </c>
      <c r="BX28" s="15">
        <f t="shared" si="47"/>
        <v>639917.72110248124</v>
      </c>
      <c r="BY28" s="15">
        <f t="shared" si="47"/>
        <v>633518.54389145644</v>
      </c>
      <c r="BZ28" s="15">
        <f t="shared" si="47"/>
        <v>627183.35845254187</v>
      </c>
      <c r="CA28" s="15">
        <f t="shared" si="47"/>
        <v>620911.52486801648</v>
      </c>
      <c r="CB28" s="15">
        <f t="shared" si="47"/>
        <v>614702.40961933637</v>
      </c>
      <c r="CC28" s="15">
        <f t="shared" si="47"/>
        <v>608555.38552314299</v>
      </c>
      <c r="CD28" s="15">
        <f t="shared" si="47"/>
        <v>602469.83166791161</v>
      </c>
      <c r="CE28" s="15">
        <f t="shared" si="47"/>
        <v>596445.13335123251</v>
      </c>
      <c r="CF28" s="15">
        <f t="shared" si="47"/>
        <v>590480.68201772019</v>
      </c>
      <c r="CG28" s="15">
        <f t="shared" si="47"/>
        <v>584575.87519754295</v>
      </c>
      <c r="CH28" s="15">
        <f t="shared" si="47"/>
        <v>578730.11644556746</v>
      </c>
      <c r="CI28" s="15">
        <f t="shared" si="47"/>
        <v>572942.81528111175</v>
      </c>
      <c r="CJ28" s="15">
        <f t="shared" si="47"/>
        <v>567213.38712830062</v>
      </c>
      <c r="CK28" s="15">
        <f t="shared" ref="CK28:EV28" si="48">CJ28*($F$2+1)</f>
        <v>561541.25325701758</v>
      </c>
      <c r="CL28" s="15">
        <f t="shared" si="48"/>
        <v>555925.84072444739</v>
      </c>
      <c r="CM28" s="15">
        <f t="shared" si="48"/>
        <v>550366.58231720293</v>
      </c>
      <c r="CN28" s="15">
        <f t="shared" si="48"/>
        <v>544862.91649403085</v>
      </c>
      <c r="CO28" s="15">
        <f t="shared" si="48"/>
        <v>539414.28732909053</v>
      </c>
      <c r="CP28" s="15">
        <f t="shared" si="48"/>
        <v>534020.1444557996</v>
      </c>
      <c r="CQ28" s="15">
        <f t="shared" si="48"/>
        <v>528679.94301124162</v>
      </c>
      <c r="CR28" s="15">
        <f t="shared" si="48"/>
        <v>523393.1435811292</v>
      </c>
      <c r="CS28" s="15">
        <f t="shared" si="48"/>
        <v>518159.21214531793</v>
      </c>
      <c r="CT28" s="15">
        <f t="shared" si="48"/>
        <v>512977.62002386473</v>
      </c>
      <c r="CU28" s="15">
        <f t="shared" si="48"/>
        <v>507847.84382362606</v>
      </c>
      <c r="CV28" s="15">
        <f t="shared" si="48"/>
        <v>502769.36538538977</v>
      </c>
      <c r="CW28" s="15">
        <f t="shared" si="48"/>
        <v>497741.67173153587</v>
      </c>
      <c r="CX28" s="15">
        <f t="shared" si="48"/>
        <v>492764.25501422049</v>
      </c>
      <c r="CY28" s="15">
        <f t="shared" si="48"/>
        <v>487836.61246407829</v>
      </c>
      <c r="CZ28" s="15">
        <f t="shared" si="48"/>
        <v>482958.24633943749</v>
      </c>
      <c r="DA28" s="15">
        <f t="shared" si="48"/>
        <v>478128.66387604311</v>
      </c>
      <c r="DB28" s="15">
        <f t="shared" si="48"/>
        <v>473347.37723728269</v>
      </c>
      <c r="DC28" s="15">
        <f t="shared" si="48"/>
        <v>468613.90346490988</v>
      </c>
      <c r="DD28" s="15">
        <f t="shared" si="48"/>
        <v>463927.76443026075</v>
      </c>
      <c r="DE28" s="15">
        <f t="shared" si="48"/>
        <v>459288.48678595811</v>
      </c>
      <c r="DF28" s="15">
        <f t="shared" si="48"/>
        <v>454695.60191809852</v>
      </c>
      <c r="DG28" s="15">
        <f t="shared" si="48"/>
        <v>450148.64589891752</v>
      </c>
      <c r="DH28" s="15">
        <f t="shared" si="48"/>
        <v>445647.15943992836</v>
      </c>
      <c r="DI28" s="15">
        <f t="shared" si="48"/>
        <v>441190.68784552906</v>
      </c>
      <c r="DJ28" s="15">
        <f t="shared" si="48"/>
        <v>436778.78096707375</v>
      </c>
      <c r="DK28" s="15">
        <f t="shared" si="48"/>
        <v>432410.99315740302</v>
      </c>
      <c r="DL28" s="15">
        <f t="shared" si="48"/>
        <v>428086.88322582899</v>
      </c>
      <c r="DM28" s="15">
        <f t="shared" si="48"/>
        <v>423806.01439357072</v>
      </c>
      <c r="DN28" s="15">
        <f t="shared" si="48"/>
        <v>419567.95424963499</v>
      </c>
      <c r="DO28" s="15">
        <f t="shared" si="48"/>
        <v>415372.27470713865</v>
      </c>
      <c r="DP28" s="15">
        <f t="shared" si="48"/>
        <v>411218.55196006724</v>
      </c>
      <c r="DQ28" s="15">
        <f t="shared" si="48"/>
        <v>407106.36644046655</v>
      </c>
      <c r="DR28" s="15">
        <f t="shared" si="48"/>
        <v>403035.30277606187</v>
      </c>
      <c r="DS28" s="15">
        <f t="shared" si="48"/>
        <v>399004.94974830124</v>
      </c>
      <c r="DT28" s="15">
        <f t="shared" si="48"/>
        <v>395014.90025081823</v>
      </c>
      <c r="DU28" s="15">
        <f t="shared" si="48"/>
        <v>391064.75124831003</v>
      </c>
      <c r="DV28" s="15">
        <f t="shared" si="48"/>
        <v>387154.10373582691</v>
      </c>
      <c r="DW28" s="15">
        <f t="shared" si="48"/>
        <v>383282.56269846862</v>
      </c>
      <c r="DX28" s="15">
        <f t="shared" si="48"/>
        <v>379449.73707148392</v>
      </c>
      <c r="DY28" s="15">
        <f t="shared" si="48"/>
        <v>375655.23970076907</v>
      </c>
      <c r="DZ28" s="15">
        <f t="shared" si="48"/>
        <v>371898.68730376137</v>
      </c>
      <c r="EA28" s="15">
        <f t="shared" si="48"/>
        <v>368179.70043072378</v>
      </c>
      <c r="EB28" s="15">
        <f t="shared" si="48"/>
        <v>364497.90342641657</v>
      </c>
      <c r="EC28" s="15">
        <f t="shared" si="48"/>
        <v>360852.9243921524</v>
      </c>
      <c r="ED28" s="15">
        <f t="shared" si="48"/>
        <v>357244.39514823089</v>
      </c>
      <c r="EE28" s="15">
        <f t="shared" si="48"/>
        <v>353671.95119674859</v>
      </c>
      <c r="EF28" s="15">
        <f t="shared" si="48"/>
        <v>350135.23168478109</v>
      </c>
      <c r="EG28" s="15">
        <f t="shared" si="48"/>
        <v>346633.87936793326</v>
      </c>
      <c r="EH28" s="15">
        <f t="shared" si="48"/>
        <v>343167.54057425394</v>
      </c>
      <c r="EI28" s="15">
        <f t="shared" si="48"/>
        <v>339735.8651685114</v>
      </c>
      <c r="EJ28" s="15">
        <f t="shared" si="48"/>
        <v>336338.50651682628</v>
      </c>
      <c r="EK28" s="15">
        <f t="shared" si="48"/>
        <v>332975.12145165802</v>
      </c>
      <c r="EL28" s="15">
        <f t="shared" si="48"/>
        <v>329645.37023714144</v>
      </c>
      <c r="EM28" s="15">
        <f t="shared" si="48"/>
        <v>326348.91653477005</v>
      </c>
      <c r="EN28" s="15">
        <f t="shared" si="48"/>
        <v>323085.42736942234</v>
      </c>
      <c r="EO28" s="15">
        <f t="shared" si="48"/>
        <v>319854.57309572812</v>
      </c>
      <c r="EP28" s="15">
        <f t="shared" si="48"/>
        <v>316656.02736477082</v>
      </c>
      <c r="EQ28" s="15">
        <f t="shared" si="48"/>
        <v>313489.46709112311</v>
      </c>
      <c r="ER28" s="15">
        <f t="shared" si="48"/>
        <v>310354.57242021186</v>
      </c>
      <c r="ES28" s="15">
        <f t="shared" si="48"/>
        <v>307251.02669600974</v>
      </c>
      <c r="ET28" s="15">
        <f t="shared" si="48"/>
        <v>304178.51642904966</v>
      </c>
      <c r="EU28" s="15">
        <f t="shared" si="48"/>
        <v>301136.73126475915</v>
      </c>
      <c r="EV28" s="15">
        <f t="shared" si="48"/>
        <v>298125.36395211157</v>
      </c>
      <c r="EW28" s="15">
        <f t="shared" ref="EW28:HH28" si="49">EV28*($F$2+1)</f>
        <v>295144.11031259043</v>
      </c>
      <c r="EX28" s="15">
        <f t="shared" si="49"/>
        <v>292192.66920946451</v>
      </c>
      <c r="EY28" s="15">
        <f t="shared" si="49"/>
        <v>289270.74251736986</v>
      </c>
      <c r="EZ28" s="15">
        <f t="shared" si="49"/>
        <v>286378.03509219614</v>
      </c>
      <c r="FA28" s="15">
        <f t="shared" si="49"/>
        <v>283514.25474127417</v>
      </c>
      <c r="FB28" s="15">
        <f t="shared" si="49"/>
        <v>280679.11219386145</v>
      </c>
      <c r="FC28" s="15">
        <f t="shared" si="49"/>
        <v>277872.32107192284</v>
      </c>
      <c r="FD28" s="15">
        <f t="shared" si="49"/>
        <v>275093.5978612036</v>
      </c>
      <c r="FE28" s="15">
        <f t="shared" si="49"/>
        <v>272342.66188259155</v>
      </c>
      <c r="FF28" s="15">
        <f t="shared" si="49"/>
        <v>269619.23526376561</v>
      </c>
      <c r="FG28" s="15">
        <f t="shared" si="49"/>
        <v>266923.04291112797</v>
      </c>
      <c r="FH28" s="15">
        <f t="shared" si="49"/>
        <v>264253.81248201668</v>
      </c>
      <c r="FI28" s="15">
        <f t="shared" si="49"/>
        <v>261611.27435719653</v>
      </c>
      <c r="FJ28" s="15">
        <f t="shared" si="49"/>
        <v>258995.16161362457</v>
      </c>
      <c r="FK28" s="15">
        <f t="shared" si="49"/>
        <v>256405.20999748833</v>
      </c>
      <c r="FL28" s="15">
        <f t="shared" si="49"/>
        <v>253841.15789751345</v>
      </c>
      <c r="FM28" s="15">
        <f t="shared" si="49"/>
        <v>251302.74631853832</v>
      </c>
      <c r="FN28" s="15">
        <f t="shared" si="49"/>
        <v>248789.71885535293</v>
      </c>
      <c r="FO28" s="15">
        <f t="shared" si="49"/>
        <v>246301.8216667994</v>
      </c>
      <c r="FP28" s="15">
        <f t="shared" si="49"/>
        <v>243838.80345013141</v>
      </c>
      <c r="FQ28" s="15">
        <f t="shared" si="49"/>
        <v>241400.41541563009</v>
      </c>
      <c r="FR28" s="15">
        <f t="shared" si="49"/>
        <v>238986.41126147378</v>
      </c>
      <c r="FS28" s="15">
        <f t="shared" si="49"/>
        <v>236596.54714885904</v>
      </c>
      <c r="FT28" s="15">
        <f t="shared" si="49"/>
        <v>234230.58167737044</v>
      </c>
      <c r="FU28" s="15">
        <f t="shared" si="49"/>
        <v>231888.27586059674</v>
      </c>
      <c r="FV28" s="15">
        <f t="shared" si="49"/>
        <v>229569.39310199078</v>
      </c>
      <c r="FW28" s="15">
        <f t="shared" si="49"/>
        <v>227273.69917097085</v>
      </c>
      <c r="FX28" s="15">
        <f t="shared" si="49"/>
        <v>225000.96217926114</v>
      </c>
      <c r="FY28" s="15">
        <f t="shared" si="49"/>
        <v>222750.95255746852</v>
      </c>
      <c r="FZ28" s="15">
        <f t="shared" si="49"/>
        <v>220523.44303189384</v>
      </c>
      <c r="GA28" s="15">
        <f t="shared" si="49"/>
        <v>218318.20860157491</v>
      </c>
      <c r="GB28" s="15">
        <f t="shared" si="49"/>
        <v>216135.02651555915</v>
      </c>
      <c r="GC28" s="15">
        <f t="shared" si="49"/>
        <v>213973.67625040354</v>
      </c>
      <c r="GD28" s="15">
        <f t="shared" si="49"/>
        <v>211833.93948789951</v>
      </c>
      <c r="GE28" s="15">
        <f t="shared" si="49"/>
        <v>209715.6000930205</v>
      </c>
      <c r="GF28" s="15">
        <f t="shared" si="49"/>
        <v>207618.4440920903</v>
      </c>
      <c r="GG28" s="15">
        <f t="shared" si="49"/>
        <v>205542.25965116938</v>
      </c>
      <c r="GH28" s="15">
        <f t="shared" si="49"/>
        <v>203486.83705465769</v>
      </c>
      <c r="GI28" s="15">
        <f t="shared" si="49"/>
        <v>201451.96868411111</v>
      </c>
      <c r="GJ28" s="15">
        <f t="shared" si="49"/>
        <v>199437.44899727</v>
      </c>
      <c r="GK28" s="15">
        <f t="shared" si="49"/>
        <v>197443.07450729731</v>
      </c>
      <c r="GL28" s="15">
        <f t="shared" si="49"/>
        <v>195468.64376222432</v>
      </c>
      <c r="GM28" s="15">
        <f t="shared" si="49"/>
        <v>193513.95732460209</v>
      </c>
      <c r="GN28" s="15">
        <f t="shared" si="49"/>
        <v>191578.81775135605</v>
      </c>
      <c r="GO28" s="15">
        <f t="shared" si="49"/>
        <v>189663.02957384248</v>
      </c>
      <c r="GP28" s="15">
        <f t="shared" si="49"/>
        <v>187766.39927810404</v>
      </c>
      <c r="GQ28" s="15">
        <f t="shared" si="49"/>
        <v>185888.735285323</v>
      </c>
      <c r="GR28" s="15">
        <f t="shared" si="49"/>
        <v>184029.84793246977</v>
      </c>
      <c r="GS28" s="15">
        <f t="shared" si="49"/>
        <v>182189.54945314507</v>
      </c>
      <c r="GT28" s="15">
        <f t="shared" si="49"/>
        <v>180367.65395861361</v>
      </c>
      <c r="GU28" s="15">
        <f t="shared" si="49"/>
        <v>178563.97741902748</v>
      </c>
      <c r="GV28" s="15">
        <f t="shared" si="49"/>
        <v>176778.33764483721</v>
      </c>
      <c r="GW28" s="15">
        <f t="shared" si="49"/>
        <v>175010.55426838883</v>
      </c>
      <c r="GX28" s="15">
        <f t="shared" si="49"/>
        <v>173260.44872570495</v>
      </c>
      <c r="GY28" s="15">
        <f t="shared" si="49"/>
        <v>171527.8442384479</v>
      </c>
      <c r="GZ28" s="15">
        <f t="shared" si="49"/>
        <v>169812.56579606343</v>
      </c>
      <c r="HA28" s="15">
        <f t="shared" si="49"/>
        <v>168114.4401381028</v>
      </c>
      <c r="HB28" s="15">
        <f t="shared" si="49"/>
        <v>166433.29573672178</v>
      </c>
      <c r="HC28" s="15">
        <f t="shared" si="49"/>
        <v>164768.96277935457</v>
      </c>
      <c r="HD28" s="15">
        <f t="shared" si="49"/>
        <v>163121.27315156101</v>
      </c>
      <c r="HE28" s="15">
        <f t="shared" si="49"/>
        <v>161490.0604200454</v>
      </c>
      <c r="HF28" s="15">
        <f t="shared" si="49"/>
        <v>159875.15981584493</v>
      </c>
      <c r="HG28" s="15">
        <f t="shared" si="49"/>
        <v>158276.40821768649</v>
      </c>
      <c r="HH28" s="15">
        <f t="shared" si="49"/>
        <v>156693.64413550962</v>
      </c>
      <c r="HI28" s="15">
        <f t="shared" ref="HI28:IR28" si="50">HH28*($F$2+1)</f>
        <v>155126.70769415452</v>
      </c>
      <c r="HJ28" s="15">
        <f t="shared" si="50"/>
        <v>153575.44061721297</v>
      </c>
      <c r="HK28" s="15">
        <f t="shared" si="50"/>
        <v>152039.68621104083</v>
      </c>
      <c r="HL28" s="15">
        <f t="shared" si="50"/>
        <v>150519.28934893041</v>
      </c>
      <c r="HM28" s="15">
        <f t="shared" si="50"/>
        <v>149014.09645544112</v>
      </c>
      <c r="HN28" s="15">
        <f t="shared" si="50"/>
        <v>147523.9554908867</v>
      </c>
      <c r="HO28" s="15">
        <f t="shared" si="50"/>
        <v>146048.71593597785</v>
      </c>
      <c r="HP28" s="15">
        <f t="shared" si="50"/>
        <v>144588.22877661805</v>
      </c>
      <c r="HQ28" s="15">
        <f t="shared" si="50"/>
        <v>143142.34648885188</v>
      </c>
      <c r="HR28" s="15">
        <f t="shared" si="50"/>
        <v>141710.92302396335</v>
      </c>
      <c r="HS28" s="15">
        <f t="shared" si="50"/>
        <v>140293.8137937237</v>
      </c>
      <c r="HT28" s="15">
        <f t="shared" si="50"/>
        <v>138890.87565578645</v>
      </c>
      <c r="HU28" s="15">
        <f t="shared" si="50"/>
        <v>137501.9668992286</v>
      </c>
      <c r="HV28" s="15">
        <f t="shared" si="50"/>
        <v>136126.94723023631</v>
      </c>
      <c r="HW28" s="15">
        <f t="shared" si="50"/>
        <v>134765.67775793394</v>
      </c>
      <c r="HX28" s="15">
        <f t="shared" si="50"/>
        <v>133418.0209803546</v>
      </c>
      <c r="HY28" s="15">
        <f t="shared" si="50"/>
        <v>132083.84077055106</v>
      </c>
      <c r="HZ28" s="15">
        <f t="shared" si="50"/>
        <v>130763.00236284555</v>
      </c>
      <c r="IA28" s="15">
        <f t="shared" si="50"/>
        <v>129455.37233921709</v>
      </c>
      <c r="IB28" s="15">
        <f t="shared" si="50"/>
        <v>128160.81861582492</v>
      </c>
      <c r="IC28" s="15">
        <f t="shared" si="50"/>
        <v>126879.21042966667</v>
      </c>
      <c r="ID28" s="15">
        <f t="shared" si="50"/>
        <v>125610.41832537</v>
      </c>
      <c r="IE28" s="15">
        <f t="shared" si="50"/>
        <v>124354.3141421163</v>
      </c>
      <c r="IF28" s="15">
        <f t="shared" si="50"/>
        <v>123110.77100069514</v>
      </c>
      <c r="IG28" s="15">
        <f t="shared" si="50"/>
        <v>121879.66329068819</v>
      </c>
      <c r="IH28" s="15">
        <f t="shared" si="50"/>
        <v>120660.8666577813</v>
      </c>
      <c r="II28" s="15">
        <f t="shared" si="50"/>
        <v>119454.25799120349</v>
      </c>
      <c r="IJ28" s="15">
        <f t="shared" si="50"/>
        <v>118259.71541129144</v>
      </c>
      <c r="IK28" s="15">
        <f t="shared" si="50"/>
        <v>117077.11825717853</v>
      </c>
      <c r="IL28" s="15">
        <f t="shared" si="50"/>
        <v>115906.34707460675</v>
      </c>
      <c r="IM28" s="15">
        <f t="shared" si="50"/>
        <v>114747.28360386068</v>
      </c>
      <c r="IN28" s="15">
        <f t="shared" si="50"/>
        <v>113599.81076782207</v>
      </c>
      <c r="IO28" s="15">
        <f t="shared" si="50"/>
        <v>112463.81266014384</v>
      </c>
      <c r="IP28" s="15">
        <f t="shared" si="50"/>
        <v>111339.17453354241</v>
      </c>
      <c r="IQ28" s="15">
        <f t="shared" si="50"/>
        <v>110225.78278820698</v>
      </c>
      <c r="IR28" s="15">
        <f t="shared" si="50"/>
        <v>109123.52496032491</v>
      </c>
    </row>
    <row r="29" spans="1:252" s="2" customFormat="1" x14ac:dyDescent="0.15">
      <c r="A29" s="3" t="s">
        <v>19</v>
      </c>
      <c r="B29" s="34">
        <f t="shared" ref="B29" si="51">B28/B30</f>
        <v>1.3723301491896533</v>
      </c>
      <c r="C29" s="34">
        <f t="shared" ref="C29:D29" si="52">C28/C30</f>
        <v>1.6660957070977411</v>
      </c>
      <c r="D29" s="34">
        <f t="shared" si="52"/>
        <v>2.5521590423257803</v>
      </c>
      <c r="E29" s="34">
        <f t="shared" ref="E29:I29" si="53">E28/E30</f>
        <v>3.1245169600686991</v>
      </c>
      <c r="F29" s="34">
        <f t="shared" si="53"/>
        <v>4.3655993258900354</v>
      </c>
      <c r="G29" s="34">
        <f t="shared" si="53"/>
        <v>7.6971628944851771</v>
      </c>
      <c r="H29" s="34">
        <f t="shared" si="53"/>
        <v>8.3595317725752505</v>
      </c>
      <c r="I29" s="34">
        <f t="shared" si="53"/>
        <v>9.9852129542851191</v>
      </c>
      <c r="J29" s="48">
        <f t="shared" ref="J29:S29" si="54">J28/J30</f>
        <v>13.047835582948723</v>
      </c>
      <c r="K29" s="48">
        <f t="shared" si="54"/>
        <v>12.83382188547697</v>
      </c>
      <c r="L29" s="48">
        <f t="shared" si="54"/>
        <v>16.577726096382129</v>
      </c>
      <c r="M29" s="48">
        <f t="shared" si="54"/>
        <v>21.426844385937084</v>
      </c>
      <c r="N29" s="48">
        <f t="shared" si="54"/>
        <v>27.715654790133758</v>
      </c>
      <c r="O29" s="48">
        <f t="shared" si="54"/>
        <v>32.807264252876045</v>
      </c>
      <c r="P29" s="48">
        <f t="shared" si="54"/>
        <v>38.740763041223623</v>
      </c>
      <c r="Q29" s="48">
        <f t="shared" si="54"/>
        <v>45.649989614926795</v>
      </c>
      <c r="R29" s="48">
        <f t="shared" si="54"/>
        <v>53.689609293384329</v>
      </c>
      <c r="S29" s="48">
        <f t="shared" si="54"/>
        <v>63.038313318597339</v>
      </c>
      <c r="T29" s="48">
        <f t="shared" ref="T29:X29" si="55">T28/T30</f>
        <v>70.972588915148776</v>
      </c>
      <c r="U29" s="48">
        <f t="shared" si="55"/>
        <v>79.778149200907649</v>
      </c>
      <c r="V29" s="48">
        <f t="shared" si="55"/>
        <v>89.545953194849716</v>
      </c>
      <c r="W29" s="48">
        <f t="shared" si="55"/>
        <v>100.37624628614188</v>
      </c>
      <c r="X29" s="48">
        <f t="shared" si="55"/>
        <v>112.37949837656944</v>
      </c>
    </row>
    <row r="30" spans="1:252" s="2" customFormat="1" x14ac:dyDescent="0.15">
      <c r="A30" s="3" t="s">
        <v>0</v>
      </c>
      <c r="B30" s="24">
        <v>9317</v>
      </c>
      <c r="C30" s="24">
        <v>9341</v>
      </c>
      <c r="D30" s="24">
        <v>9356</v>
      </c>
      <c r="E30" s="24">
        <f>'Reports RMB'!E20</f>
        <v>9316</v>
      </c>
      <c r="F30" s="24">
        <f>'Reports RMB'!I20</f>
        <v>9494</v>
      </c>
      <c r="G30" s="24">
        <f>'Reports RMB'!M20</f>
        <v>9411</v>
      </c>
      <c r="H30" s="45">
        <f>'Reports RMB'!Q20</f>
        <v>9568</v>
      </c>
      <c r="I30" s="45">
        <f>'Reports RMB'!U20</f>
        <v>9603</v>
      </c>
      <c r="J30" s="45">
        <f t="shared" ref="J30:S30" si="56">I30</f>
        <v>9603</v>
      </c>
      <c r="K30" s="45">
        <f t="shared" si="56"/>
        <v>9603</v>
      </c>
      <c r="L30" s="45">
        <f t="shared" si="56"/>
        <v>9603</v>
      </c>
      <c r="M30" s="45">
        <f t="shared" si="56"/>
        <v>9603</v>
      </c>
      <c r="N30" s="45">
        <f t="shared" si="56"/>
        <v>9603</v>
      </c>
      <c r="O30" s="45">
        <f t="shared" si="56"/>
        <v>9603</v>
      </c>
      <c r="P30" s="45">
        <f t="shared" si="56"/>
        <v>9603</v>
      </c>
      <c r="Q30" s="45">
        <f t="shared" si="56"/>
        <v>9603</v>
      </c>
      <c r="R30" s="45">
        <f t="shared" si="56"/>
        <v>9603</v>
      </c>
      <c r="S30" s="45">
        <f t="shared" si="56"/>
        <v>9603</v>
      </c>
      <c r="T30" s="45">
        <f t="shared" ref="T30" si="57">S30</f>
        <v>9603</v>
      </c>
      <c r="U30" s="45">
        <f t="shared" ref="U30" si="58">T30</f>
        <v>9603</v>
      </c>
      <c r="V30" s="45">
        <f t="shared" ref="V30" si="59">U30</f>
        <v>9603</v>
      </c>
      <c r="W30" s="45">
        <f t="shared" ref="W30" si="60">V30</f>
        <v>9603</v>
      </c>
      <c r="X30" s="45">
        <f t="shared" ref="X30" si="61">W30</f>
        <v>9603</v>
      </c>
    </row>
    <row r="31" spans="1:252" s="41" customFormat="1" x14ac:dyDescent="0.15">
      <c r="A31" s="6"/>
      <c r="B31" s="42"/>
      <c r="C31" s="42"/>
      <c r="D31" s="42"/>
      <c r="E31" s="42"/>
      <c r="F31" s="42"/>
      <c r="G31" s="42"/>
      <c r="H31" s="42"/>
      <c r="I31" s="42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52" s="2" customFormat="1" x14ac:dyDescent="0.15">
      <c r="A32" s="2" t="s">
        <v>9</v>
      </c>
      <c r="B32" s="42"/>
      <c r="C32" s="50">
        <f t="shared" ref="C32:X32" si="62">C18/B18-1</f>
        <v>0.37691659262296939</v>
      </c>
      <c r="D32" s="50">
        <f t="shared" si="62"/>
        <v>0.3058556844317224</v>
      </c>
      <c r="E32" s="50">
        <f t="shared" si="62"/>
        <v>0.30335014317934172</v>
      </c>
      <c r="F32" s="50">
        <f t="shared" si="62"/>
        <v>0.47709088787999576</v>
      </c>
      <c r="G32" s="50">
        <f t="shared" si="62"/>
        <v>0.56484881991338565</v>
      </c>
      <c r="H32" s="50">
        <f t="shared" si="62"/>
        <v>0.31516655450874831</v>
      </c>
      <c r="I32" s="50">
        <f t="shared" si="62"/>
        <v>0.2065757577695766</v>
      </c>
      <c r="J32" s="50">
        <f t="shared" si="62"/>
        <v>0.27487191516317711</v>
      </c>
      <c r="K32" s="50">
        <f t="shared" si="62"/>
        <v>0.24727935926173061</v>
      </c>
      <c r="L32" s="50">
        <f t="shared" si="62"/>
        <v>0.25028883071808106</v>
      </c>
      <c r="M32" s="50">
        <f t="shared" si="62"/>
        <v>0.25321824698757145</v>
      </c>
      <c r="N32" s="50">
        <f t="shared" si="62"/>
        <v>0.25605819897689575</v>
      </c>
      <c r="O32" s="50">
        <f t="shared" si="62"/>
        <v>0.14999999999999991</v>
      </c>
      <c r="P32" s="50">
        <f t="shared" si="62"/>
        <v>0.14999999999999991</v>
      </c>
      <c r="Q32" s="50">
        <f t="shared" si="62"/>
        <v>0.14999999999999991</v>
      </c>
      <c r="R32" s="50">
        <f t="shared" si="62"/>
        <v>0.14999999999999991</v>
      </c>
      <c r="S32" s="50">
        <f t="shared" si="62"/>
        <v>0.14999999999999991</v>
      </c>
      <c r="T32" s="50">
        <f t="shared" si="62"/>
        <v>0.10000000000000009</v>
      </c>
      <c r="U32" s="50">
        <f t="shared" si="62"/>
        <v>0.10000000000000009</v>
      </c>
      <c r="V32" s="50">
        <f t="shared" si="62"/>
        <v>0.10000000000000009</v>
      </c>
      <c r="W32" s="50">
        <f t="shared" si="62"/>
        <v>0.10000000000000009</v>
      </c>
      <c r="X32" s="50">
        <f t="shared" si="62"/>
        <v>0.10000000000000009</v>
      </c>
    </row>
    <row r="33" spans="1:24" x14ac:dyDescent="0.15">
      <c r="A33" s="3" t="s">
        <v>136</v>
      </c>
      <c r="B33" s="42"/>
      <c r="C33" s="51">
        <f t="shared" ref="C33:X33" si="63">C21/B21-1</f>
        <v>0.9027731373204142</v>
      </c>
      <c r="D33" s="51">
        <f t="shared" si="63"/>
        <v>0.36909569798068476</v>
      </c>
      <c r="E33" s="51">
        <f t="shared" si="63"/>
        <v>2.5137873541105638E-2</v>
      </c>
      <c r="F33" s="51">
        <f t="shared" si="63"/>
        <v>0.5183285374702864</v>
      </c>
      <c r="G33" s="51">
        <f t="shared" si="63"/>
        <v>0.45451549110085687</v>
      </c>
      <c r="H33" s="51">
        <f t="shared" si="63"/>
        <v>0.37281894402900528</v>
      </c>
      <c r="I33" s="51">
        <f t="shared" si="63"/>
        <v>-0.11707176164734046</v>
      </c>
      <c r="J33" s="51">
        <f t="shared" si="63"/>
        <v>0.57940736586277808</v>
      </c>
      <c r="K33" s="51">
        <f t="shared" si="63"/>
        <v>0.25</v>
      </c>
      <c r="L33" s="51">
        <f t="shared" si="63"/>
        <v>0.25</v>
      </c>
      <c r="M33" s="51">
        <f t="shared" si="63"/>
        <v>0.25</v>
      </c>
      <c r="N33" s="51">
        <f t="shared" si="63"/>
        <v>0.25</v>
      </c>
      <c r="O33" s="51">
        <f t="shared" si="63"/>
        <v>0.14999999999999991</v>
      </c>
      <c r="P33" s="51">
        <f t="shared" si="63"/>
        <v>0.14999999999999991</v>
      </c>
      <c r="Q33" s="51">
        <f t="shared" si="63"/>
        <v>0.14999999999999991</v>
      </c>
      <c r="R33" s="51">
        <f t="shared" si="63"/>
        <v>0.14999999999999991</v>
      </c>
      <c r="S33" s="51">
        <f t="shared" si="63"/>
        <v>0.14999999999999991</v>
      </c>
      <c r="T33" s="51">
        <f t="shared" si="63"/>
        <v>0.10000000000000009</v>
      </c>
      <c r="U33" s="51">
        <f t="shared" si="63"/>
        <v>0.10000000000000009</v>
      </c>
      <c r="V33" s="51">
        <f t="shared" si="63"/>
        <v>0.10000000000000009</v>
      </c>
      <c r="W33" s="51">
        <f t="shared" si="63"/>
        <v>0.10000000000000009</v>
      </c>
      <c r="X33" s="51">
        <f t="shared" si="63"/>
        <v>0.10000000000000009</v>
      </c>
    </row>
    <row r="34" spans="1:24" x14ac:dyDescent="0.15">
      <c r="A34" s="3" t="s">
        <v>137</v>
      </c>
      <c r="B34" s="42"/>
      <c r="C34" s="51">
        <f t="shared" ref="C34:X34" si="64">C22/B22-1</f>
        <v>0.28628461043142295</v>
      </c>
      <c r="D34" s="51">
        <f t="shared" si="64"/>
        <v>0.4172006407689226</v>
      </c>
      <c r="E34" s="51">
        <f t="shared" si="64"/>
        <v>0.1886259272341928</v>
      </c>
      <c r="F34" s="51">
        <f t="shared" si="64"/>
        <v>0.3348588410104012</v>
      </c>
      <c r="G34" s="51">
        <f t="shared" si="64"/>
        <v>0.47161494278462968</v>
      </c>
      <c r="H34" s="51">
        <f t="shared" si="64"/>
        <v>0.25630086835496657</v>
      </c>
      <c r="I34" s="51">
        <f t="shared" si="64"/>
        <v>0.28717306488126781</v>
      </c>
      <c r="J34" s="51">
        <f t="shared" si="64"/>
        <v>0.26947760356247419</v>
      </c>
      <c r="K34" s="51">
        <f t="shared" si="64"/>
        <v>0.19999999999999996</v>
      </c>
      <c r="L34" s="51">
        <f t="shared" si="64"/>
        <v>0.19999999999999996</v>
      </c>
      <c r="M34" s="51">
        <f t="shared" si="64"/>
        <v>0.19999999999999996</v>
      </c>
      <c r="N34" s="51">
        <f t="shared" si="64"/>
        <v>0.19999999999999996</v>
      </c>
      <c r="O34" s="51">
        <f t="shared" si="64"/>
        <v>0.10000000000000009</v>
      </c>
      <c r="P34" s="51">
        <f t="shared" si="64"/>
        <v>0.10000000000000009</v>
      </c>
      <c r="Q34" s="51">
        <f t="shared" si="64"/>
        <v>0.10000000000000009</v>
      </c>
      <c r="R34" s="51">
        <f t="shared" si="64"/>
        <v>0.10000000000000009</v>
      </c>
      <c r="S34" s="51">
        <f t="shared" si="64"/>
        <v>0.10000000000000009</v>
      </c>
      <c r="T34" s="51">
        <f t="shared" si="64"/>
        <v>5.0000000000000044E-2</v>
      </c>
      <c r="U34" s="51">
        <f t="shared" si="64"/>
        <v>5.0000000000000044E-2</v>
      </c>
      <c r="V34" s="51">
        <f t="shared" si="64"/>
        <v>5.0000000000000044E-2</v>
      </c>
      <c r="W34" s="51">
        <f t="shared" si="64"/>
        <v>5.0000000000000044E-2</v>
      </c>
      <c r="X34" s="51">
        <f t="shared" si="64"/>
        <v>5.0000000000000044E-2</v>
      </c>
    </row>
    <row r="35" spans="1:24" x14ac:dyDescent="0.15">
      <c r="A35" s="3" t="s">
        <v>87</v>
      </c>
      <c r="B35" s="24"/>
      <c r="C35" s="51">
        <f t="shared" ref="C35:X35" si="65">C23/B23-1</f>
        <v>0.45779884736939946</v>
      </c>
      <c r="D35" s="51">
        <f t="shared" si="65"/>
        <v>0.39973219409551741</v>
      </c>
      <c r="E35" s="51">
        <f t="shared" si="65"/>
        <v>0.13055758017492702</v>
      </c>
      <c r="F35" s="51">
        <f t="shared" si="65"/>
        <v>0.39394794101055686</v>
      </c>
      <c r="G35" s="51">
        <f t="shared" si="65"/>
        <v>0.46561641855759506</v>
      </c>
      <c r="H35" s="51">
        <f t="shared" si="65"/>
        <v>0.29686606315208164</v>
      </c>
      <c r="I35" s="51">
        <f t="shared" si="65"/>
        <v>0.13819481408257928</v>
      </c>
      <c r="J35" s="51">
        <f t="shared" si="65"/>
        <v>0.35808102402394382</v>
      </c>
      <c r="K35" s="51">
        <f t="shared" si="65"/>
        <v>0.21662362322476536</v>
      </c>
      <c r="L35" s="51">
        <f t="shared" si="65"/>
        <v>0.2170796692044159</v>
      </c>
      <c r="M35" s="51">
        <f t="shared" si="65"/>
        <v>0.21754165076101839</v>
      </c>
      <c r="N35" s="51">
        <f t="shared" si="65"/>
        <v>0.21800929227970789</v>
      </c>
      <c r="O35" s="51">
        <f t="shared" si="65"/>
        <v>0.11848230181191832</v>
      </c>
      <c r="P35" s="51">
        <f t="shared" si="65"/>
        <v>0.11900311435350752</v>
      </c>
      <c r="Q35" s="51">
        <f t="shared" si="65"/>
        <v>0.11952950910164306</v>
      </c>
      <c r="R35" s="51">
        <f t="shared" si="65"/>
        <v>0.1200610482209723</v>
      </c>
      <c r="S35" s="51">
        <f t="shared" si="65"/>
        <v>0.12059727502421524</v>
      </c>
      <c r="T35" s="51">
        <f t="shared" si="65"/>
        <v>7.1137715400330315E-2</v>
      </c>
      <c r="U35" s="51">
        <f t="shared" si="65"/>
        <v>7.1707280591527978E-2</v>
      </c>
      <c r="V35" s="51">
        <f t="shared" si="65"/>
        <v>7.2280345653247258E-2</v>
      </c>
      <c r="W35" s="51">
        <f t="shared" si="65"/>
        <v>7.2856317676550431E-2</v>
      </c>
      <c r="X35" s="51">
        <f t="shared" si="65"/>
        <v>7.3434591407966598E-2</v>
      </c>
    </row>
    <row r="36" spans="1:24" x14ac:dyDescent="0.15">
      <c r="B36" s="20"/>
      <c r="C36" s="20"/>
      <c r="D36" s="20"/>
      <c r="E36" s="20"/>
      <c r="F36" s="20"/>
      <c r="G36" s="20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x14ac:dyDescent="0.15">
      <c r="A37" s="3" t="s">
        <v>20</v>
      </c>
      <c r="B37" s="29">
        <f t="shared" ref="B37:X37" si="66">B20/B18</f>
        <v>0.5851958171006767</v>
      </c>
      <c r="C37" s="29">
        <f t="shared" si="66"/>
        <v>0.54038089249962773</v>
      </c>
      <c r="D37" s="29">
        <f t="shared" si="66"/>
        <v>0.60881629963761685</v>
      </c>
      <c r="E37" s="29">
        <f t="shared" si="66"/>
        <v>0.59527721338090467</v>
      </c>
      <c r="F37" s="29">
        <f t="shared" si="66"/>
        <v>0.55614132080190604</v>
      </c>
      <c r="G37" s="29">
        <f t="shared" si="66"/>
        <v>0.49177742261103635</v>
      </c>
      <c r="H37" s="51">
        <f t="shared" si="66"/>
        <v>0.45450184525446602</v>
      </c>
      <c r="I37" s="51">
        <f t="shared" si="66"/>
        <v>0.4440442207432499</v>
      </c>
      <c r="J37" s="51">
        <f t="shared" si="66"/>
        <v>0.4440442207432499</v>
      </c>
      <c r="K37" s="51">
        <f t="shared" si="66"/>
        <v>0.4440442207432499</v>
      </c>
      <c r="L37" s="51">
        <f t="shared" si="66"/>
        <v>0.4440442207432499</v>
      </c>
      <c r="M37" s="51">
        <f t="shared" si="66"/>
        <v>0.4440442207432499</v>
      </c>
      <c r="N37" s="51">
        <f t="shared" si="66"/>
        <v>0.4440442207432499</v>
      </c>
      <c r="O37" s="51">
        <f t="shared" si="66"/>
        <v>0.44404422074324984</v>
      </c>
      <c r="P37" s="51">
        <f t="shared" si="66"/>
        <v>0.44404422074324984</v>
      </c>
      <c r="Q37" s="51">
        <f t="shared" si="66"/>
        <v>0.44404422074324984</v>
      </c>
      <c r="R37" s="51">
        <f t="shared" si="66"/>
        <v>0.44404422074324984</v>
      </c>
      <c r="S37" s="51">
        <f t="shared" si="66"/>
        <v>0.4440442207432499</v>
      </c>
      <c r="T37" s="51">
        <f t="shared" si="66"/>
        <v>0.4440442207432499</v>
      </c>
      <c r="U37" s="51">
        <f t="shared" si="66"/>
        <v>0.44404422074324984</v>
      </c>
      <c r="V37" s="51">
        <f t="shared" si="66"/>
        <v>0.44404422074324984</v>
      </c>
      <c r="W37" s="51">
        <f t="shared" si="66"/>
        <v>0.44404422074324984</v>
      </c>
      <c r="X37" s="51">
        <f t="shared" si="66"/>
        <v>0.44404422074324984</v>
      </c>
    </row>
    <row r="38" spans="1:24" x14ac:dyDescent="0.15">
      <c r="A38" s="3" t="s">
        <v>21</v>
      </c>
      <c r="B38" s="29">
        <f t="shared" ref="B38:X38" si="67">B24/B18</f>
        <v>0.34009978812111269</v>
      </c>
      <c r="C38" s="29">
        <f t="shared" si="67"/>
        <v>0.28088753578106129</v>
      </c>
      <c r="D38" s="29">
        <f t="shared" si="67"/>
        <v>0.33066825473252071</v>
      </c>
      <c r="E38" s="29">
        <f t="shared" si="67"/>
        <v>0.35400484139097632</v>
      </c>
      <c r="F38" s="29">
        <f t="shared" si="67"/>
        <v>0.32844976240308549</v>
      </c>
      <c r="G38" s="29">
        <f t="shared" si="67"/>
        <v>0.27852456258411845</v>
      </c>
      <c r="H38" s="51">
        <f t="shared" si="67"/>
        <v>0.24421639046479945</v>
      </c>
      <c r="I38" s="51">
        <f t="shared" si="67"/>
        <v>0.24567639130745927</v>
      </c>
      <c r="J38" s="51">
        <f t="shared" si="67"/>
        <v>0.23272920020718005</v>
      </c>
      <c r="K38" s="51">
        <f t="shared" si="67"/>
        <v>0.23792291839236188</v>
      </c>
      <c r="L38" s="51">
        <f t="shared" si="67"/>
        <v>0.24339774585062712</v>
      </c>
      <c r="M38" s="51">
        <f t="shared" si="67"/>
        <v>0.24910974636309358</v>
      </c>
      <c r="N38" s="51">
        <f t="shared" si="67"/>
        <v>0.2550147622563041</v>
      </c>
      <c r="O38" s="51">
        <f t="shared" si="67"/>
        <v>0.26019543479651969</v>
      </c>
      <c r="P38" s="51">
        <f t="shared" si="67"/>
        <v>0.26515086070455207</v>
      </c>
      <c r="Q38" s="51">
        <f t="shared" si="67"/>
        <v>0.26989083331223523</v>
      </c>
      <c r="R38" s="51">
        <f t="shared" si="67"/>
        <v>0.27442472015436692</v>
      </c>
      <c r="S38" s="51">
        <f t="shared" si="67"/>
        <v>0.27876148148162339</v>
      </c>
      <c r="T38" s="51">
        <f t="shared" si="67"/>
        <v>0.28309824280887985</v>
      </c>
      <c r="U38" s="51">
        <f t="shared" si="67"/>
        <v>0.28723787862126099</v>
      </c>
      <c r="V38" s="51">
        <f t="shared" si="67"/>
        <v>0.29118934916944295</v>
      </c>
      <c r="W38" s="51">
        <f t="shared" si="67"/>
        <v>0.29496120741998028</v>
      </c>
      <c r="X38" s="51">
        <f t="shared" si="67"/>
        <v>0.29856161756822053</v>
      </c>
    </row>
    <row r="39" spans="1:24" x14ac:dyDescent="0.15">
      <c r="A39" s="3" t="s">
        <v>22</v>
      </c>
      <c r="B39" s="29">
        <f t="shared" ref="B39:X39" si="68">B27/B26</f>
        <v>0.15054477810257774</v>
      </c>
      <c r="C39" s="29">
        <f t="shared" si="68"/>
        <v>0.1928323219750013</v>
      </c>
      <c r="D39" s="29">
        <f t="shared" si="68"/>
        <v>0.17670585801468813</v>
      </c>
      <c r="E39" s="29">
        <f t="shared" si="68"/>
        <v>0.19626684338413961</v>
      </c>
      <c r="F39" s="29">
        <f t="shared" si="68"/>
        <v>0.19738574748257165</v>
      </c>
      <c r="G39" s="29">
        <f t="shared" si="68"/>
        <v>0.17853983806218957</v>
      </c>
      <c r="H39" s="51">
        <f t="shared" si="68"/>
        <v>0.15330383418372748</v>
      </c>
      <c r="I39" s="51">
        <f t="shared" si="68"/>
        <v>0.12351005484460695</v>
      </c>
      <c r="J39" s="51">
        <f t="shared" si="68"/>
        <v>0.14429437209655158</v>
      </c>
      <c r="K39" s="51">
        <f t="shared" si="68"/>
        <v>0.15</v>
      </c>
      <c r="L39" s="51">
        <f t="shared" si="68"/>
        <v>0.15</v>
      </c>
      <c r="M39" s="51">
        <f t="shared" si="68"/>
        <v>0.15</v>
      </c>
      <c r="N39" s="51">
        <f t="shared" si="68"/>
        <v>0.15</v>
      </c>
      <c r="O39" s="51">
        <f t="shared" si="68"/>
        <v>0.15</v>
      </c>
      <c r="P39" s="51">
        <f t="shared" si="68"/>
        <v>0.15</v>
      </c>
      <c r="Q39" s="51">
        <f t="shared" si="68"/>
        <v>0.15</v>
      </c>
      <c r="R39" s="51">
        <f t="shared" si="68"/>
        <v>0.15</v>
      </c>
      <c r="S39" s="51">
        <f t="shared" si="68"/>
        <v>0.15</v>
      </c>
      <c r="T39" s="51">
        <f t="shared" si="68"/>
        <v>0.15</v>
      </c>
      <c r="U39" s="51">
        <f t="shared" si="68"/>
        <v>0.15</v>
      </c>
      <c r="V39" s="51">
        <f t="shared" si="68"/>
        <v>0.15</v>
      </c>
      <c r="W39" s="51">
        <f t="shared" si="68"/>
        <v>0.15</v>
      </c>
      <c r="X39" s="51">
        <f t="shared" si="68"/>
        <v>0.15</v>
      </c>
    </row>
    <row r="40" spans="1:24" x14ac:dyDescent="0.15">
      <c r="B40" s="24"/>
      <c r="C40" s="20"/>
      <c r="D40" s="20"/>
      <c r="E40" s="20"/>
      <c r="F40" s="20"/>
      <c r="G40" s="20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2" customFormat="1" x14ac:dyDescent="0.15">
      <c r="A41" s="2" t="s">
        <v>2</v>
      </c>
      <c r="B41" s="24"/>
      <c r="C41" s="20"/>
      <c r="D41" s="20"/>
      <c r="E41" s="20"/>
      <c r="F41" s="27">
        <f>F42-F43</f>
        <v>18890</v>
      </c>
      <c r="G41" s="27">
        <f>G42-G43</f>
        <v>17487</v>
      </c>
      <c r="H41" s="27">
        <f>H42-H43</f>
        <v>-9792</v>
      </c>
      <c r="I41" s="27">
        <f>I42-I43</f>
        <v>-12617</v>
      </c>
      <c r="J41" s="47">
        <f>I41+J28</f>
        <v>112681.3651030566</v>
      </c>
      <c r="K41" s="47">
        <f t="shared" ref="K41:X41" si="69">J41+K28</f>
        <v>235924.55666929192</v>
      </c>
      <c r="L41" s="47">
        <f t="shared" si="69"/>
        <v>395120.46037284948</v>
      </c>
      <c r="M41" s="47">
        <f t="shared" si="69"/>
        <v>600882.44701100327</v>
      </c>
      <c r="N41" s="47">
        <f t="shared" si="69"/>
        <v>867035.8799606578</v>
      </c>
      <c r="O41" s="47">
        <f t="shared" si="69"/>
        <v>1182084.0385810265</v>
      </c>
      <c r="P41" s="47">
        <f t="shared" si="69"/>
        <v>1554111.5860658968</v>
      </c>
      <c r="Q41" s="47">
        <f t="shared" si="69"/>
        <v>1992488.4363380389</v>
      </c>
      <c r="R41" s="47">
        <f t="shared" si="69"/>
        <v>2508069.7543824087</v>
      </c>
      <c r="S41" s="47">
        <f t="shared" si="69"/>
        <v>3113426.6771808988</v>
      </c>
      <c r="T41" s="47">
        <f t="shared" si="69"/>
        <v>3794976.4485330726</v>
      </c>
      <c r="U41" s="47">
        <f t="shared" si="69"/>
        <v>4561086.0153093887</v>
      </c>
      <c r="V41" s="47">
        <f t="shared" si="69"/>
        <v>5420995.8038395308</v>
      </c>
      <c r="W41" s="47">
        <f t="shared" si="69"/>
        <v>6384908.8969253516</v>
      </c>
      <c r="X41" s="47">
        <f t="shared" si="69"/>
        <v>7464089.2198355477</v>
      </c>
    </row>
    <row r="42" spans="1:24" x14ac:dyDescent="0.15">
      <c r="A42" s="3" t="s">
        <v>30</v>
      </c>
      <c r="B42" s="24"/>
      <c r="C42" s="20"/>
      <c r="D42" s="20"/>
      <c r="E42" s="20"/>
      <c r="F42" s="24">
        <f>'Reports RMB'!I31</f>
        <v>128387</v>
      </c>
      <c r="G42" s="24">
        <f>'Reports RMB'!M31</f>
        <v>149392</v>
      </c>
      <c r="H42" s="45">
        <f>'Reports RMB'!Q31</f>
        <v>169497</v>
      </c>
      <c r="I42" s="45">
        <f>'Reports RMB'!U31</f>
        <v>208196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x14ac:dyDescent="0.15">
      <c r="A43" s="3" t="s">
        <v>31</v>
      </c>
      <c r="B43" s="24"/>
      <c r="C43" s="20"/>
      <c r="D43" s="20"/>
      <c r="E43" s="20"/>
      <c r="F43" s="24">
        <f>'Reports RMB'!I32</f>
        <v>109497</v>
      </c>
      <c r="G43" s="24">
        <f>'Reports RMB'!M32</f>
        <v>131905</v>
      </c>
      <c r="H43" s="45">
        <f>'Reports RMB'!Q32</f>
        <v>179289</v>
      </c>
      <c r="I43" s="45">
        <f>'Reports RMB'!U32</f>
        <v>220813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6" customFormat="1" x14ac:dyDescent="0.15">
      <c r="A44" s="6" t="s">
        <v>23</v>
      </c>
      <c r="B44" s="24"/>
      <c r="C44" s="20"/>
      <c r="D44" s="20"/>
      <c r="E44" s="52"/>
      <c r="F44" s="53">
        <f>F25/F42</f>
        <v>1.3521618232375552E-2</v>
      </c>
      <c r="G44" s="53">
        <f>G25/G42</f>
        <v>0.1469958230695084</v>
      </c>
      <c r="H44" s="53">
        <f>H25/H42</f>
        <v>0.1067924506038455</v>
      </c>
      <c r="I44" s="53">
        <f>I25/I42</f>
        <v>8.0256104824300178E-2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s="6" customFormat="1" x14ac:dyDescent="0.15">
      <c r="B45" s="24"/>
      <c r="C45" s="20"/>
      <c r="D45" s="20"/>
      <c r="E45" s="52"/>
      <c r="F45" s="53"/>
      <c r="G45" s="53"/>
      <c r="H45" s="53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x14ac:dyDescent="0.15">
      <c r="A46" s="3" t="s">
        <v>24</v>
      </c>
      <c r="B46" s="24"/>
      <c r="C46" s="20"/>
      <c r="D46" s="20"/>
      <c r="E46" s="20"/>
      <c r="F46" s="24">
        <f>'Reports RMB'!I34</f>
        <v>36467</v>
      </c>
      <c r="G46" s="24">
        <f>'Reports RMB'!M34</f>
        <v>40266</v>
      </c>
      <c r="H46" s="45">
        <f>'Reports RMB'!Q34</f>
        <v>56650</v>
      </c>
      <c r="I46" s="45">
        <f>'Reports RMB'!U34</f>
        <v>128860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x14ac:dyDescent="0.15">
      <c r="A47" s="3" t="s">
        <v>25</v>
      </c>
      <c r="B47" s="24"/>
      <c r="C47" s="20"/>
      <c r="D47" s="20"/>
      <c r="E47" s="20"/>
      <c r="F47" s="24">
        <f>'Reports RMB'!I35</f>
        <v>395899</v>
      </c>
      <c r="G47" s="24">
        <f>'Reports RMB'!M35</f>
        <v>554672</v>
      </c>
      <c r="H47" s="45">
        <f>'Reports RMB'!Q35</f>
        <v>723521</v>
      </c>
      <c r="I47" s="45">
        <f>'Reports RMB'!U35</f>
        <v>953986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x14ac:dyDescent="0.15">
      <c r="A48" s="3" t="s">
        <v>52</v>
      </c>
      <c r="B48" s="24"/>
      <c r="C48" s="20"/>
      <c r="D48" s="20"/>
      <c r="E48" s="20"/>
      <c r="F48" s="24">
        <f>'Reports RMB'!I36</f>
        <v>209652</v>
      </c>
      <c r="G48" s="24">
        <f>'Reports RMB'!M36</f>
        <v>277579</v>
      </c>
      <c r="H48" s="45">
        <f>'Reports RMB'!Q36</f>
        <v>367314</v>
      </c>
      <c r="I48" s="45">
        <f>'Reports RMB'!U36</f>
        <v>465162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x14ac:dyDescent="0.15">
      <c r="B49" s="24"/>
      <c r="C49" s="20"/>
      <c r="D49" s="20"/>
      <c r="E49" s="20"/>
      <c r="F49" s="20"/>
      <c r="G49" s="20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x14ac:dyDescent="0.15">
      <c r="A50" s="3" t="s">
        <v>32</v>
      </c>
      <c r="B50" s="24"/>
      <c r="C50" s="20"/>
      <c r="D50" s="20"/>
      <c r="E50" s="20"/>
      <c r="F50" s="28">
        <f>F47-F46-F42</f>
        <v>231045</v>
      </c>
      <c r="G50" s="28">
        <f>G47-G46-G42</f>
        <v>365014</v>
      </c>
      <c r="H50" s="28">
        <f>H47-H46-H42</f>
        <v>497374</v>
      </c>
      <c r="I50" s="28">
        <f>I47-I46-I42</f>
        <v>616930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x14ac:dyDescent="0.15">
      <c r="A51" s="3" t="s">
        <v>33</v>
      </c>
      <c r="B51" s="24"/>
      <c r="C51" s="20"/>
      <c r="D51" s="20"/>
      <c r="E51" s="20"/>
      <c r="F51" s="28">
        <f>F47-F48</f>
        <v>186247</v>
      </c>
      <c r="G51" s="28">
        <f>G47-G48</f>
        <v>277093</v>
      </c>
      <c r="H51" s="28">
        <f>H47-H48</f>
        <v>356207</v>
      </c>
      <c r="I51" s="28">
        <f>I47-I48</f>
        <v>488824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x14ac:dyDescent="0.15">
      <c r="B52" s="24"/>
      <c r="C52" s="20"/>
      <c r="D52" s="20"/>
      <c r="E52" s="20"/>
      <c r="F52" s="20"/>
      <c r="G52" s="20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x14ac:dyDescent="0.15">
      <c r="A53" s="3" t="s">
        <v>26</v>
      </c>
      <c r="B53" s="24"/>
      <c r="C53" s="20"/>
      <c r="D53" s="20"/>
      <c r="E53" s="20"/>
      <c r="F53" s="29">
        <f>F28/F51</f>
        <v>0.22253781268960038</v>
      </c>
      <c r="G53" s="29">
        <f>G28/G51</f>
        <v>0.26142125567950109</v>
      </c>
      <c r="H53" s="29">
        <f>H28/H51</f>
        <v>0.22454359403380619</v>
      </c>
      <c r="I53" s="29">
        <f>I28/I51</f>
        <v>0.19616058131351979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</row>
    <row r="54" spans="1:24" x14ac:dyDescent="0.15">
      <c r="A54" s="3" t="s">
        <v>27</v>
      </c>
      <c r="B54" s="24"/>
      <c r="C54" s="20"/>
      <c r="D54" s="20"/>
      <c r="E54" s="20"/>
      <c r="F54" s="29">
        <f>F28/F47</f>
        <v>0.10469084286648868</v>
      </c>
      <c r="G54" s="29">
        <f>G28/G47</f>
        <v>0.13059610003749964</v>
      </c>
      <c r="H54" s="29">
        <f>H28/H47</f>
        <v>0.11054827710598587</v>
      </c>
      <c r="I54" s="29">
        <f>I28/I47</f>
        <v>0.10051300543194554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spans="1:24" x14ac:dyDescent="0.15">
      <c r="A55" s="3" t="s">
        <v>28</v>
      </c>
      <c r="B55" s="24"/>
      <c r="C55" s="20"/>
      <c r="D55" s="20"/>
      <c r="E55" s="20"/>
      <c r="F55" s="29">
        <f>F28/(F51-F46)</f>
        <v>0.27671918814260915</v>
      </c>
      <c r="G55" s="29">
        <f>G28/(G51-G46)</f>
        <v>0.30586884096830175</v>
      </c>
      <c r="H55" s="29">
        <f>H28/(H51-H46)</f>
        <v>0.26700761457752614</v>
      </c>
      <c r="I55" s="29">
        <f>I28/(I51-I46)</f>
        <v>0.26638219377493305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</row>
    <row r="56" spans="1:24" x14ac:dyDescent="0.15">
      <c r="A56" s="3" t="s">
        <v>29</v>
      </c>
      <c r="B56" s="24"/>
      <c r="C56" s="20"/>
      <c r="D56" s="20"/>
      <c r="E56" s="20"/>
      <c r="F56" s="29">
        <f>F28/F50</f>
        <v>0.17938929645740007</v>
      </c>
      <c r="G56" s="29">
        <f>G28/G50</f>
        <v>0.19845266208967327</v>
      </c>
      <c r="H56" s="29">
        <f>H28/H50</f>
        <v>0.16081258771065637</v>
      </c>
      <c r="I56" s="29">
        <f>I28/I50</f>
        <v>0.15542768223299239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</row>
    <row r="57" spans="1:24" x14ac:dyDescent="0.15">
      <c r="B57" s="24"/>
      <c r="C57" s="20"/>
      <c r="D57" s="20"/>
      <c r="E57" s="20"/>
      <c r="F57" s="20"/>
      <c r="G57" s="20"/>
      <c r="H57" s="46"/>
      <c r="I57" s="46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15">
      <c r="A58" s="5" t="s">
        <v>118</v>
      </c>
      <c r="B58" s="24"/>
      <c r="C58" s="29">
        <f t="shared" ref="C58:N58" si="70">C13/B13-1</f>
        <v>0.2594490173022006</v>
      </c>
      <c r="D58" s="29">
        <f t="shared" si="70"/>
        <v>0.40735800822496393</v>
      </c>
      <c r="E58" s="29">
        <f t="shared" si="70"/>
        <v>0.27419049123361239</v>
      </c>
      <c r="F58" s="29">
        <f t="shared" si="70"/>
        <v>0.33644894569165351</v>
      </c>
      <c r="G58" s="29">
        <f t="shared" si="70"/>
        <v>0.42828123550691033</v>
      </c>
      <c r="H58" s="29">
        <f t="shared" si="70"/>
        <v>0.14717858464895484</v>
      </c>
      <c r="I58" s="29">
        <f t="shared" si="70"/>
        <v>0.13215696930584331</v>
      </c>
      <c r="J58" s="29">
        <f t="shared" si="70"/>
        <v>0.33930426869209107</v>
      </c>
      <c r="K58" s="29">
        <f t="shared" si="70"/>
        <v>0.30000000000000004</v>
      </c>
      <c r="L58" s="29">
        <f t="shared" si="70"/>
        <v>0.30000000000000004</v>
      </c>
      <c r="M58" s="29">
        <f t="shared" si="70"/>
        <v>0.30000000000000004</v>
      </c>
      <c r="N58" s="29">
        <f t="shared" si="70"/>
        <v>0.30000000000000004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15">
      <c r="A59" s="5" t="s">
        <v>119</v>
      </c>
      <c r="B59" s="24"/>
      <c r="C59" s="29"/>
      <c r="D59" s="29"/>
      <c r="E59" s="29"/>
      <c r="F59" s="29"/>
      <c r="G59" s="29"/>
      <c r="H59" s="29"/>
      <c r="I59" s="29">
        <f t="shared" ref="I59:N61" si="71">I14/H14-1</f>
        <v>0.38580491673275175</v>
      </c>
      <c r="J59" s="29">
        <f t="shared" si="71"/>
        <v>0.25294262739874696</v>
      </c>
      <c r="K59" s="29">
        <f t="shared" si="71"/>
        <v>0.19999999999999996</v>
      </c>
      <c r="L59" s="29">
        <f t="shared" si="71"/>
        <v>0.19999999999999996</v>
      </c>
      <c r="M59" s="29">
        <f t="shared" si="71"/>
        <v>0.19999999999999996</v>
      </c>
      <c r="N59" s="29">
        <f t="shared" si="71"/>
        <v>0.19999999999999996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s="14" customFormat="1" x14ac:dyDescent="0.15">
      <c r="A60" s="5" t="s">
        <v>40</v>
      </c>
      <c r="B60" s="24"/>
      <c r="C60" s="29">
        <f t="shared" ref="C60:H61" si="72">C15/B15-1</f>
        <v>0.48846836191602594</v>
      </c>
      <c r="D60" s="29">
        <f t="shared" si="72"/>
        <v>0.65037743345252275</v>
      </c>
      <c r="E60" s="29">
        <f t="shared" si="72"/>
        <v>1.1025517573423205</v>
      </c>
      <c r="F60" s="29">
        <f t="shared" si="72"/>
        <v>0.5439661094572934</v>
      </c>
      <c r="G60" s="29">
        <f t="shared" si="72"/>
        <v>0.49940674823878384</v>
      </c>
      <c r="H60" s="29">
        <f t="shared" si="72"/>
        <v>0.43621256707633727</v>
      </c>
      <c r="I60" s="29">
        <f t="shared" si="71"/>
        <v>0.17731021539627068</v>
      </c>
      <c r="J60" s="29">
        <f t="shared" si="71"/>
        <v>0.18277710341196607</v>
      </c>
      <c r="K60" s="29">
        <f t="shared" si="71"/>
        <v>0.14999999999999991</v>
      </c>
      <c r="L60" s="29">
        <f t="shared" si="71"/>
        <v>0.14999999999999991</v>
      </c>
      <c r="M60" s="29">
        <f t="shared" si="71"/>
        <v>0.14999999999999991</v>
      </c>
      <c r="N60" s="29">
        <f t="shared" si="71"/>
        <v>0.14999999999999991</v>
      </c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s="14" customFormat="1" x14ac:dyDescent="0.15">
      <c r="A61" s="5" t="s">
        <v>41</v>
      </c>
      <c r="B61" s="24"/>
      <c r="C61" s="29">
        <f t="shared" si="72"/>
        <v>1.1735864802837472</v>
      </c>
      <c r="D61" s="29">
        <f t="shared" si="72"/>
        <v>-0.2989057400652716</v>
      </c>
      <c r="E61" s="29">
        <f t="shared" si="72"/>
        <v>-0.3529572836801752</v>
      </c>
      <c r="F61" s="29">
        <f t="shared" si="72"/>
        <v>2.6305543800253917</v>
      </c>
      <c r="G61" s="29">
        <f t="shared" si="72"/>
        <v>1.5258188600069937</v>
      </c>
      <c r="H61" s="29">
        <f t="shared" si="72"/>
        <v>-0.88852738935806919</v>
      </c>
      <c r="I61" s="29">
        <f t="shared" si="71"/>
        <v>0.56613537569861316</v>
      </c>
      <c r="J61" s="29">
        <f t="shared" si="71"/>
        <v>-0.30219402590536604</v>
      </c>
      <c r="K61" s="29">
        <f t="shared" si="71"/>
        <v>0.19999999999999996</v>
      </c>
      <c r="L61" s="29">
        <f t="shared" si="71"/>
        <v>0.19999999999999996</v>
      </c>
      <c r="M61" s="29">
        <f t="shared" si="71"/>
        <v>0.19999999999999996</v>
      </c>
      <c r="N61" s="29">
        <f t="shared" si="71"/>
        <v>0.19999999999999996</v>
      </c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x14ac:dyDescent="0.15">
      <c r="A62" s="13"/>
      <c r="B62" s="24"/>
      <c r="H62" s="18"/>
    </row>
    <row r="63" spans="1:24" s="44" customFormat="1" x14ac:dyDescent="0.15">
      <c r="A63" s="4" t="s">
        <v>60</v>
      </c>
      <c r="B63" s="43">
        <v>6.2313000000000001</v>
      </c>
      <c r="C63" s="43">
        <v>6.0537000000000001</v>
      </c>
      <c r="D63" s="43">
        <v>6.2046000000000001</v>
      </c>
      <c r="E63" s="43">
        <v>6.4920999999999998</v>
      </c>
      <c r="F63" s="43">
        <v>6.95</v>
      </c>
      <c r="G63" s="43">
        <v>6.51</v>
      </c>
      <c r="H63" s="43">
        <v>6.88</v>
      </c>
      <c r="I63" s="43">
        <v>6.96</v>
      </c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</row>
    <row r="64" spans="1:24" s="2" customFormat="1" x14ac:dyDescent="0.15">
      <c r="A64" s="2" t="s">
        <v>61</v>
      </c>
      <c r="B64" s="27">
        <f t="shared" ref="B64:I64" si="73">B18/B63</f>
        <v>7043.9555149005828</v>
      </c>
      <c r="C64" s="27">
        <f t="shared" si="73"/>
        <v>9983.481176800964</v>
      </c>
      <c r="D64" s="27">
        <f t="shared" si="73"/>
        <v>12719.917480578924</v>
      </c>
      <c r="E64" s="27">
        <f t="shared" si="73"/>
        <v>15844.333882718998</v>
      </c>
      <c r="F64" s="27">
        <f t="shared" si="73"/>
        <v>21861.582733812949</v>
      </c>
      <c r="G64" s="27">
        <f t="shared" si="73"/>
        <v>36522.273425499232</v>
      </c>
      <c r="H64" s="27">
        <f t="shared" si="73"/>
        <v>45449.70930232558</v>
      </c>
      <c r="I64" s="27">
        <f t="shared" si="73"/>
        <v>54208.189655172413</v>
      </c>
      <c r="J64" s="47">
        <f>J18/$C$9</f>
        <v>74113.274268104768</v>
      </c>
      <c r="K64" s="47">
        <f t="shared" ref="K64:X64" si="74">K18/$C$9</f>
        <v>92439.957241910626</v>
      </c>
      <c r="L64" s="47">
        <f t="shared" si="74"/>
        <v>115576.64605161786</v>
      </c>
      <c r="M64" s="47">
        <f t="shared" si="74"/>
        <v>144842.76175751156</v>
      </c>
      <c r="N64" s="47">
        <f t="shared" si="74"/>
        <v>181930.93846797955</v>
      </c>
      <c r="O64" s="47">
        <f t="shared" si="74"/>
        <v>209220.57923817646</v>
      </c>
      <c r="P64" s="47">
        <f t="shared" si="74"/>
        <v>240603.66612390292</v>
      </c>
      <c r="Q64" s="47">
        <f t="shared" si="74"/>
        <v>276694.21604248835</v>
      </c>
      <c r="R64" s="47">
        <f t="shared" si="74"/>
        <v>318198.34844886156</v>
      </c>
      <c r="S64" s="47">
        <f t="shared" si="74"/>
        <v>365928.10071619076</v>
      </c>
      <c r="T64" s="47">
        <f t="shared" si="74"/>
        <v>402520.91078780993</v>
      </c>
      <c r="U64" s="47">
        <f t="shared" si="74"/>
        <v>442773.00186659093</v>
      </c>
      <c r="V64" s="47">
        <f t="shared" si="74"/>
        <v>487050.30205325008</v>
      </c>
      <c r="W64" s="47">
        <f t="shared" si="74"/>
        <v>535755.33225857513</v>
      </c>
      <c r="X64" s="47">
        <f t="shared" si="74"/>
        <v>589330.86548443278</v>
      </c>
    </row>
    <row r="65" spans="1:24" s="2" customFormat="1" x14ac:dyDescent="0.15">
      <c r="A65" s="2" t="s">
        <v>62</v>
      </c>
      <c r="B65" s="27">
        <f t="shared" ref="B65:I65" si="75">B28/B63</f>
        <v>2051.8992826536996</v>
      </c>
      <c r="C65" s="27">
        <f t="shared" si="75"/>
        <v>2570.8244544658637</v>
      </c>
      <c r="D65" s="27">
        <f t="shared" si="75"/>
        <v>3848.4350320729782</v>
      </c>
      <c r="E65" s="27">
        <f t="shared" si="75"/>
        <v>4483.6031484419527</v>
      </c>
      <c r="F65" s="27">
        <f t="shared" si="75"/>
        <v>5963.5971223021579</v>
      </c>
      <c r="G65" s="27">
        <f t="shared" si="75"/>
        <v>11127.188940092166</v>
      </c>
      <c r="H65" s="27">
        <f t="shared" si="75"/>
        <v>11625.581395348838</v>
      </c>
      <c r="I65" s="27">
        <f t="shared" si="75"/>
        <v>13777.011494252874</v>
      </c>
      <c r="J65" s="47">
        <f>J28/$C$9</f>
        <v>19306.373667651245</v>
      </c>
      <c r="K65" s="47">
        <f t="shared" ref="K65:X65" si="76">K28/$C$9</f>
        <v>18989.705942409142</v>
      </c>
      <c r="L65" s="47">
        <f t="shared" si="76"/>
        <v>24529.415054477286</v>
      </c>
      <c r="M65" s="47">
        <f t="shared" si="76"/>
        <v>31704.466354106906</v>
      </c>
      <c r="N65" s="47">
        <f t="shared" si="76"/>
        <v>41009.773952180964</v>
      </c>
      <c r="O65" s="47">
        <f t="shared" si="76"/>
        <v>48543.629987730143</v>
      </c>
      <c r="P65" s="47">
        <f t="shared" si="76"/>
        <v>57323.196838963086</v>
      </c>
      <c r="Q65" s="47">
        <f t="shared" si="76"/>
        <v>67546.510057340842</v>
      </c>
      <c r="R65" s="47">
        <f t="shared" si="76"/>
        <v>79442.421886651719</v>
      </c>
      <c r="S65" s="47">
        <f t="shared" si="76"/>
        <v>93275.334791755042</v>
      </c>
      <c r="T65" s="47">
        <f t="shared" si="76"/>
        <v>105015.37308970319</v>
      </c>
      <c r="U65" s="47">
        <f t="shared" si="76"/>
        <v>118044.61737693622</v>
      </c>
      <c r="V65" s="47">
        <f t="shared" si="76"/>
        <v>132497.65616797254</v>
      </c>
      <c r="W65" s="47">
        <f t="shared" si="76"/>
        <v>148522.81865729127</v>
      </c>
      <c r="X65" s="47">
        <f t="shared" si="76"/>
        <v>166283.56285211036</v>
      </c>
    </row>
    <row r="66" spans="1:24" x14ac:dyDescent="0.15">
      <c r="B66" s="24"/>
    </row>
    <row r="67" spans="1:24" s="2" customFormat="1" x14ac:dyDescent="0.15">
      <c r="A67" s="2" t="s">
        <v>93</v>
      </c>
      <c r="B67" s="24"/>
      <c r="C67" s="50">
        <f t="shared" ref="C67:I67" si="77">C64/B64-1</f>
        <v>0.41731178677693137</v>
      </c>
      <c r="D67" s="50">
        <f t="shared" si="77"/>
        <v>0.27409640538379865</v>
      </c>
      <c r="E67" s="50">
        <f t="shared" si="77"/>
        <v>0.24563181379993293</v>
      </c>
      <c r="F67" s="50">
        <f t="shared" si="77"/>
        <v>0.37977291413031922</v>
      </c>
      <c r="G67" s="50">
        <f t="shared" si="77"/>
        <v>0.67061433155115679</v>
      </c>
      <c r="H67" s="50">
        <f t="shared" si="77"/>
        <v>0.24443812061801617</v>
      </c>
      <c r="I67" s="50">
        <f t="shared" si="77"/>
        <v>0.19270707089866201</v>
      </c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</row>
    <row r="68" spans="1:24" x14ac:dyDescent="0.15">
      <c r="B68" s="24"/>
    </row>
    <row r="69" spans="1:24" s="2" customFormat="1" x14ac:dyDescent="0.15">
      <c r="A69" s="2" t="s">
        <v>92</v>
      </c>
      <c r="B69" s="24"/>
      <c r="C69" s="3"/>
      <c r="D69" s="3"/>
      <c r="E69" s="3"/>
      <c r="F69" s="27">
        <f>F41/F63</f>
        <v>2717.9856115107914</v>
      </c>
      <c r="G69" s="27">
        <f>G41/G63</f>
        <v>2686.1751152073734</v>
      </c>
      <c r="H69" s="27">
        <f>H41/H63</f>
        <v>-1423.2558139534883</v>
      </c>
      <c r="I69" s="27">
        <f>I41/I63</f>
        <v>-1812.7873563218391</v>
      </c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</sheetData>
  <hyperlinks>
    <hyperlink ref="A1" r:id="rId1" xr:uid="{00000000-0004-0000-0000-000003000000}"/>
    <hyperlink ref="L4" r:id="rId2" xr:uid="{BA4807F2-D005-6C48-9ABD-4F99B4D4EFAA}"/>
    <hyperlink ref="A7" r:id="rId3" xr:uid="{ECA683AE-2AC3-884F-A6BC-B1A29895D1DA}"/>
    <hyperlink ref="A4" r:id="rId4" xr:uid="{68A013DA-6440-1D4E-B18C-3CCFD5ED61D0}"/>
    <hyperlink ref="A8" r:id="rId5" xr:uid="{FBD18323-A9D1-7742-AD90-B5DF69ADF62C}"/>
    <hyperlink ref="D3" r:id="rId6" xr:uid="{9BD7EB43-5839-0447-A509-AEE8498819CD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baseColWidth="10" defaultRowHeight="13" x14ac:dyDescent="0.15"/>
  <cols>
    <col min="1" max="1" width="18.6640625" style="59" bestFit="1" customWidth="1"/>
    <col min="2" max="2" width="9.1640625" style="20" bestFit="1" customWidth="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4" width="10.83203125" style="20"/>
    <col min="25" max="16384" width="10.83203125" style="3"/>
  </cols>
  <sheetData>
    <row r="1" spans="1:25" s="20" customFormat="1" x14ac:dyDescent="0.15">
      <c r="A1" s="55" t="s">
        <v>122</v>
      </c>
      <c r="B1" s="20" t="s">
        <v>77</v>
      </c>
      <c r="C1" s="20" t="s">
        <v>76</v>
      </c>
      <c r="D1" s="20" t="s">
        <v>75</v>
      </c>
      <c r="E1" s="20" t="s">
        <v>74</v>
      </c>
      <c r="F1" s="21" t="s">
        <v>67</v>
      </c>
      <c r="G1" s="20" t="s">
        <v>68</v>
      </c>
      <c r="H1" s="20" t="s">
        <v>69</v>
      </c>
      <c r="I1" s="20" t="s">
        <v>70</v>
      </c>
      <c r="J1" s="21" t="s">
        <v>48</v>
      </c>
      <c r="K1" s="20" t="s">
        <v>47</v>
      </c>
      <c r="L1" s="20" t="s">
        <v>46</v>
      </c>
      <c r="M1" s="20" t="s">
        <v>45</v>
      </c>
      <c r="N1" s="21" t="s">
        <v>44</v>
      </c>
      <c r="O1" s="20" t="s">
        <v>43</v>
      </c>
      <c r="P1" s="20" t="s">
        <v>42</v>
      </c>
      <c r="Q1" s="20" t="s">
        <v>39</v>
      </c>
      <c r="R1" s="21" t="s">
        <v>80</v>
      </c>
      <c r="S1" s="20" t="s">
        <v>82</v>
      </c>
      <c r="T1" s="20" t="s">
        <v>85</v>
      </c>
      <c r="U1" s="20" t="s">
        <v>86</v>
      </c>
      <c r="V1" s="21" t="s">
        <v>132</v>
      </c>
      <c r="W1" s="20" t="s">
        <v>133</v>
      </c>
      <c r="X1" s="20" t="s">
        <v>134</v>
      </c>
      <c r="Y1" s="20" t="s">
        <v>135</v>
      </c>
    </row>
    <row r="2" spans="1:25" s="20" customFormat="1" x14ac:dyDescent="0.15">
      <c r="A2" s="59"/>
      <c r="B2" s="20" t="s">
        <v>78</v>
      </c>
      <c r="C2" s="20" t="s">
        <v>71</v>
      </c>
      <c r="D2" s="20" t="s">
        <v>72</v>
      </c>
      <c r="E2" s="20" t="s">
        <v>73</v>
      </c>
      <c r="F2" s="21" t="s">
        <v>66</v>
      </c>
      <c r="G2" s="20" t="s">
        <v>65</v>
      </c>
      <c r="H2" s="20" t="s">
        <v>64</v>
      </c>
      <c r="I2" s="20" t="s">
        <v>63</v>
      </c>
      <c r="J2" s="21" t="s">
        <v>59</v>
      </c>
      <c r="K2" s="20" t="s">
        <v>57</v>
      </c>
      <c r="L2" s="20" t="s">
        <v>55</v>
      </c>
      <c r="M2" s="20" t="s">
        <v>50</v>
      </c>
      <c r="N2" s="21" t="s">
        <v>58</v>
      </c>
      <c r="O2" s="20" t="s">
        <v>56</v>
      </c>
      <c r="P2" s="20" t="s">
        <v>51</v>
      </c>
      <c r="Q2" s="20" t="s">
        <v>49</v>
      </c>
      <c r="R2" s="21" t="s">
        <v>79</v>
      </c>
      <c r="S2" s="20" t="s">
        <v>81</v>
      </c>
      <c r="T2" s="20" t="s">
        <v>84</v>
      </c>
      <c r="U2" s="20" t="s">
        <v>83</v>
      </c>
      <c r="V2" s="57">
        <v>43921</v>
      </c>
      <c r="W2" s="66">
        <v>44012</v>
      </c>
      <c r="X2" s="66">
        <v>44104</v>
      </c>
    </row>
    <row r="3" spans="1:25" s="5" customFormat="1" x14ac:dyDescent="0.15">
      <c r="A3" s="60" t="s">
        <v>100</v>
      </c>
      <c r="B3" s="24">
        <v>18626</v>
      </c>
      <c r="C3" s="24">
        <v>18428</v>
      </c>
      <c r="D3" s="24">
        <v>20547</v>
      </c>
      <c r="E3" s="24">
        <v>23068</v>
      </c>
      <c r="F3" s="25">
        <v>24964</v>
      </c>
      <c r="G3" s="24">
        <v>25680</v>
      </c>
      <c r="H3" s="24">
        <v>27975</v>
      </c>
      <c r="I3" s="24">
        <v>29191</v>
      </c>
      <c r="J3" s="25">
        <v>35108</v>
      </c>
      <c r="K3" s="24">
        <v>36804</v>
      </c>
      <c r="L3" s="24">
        <v>42124</v>
      </c>
      <c r="M3" s="24">
        <v>39947</v>
      </c>
      <c r="N3" s="25">
        <v>46877</v>
      </c>
      <c r="O3" s="24">
        <v>42069</v>
      </c>
      <c r="P3" s="24">
        <v>44049</v>
      </c>
      <c r="Q3" s="24">
        <v>43651</v>
      </c>
      <c r="R3" s="25">
        <v>48974</v>
      </c>
      <c r="S3" s="24">
        <v>48080</v>
      </c>
      <c r="T3" s="24">
        <v>50629</v>
      </c>
      <c r="U3" s="24">
        <v>52308</v>
      </c>
      <c r="V3" s="25">
        <v>62429</v>
      </c>
      <c r="W3" s="24">
        <v>65002</v>
      </c>
      <c r="X3" s="24">
        <v>69802</v>
      </c>
      <c r="Y3" s="5">
        <f>U3*1.35</f>
        <v>70615.8</v>
      </c>
    </row>
    <row r="4" spans="1:25" s="5" customFormat="1" x14ac:dyDescent="0.15">
      <c r="A4" s="60" t="s">
        <v>117</v>
      </c>
      <c r="B4" s="24"/>
      <c r="C4" s="24"/>
      <c r="D4" s="24"/>
      <c r="E4" s="24"/>
      <c r="F4" s="25"/>
      <c r="G4" s="24"/>
      <c r="I4" s="24"/>
      <c r="J4" s="25"/>
      <c r="K4" s="24"/>
      <c r="L4" s="24"/>
      <c r="M4" s="24"/>
      <c r="N4" s="25">
        <v>15182</v>
      </c>
      <c r="O4" s="24">
        <v>16666</v>
      </c>
      <c r="P4" s="24">
        <v>19693</v>
      </c>
      <c r="Q4" s="24">
        <v>21597</v>
      </c>
      <c r="R4" s="25">
        <v>21789</v>
      </c>
      <c r="S4" s="24">
        <v>22888</v>
      </c>
      <c r="T4" s="24">
        <v>26758</v>
      </c>
      <c r="U4" s="24">
        <v>29920</v>
      </c>
      <c r="V4" s="25">
        <v>26475</v>
      </c>
      <c r="W4" s="24">
        <v>29862</v>
      </c>
      <c r="X4" s="24">
        <v>33255</v>
      </c>
      <c r="Y4" s="5">
        <f>U4*1.25</f>
        <v>37400</v>
      </c>
    </row>
    <row r="5" spans="1:25" s="5" customFormat="1" x14ac:dyDescent="0.15">
      <c r="A5" s="60" t="s">
        <v>10</v>
      </c>
      <c r="B5" s="24">
        <v>2724</v>
      </c>
      <c r="C5" s="24">
        <v>4073</v>
      </c>
      <c r="D5" s="24">
        <v>4938</v>
      </c>
      <c r="E5" s="24">
        <v>5733</v>
      </c>
      <c r="F5" s="25">
        <v>4701</v>
      </c>
      <c r="G5" s="24">
        <v>6532</v>
      </c>
      <c r="H5" s="24">
        <v>7449</v>
      </c>
      <c r="I5" s="24">
        <v>8288</v>
      </c>
      <c r="J5" s="25">
        <v>6888</v>
      </c>
      <c r="K5" s="24">
        <v>10148</v>
      </c>
      <c r="L5" s="24">
        <v>11042</v>
      </c>
      <c r="M5" s="24">
        <v>12361</v>
      </c>
      <c r="N5" s="25">
        <v>10689</v>
      </c>
      <c r="O5" s="24">
        <v>14110</v>
      </c>
      <c r="P5" s="24">
        <v>16247</v>
      </c>
      <c r="Q5" s="24">
        <v>17033</v>
      </c>
      <c r="R5" s="25">
        <v>13377</v>
      </c>
      <c r="S5" s="24">
        <v>16409</v>
      </c>
      <c r="T5" s="24">
        <v>18366</v>
      </c>
      <c r="U5" s="24">
        <v>20225</v>
      </c>
      <c r="V5" s="25">
        <v>17713</v>
      </c>
      <c r="W5" s="24">
        <v>18552</v>
      </c>
      <c r="X5" s="24">
        <v>21351</v>
      </c>
      <c r="Y5" s="5">
        <f>U5*1.15</f>
        <v>23258.75</v>
      </c>
    </row>
    <row r="6" spans="1:25" s="5" customFormat="1" x14ac:dyDescent="0.15">
      <c r="A6" s="60" t="s">
        <v>11</v>
      </c>
      <c r="B6" s="24">
        <v>1049</v>
      </c>
      <c r="C6" s="24">
        <v>928</v>
      </c>
      <c r="D6" s="24">
        <v>1109</v>
      </c>
      <c r="E6" s="24">
        <v>1640</v>
      </c>
      <c r="F6" s="25">
        <v>2330</v>
      </c>
      <c r="G6" s="24">
        <v>3479</v>
      </c>
      <c r="H6" s="24">
        <v>4964</v>
      </c>
      <c r="I6" s="24">
        <v>6385</v>
      </c>
      <c r="J6" s="25">
        <v>7556</v>
      </c>
      <c r="K6" s="24">
        <v>9654</v>
      </c>
      <c r="L6" s="24">
        <v>12044</v>
      </c>
      <c r="M6" s="24">
        <v>14084</v>
      </c>
      <c r="N6" s="25">
        <v>780</v>
      </c>
      <c r="O6" s="24">
        <v>830</v>
      </c>
      <c r="P6" s="24">
        <v>606</v>
      </c>
      <c r="Q6" s="24">
        <v>2615</v>
      </c>
      <c r="R6" s="25">
        <v>1325</v>
      </c>
      <c r="S6" s="24">
        <v>1444</v>
      </c>
      <c r="T6" s="24">
        <v>1483</v>
      </c>
      <c r="U6" s="24">
        <v>3314</v>
      </c>
      <c r="V6" s="25">
        <v>1448</v>
      </c>
      <c r="W6" s="24">
        <v>1467</v>
      </c>
      <c r="X6" s="24">
        <v>1039</v>
      </c>
      <c r="Y6" s="5">
        <f>U6*0.4</f>
        <v>1325.6000000000001</v>
      </c>
    </row>
    <row r="7" spans="1:25" s="42" customFormat="1" x14ac:dyDescent="0.15">
      <c r="A7" s="61"/>
      <c r="F7" s="40"/>
      <c r="J7" s="40"/>
      <c r="N7" s="40"/>
      <c r="R7" s="40"/>
      <c r="V7" s="40"/>
    </row>
    <row r="8" spans="1:25" s="26" customFormat="1" x14ac:dyDescent="0.15">
      <c r="A8" s="62" t="s">
        <v>7</v>
      </c>
      <c r="B8" s="27">
        <f t="shared" ref="B8:Y8" si="0">SUM(B3:B6)</f>
        <v>22399</v>
      </c>
      <c r="C8" s="27">
        <f t="shared" si="0"/>
        <v>23429</v>
      </c>
      <c r="D8" s="27">
        <f t="shared" si="0"/>
        <v>26594</v>
      </c>
      <c r="E8" s="27">
        <f t="shared" si="0"/>
        <v>30441</v>
      </c>
      <c r="F8" s="36">
        <f t="shared" si="0"/>
        <v>31995</v>
      </c>
      <c r="G8" s="27">
        <f t="shared" si="0"/>
        <v>35691</v>
      </c>
      <c r="H8" s="27">
        <f t="shared" si="0"/>
        <v>40388</v>
      </c>
      <c r="I8" s="27">
        <f t="shared" si="0"/>
        <v>43864</v>
      </c>
      <c r="J8" s="36">
        <f t="shared" si="0"/>
        <v>49552</v>
      </c>
      <c r="K8" s="27">
        <f t="shared" si="0"/>
        <v>56606</v>
      </c>
      <c r="L8" s="27">
        <f t="shared" si="0"/>
        <v>65210</v>
      </c>
      <c r="M8" s="27">
        <f t="shared" si="0"/>
        <v>66392</v>
      </c>
      <c r="N8" s="36">
        <f t="shared" si="0"/>
        <v>73528</v>
      </c>
      <c r="O8" s="27">
        <f t="shared" si="0"/>
        <v>73675</v>
      </c>
      <c r="P8" s="27">
        <f t="shared" si="0"/>
        <v>80595</v>
      </c>
      <c r="Q8" s="27">
        <f t="shared" si="0"/>
        <v>84896</v>
      </c>
      <c r="R8" s="36">
        <f t="shared" si="0"/>
        <v>85465</v>
      </c>
      <c r="S8" s="27">
        <f t="shared" si="0"/>
        <v>88821</v>
      </c>
      <c r="T8" s="27">
        <f t="shared" si="0"/>
        <v>97236</v>
      </c>
      <c r="U8" s="27">
        <f t="shared" si="0"/>
        <v>105767</v>
      </c>
      <c r="V8" s="36">
        <f t="shared" si="0"/>
        <v>108065</v>
      </c>
      <c r="W8" s="27">
        <f t="shared" si="0"/>
        <v>114883</v>
      </c>
      <c r="X8" s="27">
        <f t="shared" si="0"/>
        <v>125447</v>
      </c>
      <c r="Y8" s="27">
        <f>SUM(Y3:Y6)</f>
        <v>132600.15</v>
      </c>
    </row>
    <row r="9" spans="1:25" s="5" customFormat="1" x14ac:dyDescent="0.15">
      <c r="A9" s="60" t="s">
        <v>12</v>
      </c>
      <c r="B9" s="24">
        <v>8965</v>
      </c>
      <c r="C9" s="24">
        <v>8991</v>
      </c>
      <c r="D9" s="24">
        <v>11014</v>
      </c>
      <c r="E9" s="24">
        <v>12661</v>
      </c>
      <c r="F9" s="25">
        <v>13406</v>
      </c>
      <c r="G9" s="24">
        <v>15235</v>
      </c>
      <c r="H9" s="24">
        <v>18560</v>
      </c>
      <c r="I9" s="24">
        <v>20238</v>
      </c>
      <c r="J9" s="25">
        <v>24109</v>
      </c>
      <c r="K9" s="24">
        <v>28300</v>
      </c>
      <c r="L9" s="24">
        <v>33529</v>
      </c>
      <c r="M9" s="24">
        <v>34897</v>
      </c>
      <c r="N9" s="25">
        <v>36486</v>
      </c>
      <c r="O9" s="24">
        <v>39229</v>
      </c>
      <c r="P9" s="24">
        <v>45115</v>
      </c>
      <c r="Q9" s="24">
        <v>49744</v>
      </c>
      <c r="R9" s="25">
        <v>45645</v>
      </c>
      <c r="S9" s="24">
        <v>49695</v>
      </c>
      <c r="T9" s="24">
        <v>54757</v>
      </c>
      <c r="U9" s="24">
        <v>59659</v>
      </c>
      <c r="V9" s="25">
        <v>55271</v>
      </c>
      <c r="W9" s="24">
        <v>61673</v>
      </c>
      <c r="X9" s="24">
        <v>68800</v>
      </c>
      <c r="Y9" s="5">
        <f>Y8-Y10</f>
        <v>72723.064879989164</v>
      </c>
    </row>
    <row r="10" spans="1:25" s="5" customFormat="1" x14ac:dyDescent="0.15">
      <c r="A10" s="60" t="s">
        <v>13</v>
      </c>
      <c r="B10" s="28">
        <f t="shared" ref="B10:R10" si="1">B8-B9</f>
        <v>13434</v>
      </c>
      <c r="C10" s="28">
        <f t="shared" si="1"/>
        <v>14438</v>
      </c>
      <c r="D10" s="28">
        <f t="shared" si="1"/>
        <v>15580</v>
      </c>
      <c r="E10" s="28">
        <f t="shared" si="1"/>
        <v>17780</v>
      </c>
      <c r="F10" s="37">
        <f t="shared" si="1"/>
        <v>18589</v>
      </c>
      <c r="G10" s="28">
        <f t="shared" si="1"/>
        <v>20456</v>
      </c>
      <c r="H10" s="28">
        <f t="shared" si="1"/>
        <v>21828</v>
      </c>
      <c r="I10" s="28">
        <f t="shared" si="1"/>
        <v>23626</v>
      </c>
      <c r="J10" s="37">
        <f t="shared" si="1"/>
        <v>25443</v>
      </c>
      <c r="K10" s="28">
        <f t="shared" si="1"/>
        <v>28306</v>
      </c>
      <c r="L10" s="28">
        <f t="shared" si="1"/>
        <v>31681</v>
      </c>
      <c r="M10" s="28">
        <f t="shared" si="1"/>
        <v>31495</v>
      </c>
      <c r="N10" s="37">
        <f t="shared" si="1"/>
        <v>37042</v>
      </c>
      <c r="O10" s="28">
        <f t="shared" si="1"/>
        <v>34446</v>
      </c>
      <c r="P10" s="28">
        <f t="shared" si="1"/>
        <v>35480</v>
      </c>
      <c r="Q10" s="28">
        <f t="shared" si="1"/>
        <v>35152</v>
      </c>
      <c r="R10" s="37">
        <f t="shared" si="1"/>
        <v>39820</v>
      </c>
      <c r="S10" s="28">
        <f t="shared" ref="S10:T10" si="2">S8-S9</f>
        <v>39126</v>
      </c>
      <c r="T10" s="28">
        <f t="shared" si="2"/>
        <v>42479</v>
      </c>
      <c r="U10" s="28">
        <f t="shared" ref="U10:X10" si="3">U8-U9</f>
        <v>46108</v>
      </c>
      <c r="V10" s="37">
        <f t="shared" si="3"/>
        <v>52794</v>
      </c>
      <c r="W10" s="28">
        <f t="shared" si="3"/>
        <v>53210</v>
      </c>
      <c r="X10" s="28">
        <f t="shared" si="3"/>
        <v>56647</v>
      </c>
      <c r="Y10" s="5">
        <f>Y8*X26</f>
        <v>59877.085120010837</v>
      </c>
    </row>
    <row r="11" spans="1:25" s="5" customFormat="1" x14ac:dyDescent="0.15">
      <c r="A11" s="60" t="s">
        <v>120</v>
      </c>
      <c r="B11" s="24">
        <v>1326</v>
      </c>
      <c r="C11" s="24">
        <v>1601</v>
      </c>
      <c r="D11" s="24">
        <v>2042</v>
      </c>
      <c r="E11" s="24">
        <v>3024</v>
      </c>
      <c r="F11" s="25">
        <v>2032</v>
      </c>
      <c r="G11" s="24">
        <v>2365</v>
      </c>
      <c r="H11" s="24">
        <v>3277</v>
      </c>
      <c r="I11" s="24">
        <v>4462</v>
      </c>
      <c r="J11" s="25">
        <v>3158</v>
      </c>
      <c r="K11" s="24">
        <v>3660</v>
      </c>
      <c r="L11" s="24">
        <v>4812</v>
      </c>
      <c r="M11" s="24">
        <v>6022</v>
      </c>
      <c r="N11" s="25">
        <v>5570</v>
      </c>
      <c r="O11" s="24">
        <v>6360</v>
      </c>
      <c r="P11" s="24">
        <v>6573</v>
      </c>
      <c r="Q11" s="24">
        <v>5730</v>
      </c>
      <c r="R11" s="25">
        <v>4244</v>
      </c>
      <c r="S11" s="24">
        <v>4718</v>
      </c>
      <c r="T11" s="24">
        <v>5722</v>
      </c>
      <c r="U11" s="24">
        <v>6712</v>
      </c>
      <c r="V11" s="25">
        <v>7049</v>
      </c>
      <c r="W11" s="24">
        <v>7756</v>
      </c>
      <c r="X11" s="24">
        <v>8920</v>
      </c>
      <c r="Y11" s="5">
        <f>U11*1.5</f>
        <v>10068</v>
      </c>
    </row>
    <row r="12" spans="1:25" s="5" customFormat="1" x14ac:dyDescent="0.15">
      <c r="A12" s="60" t="s">
        <v>121</v>
      </c>
      <c r="B12" s="24">
        <v>3668</v>
      </c>
      <c r="C12" s="24">
        <v>4011</v>
      </c>
      <c r="D12" s="24">
        <v>4380</v>
      </c>
      <c r="E12" s="24">
        <v>4766</v>
      </c>
      <c r="F12" s="25">
        <v>4368</v>
      </c>
      <c r="G12" s="24">
        <v>5299</v>
      </c>
      <c r="H12" s="24">
        <v>5883</v>
      </c>
      <c r="I12" s="24">
        <v>6909</v>
      </c>
      <c r="J12" s="25">
        <v>7012</v>
      </c>
      <c r="K12" s="24">
        <v>8170</v>
      </c>
      <c r="L12" s="24">
        <v>9058</v>
      </c>
      <c r="M12" s="24">
        <v>8811</v>
      </c>
      <c r="N12" s="25">
        <v>9430</v>
      </c>
      <c r="O12" s="24">
        <v>9857</v>
      </c>
      <c r="P12" s="24">
        <v>10890</v>
      </c>
      <c r="Q12" s="24">
        <v>11345</v>
      </c>
      <c r="R12" s="25">
        <v>11331</v>
      </c>
      <c r="S12" s="24">
        <v>12577</v>
      </c>
      <c r="T12" s="24">
        <v>13536</v>
      </c>
      <c r="U12" s="24">
        <v>16002</v>
      </c>
      <c r="V12" s="25">
        <v>14158</v>
      </c>
      <c r="W12" s="24">
        <v>16499</v>
      </c>
      <c r="X12" s="24">
        <v>17189</v>
      </c>
      <c r="Y12" s="5">
        <f>U12*1.25</f>
        <v>20002.5</v>
      </c>
    </row>
    <row r="13" spans="1:25" s="5" customFormat="1" x14ac:dyDescent="0.15">
      <c r="A13" s="60" t="s">
        <v>14</v>
      </c>
      <c r="B13" s="28">
        <f t="shared" ref="B13:Q13" si="4">SUM(B11:B12)</f>
        <v>4994</v>
      </c>
      <c r="C13" s="28">
        <f t="shared" si="4"/>
        <v>5612</v>
      </c>
      <c r="D13" s="28">
        <f t="shared" si="4"/>
        <v>6422</v>
      </c>
      <c r="E13" s="28">
        <f t="shared" si="4"/>
        <v>7790</v>
      </c>
      <c r="F13" s="37">
        <f t="shared" si="4"/>
        <v>6400</v>
      </c>
      <c r="G13" s="28">
        <f t="shared" si="4"/>
        <v>7664</v>
      </c>
      <c r="H13" s="28">
        <f t="shared" si="4"/>
        <v>9160</v>
      </c>
      <c r="I13" s="28">
        <f t="shared" si="4"/>
        <v>11371</v>
      </c>
      <c r="J13" s="37">
        <f t="shared" si="4"/>
        <v>10170</v>
      </c>
      <c r="K13" s="28">
        <f t="shared" si="4"/>
        <v>11830</v>
      </c>
      <c r="L13" s="28">
        <f t="shared" si="4"/>
        <v>13870</v>
      </c>
      <c r="M13" s="28">
        <f t="shared" si="4"/>
        <v>14833</v>
      </c>
      <c r="N13" s="37">
        <f t="shared" si="4"/>
        <v>15000</v>
      </c>
      <c r="O13" s="28">
        <f t="shared" si="4"/>
        <v>16217</v>
      </c>
      <c r="P13" s="28">
        <f t="shared" si="4"/>
        <v>17463</v>
      </c>
      <c r="Q13" s="28">
        <f t="shared" si="4"/>
        <v>17075</v>
      </c>
      <c r="R13" s="37">
        <f t="shared" ref="R13:S13" si="5">SUM(R11:R12)</f>
        <v>15575</v>
      </c>
      <c r="S13" s="28">
        <f t="shared" si="5"/>
        <v>17295</v>
      </c>
      <c r="T13" s="28">
        <f t="shared" ref="T13:V13" si="6">SUM(T11:T12)</f>
        <v>19258</v>
      </c>
      <c r="U13" s="28">
        <f t="shared" si="6"/>
        <v>22714</v>
      </c>
      <c r="V13" s="37">
        <f t="shared" si="6"/>
        <v>21207</v>
      </c>
      <c r="W13" s="28">
        <f t="shared" ref="W13:X13" si="7">SUM(W11:W12)</f>
        <v>24255</v>
      </c>
      <c r="X13" s="28">
        <f t="shared" si="7"/>
        <v>26109</v>
      </c>
      <c r="Y13" s="28">
        <f t="shared" ref="Y13" si="8">SUM(Y11:Y12)</f>
        <v>30070.5</v>
      </c>
    </row>
    <row r="14" spans="1:25" s="5" customFormat="1" x14ac:dyDescent="0.15">
      <c r="A14" s="60" t="s">
        <v>15</v>
      </c>
      <c r="B14" s="28">
        <f t="shared" ref="B14:Q14" si="9">B10-B13</f>
        <v>8440</v>
      </c>
      <c r="C14" s="28">
        <f t="shared" si="9"/>
        <v>8826</v>
      </c>
      <c r="D14" s="28">
        <f t="shared" si="9"/>
        <v>9158</v>
      </c>
      <c r="E14" s="28">
        <f t="shared" si="9"/>
        <v>9990</v>
      </c>
      <c r="F14" s="37">
        <f t="shared" si="9"/>
        <v>12189</v>
      </c>
      <c r="G14" s="28">
        <f t="shared" si="9"/>
        <v>12792</v>
      </c>
      <c r="H14" s="28">
        <f t="shared" si="9"/>
        <v>12668</v>
      </c>
      <c r="I14" s="28">
        <f t="shared" si="9"/>
        <v>12255</v>
      </c>
      <c r="J14" s="37">
        <f t="shared" si="9"/>
        <v>15273</v>
      </c>
      <c r="K14" s="28">
        <f t="shared" si="9"/>
        <v>16476</v>
      </c>
      <c r="L14" s="28">
        <f t="shared" si="9"/>
        <v>17811</v>
      </c>
      <c r="M14" s="28">
        <f t="shared" si="9"/>
        <v>16662</v>
      </c>
      <c r="N14" s="37">
        <f t="shared" si="9"/>
        <v>22042</v>
      </c>
      <c r="O14" s="28">
        <f t="shared" si="9"/>
        <v>18229</v>
      </c>
      <c r="P14" s="28">
        <f t="shared" si="9"/>
        <v>18017</v>
      </c>
      <c r="Q14" s="28">
        <f t="shared" si="9"/>
        <v>18077</v>
      </c>
      <c r="R14" s="37">
        <f t="shared" ref="R14:S14" si="10">R10-R13</f>
        <v>24245</v>
      </c>
      <c r="S14" s="28">
        <f t="shared" si="10"/>
        <v>21831</v>
      </c>
      <c r="T14" s="28">
        <f t="shared" ref="T14:V14" si="11">T10-T13</f>
        <v>23221</v>
      </c>
      <c r="U14" s="28">
        <f t="shared" si="11"/>
        <v>23394</v>
      </c>
      <c r="V14" s="37">
        <f t="shared" si="11"/>
        <v>31587</v>
      </c>
      <c r="W14" s="28">
        <f t="shared" ref="W14:X14" si="12">W10-W13</f>
        <v>28955</v>
      </c>
      <c r="X14" s="28">
        <f t="shared" si="12"/>
        <v>30538</v>
      </c>
      <c r="Y14" s="28">
        <f t="shared" ref="Y14" si="13">Y10-Y13</f>
        <v>29806.585120010837</v>
      </c>
    </row>
    <row r="15" spans="1:25" s="5" customFormat="1" x14ac:dyDescent="0.15">
      <c r="A15" s="60" t="s">
        <v>16</v>
      </c>
      <c r="B15" s="24">
        <f>521+411-433-310</f>
        <v>189</v>
      </c>
      <c r="C15" s="24">
        <f>598+612-341-452</f>
        <v>417</v>
      </c>
      <c r="D15" s="24">
        <f>559+614-481-702</f>
        <v>-10</v>
      </c>
      <c r="E15" s="24">
        <f>649+249-363-1329</f>
        <v>-794</v>
      </c>
      <c r="F15" s="25">
        <f>703+506-491-1089</f>
        <v>-371</v>
      </c>
      <c r="G15" s="24">
        <f>626+911-377-292</f>
        <v>868</v>
      </c>
      <c r="H15" s="24">
        <f>637+1155-604-619</f>
        <v>569</v>
      </c>
      <c r="I15" s="24">
        <f>653+1022-483-522</f>
        <v>670</v>
      </c>
      <c r="J15" s="25">
        <f>808+3158-691-375</f>
        <v>2900</v>
      </c>
      <c r="K15" s="24">
        <f>959+5125-834+498</f>
        <v>5748</v>
      </c>
      <c r="L15" s="24">
        <f>1017+3918-524+818</f>
        <v>5229</v>
      </c>
      <c r="M15" s="24">
        <f>1156+7906-859-120</f>
        <v>8083</v>
      </c>
      <c r="N15" s="25">
        <f>1065+7585-654-319</f>
        <v>7677</v>
      </c>
      <c r="O15" s="24">
        <f>1072+2506-1151+1526</f>
        <v>3953</v>
      </c>
      <c r="P15" s="24">
        <f>1082+8762-1492+264</f>
        <v>8616</v>
      </c>
      <c r="Q15" s="24">
        <f>1350-2139-1372+16</f>
        <v>-2145</v>
      </c>
      <c r="R15" s="25">
        <f>1408+11089-1117-2957</f>
        <v>8423</v>
      </c>
      <c r="S15" s="24">
        <f>1652+4038-1982+2370</f>
        <v>6078</v>
      </c>
      <c r="T15" s="24">
        <f>1674+932-1747+234</f>
        <v>1093</v>
      </c>
      <c r="U15" s="24">
        <f>1580+3630-2767-1328</f>
        <v>1115</v>
      </c>
      <c r="V15" s="25">
        <f>1636+4037-1684-281</f>
        <v>3708</v>
      </c>
      <c r="W15" s="24">
        <f>1749+8607-2005-295</f>
        <v>8056</v>
      </c>
      <c r="X15" s="24">
        <f>1864+11551-1945+2630</f>
        <v>14100</v>
      </c>
      <c r="Y15" s="5">
        <f>AVERAGE(V15:X15)</f>
        <v>8621.3333333333339</v>
      </c>
    </row>
    <row r="16" spans="1:25" s="5" customFormat="1" x14ac:dyDescent="0.15">
      <c r="A16" s="60" t="s">
        <v>17</v>
      </c>
      <c r="B16" s="28">
        <f t="shared" ref="B16:R16" si="14">B14+B15</f>
        <v>8629</v>
      </c>
      <c r="C16" s="28">
        <f t="shared" si="14"/>
        <v>9243</v>
      </c>
      <c r="D16" s="28">
        <f t="shared" si="14"/>
        <v>9148</v>
      </c>
      <c r="E16" s="28">
        <f t="shared" si="14"/>
        <v>9196</v>
      </c>
      <c r="F16" s="37">
        <f t="shared" si="14"/>
        <v>11818</v>
      </c>
      <c r="G16" s="28">
        <f t="shared" si="14"/>
        <v>13660</v>
      </c>
      <c r="H16" s="28">
        <f t="shared" si="14"/>
        <v>13237</v>
      </c>
      <c r="I16" s="28">
        <f t="shared" si="14"/>
        <v>12925</v>
      </c>
      <c r="J16" s="37">
        <f t="shared" si="14"/>
        <v>18173</v>
      </c>
      <c r="K16" s="28">
        <f t="shared" si="14"/>
        <v>22224</v>
      </c>
      <c r="L16" s="28">
        <f t="shared" si="14"/>
        <v>23040</v>
      </c>
      <c r="M16" s="28">
        <f t="shared" si="14"/>
        <v>24745</v>
      </c>
      <c r="N16" s="37">
        <f t="shared" si="14"/>
        <v>29719</v>
      </c>
      <c r="O16" s="28">
        <f t="shared" si="14"/>
        <v>22182</v>
      </c>
      <c r="P16" s="28">
        <f t="shared" si="14"/>
        <v>26633</v>
      </c>
      <c r="Q16" s="28">
        <f t="shared" si="14"/>
        <v>15932</v>
      </c>
      <c r="R16" s="37">
        <f t="shared" si="14"/>
        <v>32668</v>
      </c>
      <c r="S16" s="28">
        <f t="shared" ref="S16:T16" si="15">S14+S15</f>
        <v>27909</v>
      </c>
      <c r="T16" s="28">
        <f t="shared" si="15"/>
        <v>24314</v>
      </c>
      <c r="U16" s="28">
        <f t="shared" ref="U16:Y16" si="16">U14+U15</f>
        <v>24509</v>
      </c>
      <c r="V16" s="37">
        <f t="shared" si="16"/>
        <v>35295</v>
      </c>
      <c r="W16" s="28">
        <f t="shared" si="16"/>
        <v>37011</v>
      </c>
      <c r="X16" s="28">
        <f t="shared" si="16"/>
        <v>44638</v>
      </c>
      <c r="Y16" s="28">
        <f t="shared" si="16"/>
        <v>38427.918453344173</v>
      </c>
    </row>
    <row r="17" spans="1:25" s="5" customFormat="1" x14ac:dyDescent="0.15">
      <c r="A17" s="60" t="s">
        <v>18</v>
      </c>
      <c r="B17" s="24">
        <v>1699</v>
      </c>
      <c r="C17" s="24">
        <v>1847</v>
      </c>
      <c r="D17" s="24">
        <v>1564</v>
      </c>
      <c r="E17" s="24">
        <v>1998</v>
      </c>
      <c r="F17" s="25">
        <v>2550</v>
      </c>
      <c r="G17" s="24">
        <v>2780</v>
      </c>
      <c r="H17" s="24">
        <v>2461</v>
      </c>
      <c r="I17" s="24">
        <v>2402</v>
      </c>
      <c r="J17" s="25">
        <v>3658</v>
      </c>
      <c r="K17" s="24">
        <v>3970</v>
      </c>
      <c r="L17" s="24">
        <v>4993</v>
      </c>
      <c r="M17" s="24">
        <v>3123</v>
      </c>
      <c r="N17" s="25">
        <v>5746</v>
      </c>
      <c r="O17" s="24">
        <v>3602</v>
      </c>
      <c r="P17" s="24">
        <v>3228</v>
      </c>
      <c r="Q17" s="24">
        <v>1906</v>
      </c>
      <c r="R17" s="25">
        <v>4812</v>
      </c>
      <c r="S17" s="24">
        <v>3225</v>
      </c>
      <c r="T17" s="24">
        <v>3338</v>
      </c>
      <c r="U17" s="24">
        <v>2137</v>
      </c>
      <c r="V17" s="25">
        <v>5892</v>
      </c>
      <c r="W17" s="24">
        <v>4557</v>
      </c>
      <c r="X17" s="24">
        <v>5739</v>
      </c>
      <c r="Y17" s="5">
        <f>Y16*X28</f>
        <v>4940.5847933093382</v>
      </c>
    </row>
    <row r="18" spans="1:25" s="26" customFormat="1" x14ac:dyDescent="0.15">
      <c r="A18" s="62" t="s">
        <v>8</v>
      </c>
      <c r="B18" s="27">
        <f t="shared" ref="B18:Q18" si="17">B16-B17</f>
        <v>6930</v>
      </c>
      <c r="C18" s="27">
        <f t="shared" si="17"/>
        <v>7396</v>
      </c>
      <c r="D18" s="27">
        <f t="shared" si="17"/>
        <v>7584</v>
      </c>
      <c r="E18" s="27">
        <f t="shared" si="17"/>
        <v>7198</v>
      </c>
      <c r="F18" s="36">
        <f t="shared" si="17"/>
        <v>9268</v>
      </c>
      <c r="G18" s="27">
        <f t="shared" si="17"/>
        <v>10880</v>
      </c>
      <c r="H18" s="27">
        <f t="shared" si="17"/>
        <v>10776</v>
      </c>
      <c r="I18" s="27">
        <f t="shared" si="17"/>
        <v>10523</v>
      </c>
      <c r="J18" s="36">
        <f t="shared" si="17"/>
        <v>14515</v>
      </c>
      <c r="K18" s="27">
        <f t="shared" si="17"/>
        <v>18254</v>
      </c>
      <c r="L18" s="27">
        <f t="shared" si="17"/>
        <v>18047</v>
      </c>
      <c r="M18" s="27">
        <f t="shared" si="17"/>
        <v>21622</v>
      </c>
      <c r="N18" s="36">
        <f t="shared" si="17"/>
        <v>23973</v>
      </c>
      <c r="O18" s="27">
        <f t="shared" si="17"/>
        <v>18580</v>
      </c>
      <c r="P18" s="27">
        <f t="shared" si="17"/>
        <v>23405</v>
      </c>
      <c r="Q18" s="27">
        <f t="shared" si="17"/>
        <v>14026</v>
      </c>
      <c r="R18" s="36">
        <f t="shared" ref="R18:S18" si="18">R16-R17</f>
        <v>27856</v>
      </c>
      <c r="S18" s="27">
        <f t="shared" si="18"/>
        <v>24684</v>
      </c>
      <c r="T18" s="27">
        <f t="shared" ref="T18:V18" si="19">T16-T17</f>
        <v>20976</v>
      </c>
      <c r="U18" s="27">
        <f t="shared" si="19"/>
        <v>22372</v>
      </c>
      <c r="V18" s="36">
        <f t="shared" si="19"/>
        <v>29403</v>
      </c>
      <c r="W18" s="27">
        <f t="shared" ref="W18:X18" si="20">W16-W17</f>
        <v>32454</v>
      </c>
      <c r="X18" s="27">
        <f t="shared" si="20"/>
        <v>38899</v>
      </c>
      <c r="Y18" s="27">
        <f t="shared" ref="Y18" si="21">Y16-Y17</f>
        <v>33487.333660034834</v>
      </c>
    </row>
    <row r="19" spans="1:25" s="4" customFormat="1" x14ac:dyDescent="0.15">
      <c r="A19" s="63" t="s">
        <v>19</v>
      </c>
      <c r="B19" s="34">
        <f t="shared" ref="B19:Q19" si="22">B18/B20</f>
        <v>0.73801916932907352</v>
      </c>
      <c r="C19" s="34">
        <f t="shared" si="22"/>
        <v>0.79578222509145691</v>
      </c>
      <c r="D19" s="34">
        <f t="shared" si="22"/>
        <v>0.80680851063829784</v>
      </c>
      <c r="E19" s="34">
        <f t="shared" si="22"/>
        <v>0.77264920566766848</v>
      </c>
      <c r="F19" s="38">
        <f t="shared" si="22"/>
        <v>0.99048840440312069</v>
      </c>
      <c r="G19" s="34">
        <f t="shared" si="22"/>
        <v>1.1612765503255418</v>
      </c>
      <c r="H19" s="34">
        <f t="shared" si="22"/>
        <v>1.1350326522013903</v>
      </c>
      <c r="I19" s="34">
        <f t="shared" si="22"/>
        <v>1.1083842426795871</v>
      </c>
      <c r="J19" s="38">
        <f t="shared" si="22"/>
        <v>1.5261276416780569</v>
      </c>
      <c r="K19" s="34">
        <f t="shared" si="22"/>
        <v>1.9166316673666526</v>
      </c>
      <c r="L19" s="34">
        <f t="shared" si="22"/>
        <v>1.8923141449093006</v>
      </c>
      <c r="M19" s="34">
        <f t="shared" si="22"/>
        <v>2.2975241738391246</v>
      </c>
      <c r="N19" s="38">
        <f t="shared" si="22"/>
        <v>2.5065872020075282</v>
      </c>
      <c r="O19" s="34">
        <f t="shared" si="22"/>
        <v>1.9686374231828778</v>
      </c>
      <c r="P19" s="34">
        <f t="shared" si="22"/>
        <v>2.4497592631358591</v>
      </c>
      <c r="Q19" s="34">
        <f t="shared" si="22"/>
        <v>1.465928093645485</v>
      </c>
      <c r="R19" s="38">
        <f t="shared" ref="R19:S19" si="23">R18/R20</f>
        <v>2.9116755513745165</v>
      </c>
      <c r="S19" s="34">
        <f t="shared" si="23"/>
        <v>2.5771559824598036</v>
      </c>
      <c r="T19" s="34">
        <f t="shared" ref="T19:V19" si="24">T18/T20</f>
        <v>2.1888761348220807</v>
      </c>
      <c r="U19" s="34">
        <f t="shared" si="24"/>
        <v>2.3296886389669895</v>
      </c>
      <c r="V19" s="38">
        <f t="shared" si="24"/>
        <v>3.0788481675392672</v>
      </c>
      <c r="W19" s="34" t="e">
        <f t="shared" ref="W19:X19" si="25">W18/W20</f>
        <v>#DIV/0!</v>
      </c>
      <c r="X19" s="34" t="e">
        <f t="shared" si="25"/>
        <v>#DIV/0!</v>
      </c>
      <c r="Y19" s="34" t="e">
        <f t="shared" ref="Y19" si="26">Y18/Y20</f>
        <v>#DIV/0!</v>
      </c>
    </row>
    <row r="20" spans="1:25" s="5" customFormat="1" x14ac:dyDescent="0.15">
      <c r="A20" s="60" t="s">
        <v>0</v>
      </c>
      <c r="B20" s="24">
        <v>9390</v>
      </c>
      <c r="C20" s="24">
        <v>9294</v>
      </c>
      <c r="D20" s="24">
        <v>9400</v>
      </c>
      <c r="E20" s="24">
        <v>9316</v>
      </c>
      <c r="F20" s="25">
        <v>9357</v>
      </c>
      <c r="G20" s="24">
        <v>9369</v>
      </c>
      <c r="H20" s="24">
        <v>9494</v>
      </c>
      <c r="I20" s="24">
        <v>9494</v>
      </c>
      <c r="J20" s="25">
        <v>9511</v>
      </c>
      <c r="K20" s="24">
        <v>9524</v>
      </c>
      <c r="L20" s="24">
        <v>9537</v>
      </c>
      <c r="M20" s="24">
        <v>9411</v>
      </c>
      <c r="N20" s="25">
        <v>9564</v>
      </c>
      <c r="O20" s="24">
        <v>9438</v>
      </c>
      <c r="P20" s="24">
        <v>9554</v>
      </c>
      <c r="Q20" s="24">
        <v>9568</v>
      </c>
      <c r="R20" s="25">
        <v>9567</v>
      </c>
      <c r="S20" s="24">
        <v>9578</v>
      </c>
      <c r="T20" s="24">
        <v>9583</v>
      </c>
      <c r="U20" s="24">
        <v>9603</v>
      </c>
      <c r="V20" s="25">
        <v>9550</v>
      </c>
      <c r="W20" s="24"/>
      <c r="X20" s="24"/>
    </row>
    <row r="22" spans="1:25" s="2" customFormat="1" x14ac:dyDescent="0.15">
      <c r="A22" s="64" t="s">
        <v>9</v>
      </c>
      <c r="B22" s="32"/>
      <c r="C22" s="32"/>
      <c r="D22" s="32"/>
      <c r="E22" s="30"/>
      <c r="F22" s="39">
        <f t="shared" ref="F22:T22" si="27">F8/B8-1</f>
        <v>0.42841198267779812</v>
      </c>
      <c r="G22" s="32">
        <f t="shared" si="27"/>
        <v>0.5233684749669214</v>
      </c>
      <c r="H22" s="32">
        <f t="shared" si="27"/>
        <v>0.51868842596074294</v>
      </c>
      <c r="I22" s="32">
        <f t="shared" si="27"/>
        <v>0.44095134851023299</v>
      </c>
      <c r="J22" s="39">
        <f t="shared" si="27"/>
        <v>0.54874199093608378</v>
      </c>
      <c r="K22" s="32">
        <f t="shared" si="27"/>
        <v>0.58600207335182541</v>
      </c>
      <c r="L22" s="32">
        <f t="shared" si="27"/>
        <v>0.61458849163117768</v>
      </c>
      <c r="M22" s="32">
        <f t="shared" si="27"/>
        <v>0.51358745212474921</v>
      </c>
      <c r="N22" s="39">
        <f t="shared" si="27"/>
        <v>0.48385534388117524</v>
      </c>
      <c r="O22" s="32">
        <f t="shared" si="27"/>
        <v>0.3015404727414055</v>
      </c>
      <c r="P22" s="32">
        <f t="shared" si="27"/>
        <v>0.23593007207483518</v>
      </c>
      <c r="Q22" s="32">
        <f t="shared" si="27"/>
        <v>0.2787082781057959</v>
      </c>
      <c r="R22" s="39">
        <f t="shared" si="27"/>
        <v>0.16234631704928737</v>
      </c>
      <c r="S22" s="32">
        <f t="shared" si="27"/>
        <v>0.20557855446216489</v>
      </c>
      <c r="T22" s="32">
        <f t="shared" si="27"/>
        <v>0.20647682858738126</v>
      </c>
      <c r="U22" s="32">
        <f>U8/Q8-1</f>
        <v>0.24584197135318497</v>
      </c>
      <c r="V22" s="39">
        <f>V8/R8-1</f>
        <v>0.2644357339261687</v>
      </c>
      <c r="W22" s="32">
        <f t="shared" ref="W22:Y22" si="28">W8/S8-1</f>
        <v>0.29342160074757095</v>
      </c>
      <c r="X22" s="32">
        <f t="shared" si="28"/>
        <v>0.29012917026615659</v>
      </c>
      <c r="Y22" s="32">
        <f t="shared" si="28"/>
        <v>0.25370058713965604</v>
      </c>
    </row>
    <row r="23" spans="1:25" x14ac:dyDescent="0.15">
      <c r="A23" s="59" t="s">
        <v>136</v>
      </c>
      <c r="B23" s="29"/>
      <c r="C23" s="29"/>
      <c r="D23" s="29"/>
      <c r="F23" s="33">
        <f t="shared" ref="F23:R24" si="29">F11/B11-1</f>
        <v>0.53242835595776783</v>
      </c>
      <c r="G23" s="29">
        <f t="shared" si="29"/>
        <v>0.47720174890693312</v>
      </c>
      <c r="H23" s="29">
        <f t="shared" si="29"/>
        <v>0.60479921645445645</v>
      </c>
      <c r="I23" s="29">
        <f t="shared" si="29"/>
        <v>0.47552910052910047</v>
      </c>
      <c r="J23" s="33">
        <f t="shared" si="29"/>
        <v>0.55413385826771644</v>
      </c>
      <c r="K23" s="29">
        <f t="shared" si="29"/>
        <v>0.54756871035940802</v>
      </c>
      <c r="L23" s="29">
        <f t="shared" si="29"/>
        <v>0.46841623436069568</v>
      </c>
      <c r="M23" s="29">
        <f t="shared" si="29"/>
        <v>0.34961900493052434</v>
      </c>
      <c r="N23" s="33">
        <f t="shared" si="29"/>
        <v>0.76377454084863827</v>
      </c>
      <c r="O23" s="29">
        <f t="shared" si="29"/>
        <v>0.73770491803278682</v>
      </c>
      <c r="P23" s="29">
        <f t="shared" si="29"/>
        <v>0.36596009975062338</v>
      </c>
      <c r="Q23" s="29">
        <f t="shared" si="29"/>
        <v>-4.848887412819658E-2</v>
      </c>
      <c r="R23" s="33">
        <f t="shared" si="29"/>
        <v>-0.23806104129263916</v>
      </c>
      <c r="S23" s="29">
        <f t="shared" ref="S23:Y24" si="30">S11/O11-1</f>
        <v>-0.25817610062893082</v>
      </c>
      <c r="T23" s="29">
        <f t="shared" si="30"/>
        <v>-0.12946904001217097</v>
      </c>
      <c r="U23" s="29">
        <f t="shared" si="30"/>
        <v>0.17137870855148352</v>
      </c>
      <c r="V23" s="33">
        <f t="shared" si="30"/>
        <v>0.66093308199811496</v>
      </c>
      <c r="W23" s="29">
        <f t="shared" si="30"/>
        <v>0.64391691394658745</v>
      </c>
      <c r="X23" s="29">
        <f t="shared" si="30"/>
        <v>0.55889549108703251</v>
      </c>
      <c r="Y23" s="29">
        <f t="shared" si="30"/>
        <v>0.5</v>
      </c>
    </row>
    <row r="24" spans="1:25" x14ac:dyDescent="0.15">
      <c r="A24" s="59" t="s">
        <v>137</v>
      </c>
      <c r="B24" s="29"/>
      <c r="C24" s="29"/>
      <c r="D24" s="29"/>
      <c r="F24" s="33">
        <f t="shared" si="29"/>
        <v>0.19083969465648853</v>
      </c>
      <c r="G24" s="29">
        <f t="shared" si="29"/>
        <v>0.32111692844677142</v>
      </c>
      <c r="H24" s="29">
        <f t="shared" si="29"/>
        <v>0.34315068493150691</v>
      </c>
      <c r="I24" s="29">
        <f t="shared" si="29"/>
        <v>0.44964330675618958</v>
      </c>
      <c r="J24" s="33">
        <f t="shared" si="29"/>
        <v>0.60531135531135538</v>
      </c>
      <c r="K24" s="29">
        <f t="shared" si="29"/>
        <v>0.54180033968673325</v>
      </c>
      <c r="L24" s="29">
        <f t="shared" si="29"/>
        <v>0.53969063403025674</v>
      </c>
      <c r="M24" s="29">
        <f t="shared" si="29"/>
        <v>0.27529309596178897</v>
      </c>
      <c r="N24" s="33">
        <f t="shared" si="29"/>
        <v>0.34483742156303476</v>
      </c>
      <c r="O24" s="29">
        <f t="shared" si="29"/>
        <v>0.20648714810281521</v>
      </c>
      <c r="P24" s="29">
        <f t="shared" si="29"/>
        <v>0.20225215279311115</v>
      </c>
      <c r="Q24" s="29">
        <f t="shared" si="29"/>
        <v>0.28759505163999544</v>
      </c>
      <c r="R24" s="33">
        <f t="shared" si="29"/>
        <v>0.20159066808059389</v>
      </c>
      <c r="S24" s="29">
        <f t="shared" si="30"/>
        <v>0.27594602820330727</v>
      </c>
      <c r="T24" s="29">
        <f t="shared" si="30"/>
        <v>0.24297520661157024</v>
      </c>
      <c r="U24" s="29">
        <f t="shared" si="30"/>
        <v>0.41048920229175856</v>
      </c>
      <c r="V24" s="33">
        <f t="shared" si="30"/>
        <v>0.24949254258229625</v>
      </c>
      <c r="W24" s="29">
        <f t="shared" si="30"/>
        <v>0.31183907132066468</v>
      </c>
      <c r="X24" s="29">
        <f t="shared" si="30"/>
        <v>0.26987293144208047</v>
      </c>
      <c r="Y24" s="29">
        <f t="shared" si="30"/>
        <v>0.25</v>
      </c>
    </row>
    <row r="25" spans="1:25" x14ac:dyDescent="0.15">
      <c r="Y25" s="20"/>
    </row>
    <row r="26" spans="1:25" x14ac:dyDescent="0.15">
      <c r="A26" s="59" t="s">
        <v>20</v>
      </c>
      <c r="B26" s="29">
        <f t="shared" ref="B26:Q26" si="31">B10/B8</f>
        <v>0.59975891780883073</v>
      </c>
      <c r="C26" s="29">
        <f t="shared" si="31"/>
        <v>0.61624482478979048</v>
      </c>
      <c r="D26" s="29">
        <f t="shared" si="31"/>
        <v>0.5858464315259081</v>
      </c>
      <c r="E26" s="29">
        <f t="shared" si="31"/>
        <v>0.58408068066095065</v>
      </c>
      <c r="F26" s="33">
        <f t="shared" si="31"/>
        <v>0.58099703078606035</v>
      </c>
      <c r="G26" s="29">
        <f t="shared" si="31"/>
        <v>0.57314168838082424</v>
      </c>
      <c r="H26" s="29">
        <f t="shared" si="31"/>
        <v>0.54045756165197578</v>
      </c>
      <c r="I26" s="29">
        <f t="shared" si="31"/>
        <v>0.5386193689585993</v>
      </c>
      <c r="J26" s="33">
        <f t="shared" si="31"/>
        <v>0.51346060703907004</v>
      </c>
      <c r="K26" s="29">
        <f t="shared" si="31"/>
        <v>0.50005299791541535</v>
      </c>
      <c r="L26" s="29">
        <f t="shared" si="31"/>
        <v>0.48583039411133261</v>
      </c>
      <c r="M26" s="29">
        <f t="shared" si="31"/>
        <v>0.47437944330642245</v>
      </c>
      <c r="N26" s="33">
        <f t="shared" si="31"/>
        <v>0.50378087259275373</v>
      </c>
      <c r="O26" s="29">
        <f t="shared" si="31"/>
        <v>0.46753987105531047</v>
      </c>
      <c r="P26" s="29">
        <f t="shared" si="31"/>
        <v>0.44022582046032632</v>
      </c>
      <c r="Q26" s="29">
        <f t="shared" si="31"/>
        <v>0.41405955522050508</v>
      </c>
      <c r="R26" s="33">
        <f t="shared" ref="R26:S26" si="32">R10/R8</f>
        <v>0.46592172234247936</v>
      </c>
      <c r="S26" s="29">
        <f t="shared" si="32"/>
        <v>0.44050393488026479</v>
      </c>
      <c r="T26" s="29">
        <f t="shared" ref="T26:V26" si="33">T10/T8</f>
        <v>0.43686494713891977</v>
      </c>
      <c r="U26" s="29">
        <f t="shared" si="33"/>
        <v>0.43593937617593387</v>
      </c>
      <c r="V26" s="33">
        <f t="shared" si="33"/>
        <v>0.48853930504788784</v>
      </c>
      <c r="W26" s="29">
        <f t="shared" ref="W26:X26" si="34">W10/W8</f>
        <v>0.4631668741241089</v>
      </c>
      <c r="X26" s="29">
        <f t="shared" si="34"/>
        <v>0.45156121708769442</v>
      </c>
      <c r="Y26" s="29">
        <f t="shared" ref="Y26" si="35">Y10/Y8</f>
        <v>0.45156121708769442</v>
      </c>
    </row>
    <row r="27" spans="1:25" x14ac:dyDescent="0.15">
      <c r="A27" s="59" t="s">
        <v>21</v>
      </c>
      <c r="B27" s="29">
        <f t="shared" ref="B27:Q27" si="36">B14/B8</f>
        <v>0.37680253582749229</v>
      </c>
      <c r="C27" s="29">
        <f t="shared" si="36"/>
        <v>0.37671262111058945</v>
      </c>
      <c r="D27" s="29">
        <f t="shared" si="36"/>
        <v>0.34436339023839962</v>
      </c>
      <c r="E27" s="29">
        <f t="shared" si="36"/>
        <v>0.328175815511974</v>
      </c>
      <c r="F27" s="33">
        <f t="shared" si="36"/>
        <v>0.38096577590248476</v>
      </c>
      <c r="G27" s="29">
        <f t="shared" si="36"/>
        <v>0.35840968311338994</v>
      </c>
      <c r="H27" s="29">
        <f t="shared" si="36"/>
        <v>0.31365752203624842</v>
      </c>
      <c r="I27" s="29">
        <f t="shared" si="36"/>
        <v>0.27938628488053985</v>
      </c>
      <c r="J27" s="33">
        <f t="shared" si="36"/>
        <v>0.30822166612851148</v>
      </c>
      <c r="K27" s="29">
        <f t="shared" si="36"/>
        <v>0.29106455146097587</v>
      </c>
      <c r="L27" s="29">
        <f t="shared" si="36"/>
        <v>0.27313295506824109</v>
      </c>
      <c r="M27" s="29">
        <f t="shared" si="36"/>
        <v>0.25096397156283889</v>
      </c>
      <c r="N27" s="33">
        <f t="shared" si="36"/>
        <v>0.29977695571754975</v>
      </c>
      <c r="O27" s="29">
        <f t="shared" si="36"/>
        <v>0.24742449949100781</v>
      </c>
      <c r="P27" s="29">
        <f t="shared" si="36"/>
        <v>0.22354984800545941</v>
      </c>
      <c r="Q27" s="29">
        <f t="shared" si="36"/>
        <v>0.21293111571805504</v>
      </c>
      <c r="R27" s="33">
        <f t="shared" ref="R27:S27" si="37">R14/R8</f>
        <v>0.28368337916106007</v>
      </c>
      <c r="S27" s="29">
        <f t="shared" si="37"/>
        <v>0.24578646941601648</v>
      </c>
      <c r="T27" s="29">
        <f t="shared" ref="T27:V27" si="38">T14/T8</f>
        <v>0.23881072853675595</v>
      </c>
      <c r="U27" s="29">
        <f t="shared" si="38"/>
        <v>0.22118430134162831</v>
      </c>
      <c r="V27" s="33">
        <f t="shared" si="38"/>
        <v>0.2922963031508814</v>
      </c>
      <c r="W27" s="29">
        <f t="shared" ref="W27:X27" si="39">W14/W8</f>
        <v>0.25203903101416225</v>
      </c>
      <c r="X27" s="29">
        <f t="shared" si="39"/>
        <v>0.24343348186883704</v>
      </c>
      <c r="Y27" s="29">
        <f t="shared" ref="Y27" si="40">Y14/Y8</f>
        <v>0.22478545552181381</v>
      </c>
    </row>
    <row r="28" spans="1:25" x14ac:dyDescent="0.15">
      <c r="A28" s="59" t="s">
        <v>22</v>
      </c>
      <c r="B28" s="29">
        <f t="shared" ref="B28:Q28" si="41">B17/B16</f>
        <v>0.1968941939969869</v>
      </c>
      <c r="C28" s="29">
        <f t="shared" si="41"/>
        <v>0.19982689602942769</v>
      </c>
      <c r="D28" s="29">
        <f t="shared" si="41"/>
        <v>0.17096633143856579</v>
      </c>
      <c r="E28" s="29">
        <f t="shared" si="41"/>
        <v>0.21726837755545889</v>
      </c>
      <c r="F28" s="33">
        <f t="shared" si="41"/>
        <v>0.21577255034692841</v>
      </c>
      <c r="G28" s="29">
        <f t="shared" si="41"/>
        <v>0.20351390922401172</v>
      </c>
      <c r="H28" s="29">
        <f t="shared" si="41"/>
        <v>0.18591825942434087</v>
      </c>
      <c r="I28" s="29">
        <f t="shared" si="41"/>
        <v>0.18584139264990329</v>
      </c>
      <c r="J28" s="33">
        <f t="shared" si="41"/>
        <v>0.20128762449788148</v>
      </c>
      <c r="K28" s="29">
        <f t="shared" si="41"/>
        <v>0.17863570914326854</v>
      </c>
      <c r="L28" s="29">
        <f t="shared" si="41"/>
        <v>0.21671006944444443</v>
      </c>
      <c r="M28" s="29">
        <f t="shared" si="41"/>
        <v>0.12620731460901191</v>
      </c>
      <c r="N28" s="33">
        <f t="shared" si="41"/>
        <v>0.19334432517917829</v>
      </c>
      <c r="O28" s="29">
        <f t="shared" si="41"/>
        <v>0.16238391488594356</v>
      </c>
      <c r="P28" s="29">
        <f t="shared" si="41"/>
        <v>0.1212030188112492</v>
      </c>
      <c r="Q28" s="29">
        <f t="shared" si="41"/>
        <v>0.11963344212904846</v>
      </c>
      <c r="R28" s="33">
        <f t="shared" ref="R28:S28" si="42">R17/R16</f>
        <v>0.14730011019958369</v>
      </c>
      <c r="S28" s="29">
        <f t="shared" si="42"/>
        <v>0.11555412232613135</v>
      </c>
      <c r="T28" s="29">
        <f t="shared" ref="T28:V28" si="43">T17/T16</f>
        <v>0.13728715966110061</v>
      </c>
      <c r="U28" s="29">
        <f t="shared" si="43"/>
        <v>8.7192459912685136E-2</v>
      </c>
      <c r="V28" s="33">
        <f t="shared" si="43"/>
        <v>0.1669358266043349</v>
      </c>
      <c r="W28" s="29">
        <f t="shared" ref="W28:X28" si="44">W17/W16</f>
        <v>0.12312555726675853</v>
      </c>
      <c r="X28" s="29">
        <f t="shared" si="44"/>
        <v>0.12856758815359112</v>
      </c>
      <c r="Y28" s="29">
        <f t="shared" ref="Y28" si="45">Y17/Y16</f>
        <v>0.12856758815359112</v>
      </c>
    </row>
    <row r="30" spans="1:25" s="2" customFormat="1" x14ac:dyDescent="0.15">
      <c r="A30" s="64" t="s">
        <v>2</v>
      </c>
      <c r="B30" s="30"/>
      <c r="C30" s="30"/>
      <c r="D30" s="20"/>
      <c r="E30" s="20"/>
      <c r="F30" s="31"/>
      <c r="G30" s="30"/>
      <c r="H30" s="20"/>
      <c r="I30" s="27">
        <f t="shared" ref="I30" si="46">I31-I32</f>
        <v>18890</v>
      </c>
      <c r="J30" s="31"/>
      <c r="K30" s="30"/>
      <c r="L30" s="20"/>
      <c r="M30" s="27">
        <f t="shared" ref="M30:Q30" si="47">M31-M32</f>
        <v>17487</v>
      </c>
      <c r="N30" s="21"/>
      <c r="O30" s="20"/>
      <c r="P30" s="20"/>
      <c r="Q30" s="27">
        <f t="shared" si="47"/>
        <v>-9792</v>
      </c>
      <c r="R30" s="21"/>
      <c r="S30" s="20"/>
      <c r="T30" s="20"/>
      <c r="U30" s="27">
        <f>U31-U32</f>
        <v>-12617</v>
      </c>
      <c r="V30" s="36">
        <f>V31-V32</f>
        <v>-3107</v>
      </c>
      <c r="W30" s="30"/>
      <c r="X30" s="67">
        <f>X31-X32</f>
        <v>8703</v>
      </c>
    </row>
    <row r="31" spans="1:25" s="5" customFormat="1" x14ac:dyDescent="0.15">
      <c r="A31" s="60" t="s">
        <v>30</v>
      </c>
      <c r="B31" s="24"/>
      <c r="C31" s="24"/>
      <c r="D31" s="20"/>
      <c r="E31" s="20"/>
      <c r="F31" s="25"/>
      <c r="G31" s="24"/>
      <c r="H31" s="20"/>
      <c r="I31" s="24">
        <f>71902+750+50320+5415</f>
        <v>128387</v>
      </c>
      <c r="J31" s="25"/>
      <c r="K31" s="24"/>
      <c r="L31" s="20"/>
      <c r="M31" s="24">
        <f>105697+1606+36724+5365</f>
        <v>149392</v>
      </c>
      <c r="N31" s="21"/>
      <c r="O31" s="20"/>
      <c r="P31" s="20"/>
      <c r="Q31" s="24">
        <f>97814+2590+62918+6175</f>
        <v>169497</v>
      </c>
      <c r="R31" s="21"/>
      <c r="S31" s="20"/>
      <c r="T31" s="20"/>
      <c r="U31" s="24">
        <f>132991+2180+46911+7114+19000</f>
        <v>208196</v>
      </c>
      <c r="V31" s="25">
        <f>135270+2174+57968+6571+21210</f>
        <v>223193</v>
      </c>
      <c r="W31" s="24"/>
      <c r="X31" s="24">
        <f>152491+2250+75692+6135+31664</f>
        <v>268232</v>
      </c>
    </row>
    <row r="32" spans="1:25" s="5" customFormat="1" x14ac:dyDescent="0.15">
      <c r="A32" s="60" t="s">
        <v>31</v>
      </c>
      <c r="B32" s="24"/>
      <c r="C32" s="24"/>
      <c r="D32" s="20"/>
      <c r="E32" s="20"/>
      <c r="F32" s="25"/>
      <c r="G32" s="24"/>
      <c r="H32" s="20"/>
      <c r="I32" s="24">
        <f>12278+3466+57549+36204</f>
        <v>109497</v>
      </c>
      <c r="J32" s="25"/>
      <c r="K32" s="24"/>
      <c r="L32" s="20"/>
      <c r="M32" s="24">
        <f>15696+4752+82094+29363</f>
        <v>131905</v>
      </c>
      <c r="N32" s="21"/>
      <c r="O32" s="20"/>
      <c r="P32" s="20"/>
      <c r="Q32" s="24">
        <f>87437+51298+26834+13720</f>
        <v>179289</v>
      </c>
      <c r="R32" s="21"/>
      <c r="S32" s="20"/>
      <c r="T32" s="20"/>
      <c r="U32" s="24">
        <f>104257+83327+22695+10534</f>
        <v>220813</v>
      </c>
      <c r="V32" s="25">
        <f>16441+1094+124125+84640</f>
        <v>226300</v>
      </c>
      <c r="W32" s="24"/>
      <c r="X32" s="24">
        <f>118037+127375+14117+0</f>
        <v>259529</v>
      </c>
    </row>
    <row r="34" spans="1:25" s="5" customFormat="1" x14ac:dyDescent="0.15">
      <c r="A34" s="60" t="s">
        <v>24</v>
      </c>
      <c r="B34" s="24"/>
      <c r="C34" s="24"/>
      <c r="D34" s="20"/>
      <c r="E34" s="20"/>
      <c r="F34" s="25"/>
      <c r="G34" s="24"/>
      <c r="H34" s="20"/>
      <c r="I34" s="24">
        <v>36467</v>
      </c>
      <c r="J34" s="25"/>
      <c r="K34" s="24"/>
      <c r="L34" s="20"/>
      <c r="M34" s="24">
        <v>40266</v>
      </c>
      <c r="N34" s="21"/>
      <c r="O34" s="20"/>
      <c r="P34" s="20"/>
      <c r="Q34" s="24">
        <v>56650</v>
      </c>
      <c r="R34" s="21"/>
      <c r="S34" s="20"/>
      <c r="T34" s="20"/>
      <c r="U34" s="24">
        <v>128860</v>
      </c>
      <c r="V34" s="25">
        <v>127718</v>
      </c>
      <c r="W34" s="24"/>
      <c r="X34" s="24">
        <v>137135</v>
      </c>
    </row>
    <row r="35" spans="1:25" s="5" customFormat="1" x14ac:dyDescent="0.15">
      <c r="A35" s="60" t="s">
        <v>25</v>
      </c>
      <c r="B35" s="24"/>
      <c r="C35" s="24"/>
      <c r="D35" s="20"/>
      <c r="E35" s="20"/>
      <c r="F35" s="25"/>
      <c r="G35" s="24"/>
      <c r="H35" s="20"/>
      <c r="I35" s="24">
        <v>395899</v>
      </c>
      <c r="J35" s="25"/>
      <c r="K35" s="24"/>
      <c r="L35" s="20"/>
      <c r="M35" s="24">
        <v>554672</v>
      </c>
      <c r="N35" s="21"/>
      <c r="O35" s="20"/>
      <c r="P35" s="20"/>
      <c r="Q35" s="24">
        <v>723521</v>
      </c>
      <c r="R35" s="21"/>
      <c r="S35" s="20"/>
      <c r="T35" s="20"/>
      <c r="U35" s="24">
        <v>953986</v>
      </c>
      <c r="V35" s="25">
        <v>1014945</v>
      </c>
      <c r="W35" s="24"/>
      <c r="X35" s="24">
        <v>1190029</v>
      </c>
    </row>
    <row r="36" spans="1:25" s="5" customFormat="1" x14ac:dyDescent="0.15">
      <c r="A36" s="60" t="s">
        <v>52</v>
      </c>
      <c r="B36" s="24"/>
      <c r="C36" s="24"/>
      <c r="D36" s="20"/>
      <c r="E36" s="20"/>
      <c r="F36" s="25"/>
      <c r="G36" s="24"/>
      <c r="H36" s="20"/>
      <c r="I36" s="24">
        <v>209652</v>
      </c>
      <c r="J36" s="25"/>
      <c r="K36" s="24"/>
      <c r="L36" s="20"/>
      <c r="M36" s="24">
        <v>277579</v>
      </c>
      <c r="N36" s="21"/>
      <c r="O36" s="20"/>
      <c r="P36" s="20"/>
      <c r="Q36" s="24">
        <v>367314</v>
      </c>
      <c r="R36" s="21"/>
      <c r="S36" s="20"/>
      <c r="T36" s="20"/>
      <c r="U36" s="24">
        <v>465162</v>
      </c>
      <c r="V36" s="25">
        <v>501402</v>
      </c>
      <c r="W36" s="24"/>
      <c r="X36" s="24">
        <v>543532</v>
      </c>
    </row>
    <row r="38" spans="1:25" x14ac:dyDescent="0.15">
      <c r="A38" s="59" t="s">
        <v>32</v>
      </c>
      <c r="I38" s="28">
        <f t="shared" ref="I38" si="48">I35-I34-I31</f>
        <v>231045</v>
      </c>
      <c r="M38" s="28">
        <f t="shared" ref="M38:Q38" si="49">M35-M34-M31</f>
        <v>365014</v>
      </c>
      <c r="Q38" s="28">
        <f t="shared" si="49"/>
        <v>497374</v>
      </c>
      <c r="U38" s="28">
        <f t="shared" ref="U38:V38" si="50">U35-U34-U31</f>
        <v>616930</v>
      </c>
      <c r="V38" s="37">
        <f t="shared" si="50"/>
        <v>664034</v>
      </c>
      <c r="X38" s="28">
        <f t="shared" ref="X38" si="51">X35-X34-X31</f>
        <v>784662</v>
      </c>
    </row>
    <row r="39" spans="1:25" x14ac:dyDescent="0.15">
      <c r="A39" s="59" t="s">
        <v>33</v>
      </c>
      <c r="I39" s="28">
        <f t="shared" ref="I39" si="52">I35-I36</f>
        <v>186247</v>
      </c>
      <c r="M39" s="28">
        <f t="shared" ref="M39:Q39" si="53">M35-M36</f>
        <v>277093</v>
      </c>
      <c r="Q39" s="28">
        <f t="shared" si="53"/>
        <v>356207</v>
      </c>
      <c r="U39" s="28">
        <f t="shared" ref="U39:V39" si="54">U35-U36</f>
        <v>488824</v>
      </c>
      <c r="V39" s="37">
        <f t="shared" si="54"/>
        <v>513543</v>
      </c>
      <c r="X39" s="28">
        <f t="shared" ref="X39" si="55">X35-X36</f>
        <v>646497</v>
      </c>
    </row>
    <row r="41" spans="1:25" s="2" customFormat="1" x14ac:dyDescent="0.15">
      <c r="A41" s="64" t="s">
        <v>53</v>
      </c>
      <c r="B41" s="30"/>
      <c r="C41" s="30"/>
      <c r="D41" s="20"/>
      <c r="E41" s="20"/>
      <c r="F41" s="31"/>
      <c r="G41" s="30"/>
      <c r="H41" s="20"/>
      <c r="I41" s="27">
        <f t="shared" ref="I41" si="56">SUM(F18:I18)</f>
        <v>41447</v>
      </c>
      <c r="J41" s="31"/>
      <c r="K41" s="30"/>
      <c r="L41" s="20"/>
      <c r="M41" s="27">
        <f t="shared" ref="M41:X41" si="57">SUM(J18:M18)</f>
        <v>72438</v>
      </c>
      <c r="N41" s="21"/>
      <c r="O41" s="20"/>
      <c r="P41" s="20"/>
      <c r="Q41" s="27">
        <f>SUM(N18:Q18)</f>
        <v>79984</v>
      </c>
      <c r="R41" s="21"/>
      <c r="S41" s="20"/>
      <c r="T41" s="20"/>
      <c r="U41" s="27">
        <f t="shared" si="57"/>
        <v>95888</v>
      </c>
      <c r="V41" s="36">
        <f t="shared" si="57"/>
        <v>97435</v>
      </c>
      <c r="W41" s="30"/>
      <c r="X41" s="27">
        <f t="shared" si="57"/>
        <v>123128</v>
      </c>
    </row>
    <row r="42" spans="1:25" x14ac:dyDescent="0.15">
      <c r="A42" s="59" t="s">
        <v>26</v>
      </c>
      <c r="I42" s="35">
        <f t="shared" ref="I42" si="58">I41/I39</f>
        <v>0.22253781268960038</v>
      </c>
      <c r="M42" s="35">
        <f t="shared" ref="M42" si="59">M41/M39</f>
        <v>0.26142125567950109</v>
      </c>
      <c r="Q42" s="35">
        <f>Q41/Q39</f>
        <v>0.22454359403380619</v>
      </c>
      <c r="U42" s="35">
        <f t="shared" ref="U42:V42" si="60">U41/U39</f>
        <v>0.19616058131351979</v>
      </c>
      <c r="V42" s="33">
        <f t="shared" si="60"/>
        <v>0.18973094755453779</v>
      </c>
      <c r="X42" s="35">
        <f t="shared" ref="X42" si="61">X41/X39</f>
        <v>0.19045409336779598</v>
      </c>
    </row>
    <row r="43" spans="1:25" x14ac:dyDescent="0.15">
      <c r="A43" s="59" t="s">
        <v>27</v>
      </c>
      <c r="I43" s="35">
        <f t="shared" ref="I43" si="62">I41/I35</f>
        <v>0.10469084286648868</v>
      </c>
      <c r="M43" s="35">
        <f t="shared" ref="M43:Q43" si="63">M41/M35</f>
        <v>0.13059610003749964</v>
      </c>
      <c r="Q43" s="35">
        <f t="shared" si="63"/>
        <v>0.11054827710598587</v>
      </c>
      <c r="U43" s="35">
        <f t="shared" ref="U43:V43" si="64">U41/U35</f>
        <v>0.10051300543194554</v>
      </c>
      <c r="V43" s="33">
        <f t="shared" si="64"/>
        <v>9.6000275877017968E-2</v>
      </c>
      <c r="X43" s="35">
        <f t="shared" ref="X43" si="65">X41/X35</f>
        <v>0.10346638611327959</v>
      </c>
    </row>
    <row r="44" spans="1:25" x14ac:dyDescent="0.15">
      <c r="A44" s="59" t="s">
        <v>28</v>
      </c>
      <c r="I44" s="35">
        <f t="shared" ref="I44" si="66">I41/(I39-I34)</f>
        <v>0.27671918814260915</v>
      </c>
      <c r="M44" s="35">
        <f t="shared" ref="M44:Q44" si="67">M41/(M39-M34)</f>
        <v>0.30586884096830175</v>
      </c>
      <c r="Q44" s="35">
        <f t="shared" si="67"/>
        <v>0.26700761457752614</v>
      </c>
      <c r="U44" s="35">
        <f t="shared" ref="U44:V44" si="68">U41/(U39-U34)</f>
        <v>0.26638219377493305</v>
      </c>
      <c r="V44" s="33">
        <f t="shared" si="68"/>
        <v>0.25253677185252382</v>
      </c>
      <c r="X44" s="35">
        <f t="shared" ref="X44" si="69">X41/(X39-X34)</f>
        <v>0.24172985028329558</v>
      </c>
    </row>
    <row r="45" spans="1:25" x14ac:dyDescent="0.15">
      <c r="A45" s="59" t="s">
        <v>29</v>
      </c>
      <c r="I45" s="35">
        <f t="shared" ref="I45" si="70">I41/I38</f>
        <v>0.17938929645740007</v>
      </c>
      <c r="M45" s="35">
        <f t="shared" ref="M45:Q45" si="71">M41/M38</f>
        <v>0.19845266208967327</v>
      </c>
      <c r="Q45" s="35">
        <f t="shared" si="71"/>
        <v>0.16081258771065637</v>
      </c>
      <c r="U45" s="35">
        <f t="shared" ref="U45:V45" si="72">U41/U38</f>
        <v>0.15542768223299239</v>
      </c>
      <c r="V45" s="33">
        <f t="shared" si="72"/>
        <v>0.14673194444862764</v>
      </c>
      <c r="X45" s="35">
        <f t="shared" ref="X45" si="73">X41/X38</f>
        <v>0.156918520331047</v>
      </c>
    </row>
    <row r="47" spans="1:25" x14ac:dyDescent="0.15">
      <c r="A47" s="60" t="s">
        <v>118</v>
      </c>
      <c r="F47" s="33">
        <f>F3/B3-1</f>
        <v>0.34027703210565874</v>
      </c>
      <c r="G47" s="35">
        <f>G3/C3-1</f>
        <v>0.39353158237464725</v>
      </c>
      <c r="H47" s="35">
        <f t="shared" ref="H47:U50" si="74">H3/D3-1</f>
        <v>0.36151262958096075</v>
      </c>
      <c r="I47" s="35">
        <f t="shared" si="74"/>
        <v>0.26543263395179473</v>
      </c>
      <c r="J47" s="33">
        <f t="shared" si="74"/>
        <v>0.40634513699727615</v>
      </c>
      <c r="K47" s="35">
        <f t="shared" si="74"/>
        <v>0.43317757009345792</v>
      </c>
      <c r="L47" s="35">
        <f t="shared" si="74"/>
        <v>0.50577301161751564</v>
      </c>
      <c r="M47" s="35">
        <f t="shared" si="74"/>
        <v>0.36846973382206838</v>
      </c>
      <c r="N47" s="33">
        <f>N3/J3-1</f>
        <v>0.33522274125555418</v>
      </c>
      <c r="O47" s="35">
        <f t="shared" si="74"/>
        <v>0.14305510270622768</v>
      </c>
      <c r="P47" s="35">
        <f t="shared" si="74"/>
        <v>4.5698414205678439E-2</v>
      </c>
      <c r="Q47" s="35">
        <f t="shared" si="74"/>
        <v>9.2722857786567303E-2</v>
      </c>
      <c r="R47" s="33">
        <f>R3/N3-1</f>
        <v>4.4734091345435933E-2</v>
      </c>
      <c r="S47" s="35">
        <f t="shared" si="74"/>
        <v>0.14288430911122196</v>
      </c>
      <c r="T47" s="35">
        <f t="shared" si="74"/>
        <v>0.14937910054711789</v>
      </c>
      <c r="U47" s="35">
        <f t="shared" si="74"/>
        <v>0.19832306247279563</v>
      </c>
      <c r="V47" s="33">
        <f>V3/R3-1</f>
        <v>0.27473761587781276</v>
      </c>
      <c r="W47" s="35">
        <f t="shared" ref="W47:Y50" si="75">W3/S3-1</f>
        <v>0.35195507487520805</v>
      </c>
      <c r="X47" s="35">
        <f t="shared" si="75"/>
        <v>0.37869600426632966</v>
      </c>
      <c r="Y47" s="35">
        <f t="shared" si="75"/>
        <v>0.35000000000000009</v>
      </c>
    </row>
    <row r="48" spans="1:25" x14ac:dyDescent="0.15">
      <c r="A48" s="60" t="s">
        <v>119</v>
      </c>
      <c r="F48" s="33"/>
      <c r="G48" s="35"/>
      <c r="H48" s="35"/>
      <c r="I48" s="35"/>
      <c r="J48" s="33"/>
      <c r="K48" s="35"/>
      <c r="L48" s="35"/>
      <c r="M48" s="35"/>
      <c r="N48" s="33"/>
      <c r="O48" s="35"/>
      <c r="P48" s="35"/>
      <c r="Q48" s="35"/>
      <c r="R48" s="33">
        <f>R4/N4-1</f>
        <v>0.43518640495323413</v>
      </c>
      <c r="S48" s="35">
        <f t="shared" si="74"/>
        <v>0.37333493339733592</v>
      </c>
      <c r="T48" s="35">
        <f t="shared" si="74"/>
        <v>0.35875691870207693</v>
      </c>
      <c r="U48" s="35">
        <f t="shared" si="74"/>
        <v>0.38537759874056587</v>
      </c>
      <c r="V48" s="33">
        <f>V4/R4-1</f>
        <v>0.21506264628941207</v>
      </c>
      <c r="W48" s="35">
        <f t="shared" si="75"/>
        <v>0.30470115344285209</v>
      </c>
      <c r="X48" s="35">
        <f t="shared" si="75"/>
        <v>0.2428058898273413</v>
      </c>
      <c r="Y48" s="35">
        <f t="shared" si="75"/>
        <v>0.25</v>
      </c>
    </row>
    <row r="49" spans="1:25" s="14" customFormat="1" x14ac:dyDescent="0.15">
      <c r="A49" s="60" t="s">
        <v>40</v>
      </c>
      <c r="B49" s="29"/>
      <c r="C49" s="29"/>
      <c r="D49" s="20"/>
      <c r="E49" s="20"/>
      <c r="F49" s="33">
        <f>F5/B5-1</f>
        <v>0.72577092511013208</v>
      </c>
      <c r="G49" s="35">
        <f>G5/C5-1</f>
        <v>0.60373189295359686</v>
      </c>
      <c r="H49" s="35">
        <f t="shared" ref="H49:Q49" si="76">H5/D5-1</f>
        <v>0.50850546780072903</v>
      </c>
      <c r="I49" s="35">
        <f t="shared" si="76"/>
        <v>0.44566544566544564</v>
      </c>
      <c r="J49" s="33">
        <f t="shared" si="76"/>
        <v>0.46522016592214421</v>
      </c>
      <c r="K49" s="35">
        <f t="shared" si="76"/>
        <v>0.55358236374770353</v>
      </c>
      <c r="L49" s="35">
        <f t="shared" si="76"/>
        <v>0.48234662370788017</v>
      </c>
      <c r="M49" s="35">
        <f t="shared" si="76"/>
        <v>0.49143339768339778</v>
      </c>
      <c r="N49" s="33">
        <f>N3/J3-1</f>
        <v>0.33522274125555418</v>
      </c>
      <c r="O49" s="35">
        <f t="shared" si="76"/>
        <v>0.39042175798186829</v>
      </c>
      <c r="P49" s="35">
        <f t="shared" si="76"/>
        <v>0.47138199601521458</v>
      </c>
      <c r="Q49" s="35">
        <f t="shared" si="76"/>
        <v>0.37796294798155494</v>
      </c>
      <c r="R49" s="33">
        <f>R5/N5-1</f>
        <v>0.2514734774066798</v>
      </c>
      <c r="S49" s="35">
        <f t="shared" si="74"/>
        <v>0.16293408929836994</v>
      </c>
      <c r="T49" s="35">
        <f t="shared" si="74"/>
        <v>0.13042407829137681</v>
      </c>
      <c r="U49" s="35">
        <f t="shared" si="74"/>
        <v>0.18740092761110794</v>
      </c>
      <c r="V49" s="33">
        <f>V5/R5-1</f>
        <v>0.32413844658742619</v>
      </c>
      <c r="W49" s="35">
        <f t="shared" si="75"/>
        <v>0.13059906149064537</v>
      </c>
      <c r="X49" s="35">
        <f t="shared" si="75"/>
        <v>0.16252858542959814</v>
      </c>
      <c r="Y49" s="35">
        <f t="shared" si="75"/>
        <v>0.14999999999999991</v>
      </c>
    </row>
    <row r="50" spans="1:25" s="14" customFormat="1" x14ac:dyDescent="0.15">
      <c r="A50" s="60" t="s">
        <v>41</v>
      </c>
      <c r="B50" s="29"/>
      <c r="C50" s="29"/>
      <c r="D50" s="20"/>
      <c r="E50" s="20"/>
      <c r="F50" s="33">
        <f>F6/B6-1</f>
        <v>1.221163012392755</v>
      </c>
      <c r="G50" s="35">
        <f>G6/C6-1</f>
        <v>2.7489224137931036</v>
      </c>
      <c r="H50" s="35">
        <f t="shared" ref="H50:Q50" si="77">H6/D6-1</f>
        <v>3.4761045987376011</v>
      </c>
      <c r="I50" s="35">
        <f t="shared" si="77"/>
        <v>2.8932926829268291</v>
      </c>
      <c r="J50" s="33">
        <f t="shared" si="77"/>
        <v>2.2429184549356225</v>
      </c>
      <c r="K50" s="35">
        <f t="shared" si="77"/>
        <v>1.7749353262431735</v>
      </c>
      <c r="L50" s="35">
        <f t="shared" si="77"/>
        <v>1.4262691377921031</v>
      </c>
      <c r="M50" s="35">
        <f t="shared" si="77"/>
        <v>1.2057948316366485</v>
      </c>
      <c r="N50" s="33">
        <f t="shared" ref="N50" si="78">N5/J5-1</f>
        <v>0.55182926829268286</v>
      </c>
      <c r="O50" s="35">
        <f>O6/K6-1</f>
        <v>-0.91402527449761761</v>
      </c>
      <c r="P50" s="35">
        <f t="shared" si="77"/>
        <v>-0.94968449020259049</v>
      </c>
      <c r="Q50" s="35">
        <f t="shared" si="77"/>
        <v>-0.81432831581936949</v>
      </c>
      <c r="R50" s="33">
        <f>R6/N6-1</f>
        <v>0.69871794871794868</v>
      </c>
      <c r="S50" s="35">
        <f t="shared" si="74"/>
        <v>0.73975903614457827</v>
      </c>
      <c r="T50" s="35">
        <f t="shared" si="74"/>
        <v>1.447194719471947</v>
      </c>
      <c r="U50" s="35">
        <f t="shared" si="74"/>
        <v>0.26730401529636705</v>
      </c>
      <c r="V50" s="33">
        <f>V6/R6-1</f>
        <v>9.2830188679245307E-2</v>
      </c>
      <c r="W50" s="35">
        <f t="shared" si="75"/>
        <v>1.5927977839335083E-2</v>
      </c>
      <c r="X50" s="35">
        <f t="shared" si="75"/>
        <v>-0.29939312204989887</v>
      </c>
      <c r="Y50" s="35">
        <f t="shared" si="75"/>
        <v>-0.6</v>
      </c>
    </row>
    <row r="52" spans="1:25" s="5" customFormat="1" x14ac:dyDescent="0.15">
      <c r="A52" s="60" t="s">
        <v>96</v>
      </c>
      <c r="B52" s="24"/>
      <c r="C52" s="24"/>
      <c r="D52" s="24"/>
      <c r="E52" s="24"/>
      <c r="F52" s="25">
        <v>762</v>
      </c>
      <c r="G52" s="24">
        <v>806</v>
      </c>
      <c r="H52" s="24">
        <v>846</v>
      </c>
      <c r="I52" s="24">
        <v>889</v>
      </c>
      <c r="J52" s="25">
        <v>938</v>
      </c>
      <c r="K52" s="24">
        <v>963</v>
      </c>
      <c r="L52" s="24">
        <v>980</v>
      </c>
      <c r="M52" s="24">
        <v>989</v>
      </c>
      <c r="N52" s="25">
        <v>1040</v>
      </c>
      <c r="O52" s="5">
        <v>1057.7</v>
      </c>
      <c r="P52" s="24">
        <v>1082.5</v>
      </c>
      <c r="Q52" s="24">
        <v>1097.5999999999999</v>
      </c>
      <c r="R52" s="25">
        <v>1111.7</v>
      </c>
      <c r="S52" s="24">
        <v>1132.7</v>
      </c>
      <c r="T52" s="24">
        <v>1151</v>
      </c>
      <c r="U52" s="24">
        <v>1164.8</v>
      </c>
      <c r="V52" s="25">
        <v>1202.5</v>
      </c>
      <c r="W52" s="24">
        <v>1206.0999999999999</v>
      </c>
      <c r="X52" s="24">
        <v>1212.8</v>
      </c>
    </row>
    <row r="53" spans="1:25" s="5" customFormat="1" x14ac:dyDescent="0.15">
      <c r="A53" s="60" t="s">
        <v>97</v>
      </c>
      <c r="B53" s="24"/>
      <c r="C53" s="24"/>
      <c r="D53" s="24"/>
      <c r="E53" s="24"/>
      <c r="F53" s="25">
        <v>877</v>
      </c>
      <c r="G53" s="24">
        <v>899</v>
      </c>
      <c r="H53" s="24">
        <v>877</v>
      </c>
      <c r="I53" s="24">
        <v>868</v>
      </c>
      <c r="J53" s="25">
        <v>861</v>
      </c>
      <c r="K53" s="24">
        <v>850</v>
      </c>
      <c r="L53" s="24">
        <v>843</v>
      </c>
      <c r="M53" s="24">
        <v>783</v>
      </c>
      <c r="N53" s="25">
        <v>805.5</v>
      </c>
      <c r="O53" s="24">
        <v>803.2</v>
      </c>
      <c r="P53" s="24">
        <v>802.6</v>
      </c>
      <c r="Q53" s="24">
        <v>699.8</v>
      </c>
      <c r="R53" s="25">
        <v>823</v>
      </c>
      <c r="S53" s="24">
        <v>807.9</v>
      </c>
      <c r="T53" s="24">
        <v>731</v>
      </c>
      <c r="U53" s="24">
        <v>647</v>
      </c>
      <c r="V53" s="25">
        <v>693.5</v>
      </c>
      <c r="W53" s="24">
        <v>647.6</v>
      </c>
      <c r="X53" s="24">
        <v>617.4</v>
      </c>
    </row>
    <row r="54" spans="1:25" s="5" customFormat="1" x14ac:dyDescent="0.15">
      <c r="A54" s="60" t="s">
        <v>98</v>
      </c>
      <c r="B54" s="24"/>
      <c r="C54" s="24"/>
      <c r="D54" s="24"/>
      <c r="E54" s="24"/>
      <c r="F54" s="25">
        <v>108</v>
      </c>
      <c r="G54" s="24">
        <v>105</v>
      </c>
      <c r="H54" s="24">
        <v>105</v>
      </c>
      <c r="I54" s="24">
        <v>110</v>
      </c>
      <c r="J54" s="25">
        <v>119</v>
      </c>
      <c r="K54" s="24">
        <v>118</v>
      </c>
      <c r="L54" s="24">
        <v>125</v>
      </c>
      <c r="M54" s="24">
        <v>135</v>
      </c>
      <c r="N54" s="25">
        <v>147.1</v>
      </c>
      <c r="O54" s="24">
        <v>153.9</v>
      </c>
      <c r="P54" s="24">
        <v>154.1</v>
      </c>
      <c r="Q54" s="24">
        <v>160.30000000000001</v>
      </c>
      <c r="R54" s="25">
        <v>165.5</v>
      </c>
      <c r="S54" s="24">
        <v>168.9</v>
      </c>
      <c r="T54" s="24">
        <v>170.6</v>
      </c>
      <c r="U54" s="24">
        <v>180.1</v>
      </c>
      <c r="V54" s="25">
        <v>197.4</v>
      </c>
      <c r="W54" s="24">
        <v>203.4</v>
      </c>
      <c r="X54" s="24">
        <v>213.4</v>
      </c>
    </row>
    <row r="55" spans="1:25" s="19" customFormat="1" x14ac:dyDescent="0.15">
      <c r="A55" s="65"/>
      <c r="B55" s="22"/>
      <c r="C55" s="22"/>
      <c r="D55" s="22"/>
      <c r="E55" s="22"/>
      <c r="F55" s="23"/>
      <c r="G55" s="22"/>
      <c r="H55" s="22"/>
      <c r="I55" s="22"/>
      <c r="J55" s="23"/>
      <c r="K55" s="22"/>
      <c r="L55" s="22"/>
      <c r="M55" s="22"/>
      <c r="N55" s="23"/>
      <c r="O55" s="22"/>
      <c r="P55" s="22"/>
      <c r="Q55" s="22"/>
      <c r="R55" s="23"/>
      <c r="S55" s="22"/>
      <c r="T55" s="22"/>
      <c r="U55" s="22"/>
      <c r="V55" s="23"/>
      <c r="W55" s="22"/>
      <c r="X55" s="22"/>
    </row>
    <row r="56" spans="1:25" s="19" customFormat="1" x14ac:dyDescent="0.15">
      <c r="A56" s="65"/>
      <c r="B56" s="22"/>
      <c r="C56" s="22"/>
      <c r="D56" s="22"/>
      <c r="E56" s="22"/>
      <c r="F56" s="23"/>
      <c r="G56" s="22"/>
      <c r="H56" s="22"/>
      <c r="I56" s="22"/>
      <c r="J56" s="23"/>
      <c r="K56" s="22"/>
      <c r="L56" s="22"/>
      <c r="M56" s="22"/>
      <c r="N56" s="23"/>
      <c r="O56" s="22"/>
      <c r="P56" s="22"/>
      <c r="Q56" s="22"/>
      <c r="R56" s="23"/>
      <c r="S56" s="22"/>
      <c r="T56" s="22"/>
      <c r="U56" s="22"/>
      <c r="V56" s="23"/>
      <c r="W56" s="22"/>
      <c r="X56" s="22"/>
    </row>
    <row r="57" spans="1:25" s="19" customFormat="1" x14ac:dyDescent="0.15">
      <c r="A57" s="65"/>
      <c r="B57" s="22"/>
      <c r="C57" s="22"/>
      <c r="D57" s="22"/>
      <c r="E57" s="22"/>
      <c r="F57" s="23"/>
      <c r="G57" s="22"/>
      <c r="H57" s="22"/>
      <c r="I57" s="22"/>
      <c r="J57" s="23"/>
      <c r="K57" s="22"/>
      <c r="L57" s="22"/>
      <c r="M57" s="22"/>
      <c r="N57" s="23"/>
      <c r="O57" s="22"/>
      <c r="P57" s="22"/>
      <c r="Q57" s="22"/>
      <c r="R57" s="23"/>
      <c r="S57" s="22"/>
      <c r="T57" s="22"/>
      <c r="U57" s="22"/>
      <c r="V57" s="23"/>
      <c r="W57" s="22"/>
      <c r="X57" s="22"/>
    </row>
    <row r="58" spans="1:25" s="19" customFormat="1" x14ac:dyDescent="0.15">
      <c r="A58" s="65"/>
      <c r="B58" s="22"/>
      <c r="C58" s="22"/>
      <c r="D58" s="22"/>
      <c r="E58" s="22"/>
      <c r="F58" s="23"/>
      <c r="G58" s="22"/>
      <c r="H58" s="22"/>
      <c r="I58" s="22"/>
      <c r="J58" s="23"/>
      <c r="K58" s="22"/>
      <c r="L58" s="22"/>
      <c r="M58" s="22"/>
      <c r="N58" s="23"/>
      <c r="O58" s="22"/>
      <c r="P58" s="22"/>
      <c r="Q58" s="22"/>
      <c r="R58" s="23"/>
      <c r="S58" s="22"/>
      <c r="T58" s="22"/>
      <c r="U58" s="22"/>
      <c r="V58" s="23"/>
      <c r="W58" s="22"/>
      <c r="X58" s="22"/>
    </row>
    <row r="59" spans="1:25" x14ac:dyDescent="0.15">
      <c r="A59" s="65"/>
    </row>
  </sheetData>
  <hyperlinks>
    <hyperlink ref="A1" r:id="rId1" display="EDGAR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3"/>
  <sheetViews>
    <sheetView zoomScale="130" zoomScaleNormal="130" workbookViewId="0">
      <selection activeCell="C23" sqref="C23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38.5" style="3" bestFit="1" customWidth="1"/>
    <col min="4" max="16384" width="10.83203125" style="3"/>
  </cols>
  <sheetData>
    <row r="4" spans="2:3" x14ac:dyDescent="0.15">
      <c r="B4" s="68" t="s">
        <v>139</v>
      </c>
    </row>
    <row r="6" spans="2:3" x14ac:dyDescent="0.15">
      <c r="B6" s="3" t="s">
        <v>103</v>
      </c>
      <c r="C6" s="3" t="s">
        <v>115</v>
      </c>
    </row>
    <row r="7" spans="2:3" x14ac:dyDescent="0.15">
      <c r="B7" s="3" t="s">
        <v>99</v>
      </c>
      <c r="C7" s="3" t="s">
        <v>116</v>
      </c>
    </row>
    <row r="8" spans="2:3" x14ac:dyDescent="0.15">
      <c r="B8" s="3" t="s">
        <v>101</v>
      </c>
      <c r="C8" s="3" t="s">
        <v>102</v>
      </c>
    </row>
    <row r="9" spans="2:3" x14ac:dyDescent="0.15">
      <c r="B9" s="3" t="s">
        <v>107</v>
      </c>
      <c r="C9" s="3" t="s">
        <v>108</v>
      </c>
    </row>
    <row r="10" spans="2:3" x14ac:dyDescent="0.15">
      <c r="B10" s="3" t="s">
        <v>114</v>
      </c>
      <c r="C10" s="3" t="s">
        <v>123</v>
      </c>
    </row>
    <row r="11" spans="2:3" x14ac:dyDescent="0.15">
      <c r="B11" s="3" t="s">
        <v>124</v>
      </c>
      <c r="C11" s="3" t="s">
        <v>125</v>
      </c>
    </row>
    <row r="13" spans="2:3" s="2" customFormat="1" x14ac:dyDescent="0.15">
      <c r="B13" s="2" t="s">
        <v>105</v>
      </c>
    </row>
    <row r="15" spans="2:3" x14ac:dyDescent="0.15">
      <c r="B15" s="3" t="s">
        <v>104</v>
      </c>
      <c r="C15" s="3" t="s">
        <v>126</v>
      </c>
    </row>
    <row r="16" spans="2:3" x14ac:dyDescent="0.15">
      <c r="B16" s="3" t="s">
        <v>106</v>
      </c>
      <c r="C16" s="3" t="s">
        <v>127</v>
      </c>
    </row>
    <row r="17" spans="2:3" x14ac:dyDescent="0.15">
      <c r="B17" s="3" t="s">
        <v>128</v>
      </c>
      <c r="C17" s="3" t="s">
        <v>129</v>
      </c>
    </row>
    <row r="18" spans="2:3" x14ac:dyDescent="0.15">
      <c r="B18" s="3" t="s">
        <v>130</v>
      </c>
      <c r="C18" s="3" t="s">
        <v>131</v>
      </c>
    </row>
    <row r="20" spans="2:3" s="2" customFormat="1" x14ac:dyDescent="0.15">
      <c r="B20" s="2" t="s">
        <v>111</v>
      </c>
    </row>
    <row r="22" spans="2:3" x14ac:dyDescent="0.15">
      <c r="B22" s="3" t="s">
        <v>109</v>
      </c>
      <c r="C22" s="3" t="s">
        <v>110</v>
      </c>
    </row>
    <row r="23" spans="2:3" x14ac:dyDescent="0.15">
      <c r="B23" s="3" t="s">
        <v>112</v>
      </c>
      <c r="C23" s="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2021-02-18T19:52:49Z</dcterms:modified>
</cp:coreProperties>
</file>