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C4D68A17-CFF5-2543-9A28-326CE39CA933}" xr6:coauthVersionLast="46" xr6:coauthVersionMax="46" xr10:uidLastSave="{00000000-0000-0000-0000-000000000000}"/>
  <bookViews>
    <workbookView xWindow="-52240" yWindow="-5940" windowWidth="2610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F20" i="2"/>
  <c r="G20" i="2" s="1"/>
  <c r="H20" i="2" s="1"/>
  <c r="I20" i="2" s="1"/>
  <c r="E20" i="2"/>
  <c r="F19" i="2"/>
  <c r="G19" i="2" s="1"/>
  <c r="H19" i="2" s="1"/>
  <c r="I19" i="2" s="1"/>
  <c r="E19" i="2"/>
  <c r="I13" i="2"/>
  <c r="H13" i="2"/>
  <c r="G13" i="2"/>
  <c r="F13" i="2"/>
  <c r="F60" i="2" s="1"/>
  <c r="E13" i="2"/>
  <c r="E16" i="2" s="1"/>
  <c r="F14" i="2"/>
  <c r="G14" i="2" s="1"/>
  <c r="H14" i="2" s="1"/>
  <c r="I14" i="2" s="1"/>
  <c r="E14" i="2"/>
  <c r="K55" i="1"/>
  <c r="L55" i="1"/>
  <c r="M55" i="1"/>
  <c r="E61" i="2"/>
  <c r="E60" i="2"/>
  <c r="D61" i="2"/>
  <c r="D60" i="2"/>
  <c r="C14" i="2"/>
  <c r="C13" i="2"/>
  <c r="D14" i="2"/>
  <c r="D13" i="2"/>
  <c r="K57" i="1"/>
  <c r="L57" i="1"/>
  <c r="M57" i="1"/>
  <c r="J9" i="1"/>
  <c r="J6" i="1"/>
  <c r="J7" i="1"/>
  <c r="I10" i="2"/>
  <c r="H10" i="2"/>
  <c r="G10" i="2"/>
  <c r="F10" i="2"/>
  <c r="E10" i="2"/>
  <c r="F21" i="2"/>
  <c r="G21" i="2" s="1"/>
  <c r="H21" i="2" s="1"/>
  <c r="I21" i="2" s="1"/>
  <c r="E21" i="2"/>
  <c r="I11" i="2"/>
  <c r="H11" i="2"/>
  <c r="G11" i="2"/>
  <c r="F11" i="2"/>
  <c r="E11" i="2"/>
  <c r="M22" i="1"/>
  <c r="L22" i="1"/>
  <c r="C5" i="2"/>
  <c r="C3" i="2"/>
  <c r="D47" i="2"/>
  <c r="D46" i="2"/>
  <c r="D45" i="2"/>
  <c r="D43" i="2"/>
  <c r="D42" i="2"/>
  <c r="D29" i="2"/>
  <c r="D26" i="2"/>
  <c r="D24" i="2"/>
  <c r="D21" i="2"/>
  <c r="D20" i="2"/>
  <c r="D19" i="2"/>
  <c r="D17" i="2"/>
  <c r="D11" i="2"/>
  <c r="D10" i="2"/>
  <c r="B52" i="2"/>
  <c r="B54" i="2"/>
  <c r="B53" i="2"/>
  <c r="B50" i="2"/>
  <c r="B49" i="2"/>
  <c r="B55" i="2" s="1"/>
  <c r="B47" i="2"/>
  <c r="B46" i="2"/>
  <c r="B45" i="2"/>
  <c r="B43" i="2"/>
  <c r="B42" i="2"/>
  <c r="C47" i="2"/>
  <c r="C46" i="2"/>
  <c r="C45" i="2"/>
  <c r="C43" i="2"/>
  <c r="C42" i="2"/>
  <c r="C29" i="2"/>
  <c r="C16" i="2"/>
  <c r="C26" i="2"/>
  <c r="C24" i="2"/>
  <c r="C21" i="2"/>
  <c r="C20" i="2"/>
  <c r="C19" i="2"/>
  <c r="C17" i="2"/>
  <c r="C11" i="2"/>
  <c r="C10" i="2"/>
  <c r="B26" i="2"/>
  <c r="B24" i="2"/>
  <c r="B21" i="2"/>
  <c r="B20" i="2"/>
  <c r="B19" i="2"/>
  <c r="B17" i="2"/>
  <c r="B16" i="2"/>
  <c r="B11" i="2"/>
  <c r="B10" i="2"/>
  <c r="E40" i="1"/>
  <c r="E35" i="1"/>
  <c r="B9" i="1"/>
  <c r="C9" i="1"/>
  <c r="D9" i="1"/>
  <c r="E9" i="1"/>
  <c r="F9" i="1"/>
  <c r="M52" i="1"/>
  <c r="L52" i="1"/>
  <c r="K52" i="1"/>
  <c r="K51" i="1"/>
  <c r="L51" i="1"/>
  <c r="M51" i="1"/>
  <c r="K54" i="1"/>
  <c r="L54" i="1"/>
  <c r="M54" i="1"/>
  <c r="K17" i="1"/>
  <c r="G6" i="1"/>
  <c r="G7" i="1" s="1"/>
  <c r="G9" i="1" s="1"/>
  <c r="K6" i="1"/>
  <c r="H6" i="1"/>
  <c r="L6" i="1"/>
  <c r="I40" i="1"/>
  <c r="M43" i="1"/>
  <c r="M38" i="1"/>
  <c r="M42" i="1" s="1"/>
  <c r="M35" i="1"/>
  <c r="M34" i="1" s="1"/>
  <c r="I17" i="1"/>
  <c r="M17" i="1"/>
  <c r="I6" i="1"/>
  <c r="M6" i="1"/>
  <c r="F16" i="2" l="1"/>
  <c r="E18" i="2"/>
  <c r="E17" i="2" s="1"/>
  <c r="F61" i="2"/>
  <c r="G61" i="2"/>
  <c r="B41" i="2"/>
  <c r="H9" i="1"/>
  <c r="H7" i="1"/>
  <c r="I7" i="1"/>
  <c r="I9" i="1" s="1"/>
  <c r="L7" i="1"/>
  <c r="L9" i="1" s="1"/>
  <c r="L11" i="1" s="1"/>
  <c r="L24" i="1" s="1"/>
  <c r="M7" i="1"/>
  <c r="M9" i="1" s="1"/>
  <c r="M11" i="1" s="1"/>
  <c r="K7" i="1"/>
  <c r="K9" i="1" s="1"/>
  <c r="K11" i="1" s="1"/>
  <c r="K24" i="1" s="1"/>
  <c r="H58" i="2"/>
  <c r="G58" i="2"/>
  <c r="F58" i="2"/>
  <c r="E58" i="2"/>
  <c r="F57" i="2"/>
  <c r="E57" i="2"/>
  <c r="E24" i="2"/>
  <c r="M15" i="1"/>
  <c r="M29" i="1"/>
  <c r="M30" i="1"/>
  <c r="D58" i="2"/>
  <c r="C58" i="2"/>
  <c r="D57" i="2"/>
  <c r="D16" i="2"/>
  <c r="E29" i="2"/>
  <c r="L31" i="1"/>
  <c r="L30" i="1"/>
  <c r="L29" i="1"/>
  <c r="L15" i="1"/>
  <c r="K31" i="1"/>
  <c r="K30" i="1"/>
  <c r="K29" i="1"/>
  <c r="K15" i="1"/>
  <c r="H60" i="2" l="1"/>
  <c r="G16" i="2"/>
  <c r="G60" i="2"/>
  <c r="I61" i="2"/>
  <c r="H61" i="2"/>
  <c r="I58" i="2"/>
  <c r="G57" i="2"/>
  <c r="D41" i="2"/>
  <c r="J19" i="2"/>
  <c r="K19" i="2" s="1"/>
  <c r="L19" i="2" s="1"/>
  <c r="M19" i="2" s="1"/>
  <c r="N19" i="2" s="1"/>
  <c r="M31" i="1"/>
  <c r="J20" i="2"/>
  <c r="K20" i="2" s="1"/>
  <c r="L20" i="2" s="1"/>
  <c r="M20" i="2" s="1"/>
  <c r="N20" i="2" s="1"/>
  <c r="M28" i="1"/>
  <c r="D36" i="2"/>
  <c r="D50" i="2"/>
  <c r="I57" i="2"/>
  <c r="H57" i="2"/>
  <c r="D49" i="2"/>
  <c r="J21" i="2"/>
  <c r="K21" i="2" s="1"/>
  <c r="L21" i="2" s="1"/>
  <c r="M21" i="2" s="1"/>
  <c r="N21" i="2" s="1"/>
  <c r="D22" i="2"/>
  <c r="D18" i="2"/>
  <c r="L28" i="1"/>
  <c r="L16" i="1"/>
  <c r="K16" i="1"/>
  <c r="K28" i="1"/>
  <c r="I43" i="1"/>
  <c r="I30" i="1"/>
  <c r="I29" i="1"/>
  <c r="I11" i="1"/>
  <c r="I24" i="1" s="1"/>
  <c r="H16" i="2" l="1"/>
  <c r="M24" i="1"/>
  <c r="M16" i="1"/>
  <c r="M25" i="1" s="1"/>
  <c r="D23" i="2"/>
  <c r="D25" i="2" s="1"/>
  <c r="N37" i="2"/>
  <c r="O20" i="2"/>
  <c r="P20" i="2" s="1"/>
  <c r="Q20" i="2" s="1"/>
  <c r="R20" i="2" s="1"/>
  <c r="S20" i="2" s="1"/>
  <c r="S37" i="2" s="1"/>
  <c r="C50" i="2"/>
  <c r="N38" i="2"/>
  <c r="O21" i="2"/>
  <c r="P21" i="2" s="1"/>
  <c r="Q21" i="2" s="1"/>
  <c r="R21" i="2" s="1"/>
  <c r="S21" i="2" s="1"/>
  <c r="L25" i="1"/>
  <c r="L18" i="1"/>
  <c r="K25" i="1"/>
  <c r="K18" i="1"/>
  <c r="I42" i="1"/>
  <c r="I34" i="1"/>
  <c r="I15" i="1"/>
  <c r="C41" i="2"/>
  <c r="C49" i="2"/>
  <c r="I16" i="2" l="1"/>
  <c r="I60" i="2"/>
  <c r="I16" i="1"/>
  <c r="I18" i="1" s="1"/>
  <c r="I26" i="1" s="1"/>
  <c r="M32" i="1"/>
  <c r="M18" i="1"/>
  <c r="E35" i="2"/>
  <c r="N22" i="2"/>
  <c r="N36" i="2"/>
  <c r="O19" i="2"/>
  <c r="P19" i="2" s="1"/>
  <c r="Q19" i="2" s="1"/>
  <c r="R19" i="2" s="1"/>
  <c r="S19" i="2" s="1"/>
  <c r="L20" i="1"/>
  <c r="L26" i="1"/>
  <c r="K26" i="1"/>
  <c r="K20" i="1"/>
  <c r="K21" i="1" s="1"/>
  <c r="C18" i="2"/>
  <c r="L21" i="1" l="1"/>
  <c r="I25" i="1"/>
  <c r="M26" i="1"/>
  <c r="S36" i="2"/>
  <c r="I20" i="1"/>
  <c r="M20" i="1" l="1"/>
  <c r="M21" i="1" s="1"/>
  <c r="I21" i="1"/>
  <c r="H15" i="1"/>
  <c r="L32" i="1" s="1"/>
  <c r="H11" i="1"/>
  <c r="J30" i="1"/>
  <c r="J29" i="1"/>
  <c r="J15" i="1"/>
  <c r="J16" i="2" l="1"/>
  <c r="K16" i="2" s="1"/>
  <c r="L16" i="2" s="1"/>
  <c r="M16" i="2" s="1"/>
  <c r="N16" i="2" s="1"/>
  <c r="N35" i="2" s="1"/>
  <c r="H16" i="1"/>
  <c r="H18" i="1" s="1"/>
  <c r="H20" i="1" s="1"/>
  <c r="J11" i="1"/>
  <c r="J31" i="1"/>
  <c r="C4" i="2"/>
  <c r="H29" i="1"/>
  <c r="H30" i="1"/>
  <c r="G30" i="1"/>
  <c r="G29" i="1"/>
  <c r="G11" i="1"/>
  <c r="C57" i="2"/>
  <c r="C15" i="1"/>
  <c r="D15" i="1"/>
  <c r="I31" i="1"/>
  <c r="D11" i="1"/>
  <c r="D24" i="1" s="1"/>
  <c r="C11" i="1"/>
  <c r="B15" i="1"/>
  <c r="F30" i="1"/>
  <c r="F29" i="1"/>
  <c r="B11" i="1"/>
  <c r="B24" i="1" s="1"/>
  <c r="F11" i="1"/>
  <c r="E43" i="1"/>
  <c r="F29" i="2"/>
  <c r="G29" i="2" s="1"/>
  <c r="H29" i="2" s="1"/>
  <c r="I29" i="2" s="1"/>
  <c r="J29" i="2" s="1"/>
  <c r="K29" i="2" s="1"/>
  <c r="L29" i="2" s="1"/>
  <c r="M29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l="1"/>
  <c r="O9" i="2" s="1"/>
  <c r="P9" i="2" s="1"/>
  <c r="Q9" i="2" s="1"/>
  <c r="R9" i="2" s="1"/>
  <c r="S9" i="2" s="1"/>
  <c r="N29" i="2"/>
  <c r="O29" i="2" s="1"/>
  <c r="P29" i="2" s="1"/>
  <c r="Q29" i="2" s="1"/>
  <c r="R29" i="2" s="1"/>
  <c r="S29" i="2" s="1"/>
  <c r="H21" i="1"/>
  <c r="E42" i="1"/>
  <c r="F15" i="1"/>
  <c r="J32" i="1" s="1"/>
  <c r="E15" i="1"/>
  <c r="E11" i="1"/>
  <c r="E24" i="1" s="1"/>
  <c r="I28" i="1"/>
  <c r="F28" i="1"/>
  <c r="J28" i="1"/>
  <c r="J16" i="1"/>
  <c r="J24" i="1"/>
  <c r="C16" i="1"/>
  <c r="C18" i="1" s="1"/>
  <c r="C24" i="1"/>
  <c r="E34" i="1"/>
  <c r="H31" i="1"/>
  <c r="G24" i="1"/>
  <c r="D16" i="1"/>
  <c r="B16" i="1"/>
  <c r="G28" i="1"/>
  <c r="G15" i="1"/>
  <c r="F31" i="1"/>
  <c r="C6" i="2"/>
  <c r="C7" i="2" s="1"/>
  <c r="F24" i="1"/>
  <c r="G31" i="1"/>
  <c r="H32" i="1"/>
  <c r="G32" i="1" l="1"/>
  <c r="K32" i="1"/>
  <c r="F16" i="1"/>
  <c r="F18" i="1" s="1"/>
  <c r="F26" i="1" s="1"/>
  <c r="C25" i="1"/>
  <c r="F32" i="1"/>
  <c r="E16" i="1"/>
  <c r="E25" i="1" s="1"/>
  <c r="C22" i="2"/>
  <c r="C23" i="2" s="1"/>
  <c r="C25" i="2" s="1"/>
  <c r="I32" i="1"/>
  <c r="J25" i="1"/>
  <c r="J18" i="1"/>
  <c r="F25" i="1"/>
  <c r="C20" i="1"/>
  <c r="C26" i="1"/>
  <c r="H28" i="1"/>
  <c r="F20" i="1"/>
  <c r="B25" i="1"/>
  <c r="B18" i="1"/>
  <c r="C37" i="2"/>
  <c r="D18" i="1"/>
  <c r="D25" i="1"/>
  <c r="B18" i="2"/>
  <c r="G16" i="1"/>
  <c r="B22" i="2"/>
  <c r="E18" i="1" l="1"/>
  <c r="E20" i="1" s="1"/>
  <c r="F21" i="1"/>
  <c r="J20" i="1"/>
  <c r="M45" i="1" s="1"/>
  <c r="J26" i="1"/>
  <c r="C36" i="2"/>
  <c r="G18" i="1"/>
  <c r="G25" i="1"/>
  <c r="D37" i="2"/>
  <c r="D20" i="1"/>
  <c r="D26" i="1"/>
  <c r="H24" i="1"/>
  <c r="C38" i="2"/>
  <c r="B23" i="2"/>
  <c r="B31" i="2"/>
  <c r="B26" i="1"/>
  <c r="B20" i="1"/>
  <c r="C21" i="1"/>
  <c r="C39" i="2"/>
  <c r="M49" i="1" l="1"/>
  <c r="M47" i="1"/>
  <c r="M48" i="1"/>
  <c r="M46" i="1"/>
  <c r="E26" i="1"/>
  <c r="E21" i="1"/>
  <c r="J21" i="1"/>
  <c r="H25" i="1"/>
  <c r="D38" i="2"/>
  <c r="E22" i="2"/>
  <c r="G26" i="1"/>
  <c r="G20" i="1"/>
  <c r="E37" i="2"/>
  <c r="C35" i="2"/>
  <c r="D21" i="1"/>
  <c r="B21" i="1"/>
  <c r="E45" i="1"/>
  <c r="B32" i="2"/>
  <c r="B25" i="2"/>
  <c r="D39" i="2"/>
  <c r="G21" i="1" l="1"/>
  <c r="I45" i="1"/>
  <c r="E39" i="2"/>
  <c r="E36" i="2"/>
  <c r="C31" i="2"/>
  <c r="E38" i="2"/>
  <c r="F37" i="2"/>
  <c r="D35" i="2"/>
  <c r="B33" i="2"/>
  <c r="B27" i="2"/>
  <c r="B28" i="2" s="1"/>
  <c r="E49" i="1"/>
  <c r="E48" i="1"/>
  <c r="E47" i="1"/>
  <c r="E46" i="1"/>
  <c r="I49" i="1" l="1"/>
  <c r="I48" i="1"/>
  <c r="I46" i="1"/>
  <c r="I47" i="1"/>
  <c r="F22" i="2"/>
  <c r="F39" i="2" s="1"/>
  <c r="F36" i="2"/>
  <c r="H26" i="1"/>
  <c r="G37" i="2"/>
  <c r="C32" i="2"/>
  <c r="F38" i="2"/>
  <c r="D32" i="2" l="1"/>
  <c r="D31" i="2"/>
  <c r="E23" i="2" s="1"/>
  <c r="G22" i="2"/>
  <c r="G39" i="2" s="1"/>
  <c r="G36" i="2"/>
  <c r="C33" i="2"/>
  <c r="F35" i="2"/>
  <c r="H37" i="2"/>
  <c r="G38" i="2"/>
  <c r="O36" i="2" l="1"/>
  <c r="E31" i="2"/>
  <c r="F18" i="2" s="1"/>
  <c r="F17" i="2" s="1"/>
  <c r="C27" i="2"/>
  <c r="H36" i="2"/>
  <c r="G35" i="2"/>
  <c r="H38" i="2"/>
  <c r="H22" i="2"/>
  <c r="H39" i="2" s="1"/>
  <c r="I37" i="2"/>
  <c r="E32" i="2"/>
  <c r="P36" i="2" l="1"/>
  <c r="F31" i="2"/>
  <c r="G18" i="2" s="1"/>
  <c r="G17" i="2" s="1"/>
  <c r="F23" i="2"/>
  <c r="F32" i="2" s="1"/>
  <c r="C28" i="2"/>
  <c r="C52" i="2"/>
  <c r="C54" i="2"/>
  <c r="C53" i="2"/>
  <c r="C55" i="2"/>
  <c r="I36" i="2"/>
  <c r="J22" i="2"/>
  <c r="I38" i="2"/>
  <c r="H35" i="2"/>
  <c r="I22" i="2"/>
  <c r="I39" i="2" s="1"/>
  <c r="J37" i="2"/>
  <c r="Q36" i="2" l="1"/>
  <c r="G31" i="2"/>
  <c r="H18" i="2" s="1"/>
  <c r="H17" i="2" s="1"/>
  <c r="G23" i="2"/>
  <c r="G32" i="2" s="1"/>
  <c r="J36" i="2"/>
  <c r="D33" i="2"/>
  <c r="I35" i="2"/>
  <c r="J39" i="2"/>
  <c r="K37" i="2"/>
  <c r="J38" i="2"/>
  <c r="R36" i="2" l="1"/>
  <c r="H31" i="2"/>
  <c r="I18" i="2" s="1"/>
  <c r="I23" i="2" s="1"/>
  <c r="H23" i="2"/>
  <c r="H32" i="2" s="1"/>
  <c r="D27" i="2"/>
  <c r="K36" i="2"/>
  <c r="J35" i="2"/>
  <c r="L37" i="2"/>
  <c r="K38" i="2"/>
  <c r="K22" i="2"/>
  <c r="K39" i="2" s="1"/>
  <c r="I17" i="2" l="1"/>
  <c r="I31" i="2"/>
  <c r="J18" i="2" s="1"/>
  <c r="J23" i="2" s="1"/>
  <c r="D54" i="2"/>
  <c r="D53" i="2"/>
  <c r="D52" i="2"/>
  <c r="D28" i="2"/>
  <c r="D55" i="2"/>
  <c r="L36" i="2"/>
  <c r="L38" i="2"/>
  <c r="I32" i="2"/>
  <c r="L22" i="2"/>
  <c r="L39" i="2" s="1"/>
  <c r="M37" i="2"/>
  <c r="K35" i="2"/>
  <c r="J17" i="2" l="1"/>
  <c r="J31" i="2"/>
  <c r="K18" i="2" s="1"/>
  <c r="K31" i="2" s="1"/>
  <c r="L18" i="2" s="1"/>
  <c r="L17" i="2" s="1"/>
  <c r="M22" i="2"/>
  <c r="O37" i="2"/>
  <c r="M36" i="2"/>
  <c r="L35" i="2"/>
  <c r="E25" i="2"/>
  <c r="M38" i="2"/>
  <c r="J32" i="2"/>
  <c r="K23" i="2" l="1"/>
  <c r="K32" i="2" s="1"/>
  <c r="K17" i="2"/>
  <c r="M39" i="2"/>
  <c r="N39" i="2"/>
  <c r="O16" i="2"/>
  <c r="P37" i="2"/>
  <c r="E33" i="2"/>
  <c r="M35" i="2"/>
  <c r="L23" i="2"/>
  <c r="L31" i="2"/>
  <c r="M18" i="2" s="1"/>
  <c r="O35" i="2" l="1"/>
  <c r="P16" i="2"/>
  <c r="O38" i="2"/>
  <c r="O22" i="2"/>
  <c r="Q37" i="2"/>
  <c r="E27" i="2"/>
  <c r="E41" i="2" s="1"/>
  <c r="M23" i="2"/>
  <c r="M31" i="2"/>
  <c r="N18" i="2" s="1"/>
  <c r="M17" i="2"/>
  <c r="L32" i="2"/>
  <c r="N31" i="2" l="1"/>
  <c r="O18" i="2" s="1"/>
  <c r="O23" i="2" s="1"/>
  <c r="O32" i="2" s="1"/>
  <c r="N23" i="2"/>
  <c r="N17" i="2"/>
  <c r="Q16" i="2"/>
  <c r="P35" i="2"/>
  <c r="O39" i="2"/>
  <c r="P38" i="2"/>
  <c r="P22" i="2"/>
  <c r="R37" i="2"/>
  <c r="E28" i="2"/>
  <c r="F24" i="2"/>
  <c r="F25" i="2" s="1"/>
  <c r="F26" i="2" s="1"/>
  <c r="M32" i="2"/>
  <c r="N32" i="2" l="1"/>
  <c r="Q35" i="2"/>
  <c r="R16" i="2"/>
  <c r="S16" i="2" s="1"/>
  <c r="O31" i="2"/>
  <c r="P18" i="2" s="1"/>
  <c r="P23" i="2" s="1"/>
  <c r="P32" i="2" s="1"/>
  <c r="O17" i="2"/>
  <c r="P39" i="2"/>
  <c r="Q38" i="2"/>
  <c r="Q22" i="2"/>
  <c r="F33" i="2"/>
  <c r="S38" i="2" l="1"/>
  <c r="S22" i="2"/>
  <c r="S35" i="2"/>
  <c r="P31" i="2"/>
  <c r="Q18" i="2" s="1"/>
  <c r="Q23" i="2" s="1"/>
  <c r="Q32" i="2" s="1"/>
  <c r="P17" i="2"/>
  <c r="R35" i="2"/>
  <c r="Q39" i="2"/>
  <c r="R38" i="2"/>
  <c r="R22" i="2"/>
  <c r="F27" i="2"/>
  <c r="S39" i="2" l="1"/>
  <c r="Q31" i="2"/>
  <c r="R18" i="2" s="1"/>
  <c r="R23" i="2" s="1"/>
  <c r="R32" i="2" s="1"/>
  <c r="Q17" i="2"/>
  <c r="R39" i="2"/>
  <c r="F41" i="2"/>
  <c r="G24" i="2" s="1"/>
  <c r="G25" i="2" s="1"/>
  <c r="G26" i="2" s="1"/>
  <c r="F28" i="2"/>
  <c r="R31" i="2" l="1"/>
  <c r="S18" i="2" s="1"/>
  <c r="R17" i="2"/>
  <c r="G33" i="2"/>
  <c r="S23" i="2" l="1"/>
  <c r="S31" i="2"/>
  <c r="S17" i="2"/>
  <c r="G27" i="2"/>
  <c r="S32" i="2" l="1"/>
  <c r="G28" i="2"/>
  <c r="G41" i="2"/>
  <c r="H24" i="2" s="1"/>
  <c r="H25" i="2" s="1"/>
  <c r="H26" i="2" s="1"/>
  <c r="H33" i="2" l="1"/>
  <c r="H27" i="2" l="1"/>
  <c r="H41" i="2" l="1"/>
  <c r="H28" i="2"/>
  <c r="I24" i="2"/>
  <c r="I25" i="2" s="1"/>
  <c r="I26" i="2" s="1"/>
  <c r="I33" i="2" l="1"/>
  <c r="I27" i="2" l="1"/>
  <c r="I28" i="2" l="1"/>
  <c r="I41" i="2"/>
  <c r="J24" i="2" s="1"/>
  <c r="J25" i="2" s="1"/>
  <c r="J26" i="2" s="1"/>
  <c r="J33" i="2" l="1"/>
  <c r="J27" i="2" l="1"/>
  <c r="J28" i="2" l="1"/>
  <c r="J41" i="2"/>
  <c r="K24" i="2" l="1"/>
  <c r="K25" i="2" s="1"/>
  <c r="K26" i="2" s="1"/>
  <c r="K33" i="2" l="1"/>
  <c r="K27" i="2" l="1"/>
  <c r="K28" i="2" s="1"/>
  <c r="K41" i="2" l="1"/>
  <c r="L24" i="2" s="1"/>
  <c r="L25" i="2" s="1"/>
  <c r="L26" i="2" s="1"/>
  <c r="L33" i="2" l="1"/>
  <c r="L27" i="2" l="1"/>
  <c r="L28" i="2" s="1"/>
  <c r="L41" i="2" l="1"/>
  <c r="M24" i="2" s="1"/>
  <c r="M25" i="2" s="1"/>
  <c r="M26" i="2" s="1"/>
  <c r="M33" i="2" l="1"/>
  <c r="M27" i="2" l="1"/>
  <c r="M28" i="2" l="1"/>
  <c r="M41" i="2"/>
  <c r="N24" i="2" l="1"/>
  <c r="N25" i="2" s="1"/>
  <c r="N26" i="2" l="1"/>
  <c r="N33" i="2" s="1"/>
  <c r="N27" i="2" l="1"/>
  <c r="N28" i="2"/>
  <c r="N41" i="2"/>
  <c r="O24" i="2" s="1"/>
  <c r="O25" i="2" s="1"/>
  <c r="O26" i="2" s="1"/>
  <c r="O33" i="2" s="1"/>
  <c r="O27" i="2" l="1"/>
  <c r="O28" i="2" s="1"/>
  <c r="O41" i="2"/>
  <c r="P24" i="2" l="1"/>
  <c r="P25" i="2" s="1"/>
  <c r="P26" i="2" s="1"/>
  <c r="P33" i="2" l="1"/>
  <c r="P27" i="2"/>
  <c r="P28" i="2" l="1"/>
  <c r="P41" i="2"/>
  <c r="Q24" i="2" l="1"/>
  <c r="Q25" i="2" s="1"/>
  <c r="Q26" i="2" s="1"/>
  <c r="Q33" i="2" l="1"/>
  <c r="Q27" i="2"/>
  <c r="Q28" i="2" l="1"/>
  <c r="Q41" i="2"/>
  <c r="R24" i="2" l="1"/>
  <c r="R25" i="2" s="1"/>
  <c r="R26" i="2" s="1"/>
  <c r="R33" i="2" l="1"/>
  <c r="R27" i="2" l="1"/>
  <c r="R28" i="2" s="1"/>
  <c r="R41" i="2" l="1"/>
  <c r="S24" i="2"/>
  <c r="S25" i="2" s="1"/>
  <c r="S26" i="2" l="1"/>
  <c r="S33" i="2" s="1"/>
  <c r="S27" i="2" l="1"/>
  <c r="S41" i="2"/>
  <c r="S28" i="2" l="1"/>
  <c r="T27" i="2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F5" i="2" s="1"/>
  <c r="F6" i="2" l="1"/>
  <c r="F7" i="2" s="1"/>
  <c r="G7" i="2" s="1"/>
</calcChain>
</file>

<file path=xl/sharedStrings.xml><?xml version="1.0" encoding="utf-8"?>
<sst xmlns="http://schemas.openxmlformats.org/spreadsheetml/2006/main" count="127" uniqueCount="79">
  <si>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</si>
  <si>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</si>
  <si>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</si>
  <si>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</si>
  <si>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</si>
  <si>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</si>
  <si>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</si>
  <si>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</si>
  <si>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</si>
  <si>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</si>
  <si>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</si>
  <si>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</si>
  <si>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</si>
  <si>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</si>
  <si>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</si>
  <si>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</si>
  <si>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</si>
  <si>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</si>
  <si>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</si>
  <si>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</si>
  <si>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</si>
  <si>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</si>
  <si>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</si>
  <si>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</si>
  <si>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</si>
  <si>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</si>
  <si>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</si>
  <si>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</si>
  <si>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</si>
  <si>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</si>
  <si>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</si>
  <si>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</si>
  <si>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</si>
  <si>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</si>
  <si>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</si>
  <si>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</si>
  <si>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</si>
  <si>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</si>
  <si>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</si>
  <si>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</si>
  <si>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</si>
  <si>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</si>
  <si>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</si>
  <si>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</si>
  <si>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</si>
  <si>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</si>
  <si>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</si>
  <si>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</si>
  <si>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</si>
  <si>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</si>
  <si>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</si>
  <si>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</si>
  <si>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</si>
  <si>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</si>
  <si>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</si>
  <si>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Operating Expenses y/y</t>
  </si>
  <si>
    <t>Q120</t>
  </si>
  <si>
    <t>Q221</t>
  </si>
  <si>
    <t>Q321</t>
  </si>
  <si>
    <t>Q420</t>
  </si>
  <si>
    <t>Q320</t>
  </si>
  <si>
    <t>Q121</t>
  </si>
  <si>
    <t>Q220</t>
  </si>
  <si>
    <t>Q421</t>
  </si>
  <si>
    <t>PRODUCTS</t>
  </si>
  <si>
    <t>Agora Inc (API)</t>
  </si>
  <si>
    <t>Active customers</t>
  </si>
  <si>
    <t>ARPC</t>
  </si>
  <si>
    <t>Active customers y/y</t>
  </si>
  <si>
    <t>ARPC y/y</t>
  </si>
  <si>
    <t>NER</t>
  </si>
  <si>
    <t>Real-time services</t>
  </si>
  <si>
    <t>Other</t>
  </si>
  <si>
    <t>Agora Cloud</t>
  </si>
  <si>
    <t>Real-time video and voice API</t>
  </si>
  <si>
    <t>Real-time services y/y</t>
  </si>
  <si>
    <t>Other y/y</t>
  </si>
  <si>
    <t>Tony Zhao</t>
  </si>
  <si>
    <t>Tuck Lye Koh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</si>
</sst>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8" formatCode="#,##0.000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0" xfId="4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Border="1"/>
    <xf numFmtId="14" fontId="6" fillId="0" borderId="0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0" fillId="0" borderId="0" xfId="0" applyFont="1"/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0" fontId="8" fillId="0" borderId="0" xfId="0" applyFont="1"/>
    <xf numFmtId="14" fontId="0" fillId="0" borderId="0" xfId="0" applyNumberFormat="1" applyFont="1" applyBorder="1" applyAlignment="1">
      <alignment horizontal="right"/>
    </xf>
    <xf numFmtId="9" fontId="0" fillId="0" borderId="0" xfId="0" applyNumberFormat="1" applyFont="1" applyFill="1" applyBorder="1"/>
    <xf numFmtId="9" fontId="6" fillId="0" borderId="0" xfId="0" applyNumberFormat="1" applyFont="1" applyBorder="1"/>
    <xf numFmtId="168" fontId="6" fillId="0" borderId="0" xfId="0" applyNumberFormat="1" applyFont="1" applyBorder="1"/>
    <xf numFmtId="168" fontId="6" fillId="0" borderId="1" xfId="0" applyNumberFormat="1" applyFont="1" applyBorder="1" applyAlignment="1">
      <alignment horizontal="right"/>
    </xf>
    <xf numFmtId="168" fontId="6" fillId="0" borderId="0" xfId="0" applyNumberFormat="1" applyFont="1" applyBorder="1" applyAlignment="1">
      <alignment horizontal="right"/>
    </xf>
    <xf numFmtId="168" fontId="0" fillId="0" borderId="0" xfId="0" applyNumberFormat="1" applyFont="1" applyBorder="1"/>
    <xf numFmtId="3" fontId="5" fillId="0" borderId="0" xfId="0" applyNumberFormat="1" applyFont="1"/>
    <xf numFmtId="3" fontId="6" fillId="0" borderId="0" xfId="1" applyNumberFormat="1" applyFont="1" applyBorder="1" applyAlignment="1">
      <alignment horizontal="right"/>
    </xf>
    <xf numFmtId="3" fontId="6" fillId="2" borderId="1" xfId="0" applyNumberFormat="1" applyFont="1" applyFill="1" applyBorder="1"/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126022</xdr:colOff>
      <xdr:row>7</xdr:row>
      <xdr:rowOff>152400</xdr:rowOff>
    </xdr:from>
    <xdr:to>
      <xdr:col>4</xdr:col>
      <xdr:colOff>126022</xdr:colOff>
      <xdr:row>61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0484" y="1314938"/>
          <a:ext cx="0" cy="897206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121759</xdr:colOff>
      <xdr:row>0</xdr:row>
      <xdr:rowOff>152400</xdr:rowOff>
    </xdr:from>
    <xdr:to>
      <xdr:col>13</xdr:col>
      <xdr:colOff>121759</xdr:colOff>
      <xdr:row>57</xdr:row>
      <xdr:rowOff>156307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941682" y="152400"/>
          <a:ext cx="0" cy="913813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tozhao/" TargetMode="External"/><Relationship Id="rId2" Type="http://schemas.openxmlformats.org/officeDocument/2006/relationships/hyperlink" Target="https://www.linkedin.com/in/tozhao/" TargetMode="External"/><Relationship Id="rId1" Type="http://schemas.openxmlformats.org/officeDocument/2006/relationships/hyperlink" Target="https://investor.agora.io/investor-relation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802883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61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45" sqref="F45"/>
    </sheetView>
  </sheetViews>
  <sheetFormatPr baseColWidth="10" defaultRowHeight="13" x14ac:dyDescent="0.15"/>
  <cols>
    <col min="1" max="1" width="20.33203125" style="3" customWidth="1"/>
    <col min="2" max="16384" width="10.83203125" style="3"/>
  </cols>
  <sheetData>
    <row r="1" spans="1:114" x14ac:dyDescent="0.15">
      <c r="A1" s="56" t="s">
        <v>54</v>
      </c>
      <c r="B1" s="2" t="s">
        <v>65</v>
      </c>
    </row>
    <row r="2" spans="1:114" x14ac:dyDescent="0.15">
      <c r="B2" s="3" t="s">
        <v>36</v>
      </c>
      <c r="C2" s="4">
        <v>60.33</v>
      </c>
      <c r="D2" s="60">
        <v>44253</v>
      </c>
      <c r="E2" s="6" t="s">
        <v>21</v>
      </c>
      <c r="F2" s="7">
        <v>5.0000000000000001E-3</v>
      </c>
      <c r="J2" s="2"/>
    </row>
    <row r="3" spans="1:114" x14ac:dyDescent="0.15">
      <c r="A3" s="2" t="s">
        <v>34</v>
      </c>
      <c r="B3" s="3" t="s">
        <v>13</v>
      </c>
      <c r="C3" s="8">
        <f>Reports!M22</f>
        <v>102.0004095</v>
      </c>
      <c r="D3" s="61" t="s">
        <v>59</v>
      </c>
      <c r="E3" s="6" t="s">
        <v>22</v>
      </c>
      <c r="F3" s="7">
        <v>0.02</v>
      </c>
      <c r="G3" s="5"/>
    </row>
    <row r="4" spans="1:114" x14ac:dyDescent="0.15">
      <c r="A4" s="62" t="s">
        <v>77</v>
      </c>
      <c r="B4" s="3" t="s">
        <v>37</v>
      </c>
      <c r="C4" s="10">
        <f>C2*C3</f>
        <v>6153.6847051349996</v>
      </c>
      <c r="D4" s="61"/>
      <c r="E4" s="6" t="s">
        <v>23</v>
      </c>
      <c r="F4" s="7">
        <v>0.08</v>
      </c>
      <c r="G4" s="5"/>
      <c r="J4" s="9"/>
    </row>
    <row r="5" spans="1:114" x14ac:dyDescent="0.15">
      <c r="B5" s="3" t="s">
        <v>18</v>
      </c>
      <c r="C5" s="8">
        <f>Reports!M34</f>
        <v>635</v>
      </c>
      <c r="D5" s="61" t="s">
        <v>59</v>
      </c>
      <c r="E5" s="6" t="s">
        <v>24</v>
      </c>
      <c r="F5" s="11">
        <f>NPV(F4,E27:GO27)</f>
        <v>4250.4303377385668</v>
      </c>
      <c r="G5" s="5"/>
    </row>
    <row r="6" spans="1:114" x14ac:dyDescent="0.15">
      <c r="A6" s="2" t="s">
        <v>35</v>
      </c>
      <c r="B6" s="3" t="s">
        <v>38</v>
      </c>
      <c r="C6" s="10">
        <f>C4-C5</f>
        <v>5518.6847051349996</v>
      </c>
      <c r="D6" s="61"/>
      <c r="E6" s="12" t="s">
        <v>25</v>
      </c>
      <c r="F6" s="13">
        <f>F5+C5</f>
        <v>4885.4303377385668</v>
      </c>
    </row>
    <row r="7" spans="1:114" x14ac:dyDescent="0.15">
      <c r="A7" s="62" t="s">
        <v>77</v>
      </c>
      <c r="B7" s="5" t="s">
        <v>39</v>
      </c>
      <c r="C7" s="44">
        <f>C6/C3</f>
        <v>54.104534797333329</v>
      </c>
      <c r="D7" s="61"/>
      <c r="E7" s="14" t="s">
        <v>39</v>
      </c>
      <c r="F7" s="43">
        <f>F6/C3</f>
        <v>47.896183571092102</v>
      </c>
      <c r="G7" s="19">
        <f>F7/C2-1</f>
        <v>-0.2060967417355859</v>
      </c>
    </row>
    <row r="8" spans="1:114" x14ac:dyDescent="0.15">
      <c r="A8" s="58" t="s">
        <v>78</v>
      </c>
      <c r="B8" s="6"/>
      <c r="C8" s="15"/>
    </row>
    <row r="9" spans="1:114" x14ac:dyDescent="0.15">
      <c r="B9" s="39">
        <v>2018</v>
      </c>
      <c r="C9" s="39">
        <f t="shared" ref="C9:S9" si="0">B9+1</f>
        <v>2019</v>
      </c>
      <c r="D9" s="39">
        <f t="shared" si="0"/>
        <v>2020</v>
      </c>
      <c r="E9" s="39">
        <f t="shared" si="0"/>
        <v>2021</v>
      </c>
      <c r="F9" s="39">
        <f t="shared" si="0"/>
        <v>2022</v>
      </c>
      <c r="G9" s="39">
        <f t="shared" si="0"/>
        <v>2023</v>
      </c>
      <c r="H9" s="39">
        <f t="shared" si="0"/>
        <v>2024</v>
      </c>
      <c r="I9" s="39">
        <f t="shared" si="0"/>
        <v>2025</v>
      </c>
      <c r="J9" s="39">
        <f t="shared" si="0"/>
        <v>2026</v>
      </c>
      <c r="K9" s="39">
        <f t="shared" si="0"/>
        <v>2027</v>
      </c>
      <c r="L9" s="39">
        <f t="shared" si="0"/>
        <v>2028</v>
      </c>
      <c r="M9" s="39">
        <f t="shared" si="0"/>
        <v>2029</v>
      </c>
      <c r="N9" s="39">
        <f t="shared" si="0"/>
        <v>2030</v>
      </c>
      <c r="O9" s="39">
        <f t="shared" si="0"/>
        <v>2031</v>
      </c>
      <c r="P9" s="39">
        <f t="shared" si="0"/>
        <v>2032</v>
      </c>
      <c r="Q9" s="39">
        <f t="shared" si="0"/>
        <v>2033</v>
      </c>
      <c r="R9" s="39">
        <f t="shared" si="0"/>
        <v>2034</v>
      </c>
      <c r="S9" s="39">
        <f t="shared" si="0"/>
        <v>2035</v>
      </c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</row>
    <row r="10" spans="1:114" x14ac:dyDescent="0.15">
      <c r="A10" s="58" t="s">
        <v>71</v>
      </c>
      <c r="B10" s="38">
        <f>SUM(Reports!B3:E3)</f>
        <v>43.198999999999998</v>
      </c>
      <c r="C10" s="38">
        <f>SUM(Reports!F3:I3)</f>
        <v>63.926000000000002</v>
      </c>
      <c r="D10" s="38">
        <f>SUM(Reports!J3:M3)</f>
        <v>131.149</v>
      </c>
      <c r="E10" s="38">
        <f>D10*1.7</f>
        <v>222.95329999999998</v>
      </c>
      <c r="F10" s="38">
        <f>E10*1.6</f>
        <v>356.72528</v>
      </c>
      <c r="G10" s="38">
        <f>F10*1.5</f>
        <v>535.08791999999994</v>
      </c>
      <c r="H10" s="38">
        <f>G10*1.45</f>
        <v>775.87748399999987</v>
      </c>
      <c r="I10" s="38">
        <f>H10*1.4</f>
        <v>1086.2284775999997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</row>
    <row r="11" spans="1:114" x14ac:dyDescent="0.15">
      <c r="A11" s="58" t="s">
        <v>72</v>
      </c>
      <c r="B11" s="38">
        <f>SUM(Reports!B4:E4)</f>
        <v>0.45900000000000007</v>
      </c>
      <c r="C11" s="38">
        <f>SUM(Reports!F4:I4)</f>
        <v>0.503</v>
      </c>
      <c r="D11" s="38">
        <f>SUM(Reports!J4:M4)</f>
        <v>2.415</v>
      </c>
      <c r="E11" s="38">
        <f>D11*2</f>
        <v>4.83</v>
      </c>
      <c r="F11" s="38">
        <f>E11*1.5</f>
        <v>7.2450000000000001</v>
      </c>
      <c r="G11" s="38">
        <f>F11*1.45</f>
        <v>10.50525</v>
      </c>
      <c r="H11" s="38">
        <f>G11*1.4</f>
        <v>14.70735</v>
      </c>
      <c r="I11" s="38">
        <f>H11*1.35</f>
        <v>19.854922500000001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</row>
    <row r="12" spans="1:114" x14ac:dyDescent="0.15">
      <c r="A12" s="1"/>
      <c r="B12" s="38"/>
      <c r="C12" s="38"/>
      <c r="D12" s="38"/>
      <c r="E12" s="38"/>
      <c r="F12" s="38"/>
      <c r="G12" s="38"/>
      <c r="H12" s="38"/>
      <c r="I12" s="38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</row>
    <row r="13" spans="1:114" s="83" customFormat="1" x14ac:dyDescent="0.15">
      <c r="A13" s="78" t="s">
        <v>66</v>
      </c>
      <c r="B13" s="82"/>
      <c r="C13" s="82">
        <f>Reports!I6</f>
        <v>1.041E-3</v>
      </c>
      <c r="D13" s="82">
        <f>Reports!M6</f>
        <v>2.0950000000000001E-3</v>
      </c>
      <c r="E13" s="82">
        <f>D13*1.6</f>
        <v>3.3520000000000004E-3</v>
      </c>
      <c r="F13" s="82">
        <f>E13*1.55</f>
        <v>5.1956000000000007E-3</v>
      </c>
      <c r="G13" s="82">
        <f>F13*1.5</f>
        <v>7.7934000000000007E-3</v>
      </c>
      <c r="H13" s="82">
        <f>G13*1.45</f>
        <v>1.130043E-2</v>
      </c>
      <c r="I13" s="82">
        <f>H13*1.4</f>
        <v>1.5820602E-2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</row>
    <row r="14" spans="1:114" x14ac:dyDescent="0.15">
      <c r="A14" s="8" t="s">
        <v>67</v>
      </c>
      <c r="B14" s="38"/>
      <c r="C14" s="53">
        <f>SUM(C10:C11)/C13</f>
        <v>61891.450528338137</v>
      </c>
      <c r="D14" s="53">
        <f>SUM(D10:D11)/D13</f>
        <v>63753.699284009541</v>
      </c>
      <c r="E14" s="38">
        <f>D14*0.95</f>
        <v>60566.014319809059</v>
      </c>
      <c r="F14" s="38">
        <f t="shared" ref="F14:I14" si="1">E14*0.95</f>
        <v>57537.7136038186</v>
      </c>
      <c r="G14" s="38">
        <f t="shared" si="1"/>
        <v>54660.827923627665</v>
      </c>
      <c r="H14" s="38">
        <f t="shared" si="1"/>
        <v>51927.786527446282</v>
      </c>
      <c r="I14" s="38">
        <f t="shared" si="1"/>
        <v>49331.397201073967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</row>
    <row r="15" spans="1:114" s="66" customFormat="1" x14ac:dyDescent="0.15">
      <c r="C15" s="67"/>
      <c r="D15" s="67"/>
      <c r="E15" s="67">
        <v>178</v>
      </c>
      <c r="F15" s="67"/>
    </row>
    <row r="16" spans="1:114" x14ac:dyDescent="0.15">
      <c r="A16" s="2" t="s">
        <v>0</v>
      </c>
      <c r="B16" s="24">
        <f>SUM(B10:B11)</f>
        <v>43.658000000000001</v>
      </c>
      <c r="C16" s="24">
        <f>SUM(C10:C11)</f>
        <v>64.429000000000002</v>
      </c>
      <c r="D16" s="24">
        <f>SUM(D10:D11)</f>
        <v>133.56399999999999</v>
      </c>
      <c r="E16" s="47">
        <f>E13*E14</f>
        <v>203.01728</v>
      </c>
      <c r="F16" s="47">
        <f>F13*F14</f>
        <v>298.94294479999996</v>
      </c>
      <c r="G16" s="47">
        <f>G13*G14</f>
        <v>425.99369633999987</v>
      </c>
      <c r="H16" s="47">
        <f>H13*H14</f>
        <v>586.80631670834975</v>
      </c>
      <c r="I16" s="47">
        <f>I13*I14</f>
        <v>780.45240122210521</v>
      </c>
      <c r="J16" s="47">
        <f>I16*1.2</f>
        <v>936.54288146652618</v>
      </c>
      <c r="K16" s="47">
        <f t="shared" ref="K16:N16" si="2">J16*1.2</f>
        <v>1123.8514577598314</v>
      </c>
      <c r="L16" s="47">
        <f t="shared" si="2"/>
        <v>1348.6217493117977</v>
      </c>
      <c r="M16" s="47">
        <f t="shared" si="2"/>
        <v>1618.3460991741572</v>
      </c>
      <c r="N16" s="47">
        <f t="shared" si="2"/>
        <v>1942.0153190089886</v>
      </c>
      <c r="O16" s="47">
        <f t="shared" ref="O16:S16" si="3">N16*1.1</f>
        <v>2136.2168509098879</v>
      </c>
      <c r="P16" s="47">
        <f t="shared" si="3"/>
        <v>2349.838536000877</v>
      </c>
      <c r="Q16" s="47">
        <f t="shared" si="3"/>
        <v>2584.8223896009649</v>
      </c>
      <c r="R16" s="47">
        <f t="shared" si="3"/>
        <v>2843.3046285610617</v>
      </c>
      <c r="S16" s="47">
        <f t="shared" si="3"/>
        <v>3127.635091417168</v>
      </c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</row>
    <row r="17" spans="1:197" x14ac:dyDescent="0.15">
      <c r="A17" s="3" t="s">
        <v>1</v>
      </c>
      <c r="B17" s="38">
        <f>SUM(Reports!B10:E10)</f>
        <v>12.634</v>
      </c>
      <c r="C17" s="38">
        <f>SUM(Reports!F10:I10)</f>
        <v>20.418000000000003</v>
      </c>
      <c r="D17" s="38">
        <f>SUM(Reports!J10:M10)</f>
        <v>47.198999999999998</v>
      </c>
      <c r="E17" s="38">
        <f>E16-E18</f>
        <v>71.74248</v>
      </c>
      <c r="F17" s="23">
        <f t="shared" ref="F17:M17" si="4">F16-F18</f>
        <v>105.64080179999999</v>
      </c>
      <c r="G17" s="23">
        <f t="shared" si="4"/>
        <v>150.53814256499993</v>
      </c>
      <c r="H17" s="23">
        <f>H16-H18</f>
        <v>207.36629138328738</v>
      </c>
      <c r="I17" s="23">
        <f t="shared" si="4"/>
        <v>275.79716753977226</v>
      </c>
      <c r="J17" s="23">
        <f t="shared" si="4"/>
        <v>330.95660104772674</v>
      </c>
      <c r="K17" s="23">
        <f t="shared" si="4"/>
        <v>397.14792125727217</v>
      </c>
      <c r="L17" s="23">
        <f t="shared" si="4"/>
        <v>476.57750550872652</v>
      </c>
      <c r="M17" s="23">
        <f t="shared" si="4"/>
        <v>571.89300661047196</v>
      </c>
      <c r="N17" s="23">
        <f t="shared" ref="N17" si="5">N16-N18</f>
        <v>686.27160793256621</v>
      </c>
      <c r="O17" s="23">
        <f t="shared" ref="O17:R17" si="6">O16-O18</f>
        <v>754.89876872582295</v>
      </c>
      <c r="P17" s="23">
        <f t="shared" si="6"/>
        <v>830.38864559840545</v>
      </c>
      <c r="Q17" s="23">
        <f t="shared" si="6"/>
        <v>913.42751015824615</v>
      </c>
      <c r="R17" s="23">
        <f t="shared" si="6"/>
        <v>1004.7702611740708</v>
      </c>
      <c r="S17" s="23">
        <f t="shared" ref="S17" si="7">S16-S18</f>
        <v>1105.247287291478</v>
      </c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</row>
    <row r="18" spans="1:197" x14ac:dyDescent="0.15">
      <c r="A18" s="3" t="s">
        <v>2</v>
      </c>
      <c r="B18" s="26">
        <f>B16-B17</f>
        <v>31.024000000000001</v>
      </c>
      <c r="C18" s="26">
        <f>C16-C17</f>
        <v>44.010999999999996</v>
      </c>
      <c r="D18" s="26">
        <f>D16-D17</f>
        <v>86.364999999999995</v>
      </c>
      <c r="E18" s="23">
        <f>E16*D31</f>
        <v>131.2748</v>
      </c>
      <c r="F18" s="23">
        <f t="shared" ref="E18:S18" si="8">F16*E31</f>
        <v>193.30214299999997</v>
      </c>
      <c r="G18" s="23">
        <f t="shared" si="8"/>
        <v>275.45555377499994</v>
      </c>
      <c r="H18" s="23">
        <f>H16*G31</f>
        <v>379.44002532506238</v>
      </c>
      <c r="I18" s="23">
        <f t="shared" si="8"/>
        <v>504.65523368233295</v>
      </c>
      <c r="J18" s="23">
        <f t="shared" si="8"/>
        <v>605.58628041879945</v>
      </c>
      <c r="K18" s="23">
        <f t="shared" si="8"/>
        <v>726.70353650255925</v>
      </c>
      <c r="L18" s="23">
        <f t="shared" si="8"/>
        <v>872.04424380307114</v>
      </c>
      <c r="M18" s="23">
        <f t="shared" si="8"/>
        <v>1046.4530925636852</v>
      </c>
      <c r="N18" s="23">
        <f t="shared" si="8"/>
        <v>1255.7437110764224</v>
      </c>
      <c r="O18" s="23">
        <f t="shared" si="8"/>
        <v>1381.3180821840649</v>
      </c>
      <c r="P18" s="23">
        <f t="shared" si="8"/>
        <v>1519.4498904024715</v>
      </c>
      <c r="Q18" s="23">
        <f t="shared" si="8"/>
        <v>1671.3948794427188</v>
      </c>
      <c r="R18" s="23">
        <f t="shared" si="8"/>
        <v>1838.5343673869909</v>
      </c>
      <c r="S18" s="23">
        <f t="shared" si="8"/>
        <v>2022.3878041256901</v>
      </c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</row>
    <row r="19" spans="1:197" x14ac:dyDescent="0.15">
      <c r="A19" s="3" t="s">
        <v>3</v>
      </c>
      <c r="B19" s="38">
        <f>SUM(Reports!B12:E12)</f>
        <v>15</v>
      </c>
      <c r="C19" s="38">
        <f>SUM(Reports!F12:I12)</f>
        <v>24</v>
      </c>
      <c r="D19" s="38">
        <f>SUM(Reports!J12:M12)</f>
        <v>49</v>
      </c>
      <c r="E19" s="38">
        <f>D19*1.4</f>
        <v>68.599999999999994</v>
      </c>
      <c r="F19" s="38">
        <f t="shared" ref="F19:I19" si="9">E19*1.4</f>
        <v>96.039999999999992</v>
      </c>
      <c r="G19" s="38">
        <f t="shared" si="9"/>
        <v>134.45599999999999</v>
      </c>
      <c r="H19" s="38">
        <f t="shared" si="9"/>
        <v>188.23839999999998</v>
      </c>
      <c r="I19" s="38">
        <f t="shared" si="9"/>
        <v>263.53375999999997</v>
      </c>
      <c r="J19" s="23">
        <f>I19*1.2</f>
        <v>316.24051199999997</v>
      </c>
      <c r="K19" s="23">
        <f t="shared" ref="K19:N19" si="10">J19*1.2</f>
        <v>379.48861439999996</v>
      </c>
      <c r="L19" s="23">
        <f t="shared" si="10"/>
        <v>455.38633727999996</v>
      </c>
      <c r="M19" s="23">
        <f t="shared" si="10"/>
        <v>546.46360473599998</v>
      </c>
      <c r="N19" s="23">
        <f t="shared" si="10"/>
        <v>655.75632568319998</v>
      </c>
      <c r="O19" s="23">
        <f t="shared" ref="O19:S20" si="11">N19*1.1</f>
        <v>721.33195825152006</v>
      </c>
      <c r="P19" s="23">
        <f t="shared" si="11"/>
        <v>793.46515407667209</v>
      </c>
      <c r="Q19" s="23">
        <f t="shared" si="11"/>
        <v>872.8116694843394</v>
      </c>
      <c r="R19" s="23">
        <f t="shared" si="11"/>
        <v>960.09283643277342</v>
      </c>
      <c r="S19" s="23">
        <f t="shared" si="11"/>
        <v>1056.1021200760508</v>
      </c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</row>
    <row r="20" spans="1:197" x14ac:dyDescent="0.15">
      <c r="A20" s="3" t="s">
        <v>4</v>
      </c>
      <c r="B20" s="38">
        <f>SUM(Reports!B13:E13)</f>
        <v>12</v>
      </c>
      <c r="C20" s="38">
        <f>SUM(Reports!F13:I13)</f>
        <v>20</v>
      </c>
      <c r="D20" s="38">
        <f>SUM(Reports!J13:M13)</f>
        <v>25</v>
      </c>
      <c r="E20" s="38">
        <f>D20*1.2</f>
        <v>30</v>
      </c>
      <c r="F20" s="38">
        <f t="shared" ref="F20:I20" si="12">E20*1.2</f>
        <v>36</v>
      </c>
      <c r="G20" s="38">
        <f t="shared" si="12"/>
        <v>43.199999999999996</v>
      </c>
      <c r="H20" s="38">
        <f t="shared" si="12"/>
        <v>51.839999999999996</v>
      </c>
      <c r="I20" s="38">
        <f t="shared" si="12"/>
        <v>62.207999999999991</v>
      </c>
      <c r="J20" s="23">
        <f t="shared" ref="J20:N20" si="13">I20*1.15</f>
        <v>71.53919999999998</v>
      </c>
      <c r="K20" s="23">
        <f t="shared" si="13"/>
        <v>82.270079999999965</v>
      </c>
      <c r="L20" s="23">
        <f t="shared" si="13"/>
        <v>94.610591999999954</v>
      </c>
      <c r="M20" s="23">
        <f t="shared" si="13"/>
        <v>108.80218079999995</v>
      </c>
      <c r="N20" s="23">
        <f t="shared" si="13"/>
        <v>125.12250791999993</v>
      </c>
      <c r="O20" s="23">
        <f>N20*1.1</f>
        <v>137.63475871199995</v>
      </c>
      <c r="P20" s="23">
        <f t="shared" si="11"/>
        <v>151.39823458319995</v>
      </c>
      <c r="Q20" s="23">
        <f t="shared" si="11"/>
        <v>166.53805804151995</v>
      </c>
      <c r="R20" s="23">
        <f t="shared" si="11"/>
        <v>183.19186384567195</v>
      </c>
      <c r="S20" s="23">
        <f t="shared" si="11"/>
        <v>201.51105023023916</v>
      </c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</row>
    <row r="21" spans="1:197" x14ac:dyDescent="0.15">
      <c r="A21" s="3" t="s">
        <v>5</v>
      </c>
      <c r="B21" s="38">
        <f>SUM(Reports!B14:E14)</f>
        <v>5</v>
      </c>
      <c r="C21" s="38">
        <f>SUM(Reports!F14:I14)</f>
        <v>8</v>
      </c>
      <c r="D21" s="38">
        <f>SUM(Reports!J14:M14)</f>
        <v>18</v>
      </c>
      <c r="E21" s="38">
        <f>D21*1.3</f>
        <v>23.400000000000002</v>
      </c>
      <c r="F21" s="38">
        <f t="shared" ref="F21:I21" si="14">E21*1.3</f>
        <v>30.420000000000005</v>
      </c>
      <c r="G21" s="38">
        <f t="shared" si="14"/>
        <v>39.546000000000006</v>
      </c>
      <c r="H21" s="38">
        <f t="shared" si="14"/>
        <v>51.409800000000011</v>
      </c>
      <c r="I21" s="38">
        <f t="shared" si="14"/>
        <v>66.832740000000015</v>
      </c>
      <c r="J21" s="23">
        <f>I21*1.1</f>
        <v>73.516014000000027</v>
      </c>
      <c r="K21" s="23">
        <f t="shared" ref="K21:N21" si="15">J21*1.1</f>
        <v>80.867615400000034</v>
      </c>
      <c r="L21" s="23">
        <f t="shared" si="15"/>
        <v>88.954376940000046</v>
      </c>
      <c r="M21" s="23">
        <f t="shared" si="15"/>
        <v>97.849814634000055</v>
      </c>
      <c r="N21" s="23">
        <f t="shared" si="15"/>
        <v>107.63479609740007</v>
      </c>
      <c r="O21" s="23">
        <f>N21*1.05</f>
        <v>113.01653590227008</v>
      </c>
      <c r="P21" s="23">
        <f t="shared" ref="P21:S21" si="16">O21*1.05</f>
        <v>118.66736269738358</v>
      </c>
      <c r="Q21" s="23">
        <f t="shared" si="16"/>
        <v>124.60073083225276</v>
      </c>
      <c r="R21" s="23">
        <f t="shared" si="16"/>
        <v>130.8307673738654</v>
      </c>
      <c r="S21" s="23">
        <f t="shared" si="16"/>
        <v>137.37230574255867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97" x14ac:dyDescent="0.15">
      <c r="A22" s="3" t="s">
        <v>6</v>
      </c>
      <c r="B22" s="26">
        <f>SUM(B19:B21)</f>
        <v>32</v>
      </c>
      <c r="C22" s="26">
        <f>SUM(C19:C21)</f>
        <v>52</v>
      </c>
      <c r="D22" s="26">
        <f>SUM(D19:D21)</f>
        <v>92</v>
      </c>
      <c r="E22" s="23">
        <f t="shared" ref="E22" si="17">SUM(E19:E21)</f>
        <v>122</v>
      </c>
      <c r="F22" s="23">
        <f t="shared" ref="F22:M22" si="18">SUM(F19:F21)</f>
        <v>162.46</v>
      </c>
      <c r="G22" s="23">
        <f t="shared" si="18"/>
        <v>217.202</v>
      </c>
      <c r="H22" s="23">
        <f t="shared" si="18"/>
        <v>291.48820000000001</v>
      </c>
      <c r="I22" s="23">
        <f t="shared" si="18"/>
        <v>392.57449999999994</v>
      </c>
      <c r="J22" s="23">
        <f t="shared" si="18"/>
        <v>461.295726</v>
      </c>
      <c r="K22" s="23">
        <f t="shared" si="18"/>
        <v>542.62630979999994</v>
      </c>
      <c r="L22" s="23">
        <f t="shared" si="18"/>
        <v>638.95130621999999</v>
      </c>
      <c r="M22" s="23">
        <f t="shared" si="18"/>
        <v>753.11560016999999</v>
      </c>
      <c r="N22" s="23">
        <f t="shared" ref="N22" si="19">SUM(N19:N21)</f>
        <v>888.51362970060006</v>
      </c>
      <c r="O22" s="23">
        <f t="shared" ref="O22:R22" si="20">SUM(O19:O21)</f>
        <v>971.98325286579006</v>
      </c>
      <c r="P22" s="23">
        <f t="shared" si="20"/>
        <v>1063.5307513572557</v>
      </c>
      <c r="Q22" s="23">
        <f t="shared" si="20"/>
        <v>1163.9504583581122</v>
      </c>
      <c r="R22" s="23">
        <f t="shared" si="20"/>
        <v>1274.1154676523108</v>
      </c>
      <c r="S22" s="23">
        <f t="shared" ref="S22" si="21">SUM(S19:S21)</f>
        <v>1394.9854760488486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</row>
    <row r="23" spans="1:197" x14ac:dyDescent="0.15">
      <c r="A23" s="3" t="s">
        <v>7</v>
      </c>
      <c r="B23" s="26">
        <f>B18-B22</f>
        <v>-0.97599999999999909</v>
      </c>
      <c r="C23" s="26">
        <f>C18-C22</f>
        <v>-7.9890000000000043</v>
      </c>
      <c r="D23" s="26">
        <f>D18-D22</f>
        <v>-5.6350000000000051</v>
      </c>
      <c r="E23" s="23">
        <f t="shared" ref="E23" si="22">E18-E22</f>
        <v>9.274799999999999</v>
      </c>
      <c r="F23" s="23">
        <f t="shared" ref="F23:M23" si="23">F18-F22</f>
        <v>30.842142999999965</v>
      </c>
      <c r="G23" s="23">
        <f t="shared" si="23"/>
        <v>58.253553774999943</v>
      </c>
      <c r="H23" s="23">
        <f t="shared" si="23"/>
        <v>87.951825325062373</v>
      </c>
      <c r="I23" s="23">
        <f t="shared" si="23"/>
        <v>112.080733682333</v>
      </c>
      <c r="J23" s="23">
        <f t="shared" si="23"/>
        <v>144.29055441879945</v>
      </c>
      <c r="K23" s="23">
        <f t="shared" si="23"/>
        <v>184.0772267025593</v>
      </c>
      <c r="L23" s="23">
        <f t="shared" si="23"/>
        <v>233.09293758307115</v>
      </c>
      <c r="M23" s="23">
        <f t="shared" si="23"/>
        <v>293.33749239368524</v>
      </c>
      <c r="N23" s="23">
        <f t="shared" ref="N23" si="24">N18-N22</f>
        <v>367.23008137582235</v>
      </c>
      <c r="O23" s="23">
        <f t="shared" ref="O23:R23" si="25">O18-O22</f>
        <v>409.33482931827484</v>
      </c>
      <c r="P23" s="23">
        <f t="shared" si="25"/>
        <v>455.91913904521584</v>
      </c>
      <c r="Q23" s="23">
        <f t="shared" si="25"/>
        <v>507.44442108460657</v>
      </c>
      <c r="R23" s="23">
        <f t="shared" si="25"/>
        <v>564.41889973468005</v>
      </c>
      <c r="S23" s="23">
        <f t="shared" ref="S23" si="26">S18-S22</f>
        <v>627.40232807684151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</row>
    <row r="24" spans="1:197" x14ac:dyDescent="0.15">
      <c r="A24" s="3" t="s">
        <v>8</v>
      </c>
      <c r="B24" s="38">
        <f>SUM(Reports!B17:E17)</f>
        <v>1</v>
      </c>
      <c r="C24" s="38">
        <f>SUM(Reports!F17:I17)</f>
        <v>0</v>
      </c>
      <c r="D24" s="38">
        <f>SUM(Reports!J17:M17)</f>
        <v>3</v>
      </c>
      <c r="E24" s="38">
        <f>SUM(Reports!J17:M17)</f>
        <v>3</v>
      </c>
      <c r="F24" s="23">
        <f>E41*$F$3</f>
        <v>12.9086716</v>
      </c>
      <c r="G24" s="23">
        <f>F41*$F$3</f>
        <v>13.652435448199999</v>
      </c>
      <c r="H24" s="23">
        <f>G41*$F$3</f>
        <v>14.874837264994399</v>
      </c>
      <c r="I24" s="23">
        <f>H41*$F$3</f>
        <v>16.622890529025362</v>
      </c>
      <c r="J24" s="23">
        <f>I41*$F$3</f>
        <v>18.810852140618454</v>
      </c>
      <c r="K24" s="23">
        <f>J41*$F$3</f>
        <v>21.583576052128556</v>
      </c>
      <c r="L24" s="23">
        <f>K41*$F$3</f>
        <v>25.079809698958254</v>
      </c>
      <c r="M24" s="23">
        <f>L41*$F$3</f>
        <v>29.46874640275275</v>
      </c>
      <c r="N24" s="23">
        <f>M41*$F$3</f>
        <v>34.956452462292198</v>
      </c>
      <c r="O24" s="23">
        <f>N41*$F$3</f>
        <v>41.793623537540142</v>
      </c>
      <c r="P24" s="23">
        <f>O41*$F$3</f>
        <v>49.462807236088992</v>
      </c>
      <c r="Q24" s="23">
        <f>P41*$F$3</f>
        <v>58.054300322871178</v>
      </c>
      <c r="R24" s="23">
        <f>Q41*$F$3</f>
        <v>67.667778586798306</v>
      </c>
      <c r="S24" s="23">
        <f>R41*$F$3</f>
        <v>78.413252118263443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</row>
    <row r="25" spans="1:197" x14ac:dyDescent="0.15">
      <c r="A25" s="3" t="s">
        <v>9</v>
      </c>
      <c r="B25" s="26">
        <f>B23+B24</f>
        <v>2.4000000000000909E-2</v>
      </c>
      <c r="C25" s="26">
        <f>C23+C24</f>
        <v>-7.9890000000000043</v>
      </c>
      <c r="D25" s="26">
        <f>D23+D24</f>
        <v>-2.6350000000000051</v>
      </c>
      <c r="E25" s="23">
        <f t="shared" ref="E25" si="27">E23+E24</f>
        <v>12.274799999999999</v>
      </c>
      <c r="F25" s="23">
        <f t="shared" ref="F25" si="28">F23+F24</f>
        <v>43.750814599999963</v>
      </c>
      <c r="G25" s="23">
        <f t="shared" ref="G25" si="29">G23+G24</f>
        <v>71.905989223199938</v>
      </c>
      <c r="H25" s="23">
        <f t="shared" ref="H25" si="30">H23+H24</f>
        <v>102.82666259005677</v>
      </c>
      <c r="I25" s="23">
        <f t="shared" ref="I25" si="31">I23+I24</f>
        <v>128.70362421135837</v>
      </c>
      <c r="J25" s="23">
        <f t="shared" ref="J25" si="32">J23+J24</f>
        <v>163.10140655941791</v>
      </c>
      <c r="K25" s="23">
        <f t="shared" ref="K25" si="33">K23+K24</f>
        <v>205.66080275468786</v>
      </c>
      <c r="L25" s="23">
        <f t="shared" ref="L25" si="34">L23+L24</f>
        <v>258.17274728202938</v>
      </c>
      <c r="M25" s="23">
        <f t="shared" ref="M25" si="35">M23+M24</f>
        <v>322.80623879643798</v>
      </c>
      <c r="N25" s="23">
        <f t="shared" ref="N25" si="36">N23+N24</f>
        <v>402.18653383811454</v>
      </c>
      <c r="O25" s="23">
        <f t="shared" ref="O25:R25" si="37">O23+O24</f>
        <v>451.128452855815</v>
      </c>
      <c r="P25" s="23">
        <f t="shared" si="37"/>
        <v>505.38194628130486</v>
      </c>
      <c r="Q25" s="23">
        <f t="shared" si="37"/>
        <v>565.49872140747777</v>
      </c>
      <c r="R25" s="23">
        <f t="shared" si="37"/>
        <v>632.0866783214783</v>
      </c>
      <c r="S25" s="23">
        <f t="shared" ref="S25" si="38">S23+S24</f>
        <v>705.81558019510499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</row>
    <row r="26" spans="1:197" x14ac:dyDescent="0.15">
      <c r="A26" s="3" t="s">
        <v>10</v>
      </c>
      <c r="B26" s="38">
        <f>SUM(Reports!B19:E19)</f>
        <v>0</v>
      </c>
      <c r="C26" s="38">
        <f>SUM(Reports!F19:I19)</f>
        <v>0</v>
      </c>
      <c r="D26" s="38">
        <f>SUM(Reports!J19:M19)</f>
        <v>0</v>
      </c>
      <c r="E26" s="23">
        <f t="shared" ref="E26:R26" si="39">E25*0.15</f>
        <v>1.8412199999999999</v>
      </c>
      <c r="F26" s="23">
        <f t="shared" si="39"/>
        <v>6.5626221899999946</v>
      </c>
      <c r="G26" s="23">
        <f t="shared" si="39"/>
        <v>10.78589838347999</v>
      </c>
      <c r="H26" s="23">
        <f t="shared" si="39"/>
        <v>15.423999388508514</v>
      </c>
      <c r="I26" s="23">
        <f t="shared" si="39"/>
        <v>19.305543631703756</v>
      </c>
      <c r="J26" s="23">
        <f t="shared" si="39"/>
        <v>24.465210983912687</v>
      </c>
      <c r="K26" s="23">
        <f t="shared" si="39"/>
        <v>30.849120413203178</v>
      </c>
      <c r="L26" s="23">
        <f t="shared" si="39"/>
        <v>38.725912092304405</v>
      </c>
      <c r="M26" s="23">
        <f t="shared" si="39"/>
        <v>48.420935819465697</v>
      </c>
      <c r="N26" s="23">
        <f t="shared" ref="N26" si="40">N25*0.15</f>
        <v>60.327980075717178</v>
      </c>
      <c r="O26" s="23">
        <f t="shared" si="39"/>
        <v>67.66926792837225</v>
      </c>
      <c r="P26" s="23">
        <f t="shared" si="39"/>
        <v>75.807291942195732</v>
      </c>
      <c r="Q26" s="23">
        <f t="shared" si="39"/>
        <v>84.824808211121663</v>
      </c>
      <c r="R26" s="23">
        <f t="shared" si="39"/>
        <v>94.813001748221737</v>
      </c>
      <c r="S26" s="23">
        <f t="shared" ref="S26" si="41">S25*0.15</f>
        <v>105.87233702926575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</row>
    <row r="27" spans="1:197" s="2" customFormat="1" x14ac:dyDescent="0.15">
      <c r="A27" s="2" t="s">
        <v>11</v>
      </c>
      <c r="B27" s="24">
        <f>B25-B26</f>
        <v>2.4000000000000909E-2</v>
      </c>
      <c r="C27" s="24">
        <f t="shared" ref="C27:E27" si="42">C25-C26</f>
        <v>-7.9890000000000043</v>
      </c>
      <c r="D27" s="24">
        <f>D25-D26</f>
        <v>-2.6350000000000051</v>
      </c>
      <c r="E27" s="24">
        <f t="shared" si="42"/>
        <v>10.433579999999999</v>
      </c>
      <c r="F27" s="24">
        <f t="shared" ref="F27:M27" si="43">F25-F26</f>
        <v>37.188192409999971</v>
      </c>
      <c r="G27" s="24">
        <f t="shared" si="43"/>
        <v>61.12009083971995</v>
      </c>
      <c r="H27" s="24">
        <f t="shared" si="43"/>
        <v>87.402663201548251</v>
      </c>
      <c r="I27" s="24">
        <f t="shared" si="43"/>
        <v>109.39808057965462</v>
      </c>
      <c r="J27" s="24">
        <f t="shared" si="43"/>
        <v>138.63619557550521</v>
      </c>
      <c r="K27" s="24">
        <f t="shared" si="43"/>
        <v>174.8116823414847</v>
      </c>
      <c r="L27" s="24">
        <f t="shared" si="43"/>
        <v>219.44683518972496</v>
      </c>
      <c r="M27" s="24">
        <f t="shared" si="43"/>
        <v>274.3853029769723</v>
      </c>
      <c r="N27" s="24">
        <f t="shared" ref="N27" si="44">N25-N26</f>
        <v>341.85855376239738</v>
      </c>
      <c r="O27" s="24">
        <f t="shared" ref="O27:R27" si="45">O25-O26</f>
        <v>383.45918492744272</v>
      </c>
      <c r="P27" s="24">
        <f t="shared" si="45"/>
        <v>429.57465433910914</v>
      </c>
      <c r="Q27" s="24">
        <f t="shared" si="45"/>
        <v>480.67391319635612</v>
      </c>
      <c r="R27" s="24">
        <f t="shared" si="45"/>
        <v>537.27367657325658</v>
      </c>
      <c r="S27" s="24">
        <f t="shared" ref="S27" si="46">S25-S26</f>
        <v>599.94324316583925</v>
      </c>
      <c r="T27" s="24">
        <f>S27*($F$2+1)</f>
        <v>602.9429593816684</v>
      </c>
      <c r="U27" s="24">
        <f>T27*($F$2+1)</f>
        <v>605.95767417857667</v>
      </c>
      <c r="V27" s="24">
        <f>U27*($F$2+1)</f>
        <v>608.98746254946946</v>
      </c>
      <c r="W27" s="24">
        <f>V27*($F$2+1)</f>
        <v>612.03239986221672</v>
      </c>
      <c r="X27" s="24">
        <f>W27*($F$2+1)</f>
        <v>615.09256186152777</v>
      </c>
      <c r="Y27" s="24">
        <f>X27*($F$2+1)</f>
        <v>618.16802467083539</v>
      </c>
      <c r="Z27" s="24">
        <f>Y27*($F$2+1)</f>
        <v>621.25886479418955</v>
      </c>
      <c r="AA27" s="24">
        <f>Z27*($F$2+1)</f>
        <v>624.36515911816048</v>
      </c>
      <c r="AB27" s="24">
        <f>AA27*($F$2+1)</f>
        <v>627.48698491375126</v>
      </c>
      <c r="AC27" s="24">
        <f>AB27*($F$2+1)</f>
        <v>630.62441983831991</v>
      </c>
      <c r="AD27" s="24">
        <f>AC27*($F$2+1)</f>
        <v>633.77754193751139</v>
      </c>
      <c r="AE27" s="24">
        <f>AD27*($F$2+1)</f>
        <v>636.9464296471989</v>
      </c>
      <c r="AF27" s="24">
        <f>AE27*($F$2+1)</f>
        <v>640.13116179543488</v>
      </c>
      <c r="AG27" s="24">
        <f>AF27*($F$2+1)</f>
        <v>643.33181760441198</v>
      </c>
      <c r="AH27" s="24">
        <f>AG27*($F$2+1)</f>
        <v>646.54847669243395</v>
      </c>
      <c r="AI27" s="24">
        <f>AH27*($F$2+1)</f>
        <v>649.78121907589605</v>
      </c>
      <c r="AJ27" s="24">
        <f>AI27*($F$2+1)</f>
        <v>653.03012517127547</v>
      </c>
      <c r="AK27" s="24">
        <f>AJ27*($F$2+1)</f>
        <v>656.29527579713181</v>
      </c>
      <c r="AL27" s="24">
        <f>AK27*($F$2+1)</f>
        <v>659.57675217611745</v>
      </c>
      <c r="AM27" s="24">
        <f>AL27*($F$2+1)</f>
        <v>662.87463593699795</v>
      </c>
      <c r="AN27" s="24">
        <f>AM27*($F$2+1)</f>
        <v>666.18900911668288</v>
      </c>
      <c r="AO27" s="24">
        <f>AN27*($F$2+1)</f>
        <v>669.51995416226623</v>
      </c>
      <c r="AP27" s="24">
        <f>AO27*($F$2+1)</f>
        <v>672.86755393307749</v>
      </c>
      <c r="AQ27" s="24">
        <f>AP27*($F$2+1)</f>
        <v>676.23189170274281</v>
      </c>
      <c r="AR27" s="24">
        <f>AQ27*($F$2+1)</f>
        <v>679.61305116125641</v>
      </c>
      <c r="AS27" s="24">
        <f>AR27*($F$2+1)</f>
        <v>683.01111641706257</v>
      </c>
      <c r="AT27" s="24">
        <f>AS27*($F$2+1)</f>
        <v>686.42617199914775</v>
      </c>
      <c r="AU27" s="24">
        <f>AT27*($F$2+1)</f>
        <v>689.85830285914346</v>
      </c>
      <c r="AV27" s="24">
        <f>AU27*($F$2+1)</f>
        <v>693.30759437343909</v>
      </c>
      <c r="AW27" s="24">
        <f>AV27*($F$2+1)</f>
        <v>696.77413234530616</v>
      </c>
      <c r="AX27" s="24">
        <f>AW27*($F$2+1)</f>
        <v>700.25800300703258</v>
      </c>
      <c r="AY27" s="24">
        <f>AX27*($F$2+1)</f>
        <v>703.75929302206771</v>
      </c>
      <c r="AZ27" s="24">
        <f>AY27*($F$2+1)</f>
        <v>707.27808948717802</v>
      </c>
      <c r="BA27" s="24">
        <f>AZ27*($F$2+1)</f>
        <v>710.81447993461381</v>
      </c>
      <c r="BB27" s="24">
        <f>BA27*($F$2+1)</f>
        <v>714.36855233428685</v>
      </c>
      <c r="BC27" s="24">
        <f>BB27*($F$2+1)</f>
        <v>717.94039509595825</v>
      </c>
      <c r="BD27" s="24">
        <f>BC27*($F$2+1)</f>
        <v>721.53009707143792</v>
      </c>
      <c r="BE27" s="24">
        <f>BD27*($F$2+1)</f>
        <v>725.13774755679503</v>
      </c>
      <c r="BF27" s="24">
        <f>BE27*($F$2+1)</f>
        <v>728.76343629457892</v>
      </c>
      <c r="BG27" s="24">
        <f>BF27*($F$2+1)</f>
        <v>732.40725347605178</v>
      </c>
      <c r="BH27" s="24">
        <f>BG27*($F$2+1)</f>
        <v>736.06928974343191</v>
      </c>
      <c r="BI27" s="24">
        <f>BH27*($F$2+1)</f>
        <v>739.74963619214896</v>
      </c>
      <c r="BJ27" s="24">
        <f>BI27*($F$2+1)</f>
        <v>743.44838437310966</v>
      </c>
      <c r="BK27" s="24">
        <f>BJ27*($F$2+1)</f>
        <v>747.16562629497514</v>
      </c>
      <c r="BL27" s="24">
        <f>BK27*($F$2+1)</f>
        <v>750.90145442644996</v>
      </c>
      <c r="BM27" s="24">
        <f>BL27*($F$2+1)</f>
        <v>754.65596169858213</v>
      </c>
      <c r="BN27" s="24">
        <f>BM27*($F$2+1)</f>
        <v>758.42924150707495</v>
      </c>
      <c r="BO27" s="24">
        <f>BN27*($F$2+1)</f>
        <v>762.22138771461027</v>
      </c>
      <c r="BP27" s="24">
        <f>BO27*($F$2+1)</f>
        <v>766.03249465318322</v>
      </c>
      <c r="BQ27" s="24">
        <f>BP27*($F$2+1)</f>
        <v>769.86265712644911</v>
      </c>
      <c r="BR27" s="24">
        <f>BQ27*($F$2+1)</f>
        <v>773.71197041208131</v>
      </c>
      <c r="BS27" s="24">
        <f>BR27*($F$2+1)</f>
        <v>777.58053026414166</v>
      </c>
      <c r="BT27" s="24">
        <f>BS27*($F$2+1)</f>
        <v>781.46843291546224</v>
      </c>
      <c r="BU27" s="24">
        <f>BT27*($F$2+1)</f>
        <v>785.37577508003949</v>
      </c>
      <c r="BV27" s="24">
        <f>BU27*($F$2+1)</f>
        <v>789.30265395543961</v>
      </c>
      <c r="BW27" s="24">
        <f>BV27*($F$2+1)</f>
        <v>793.24916722521675</v>
      </c>
      <c r="BX27" s="24">
        <f>BW27*($F$2+1)</f>
        <v>797.2154130613427</v>
      </c>
      <c r="BY27" s="24">
        <f>BX27*($F$2+1)</f>
        <v>801.20149012664933</v>
      </c>
      <c r="BZ27" s="24">
        <f>BY27*($F$2+1)</f>
        <v>805.20749757728254</v>
      </c>
      <c r="CA27" s="24">
        <f>BZ27*($F$2+1)</f>
        <v>809.23353506516889</v>
      </c>
      <c r="CB27" s="24">
        <f>CA27*($F$2+1)</f>
        <v>813.2797027404946</v>
      </c>
      <c r="CC27" s="24">
        <f>CB27*($F$2+1)</f>
        <v>817.34610125419704</v>
      </c>
      <c r="CD27" s="24">
        <f>CC27*($F$2+1)</f>
        <v>821.43283176046793</v>
      </c>
      <c r="CE27" s="24">
        <f>CD27*($F$2+1)</f>
        <v>825.53999591927015</v>
      </c>
      <c r="CF27" s="24">
        <f>CE27*($F$2+1)</f>
        <v>829.66769589886644</v>
      </c>
      <c r="CG27" s="24">
        <f>CF27*($F$2+1)</f>
        <v>833.81603437836065</v>
      </c>
      <c r="CH27" s="24">
        <f>CG27*($F$2+1)</f>
        <v>837.98511455025232</v>
      </c>
      <c r="CI27" s="24">
        <f>CH27*($F$2+1)</f>
        <v>842.17504012300344</v>
      </c>
      <c r="CJ27" s="24">
        <f>CI27*($F$2+1)</f>
        <v>846.38591532361841</v>
      </c>
      <c r="CK27" s="24">
        <f>CJ27*($F$2+1)</f>
        <v>850.61784490023638</v>
      </c>
      <c r="CL27" s="24">
        <f>CK27*($F$2+1)</f>
        <v>854.87093412473746</v>
      </c>
      <c r="CM27" s="24">
        <f>CL27*($F$2+1)</f>
        <v>859.14528879536101</v>
      </c>
      <c r="CN27" s="24">
        <f>CM27*($F$2+1)</f>
        <v>863.44101523933773</v>
      </c>
      <c r="CO27" s="24">
        <f>CN27*($F$2+1)</f>
        <v>867.75822031553434</v>
      </c>
      <c r="CP27" s="24">
        <f>CO27*($F$2+1)</f>
        <v>872.09701141711196</v>
      </c>
      <c r="CQ27" s="24">
        <f>CP27*($F$2+1)</f>
        <v>876.45749647419746</v>
      </c>
      <c r="CR27" s="24">
        <f>CQ27*($F$2+1)</f>
        <v>880.83978395656834</v>
      </c>
      <c r="CS27" s="24">
        <f>CR27*($F$2+1)</f>
        <v>885.24398287635108</v>
      </c>
      <c r="CT27" s="24">
        <f>CS27*($F$2+1)</f>
        <v>889.67020279073279</v>
      </c>
      <c r="CU27" s="24">
        <f>CT27*($F$2+1)</f>
        <v>894.11855380468637</v>
      </c>
      <c r="CV27" s="24">
        <f>CU27*($F$2+1)</f>
        <v>898.58914657370974</v>
      </c>
      <c r="CW27" s="24">
        <f>CV27*($F$2+1)</f>
        <v>903.08209230657815</v>
      </c>
      <c r="CX27" s="24">
        <f>CW27*($F$2+1)</f>
        <v>907.59750276811099</v>
      </c>
      <c r="CY27" s="24">
        <f>CX27*($F$2+1)</f>
        <v>912.13549028195143</v>
      </c>
      <c r="CZ27" s="24">
        <f>CY27*($F$2+1)</f>
        <v>916.69616773336111</v>
      </c>
      <c r="DA27" s="24">
        <f>CZ27*($F$2+1)</f>
        <v>921.27964857202778</v>
      </c>
      <c r="DB27" s="24">
        <f>DA27*($F$2+1)</f>
        <v>925.88604681488778</v>
      </c>
      <c r="DC27" s="24">
        <f>DB27*($F$2+1)</f>
        <v>930.51547704896211</v>
      </c>
      <c r="DD27" s="24">
        <f>DC27*($F$2+1)</f>
        <v>935.16805443420685</v>
      </c>
      <c r="DE27" s="24">
        <f>DD27*($F$2+1)</f>
        <v>939.8438947063778</v>
      </c>
      <c r="DF27" s="24">
        <f>DE27*($F$2+1)</f>
        <v>944.54311417990959</v>
      </c>
      <c r="DG27" s="24">
        <f>DF27*($F$2+1)</f>
        <v>949.26582975080908</v>
      </c>
      <c r="DH27" s="24">
        <f>DG27*($F$2+1)</f>
        <v>954.01215889956302</v>
      </c>
      <c r="DI27" s="24">
        <f>DH27*($F$2+1)</f>
        <v>958.7822196940607</v>
      </c>
      <c r="DJ27" s="24">
        <f>DI27*($F$2+1)</f>
        <v>963.57613079253088</v>
      </c>
      <c r="DK27" s="24">
        <f>DJ27*($F$2+1)</f>
        <v>968.39401144649344</v>
      </c>
      <c r="DL27" s="24">
        <f>DK27*($F$2+1)</f>
        <v>973.23598150372584</v>
      </c>
      <c r="DM27" s="24">
        <f>DL27*($F$2+1)</f>
        <v>978.10216141124431</v>
      </c>
      <c r="DN27" s="24">
        <f>DM27*($F$2+1)</f>
        <v>982.99267221830041</v>
      </c>
      <c r="DO27" s="24">
        <f>DN27*($F$2+1)</f>
        <v>987.90763557939181</v>
      </c>
      <c r="DP27" s="24">
        <f>DO27*($F$2+1)</f>
        <v>992.84717375728872</v>
      </c>
      <c r="DQ27" s="24">
        <f>DP27*($F$2+1)</f>
        <v>997.81140962607503</v>
      </c>
      <c r="DR27" s="24">
        <f>DQ27*($F$2+1)</f>
        <v>1002.8004666742053</v>
      </c>
      <c r="DS27" s="24">
        <f>DR27*($F$2+1)</f>
        <v>1007.8144690075762</v>
      </c>
      <c r="DT27" s="24">
        <f>DS27*($F$2+1)</f>
        <v>1012.853541352614</v>
      </c>
      <c r="DU27" s="24">
        <f>DT27*($F$2+1)</f>
        <v>1017.917809059377</v>
      </c>
      <c r="DV27" s="24">
        <f>DU27*($F$2+1)</f>
        <v>1023.0073981046737</v>
      </c>
      <c r="DW27" s="24">
        <f>DV27*($F$2+1)</f>
        <v>1028.122435095197</v>
      </c>
      <c r="DX27" s="24">
        <f>DW27*($F$2+1)</f>
        <v>1033.2630472706728</v>
      </c>
      <c r="DY27" s="24">
        <f>DX27*($F$2+1)</f>
        <v>1038.4293625070261</v>
      </c>
      <c r="DZ27" s="24">
        <f>DY27*($F$2+1)</f>
        <v>1043.621509319561</v>
      </c>
      <c r="EA27" s="24">
        <f>DZ27*($F$2+1)</f>
        <v>1048.8396168661586</v>
      </c>
      <c r="EB27" s="24">
        <f>EA27*($F$2+1)</f>
        <v>1054.0838149504893</v>
      </c>
      <c r="EC27" s="24">
        <f>EB27*($F$2+1)</f>
        <v>1059.3542340252416</v>
      </c>
      <c r="ED27" s="24">
        <f>EC27*($F$2+1)</f>
        <v>1064.6510051953676</v>
      </c>
      <c r="EE27" s="24">
        <f>ED27*($F$2+1)</f>
        <v>1069.9742602213444</v>
      </c>
      <c r="EF27" s="24">
        <f>EE27*($F$2+1)</f>
        <v>1075.3241315224509</v>
      </c>
      <c r="EG27" s="24">
        <f>EF27*($F$2+1)</f>
        <v>1080.7007521800631</v>
      </c>
      <c r="EH27" s="24">
        <f>EG27*($F$2+1)</f>
        <v>1086.1042559409632</v>
      </c>
      <c r="EI27" s="24">
        <f>EH27*($F$2+1)</f>
        <v>1091.5347772206678</v>
      </c>
      <c r="EJ27" s="24">
        <f>EI27*($F$2+1)</f>
        <v>1096.9924511067711</v>
      </c>
      <c r="EK27" s="24">
        <f>EJ27*($F$2+1)</f>
        <v>1102.4774133623048</v>
      </c>
      <c r="EL27" s="24">
        <f>EK27*($F$2+1)</f>
        <v>1107.9898004291163</v>
      </c>
      <c r="EM27" s="24">
        <f>EL27*($F$2+1)</f>
        <v>1113.5297494312617</v>
      </c>
      <c r="EN27" s="24">
        <f>EM27*($F$2+1)</f>
        <v>1119.097398178418</v>
      </c>
      <c r="EO27" s="24">
        <f>EN27*($F$2+1)</f>
        <v>1124.6928851693099</v>
      </c>
      <c r="EP27" s="24">
        <f>EO27*($F$2+1)</f>
        <v>1130.3163495951562</v>
      </c>
      <c r="EQ27" s="24">
        <f>EP27*($F$2+1)</f>
        <v>1135.9679313431318</v>
      </c>
      <c r="ER27" s="24">
        <f>EQ27*($F$2+1)</f>
        <v>1141.6477709998474</v>
      </c>
      <c r="ES27" s="24">
        <f>ER27*($F$2+1)</f>
        <v>1147.3560098548464</v>
      </c>
      <c r="ET27" s="24">
        <f>ES27*($F$2+1)</f>
        <v>1153.0927899041205</v>
      </c>
      <c r="EU27" s="24">
        <f>ET27*($F$2+1)</f>
        <v>1158.8582538536409</v>
      </c>
      <c r="EV27" s="24">
        <f>EU27*($F$2+1)</f>
        <v>1164.652545122909</v>
      </c>
      <c r="EW27" s="24">
        <f>EV27*($F$2+1)</f>
        <v>1170.4758078485233</v>
      </c>
      <c r="EX27" s="24">
        <f>EW27*($F$2+1)</f>
        <v>1176.3281868877659</v>
      </c>
      <c r="EY27" s="24">
        <f>EX27*($F$2+1)</f>
        <v>1182.2098278222047</v>
      </c>
      <c r="EZ27" s="24">
        <f>EY27*($F$2+1)</f>
        <v>1188.1208769613156</v>
      </c>
      <c r="FA27" s="24">
        <f>EZ27*($F$2+1)</f>
        <v>1194.061481346122</v>
      </c>
      <c r="FB27" s="24">
        <f>FA27*($F$2+1)</f>
        <v>1200.0317887528524</v>
      </c>
      <c r="FC27" s="24">
        <f>FB27*($F$2+1)</f>
        <v>1206.0319476966165</v>
      </c>
      <c r="FD27" s="24">
        <f>FC27*($F$2+1)</f>
        <v>1212.0621074350995</v>
      </c>
      <c r="FE27" s="24">
        <f>FD27*($F$2+1)</f>
        <v>1218.1224179722749</v>
      </c>
      <c r="FF27" s="24">
        <f>FE27*($F$2+1)</f>
        <v>1224.2130300621361</v>
      </c>
      <c r="FG27" s="24">
        <f>FF27*($F$2+1)</f>
        <v>1230.3340952124468</v>
      </c>
      <c r="FH27" s="24">
        <f>FG27*($F$2+1)</f>
        <v>1236.4857656885088</v>
      </c>
      <c r="FI27" s="24">
        <f>FH27*($F$2+1)</f>
        <v>1242.6681945169512</v>
      </c>
      <c r="FJ27" s="24">
        <f>FI27*($F$2+1)</f>
        <v>1248.8815354895357</v>
      </c>
      <c r="FK27" s="24">
        <f>FJ27*($F$2+1)</f>
        <v>1255.1259431669832</v>
      </c>
      <c r="FL27" s="24">
        <f>FK27*($F$2+1)</f>
        <v>1261.4015728828181</v>
      </c>
      <c r="FM27" s="24">
        <f>FL27*($F$2+1)</f>
        <v>1267.708580747232</v>
      </c>
      <c r="FN27" s="24">
        <f>FM27*($F$2+1)</f>
        <v>1274.0471236509679</v>
      </c>
      <c r="FO27" s="24">
        <f>FN27*($F$2+1)</f>
        <v>1280.4173592692227</v>
      </c>
      <c r="FP27" s="24">
        <f>FO27*($F$2+1)</f>
        <v>1286.8194460655686</v>
      </c>
      <c r="FQ27" s="24">
        <f>FP27*($F$2+1)</f>
        <v>1293.2535432958964</v>
      </c>
      <c r="FR27" s="24">
        <f>FQ27*($F$2+1)</f>
        <v>1299.7198110123757</v>
      </c>
      <c r="FS27" s="24">
        <f>FR27*($F$2+1)</f>
        <v>1306.2184100674374</v>
      </c>
      <c r="FT27" s="24">
        <f>FS27*($F$2+1)</f>
        <v>1312.7495021177745</v>
      </c>
      <c r="FU27" s="24">
        <f>FT27*($F$2+1)</f>
        <v>1319.3132496283631</v>
      </c>
      <c r="FV27" s="24">
        <f>FU27*($F$2+1)</f>
        <v>1325.9098158765048</v>
      </c>
      <c r="FW27" s="24">
        <f>FV27*($F$2+1)</f>
        <v>1332.5393649558871</v>
      </c>
      <c r="FX27" s="24">
        <f>FW27*($F$2+1)</f>
        <v>1339.2020617806663</v>
      </c>
      <c r="FY27" s="24">
        <f>FX27*($F$2+1)</f>
        <v>1345.8980720895695</v>
      </c>
      <c r="FZ27" s="24">
        <f>FY27*($F$2+1)</f>
        <v>1352.6275624500172</v>
      </c>
      <c r="GA27" s="24">
        <f>FZ27*($F$2+1)</f>
        <v>1359.390700262267</v>
      </c>
      <c r="GB27" s="24">
        <f>GA27*($F$2+1)</f>
        <v>1366.1876537635783</v>
      </c>
      <c r="GC27" s="24">
        <f>GB27*($F$2+1)</f>
        <v>1373.0185920323961</v>
      </c>
      <c r="GD27" s="24">
        <f>GC27*($F$2+1)</f>
        <v>1379.8836849925578</v>
      </c>
      <c r="GE27" s="24">
        <f>GD27*($F$2+1)</f>
        <v>1386.7831034175206</v>
      </c>
      <c r="GF27" s="24">
        <f>GE27*($F$2+1)</f>
        <v>1393.7170189346079</v>
      </c>
      <c r="GG27" s="24">
        <f>GF27*($F$2+1)</f>
        <v>1400.6856040292807</v>
      </c>
      <c r="GH27" s="24">
        <f>GG27*($F$2+1)</f>
        <v>1407.6890320494269</v>
      </c>
      <c r="GI27" s="24">
        <f>GH27*($F$2+1)</f>
        <v>1414.7274772096739</v>
      </c>
      <c r="GJ27" s="24">
        <f>GI27*($F$2+1)</f>
        <v>1421.8011145957221</v>
      </c>
      <c r="GK27" s="24">
        <f>GJ27*($F$2+1)</f>
        <v>1428.9101201687006</v>
      </c>
      <c r="GL27" s="24">
        <f>GK27*($F$2+1)</f>
        <v>1436.0546707695439</v>
      </c>
      <c r="GM27" s="24">
        <f>GL27*($F$2+1)</f>
        <v>1443.2349441233914</v>
      </c>
      <c r="GN27" s="24">
        <f>GM27*($F$2+1)</f>
        <v>1450.4511188440083</v>
      </c>
      <c r="GO27" s="24">
        <f>GN27*($F$2+1)</f>
        <v>1457.7033744382281</v>
      </c>
    </row>
    <row r="28" spans="1:197" x14ac:dyDescent="0.15">
      <c r="A28" s="3" t="s">
        <v>12</v>
      </c>
      <c r="B28" s="28">
        <f>IFERROR(B27/B29,0)</f>
        <v>0</v>
      </c>
      <c r="C28" s="28">
        <f t="shared" ref="C28:D28" si="47">C27/C29</f>
        <v>-6.7587562504430473E-2</v>
      </c>
      <c r="D28" s="28">
        <f t="shared" si="47"/>
        <v>-2.5833229620514465E-2</v>
      </c>
      <c r="E28" s="48">
        <f t="shared" ref="E28" si="48">E27/E29</f>
        <v>0.10228958933738397</v>
      </c>
      <c r="F28" s="48">
        <f t="shared" ref="F28:M28" si="49">F27/F29</f>
        <v>0.36458865795043666</v>
      </c>
      <c r="G28" s="48">
        <f t="shared" si="49"/>
        <v>0.59921417119134157</v>
      </c>
      <c r="H28" s="48">
        <f t="shared" si="49"/>
        <v>0.85688541477422453</v>
      </c>
      <c r="I28" s="48">
        <f t="shared" si="49"/>
        <v>1.0725258958852966</v>
      </c>
      <c r="J28" s="48">
        <f t="shared" si="49"/>
        <v>1.3591729313155867</v>
      </c>
      <c r="K28" s="48">
        <f t="shared" si="49"/>
        <v>1.7138331424197339</v>
      </c>
      <c r="L28" s="48">
        <f t="shared" si="49"/>
        <v>2.1514309233211946</v>
      </c>
      <c r="M28" s="48">
        <f t="shared" si="49"/>
        <v>2.6900411902461263</v>
      </c>
      <c r="N28" s="48">
        <f t="shared" ref="N28" si="50">N27/N29</f>
        <v>3.3515409931996141</v>
      </c>
      <c r="O28" s="48">
        <f t="shared" ref="O28:R28" si="51">O27/O29</f>
        <v>3.7593886809586063</v>
      </c>
      <c r="P28" s="48">
        <f t="shared" si="51"/>
        <v>4.211499311079816</v>
      </c>
      <c r="Q28" s="48">
        <f t="shared" si="51"/>
        <v>4.7124704258795758</v>
      </c>
      <c r="R28" s="48">
        <f t="shared" si="51"/>
        <v>5.2673678390796708</v>
      </c>
      <c r="S28" s="48">
        <f t="shared" ref="S28" si="52">S27/S29</f>
        <v>5.8817728880376627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</row>
    <row r="29" spans="1:197" s="16" customFormat="1" x14ac:dyDescent="0.15">
      <c r="A29" s="16" t="s">
        <v>13</v>
      </c>
      <c r="B29" s="23"/>
      <c r="C29" s="23">
        <f>Reports!I22</f>
        <v>118.20222099999999</v>
      </c>
      <c r="D29" s="23">
        <f>Reports!M22</f>
        <v>102.0004095</v>
      </c>
      <c r="E29" s="23">
        <f>D29</f>
        <v>102.0004095</v>
      </c>
      <c r="F29" s="23">
        <f t="shared" ref="F29" si="53">E29</f>
        <v>102.0004095</v>
      </c>
      <c r="G29" s="23">
        <f t="shared" ref="G29" si="54">F29</f>
        <v>102.0004095</v>
      </c>
      <c r="H29" s="23">
        <f t="shared" ref="H29" si="55">G29</f>
        <v>102.0004095</v>
      </c>
      <c r="I29" s="23">
        <f t="shared" ref="I29" si="56">H29</f>
        <v>102.0004095</v>
      </c>
      <c r="J29" s="23">
        <f t="shared" ref="J29" si="57">I29</f>
        <v>102.0004095</v>
      </c>
      <c r="K29" s="23">
        <f t="shared" ref="K29" si="58">J29</f>
        <v>102.0004095</v>
      </c>
      <c r="L29" s="23">
        <f t="shared" ref="L29" si="59">K29</f>
        <v>102.0004095</v>
      </c>
      <c r="M29" s="23">
        <f t="shared" ref="M29:S29" si="60">L29</f>
        <v>102.0004095</v>
      </c>
      <c r="N29" s="23">
        <f t="shared" si="60"/>
        <v>102.0004095</v>
      </c>
      <c r="O29" s="23">
        <f t="shared" si="60"/>
        <v>102.0004095</v>
      </c>
      <c r="P29" s="23">
        <f t="shared" si="60"/>
        <v>102.0004095</v>
      </c>
      <c r="Q29" s="23">
        <f t="shared" si="60"/>
        <v>102.0004095</v>
      </c>
      <c r="R29" s="23">
        <f t="shared" si="60"/>
        <v>102.0004095</v>
      </c>
      <c r="S29" s="23">
        <f t="shared" si="60"/>
        <v>102.0004095</v>
      </c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</row>
    <row r="30" spans="1:197" x14ac:dyDescent="0.1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</row>
    <row r="31" spans="1:197" x14ac:dyDescent="0.15">
      <c r="A31" s="3" t="s">
        <v>15</v>
      </c>
      <c r="B31" s="34">
        <f>IFERROR(B18/B16,0)</f>
        <v>0.71061432039946859</v>
      </c>
      <c r="C31" s="34">
        <f t="shared" ref="C31:M31" si="61">IFERROR(C18/C16,0)</f>
        <v>0.68309301711962001</v>
      </c>
      <c r="D31" s="34">
        <f t="shared" si="61"/>
        <v>0.64661884939055436</v>
      </c>
      <c r="E31" s="34">
        <f>IFERROR(E18/E16,0)</f>
        <v>0.64661884939055436</v>
      </c>
      <c r="F31" s="34">
        <f t="shared" si="61"/>
        <v>0.64661884939055436</v>
      </c>
      <c r="G31" s="34">
        <f t="shared" si="61"/>
        <v>0.64661884939055436</v>
      </c>
      <c r="H31" s="34">
        <f t="shared" si="61"/>
        <v>0.64661884939055436</v>
      </c>
      <c r="I31" s="34">
        <f t="shared" si="61"/>
        <v>0.64661884939055436</v>
      </c>
      <c r="J31" s="34">
        <f t="shared" si="61"/>
        <v>0.64661884939055425</v>
      </c>
      <c r="K31" s="34">
        <f t="shared" si="61"/>
        <v>0.64661884939055425</v>
      </c>
      <c r="L31" s="34">
        <f t="shared" si="61"/>
        <v>0.64661884939055425</v>
      </c>
      <c r="M31" s="34">
        <f t="shared" si="61"/>
        <v>0.64661884939055425</v>
      </c>
      <c r="N31" s="34">
        <f t="shared" ref="N31" si="62">IFERROR(N18/N16,0)</f>
        <v>0.64661884939055425</v>
      </c>
      <c r="O31" s="34">
        <f t="shared" ref="O31:R31" si="63">IFERROR(O18/O16,0)</f>
        <v>0.64661884939055425</v>
      </c>
      <c r="P31" s="34">
        <f t="shared" si="63"/>
        <v>0.64661884939055425</v>
      </c>
      <c r="Q31" s="34">
        <f t="shared" si="63"/>
        <v>0.64661884939055425</v>
      </c>
      <c r="R31" s="34">
        <f t="shared" si="63"/>
        <v>0.64661884939055425</v>
      </c>
      <c r="S31" s="34">
        <f t="shared" ref="S31" si="64">IFERROR(S18/S16,0)</f>
        <v>0.64661884939055425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</row>
    <row r="32" spans="1:197" x14ac:dyDescent="0.15">
      <c r="A32" s="3" t="s">
        <v>16</v>
      </c>
      <c r="B32" s="36">
        <f>IFERROR(B23/B16,0)</f>
        <v>-2.235558202391312E-2</v>
      </c>
      <c r="C32" s="36">
        <f t="shared" ref="C32:M32" si="65">IFERROR(C23/C16,0)</f>
        <v>-0.12399695789163272</v>
      </c>
      <c r="D32" s="36">
        <f>IFERROR(D23/D16,0)</f>
        <v>-4.2189512143990936E-2</v>
      </c>
      <c r="E32" s="36">
        <f t="shared" si="65"/>
        <v>4.5684781118139298E-2</v>
      </c>
      <c r="F32" s="36">
        <f t="shared" si="65"/>
        <v>0.1031706669666819</v>
      </c>
      <c r="G32" s="36">
        <f t="shared" si="65"/>
        <v>0.13674745489310206</v>
      </c>
      <c r="H32" s="36">
        <f t="shared" si="65"/>
        <v>0.14988220613987624</v>
      </c>
      <c r="I32" s="36">
        <f t="shared" si="65"/>
        <v>0.14360995431217399</v>
      </c>
      <c r="J32" s="36">
        <f t="shared" si="65"/>
        <v>0.15406721600708323</v>
      </c>
      <c r="K32" s="36">
        <f t="shared" si="65"/>
        <v>0.16379142050452086</v>
      </c>
      <c r="L32" s="36">
        <f t="shared" si="65"/>
        <v>0.17283789001773001</v>
      </c>
      <c r="M32" s="36">
        <f t="shared" si="65"/>
        <v>0.18125757682078975</v>
      </c>
      <c r="N32" s="36">
        <f t="shared" ref="N32" si="66">IFERROR(N23/N16,0)</f>
        <v>0.18909741739999253</v>
      </c>
      <c r="O32" s="36">
        <f t="shared" ref="O32:R32" si="67">IFERROR(O23/O16,0)</f>
        <v>0.19161670274435161</v>
      </c>
      <c r="P32" s="36">
        <f t="shared" si="67"/>
        <v>0.19402147511851245</v>
      </c>
      <c r="Q32" s="36">
        <f t="shared" si="67"/>
        <v>0.19631693965748415</v>
      </c>
      <c r="R32" s="36">
        <f t="shared" si="67"/>
        <v>0.19850806489922992</v>
      </c>
      <c r="S32" s="36">
        <f t="shared" ref="S32" si="68">IFERROR(S23/S16,0)</f>
        <v>0.20059959353907816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</row>
    <row r="33" spans="1:114" x14ac:dyDescent="0.15">
      <c r="A33" s="3" t="s">
        <v>17</v>
      </c>
      <c r="B33" s="36">
        <f>IFERROR(B26/B25,0)</f>
        <v>0</v>
      </c>
      <c r="C33" s="36">
        <f t="shared" ref="C33:M33" si="69">IFERROR(C26/C25,0)</f>
        <v>0</v>
      </c>
      <c r="D33" s="36">
        <f t="shared" si="69"/>
        <v>0</v>
      </c>
      <c r="E33" s="36">
        <f t="shared" si="69"/>
        <v>0.15</v>
      </c>
      <c r="F33" s="36">
        <f t="shared" si="69"/>
        <v>0.15</v>
      </c>
      <c r="G33" s="36">
        <f t="shared" si="69"/>
        <v>0.15</v>
      </c>
      <c r="H33" s="36">
        <f t="shared" si="69"/>
        <v>0.15</v>
      </c>
      <c r="I33" s="36">
        <f t="shared" si="69"/>
        <v>0.15</v>
      </c>
      <c r="J33" s="36">
        <f t="shared" si="69"/>
        <v>0.15</v>
      </c>
      <c r="K33" s="36">
        <f t="shared" si="69"/>
        <v>0.15</v>
      </c>
      <c r="L33" s="36">
        <f t="shared" si="69"/>
        <v>0.15</v>
      </c>
      <c r="M33" s="36">
        <f t="shared" si="69"/>
        <v>0.15</v>
      </c>
      <c r="N33" s="36">
        <f t="shared" ref="N33" si="70">IFERROR(N26/N25,0)</f>
        <v>0.15</v>
      </c>
      <c r="O33" s="36">
        <f t="shared" ref="O33:R33" si="71">IFERROR(O26/O25,0)</f>
        <v>0.15</v>
      </c>
      <c r="P33" s="36">
        <f t="shared" si="71"/>
        <v>0.15</v>
      </c>
      <c r="Q33" s="36">
        <f t="shared" si="71"/>
        <v>0.15</v>
      </c>
      <c r="R33" s="36">
        <f t="shared" si="71"/>
        <v>0.15</v>
      </c>
      <c r="S33" s="36">
        <f t="shared" ref="S33" si="72">IFERROR(S26/S25,0)</f>
        <v>0.15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</row>
    <row r="34" spans="1:114" x14ac:dyDescent="0.15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</row>
    <row r="35" spans="1:114" x14ac:dyDescent="0.15">
      <c r="A35" s="2" t="s">
        <v>14</v>
      </c>
      <c r="B35" s="36"/>
      <c r="C35" s="49">
        <f>C16/B16-1</f>
        <v>0.47576618260112702</v>
      </c>
      <c r="D35" s="49">
        <f t="shared" ref="D35:S35" si="73">D16/C16-1</f>
        <v>1.0730416427385183</v>
      </c>
      <c r="E35" s="49">
        <f>E16/D16-1</f>
        <v>0.52</v>
      </c>
      <c r="F35" s="49">
        <f t="shared" si="73"/>
        <v>0.47249999999999992</v>
      </c>
      <c r="G35" s="49">
        <f t="shared" si="73"/>
        <v>0.42499999999999982</v>
      </c>
      <c r="H35" s="49">
        <f t="shared" si="73"/>
        <v>0.37749999999999995</v>
      </c>
      <c r="I35" s="49">
        <f t="shared" si="73"/>
        <v>0.33000000000000007</v>
      </c>
      <c r="J35" s="49">
        <f t="shared" si="73"/>
        <v>0.19999999999999996</v>
      </c>
      <c r="K35" s="49">
        <f t="shared" si="73"/>
        <v>0.19999999999999996</v>
      </c>
      <c r="L35" s="49">
        <f t="shared" si="73"/>
        <v>0.19999999999999996</v>
      </c>
      <c r="M35" s="49">
        <f t="shared" si="73"/>
        <v>0.19999999999999996</v>
      </c>
      <c r="N35" s="49">
        <f t="shared" si="73"/>
        <v>0.19999999999999996</v>
      </c>
      <c r="O35" s="49">
        <f t="shared" si="73"/>
        <v>0.10000000000000009</v>
      </c>
      <c r="P35" s="49">
        <f t="shared" si="73"/>
        <v>0.10000000000000009</v>
      </c>
      <c r="Q35" s="49">
        <f t="shared" si="73"/>
        <v>0.10000000000000009</v>
      </c>
      <c r="R35" s="49">
        <f t="shared" si="73"/>
        <v>0.10000000000000009</v>
      </c>
      <c r="S35" s="49">
        <f t="shared" si="73"/>
        <v>0.10000000000000009</v>
      </c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</row>
    <row r="36" spans="1:114" x14ac:dyDescent="0.15">
      <c r="A36" s="3" t="s">
        <v>30</v>
      </c>
      <c r="B36" s="36"/>
      <c r="C36" s="36">
        <f t="shared" ref="C36:S36" si="74">C19/B19-1</f>
        <v>0.60000000000000009</v>
      </c>
      <c r="D36" s="36">
        <f>D19/C19-1</f>
        <v>1.0416666666666665</v>
      </c>
      <c r="E36" s="36">
        <f t="shared" si="74"/>
        <v>0.39999999999999991</v>
      </c>
      <c r="F36" s="36">
        <f t="shared" si="74"/>
        <v>0.39999999999999991</v>
      </c>
      <c r="G36" s="36">
        <f t="shared" si="74"/>
        <v>0.39999999999999991</v>
      </c>
      <c r="H36" s="36">
        <f t="shared" si="74"/>
        <v>0.39999999999999991</v>
      </c>
      <c r="I36" s="36">
        <f t="shared" si="74"/>
        <v>0.39999999999999991</v>
      </c>
      <c r="J36" s="36">
        <f t="shared" si="74"/>
        <v>0.19999999999999996</v>
      </c>
      <c r="K36" s="36">
        <f t="shared" si="74"/>
        <v>0.19999999999999996</v>
      </c>
      <c r="L36" s="36">
        <f t="shared" si="74"/>
        <v>0.19999999999999996</v>
      </c>
      <c r="M36" s="36">
        <f t="shared" si="74"/>
        <v>0.19999999999999996</v>
      </c>
      <c r="N36" s="36">
        <f t="shared" si="74"/>
        <v>0.19999999999999996</v>
      </c>
      <c r="O36" s="36">
        <f t="shared" si="74"/>
        <v>0.10000000000000009</v>
      </c>
      <c r="P36" s="36">
        <f t="shared" si="74"/>
        <v>0.10000000000000009</v>
      </c>
      <c r="Q36" s="36">
        <f t="shared" si="74"/>
        <v>0.10000000000000009</v>
      </c>
      <c r="R36" s="36">
        <f t="shared" si="74"/>
        <v>0.10000000000000009</v>
      </c>
      <c r="S36" s="36">
        <f t="shared" si="74"/>
        <v>0.10000000000000009</v>
      </c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</row>
    <row r="37" spans="1:114" x14ac:dyDescent="0.15">
      <c r="A37" s="3" t="s">
        <v>31</v>
      </c>
      <c r="B37" s="36"/>
      <c r="C37" s="36">
        <f t="shared" ref="C37:S37" si="75">C20/B20-1</f>
        <v>0.66666666666666674</v>
      </c>
      <c r="D37" s="36">
        <f t="shared" si="75"/>
        <v>0.25</v>
      </c>
      <c r="E37" s="36">
        <f t="shared" si="75"/>
        <v>0.19999999999999996</v>
      </c>
      <c r="F37" s="36">
        <f t="shared" si="75"/>
        <v>0.19999999999999996</v>
      </c>
      <c r="G37" s="36">
        <f t="shared" si="75"/>
        <v>0.19999999999999996</v>
      </c>
      <c r="H37" s="36">
        <f t="shared" si="75"/>
        <v>0.19999999999999996</v>
      </c>
      <c r="I37" s="36">
        <f t="shared" si="75"/>
        <v>0.19999999999999996</v>
      </c>
      <c r="J37" s="36">
        <f t="shared" si="75"/>
        <v>0.14999999999999991</v>
      </c>
      <c r="K37" s="36">
        <f t="shared" si="75"/>
        <v>0.14999999999999991</v>
      </c>
      <c r="L37" s="36">
        <f t="shared" si="75"/>
        <v>0.14999999999999991</v>
      </c>
      <c r="M37" s="36">
        <f t="shared" si="75"/>
        <v>0.14999999999999991</v>
      </c>
      <c r="N37" s="36">
        <f t="shared" si="75"/>
        <v>0.14999999999999991</v>
      </c>
      <c r="O37" s="36">
        <f t="shared" si="75"/>
        <v>0.10000000000000009</v>
      </c>
      <c r="P37" s="36">
        <f t="shared" si="75"/>
        <v>0.10000000000000009</v>
      </c>
      <c r="Q37" s="36">
        <f t="shared" si="75"/>
        <v>0.10000000000000009</v>
      </c>
      <c r="R37" s="36">
        <f t="shared" si="75"/>
        <v>0.10000000000000009</v>
      </c>
      <c r="S37" s="36">
        <f t="shared" si="75"/>
        <v>0.10000000000000009</v>
      </c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</row>
    <row r="38" spans="1:114" x14ac:dyDescent="0.15">
      <c r="A38" s="3" t="s">
        <v>32</v>
      </c>
      <c r="B38" s="36"/>
      <c r="C38" s="36">
        <f t="shared" ref="C38:S38" si="76">C21/B21-1</f>
        <v>0.60000000000000009</v>
      </c>
      <c r="D38" s="36">
        <f t="shared" si="76"/>
        <v>1.25</v>
      </c>
      <c r="E38" s="36">
        <f t="shared" si="76"/>
        <v>0.30000000000000004</v>
      </c>
      <c r="F38" s="36">
        <f t="shared" si="76"/>
        <v>0.30000000000000004</v>
      </c>
      <c r="G38" s="36">
        <f t="shared" si="76"/>
        <v>0.30000000000000004</v>
      </c>
      <c r="H38" s="36">
        <f t="shared" si="76"/>
        <v>0.30000000000000004</v>
      </c>
      <c r="I38" s="36">
        <f t="shared" si="76"/>
        <v>0.30000000000000004</v>
      </c>
      <c r="J38" s="36">
        <f t="shared" si="76"/>
        <v>0.10000000000000009</v>
      </c>
      <c r="K38" s="36">
        <f t="shared" si="76"/>
        <v>0.10000000000000009</v>
      </c>
      <c r="L38" s="36">
        <f t="shared" si="76"/>
        <v>0.10000000000000009</v>
      </c>
      <c r="M38" s="36">
        <f t="shared" si="76"/>
        <v>0.10000000000000009</v>
      </c>
      <c r="N38" s="36">
        <f t="shared" si="76"/>
        <v>0.10000000000000009</v>
      </c>
      <c r="O38" s="36">
        <f t="shared" si="76"/>
        <v>5.0000000000000044E-2</v>
      </c>
      <c r="P38" s="36">
        <f t="shared" si="76"/>
        <v>5.0000000000000044E-2</v>
      </c>
      <c r="Q38" s="36">
        <f t="shared" si="76"/>
        <v>5.0000000000000044E-2</v>
      </c>
      <c r="R38" s="36">
        <f t="shared" si="76"/>
        <v>5.0000000000000044E-2</v>
      </c>
      <c r="S38" s="36">
        <f t="shared" si="76"/>
        <v>5.0000000000000044E-2</v>
      </c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</row>
    <row r="39" spans="1:114" x14ac:dyDescent="0.15">
      <c r="A39" s="6" t="s">
        <v>55</v>
      </c>
      <c r="B39" s="36"/>
      <c r="C39" s="45">
        <f t="shared" ref="C39:S39" si="77">C22/B22-1</f>
        <v>0.625</v>
      </c>
      <c r="D39" s="45">
        <f t="shared" si="77"/>
        <v>0.76923076923076916</v>
      </c>
      <c r="E39" s="45">
        <f t="shared" si="77"/>
        <v>0.32608695652173902</v>
      </c>
      <c r="F39" s="45">
        <f t="shared" si="77"/>
        <v>0.33163934426229513</v>
      </c>
      <c r="G39" s="45">
        <f t="shared" si="77"/>
        <v>0.33695678936353546</v>
      </c>
      <c r="H39" s="45">
        <f t="shared" si="77"/>
        <v>0.34201434609257753</v>
      </c>
      <c r="I39" s="45">
        <f>I22/H22-1</f>
        <v>0.3467937981709035</v>
      </c>
      <c r="J39" s="45">
        <f t="shared" si="77"/>
        <v>0.17505269955129554</v>
      </c>
      <c r="K39" s="45">
        <f t="shared" si="77"/>
        <v>0.17630899055847737</v>
      </c>
      <c r="L39" s="45">
        <f t="shared" si="77"/>
        <v>0.17751626613074345</v>
      </c>
      <c r="M39" s="45">
        <f t="shared" si="77"/>
        <v>0.17867448245061035</v>
      </c>
      <c r="N39" s="45">
        <f t="shared" si="77"/>
        <v>0.17978385987494727</v>
      </c>
      <c r="O39" s="45">
        <f t="shared" si="77"/>
        <v>9.3942985650447008E-2</v>
      </c>
      <c r="P39" s="45">
        <f t="shared" si="77"/>
        <v>9.418629201845552E-2</v>
      </c>
      <c r="Q39" s="45">
        <f t="shared" si="77"/>
        <v>9.4421065749817679E-2</v>
      </c>
      <c r="R39" s="45">
        <f t="shared" si="77"/>
        <v>9.4647507119503427E-2</v>
      </c>
      <c r="S39" s="45">
        <f t="shared" si="77"/>
        <v>9.486581982969966E-2</v>
      </c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</row>
    <row r="40" spans="1:114" x14ac:dyDescent="0.15">
      <c r="B40" s="36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</row>
    <row r="41" spans="1:114" s="16" customFormat="1" x14ac:dyDescent="0.15">
      <c r="A41" s="79" t="s">
        <v>18</v>
      </c>
      <c r="B41" s="24">
        <f>B42-B43</f>
        <v>110</v>
      </c>
      <c r="C41" s="24">
        <f>C42-C43</f>
        <v>106</v>
      </c>
      <c r="D41" s="24">
        <f>D42-D43</f>
        <v>635</v>
      </c>
      <c r="E41" s="50">
        <f>D41+E27</f>
        <v>645.43358000000001</v>
      </c>
      <c r="F41" s="50">
        <f t="shared" ref="F41:S41" si="78">E41+F27</f>
        <v>682.62177240999995</v>
      </c>
      <c r="G41" s="50">
        <f t="shared" si="78"/>
        <v>743.74186324971993</v>
      </c>
      <c r="H41" s="50">
        <f t="shared" si="78"/>
        <v>831.14452645126812</v>
      </c>
      <c r="I41" s="50">
        <f t="shared" si="78"/>
        <v>940.54260703092268</v>
      </c>
      <c r="J41" s="50">
        <f t="shared" si="78"/>
        <v>1079.1788026064278</v>
      </c>
      <c r="K41" s="50">
        <f t="shared" si="78"/>
        <v>1253.9904849479126</v>
      </c>
      <c r="L41" s="50">
        <f t="shared" si="78"/>
        <v>1473.4373201376375</v>
      </c>
      <c r="M41" s="50">
        <f t="shared" si="78"/>
        <v>1747.8226231146098</v>
      </c>
      <c r="N41" s="50">
        <f t="shared" si="78"/>
        <v>2089.6811768770071</v>
      </c>
      <c r="O41" s="50">
        <f t="shared" si="78"/>
        <v>2473.1403618044496</v>
      </c>
      <c r="P41" s="50">
        <f t="shared" si="78"/>
        <v>2902.7150161435588</v>
      </c>
      <c r="Q41" s="50">
        <f t="shared" si="78"/>
        <v>3383.3889293399152</v>
      </c>
      <c r="R41" s="50">
        <f t="shared" si="78"/>
        <v>3920.6626059131718</v>
      </c>
      <c r="S41" s="50">
        <f t="shared" si="78"/>
        <v>4520.605849079011</v>
      </c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</row>
    <row r="42" spans="1:114" s="16" customFormat="1" x14ac:dyDescent="0.15">
      <c r="A42" s="16" t="s">
        <v>19</v>
      </c>
      <c r="B42" s="80">
        <f>Reports!E35</f>
        <v>110</v>
      </c>
      <c r="C42" s="51">
        <f>Reports!I35</f>
        <v>106</v>
      </c>
      <c r="D42" s="51">
        <f>Reports!M35</f>
        <v>635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</row>
    <row r="43" spans="1:114" s="16" customFormat="1" x14ac:dyDescent="0.15">
      <c r="A43" s="16" t="s">
        <v>20</v>
      </c>
      <c r="B43" s="80">
        <f>Reports!E36</f>
        <v>0</v>
      </c>
      <c r="C43" s="51">
        <f>Reports!I36</f>
        <v>0</v>
      </c>
      <c r="D43" s="51">
        <f>Reports!M36</f>
        <v>0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</row>
    <row r="44" spans="1:114" s="16" customFormat="1" x14ac:dyDescent="0.15">
      <c r="B44" s="80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</row>
    <row r="45" spans="1:114" s="16" customFormat="1" x14ac:dyDescent="0.15">
      <c r="A45" s="16" t="s">
        <v>44</v>
      </c>
      <c r="B45" s="80">
        <f>Reports!E38</f>
        <v>0</v>
      </c>
      <c r="C45" s="51">
        <f>Reports!I38</f>
        <v>0</v>
      </c>
      <c r="D45" s="51">
        <f>Reports!M38</f>
        <v>3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</row>
    <row r="46" spans="1:114" s="16" customFormat="1" x14ac:dyDescent="0.15">
      <c r="A46" s="16" t="s">
        <v>45</v>
      </c>
      <c r="B46" s="80">
        <f>Reports!E39</f>
        <v>127</v>
      </c>
      <c r="C46" s="51">
        <f>Reports!I39</f>
        <v>131</v>
      </c>
      <c r="D46" s="51">
        <f>Reports!M39</f>
        <v>693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</row>
    <row r="47" spans="1:114" s="16" customFormat="1" x14ac:dyDescent="0.15">
      <c r="A47" s="16" t="s">
        <v>46</v>
      </c>
      <c r="B47" s="80">
        <f>Reports!E40</f>
        <v>200</v>
      </c>
      <c r="C47" s="51">
        <f>Reports!I40</f>
        <v>258</v>
      </c>
      <c r="D47" s="51">
        <f>Reports!M40</f>
        <v>36</v>
      </c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</row>
    <row r="48" spans="1:114" s="16" customFormat="1" x14ac:dyDescent="0.15">
      <c r="B48" s="80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</row>
    <row r="49" spans="1:114" s="16" customFormat="1" x14ac:dyDescent="0.15">
      <c r="A49" s="16" t="s">
        <v>47</v>
      </c>
      <c r="B49" s="53">
        <f>B46-B45-B42</f>
        <v>17</v>
      </c>
      <c r="C49" s="53">
        <f>C46-C45-C42</f>
        <v>25</v>
      </c>
      <c r="D49" s="53">
        <f>D46-D45-D42</f>
        <v>55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</row>
    <row r="50" spans="1:114" s="16" customFormat="1" x14ac:dyDescent="0.15">
      <c r="A50" s="16" t="s">
        <v>48</v>
      </c>
      <c r="B50" s="53">
        <f>B46-B47</f>
        <v>-73</v>
      </c>
      <c r="C50" s="53">
        <f>C46-C47</f>
        <v>-127</v>
      </c>
      <c r="D50" s="53">
        <f>D46-D47</f>
        <v>657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</row>
    <row r="51" spans="1:114" x14ac:dyDescent="0.1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</row>
    <row r="52" spans="1:114" x14ac:dyDescent="0.15">
      <c r="A52" s="18" t="s">
        <v>50</v>
      </c>
      <c r="B52" s="54">
        <f>B27/B50</f>
        <v>-3.2876712328768371E-4</v>
      </c>
      <c r="C52" s="54">
        <f>C27/C50</f>
        <v>6.2905511811023662E-2</v>
      </c>
      <c r="D52" s="54">
        <f>D27/D50</f>
        <v>-4.0106544901065523E-3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</row>
    <row r="53" spans="1:114" x14ac:dyDescent="0.15">
      <c r="A53" s="18" t="s">
        <v>51</v>
      </c>
      <c r="B53" s="54">
        <f>B27/B46</f>
        <v>1.8897637795276307E-4</v>
      </c>
      <c r="C53" s="54">
        <f>C27/C46</f>
        <v>-6.0984732824427512E-2</v>
      </c>
      <c r="D53" s="54">
        <f>D27/D46</f>
        <v>-3.8023088023088096E-3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</row>
    <row r="54" spans="1:114" x14ac:dyDescent="0.15">
      <c r="A54" s="18" t="s">
        <v>52</v>
      </c>
      <c r="B54" s="54">
        <f>B27/(B50-B45)</f>
        <v>-3.2876712328768371E-4</v>
      </c>
      <c r="C54" s="54">
        <f>C27/(C50-C45)</f>
        <v>6.2905511811023662E-2</v>
      </c>
      <c r="D54" s="54">
        <f>D27/(D50-D45)</f>
        <v>-4.0290519877675922E-3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</row>
    <row r="55" spans="1:114" x14ac:dyDescent="0.15">
      <c r="A55" s="18" t="s">
        <v>53</v>
      </c>
      <c r="B55" s="54">
        <f>B27/B49</f>
        <v>1.4117647058824064E-3</v>
      </c>
      <c r="C55" s="54">
        <f>C27/C49</f>
        <v>-0.31956000000000018</v>
      </c>
      <c r="D55" s="54">
        <f>D27/D49</f>
        <v>-4.7909090909091005E-2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</row>
    <row r="56" spans="1:114" x14ac:dyDescent="0.15">
      <c r="B56" s="36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</row>
    <row r="57" spans="1:114" x14ac:dyDescent="0.15">
      <c r="A57" s="58" t="s">
        <v>75</v>
      </c>
      <c r="B57" s="36"/>
      <c r="C57" s="54">
        <f>C10/B10-1</f>
        <v>0.47980277321234288</v>
      </c>
      <c r="D57" s="54">
        <f>D10/C10-1</f>
        <v>1.0515752588930951</v>
      </c>
      <c r="E57" s="54">
        <f t="shared" ref="E57:I57" si="79">E10/D10-1</f>
        <v>0.7</v>
      </c>
      <c r="F57" s="54">
        <f t="shared" si="79"/>
        <v>0.60000000000000009</v>
      </c>
      <c r="G57" s="54">
        <f t="shared" si="79"/>
        <v>0.49999999999999978</v>
      </c>
      <c r="H57" s="54">
        <f t="shared" si="79"/>
        <v>0.44999999999999996</v>
      </c>
      <c r="I57" s="54">
        <f t="shared" si="79"/>
        <v>0.39999999999999991</v>
      </c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</row>
    <row r="58" spans="1:114" x14ac:dyDescent="0.15">
      <c r="A58" s="58" t="s">
        <v>76</v>
      </c>
      <c r="B58" s="36"/>
      <c r="C58" s="54">
        <f>C11/B11-1</f>
        <v>9.5860566448801476E-2</v>
      </c>
      <c r="D58" s="54">
        <f>D11/C11-1</f>
        <v>3.8011928429423456</v>
      </c>
      <c r="E58" s="54">
        <f t="shared" ref="E58:I58" si="80">E11/D11-1</f>
        <v>1</v>
      </c>
      <c r="F58" s="54">
        <f t="shared" si="80"/>
        <v>0.5</v>
      </c>
      <c r="G58" s="54">
        <f t="shared" si="80"/>
        <v>0.44999999999999996</v>
      </c>
      <c r="H58" s="54">
        <f t="shared" si="80"/>
        <v>0.39999999999999991</v>
      </c>
      <c r="I58" s="54">
        <f t="shared" si="80"/>
        <v>0.35000000000000009</v>
      </c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</row>
    <row r="60" spans="1:114" x14ac:dyDescent="0.15">
      <c r="A60" s="63" t="s">
        <v>68</v>
      </c>
      <c r="D60" s="54">
        <f>D13/C13-1</f>
        <v>1.0124879923150818</v>
      </c>
      <c r="E60" s="54">
        <f t="shared" ref="E60:I60" si="81">E13/D13-1</f>
        <v>0.60000000000000009</v>
      </c>
      <c r="F60" s="54">
        <f t="shared" si="81"/>
        <v>0.55000000000000004</v>
      </c>
      <c r="G60" s="54">
        <f t="shared" si="81"/>
        <v>0.5</v>
      </c>
      <c r="H60" s="54">
        <f t="shared" si="81"/>
        <v>0.44999999999999996</v>
      </c>
      <c r="I60" s="54">
        <f t="shared" si="81"/>
        <v>0.39999999999999991</v>
      </c>
    </row>
    <row r="61" spans="1:114" x14ac:dyDescent="0.15">
      <c r="A61" s="63" t="s">
        <v>69</v>
      </c>
      <c r="D61" s="54">
        <f>D14/C14-1</f>
        <v>3.0088949924008235E-2</v>
      </c>
      <c r="E61" s="54">
        <f t="shared" ref="E61:I61" si="82">E14/D14-1</f>
        <v>-5.0000000000000044E-2</v>
      </c>
      <c r="F61" s="54">
        <f t="shared" si="82"/>
        <v>-5.0000000000000155E-2</v>
      </c>
      <c r="G61" s="54">
        <f t="shared" si="82"/>
        <v>-5.0000000000000044E-2</v>
      </c>
      <c r="H61" s="54">
        <f t="shared" si="82"/>
        <v>-5.0000000000000044E-2</v>
      </c>
      <c r="I61" s="54">
        <f t="shared" si="82"/>
        <v>-5.0000000000000044E-2</v>
      </c>
    </row>
  </sheetData>
  <hyperlinks>
    <hyperlink ref="A1" r:id="rId1" xr:uid="{00000000-0004-0000-0000-000000000000}"/>
    <hyperlink ref="A4" r:id="rId2" xr:uid="{ADD48FE5-EC31-B64C-B56D-4CF9214EAE5F}"/>
    <hyperlink ref="A7" r:id="rId3" xr:uid="{24C43C24-7BD4-9F49-8D75-17AB54AB22A3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7"/>
  <sheetViews>
    <sheetView zoomScale="130" zoomScaleNormal="13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baseColWidth="10" defaultRowHeight="13" x14ac:dyDescent="0.15"/>
  <cols>
    <col min="1" max="1" width="20.1640625" style="6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6384" width="10.83203125" style="6"/>
  </cols>
  <sheetData>
    <row r="1" spans="1:17" x14ac:dyDescent="0.15">
      <c r="A1" s="56" t="s">
        <v>33</v>
      </c>
      <c r="B1" s="22" t="s">
        <v>26</v>
      </c>
      <c r="C1" s="23" t="s">
        <v>27</v>
      </c>
      <c r="D1" s="23" t="s">
        <v>28</v>
      </c>
      <c r="E1" s="23" t="s">
        <v>29</v>
      </c>
      <c r="F1" s="22" t="s">
        <v>40</v>
      </c>
      <c r="G1" s="23" t="s">
        <v>41</v>
      </c>
      <c r="H1" s="23" t="s">
        <v>42</v>
      </c>
      <c r="I1" s="23" t="s">
        <v>43</v>
      </c>
      <c r="J1" s="22" t="s">
        <v>56</v>
      </c>
      <c r="K1" s="23" t="s">
        <v>62</v>
      </c>
      <c r="L1" s="23" t="s">
        <v>60</v>
      </c>
      <c r="M1" s="23" t="s">
        <v>59</v>
      </c>
      <c r="N1" s="68" t="s">
        <v>61</v>
      </c>
      <c r="O1" s="68" t="s">
        <v>57</v>
      </c>
      <c r="P1" s="68" t="s">
        <v>58</v>
      </c>
      <c r="Q1" s="68" t="s">
        <v>63</v>
      </c>
    </row>
    <row r="2" spans="1:17" s="20" customFormat="1" x14ac:dyDescent="0.15">
      <c r="A2" s="1"/>
      <c r="B2" s="57">
        <v>43190</v>
      </c>
      <c r="C2" s="59">
        <v>43281</v>
      </c>
      <c r="D2" s="72">
        <v>43373</v>
      </c>
      <c r="E2" s="59">
        <v>43465</v>
      </c>
      <c r="F2" s="57">
        <v>43555</v>
      </c>
      <c r="G2" s="59">
        <v>43646</v>
      </c>
      <c r="H2" s="72">
        <v>43738</v>
      </c>
      <c r="I2" s="59">
        <v>43830</v>
      </c>
      <c r="J2" s="57">
        <v>43921</v>
      </c>
      <c r="K2" s="59">
        <v>44012</v>
      </c>
      <c r="L2" s="59">
        <v>44104</v>
      </c>
      <c r="M2" s="59">
        <v>44196</v>
      </c>
    </row>
    <row r="3" spans="1:17" s="8" customFormat="1" x14ac:dyDescent="0.15">
      <c r="A3" s="58" t="s">
        <v>71</v>
      </c>
      <c r="B3" s="22">
        <v>8.0690000000000008</v>
      </c>
      <c r="C3" s="23">
        <v>10.377000000000001</v>
      </c>
      <c r="D3" s="23">
        <v>12.492000000000001</v>
      </c>
      <c r="E3" s="23">
        <v>12.260999999999999</v>
      </c>
      <c r="F3" s="22">
        <v>13.287000000000001</v>
      </c>
      <c r="G3" s="23">
        <v>14.863</v>
      </c>
      <c r="H3" s="23">
        <v>16.936</v>
      </c>
      <c r="I3" s="23">
        <v>18.84</v>
      </c>
      <c r="J3" s="22">
        <v>35.445999999999998</v>
      </c>
      <c r="K3" s="23">
        <v>33.671999999999997</v>
      </c>
      <c r="L3" s="23">
        <v>30.62</v>
      </c>
      <c r="M3" s="8">
        <v>31.411000000000001</v>
      </c>
    </row>
    <row r="4" spans="1:17" s="8" customFormat="1" x14ac:dyDescent="0.15">
      <c r="A4" s="58" t="s">
        <v>72</v>
      </c>
      <c r="B4" s="22">
        <v>6.0000000000000001E-3</v>
      </c>
      <c r="C4" s="23">
        <v>0.13200000000000001</v>
      </c>
      <c r="D4" s="23">
        <v>0.161</v>
      </c>
      <c r="E4" s="23">
        <v>0.16</v>
      </c>
      <c r="F4" s="22">
        <v>7.4999999999999997E-2</v>
      </c>
      <c r="G4" s="23">
        <v>3.7999999999999999E-2</v>
      </c>
      <c r="H4" s="23">
        <v>0.125</v>
      </c>
      <c r="I4" s="23">
        <v>0.26500000000000001</v>
      </c>
      <c r="J4" s="22">
        <v>0.114</v>
      </c>
      <c r="K4" s="23">
        <v>0.23200000000000001</v>
      </c>
      <c r="L4" s="23">
        <v>0.22700000000000001</v>
      </c>
      <c r="M4" s="8">
        <v>1.8420000000000001</v>
      </c>
    </row>
    <row r="5" spans="1:17" s="20" customFormat="1" x14ac:dyDescent="0.15">
      <c r="A5" s="1"/>
      <c r="B5" s="57"/>
      <c r="C5" s="59"/>
      <c r="D5" s="72"/>
      <c r="E5" s="59"/>
      <c r="F5" s="57"/>
      <c r="G5" s="59"/>
      <c r="H5" s="72"/>
      <c r="I5" s="59"/>
      <c r="J5" s="57"/>
      <c r="K5" s="59"/>
      <c r="L5" s="59"/>
      <c r="M5" s="59"/>
    </row>
    <row r="6" spans="1:17" s="75" customFormat="1" x14ac:dyDescent="0.15">
      <c r="A6" s="78" t="s">
        <v>66</v>
      </c>
      <c r="B6" s="76"/>
      <c r="C6" s="77"/>
      <c r="D6" s="77"/>
      <c r="E6" s="77"/>
      <c r="F6" s="76"/>
      <c r="G6" s="77">
        <f>801/1000000</f>
        <v>8.0099999999999995E-4</v>
      </c>
      <c r="H6" s="77">
        <f>929/1000000</f>
        <v>9.2900000000000003E-4</v>
      </c>
      <c r="I6" s="77">
        <f>1041/1000000</f>
        <v>1.041E-3</v>
      </c>
      <c r="J6" s="76">
        <f>1176/1000000</f>
        <v>1.176E-3</v>
      </c>
      <c r="K6" s="77">
        <f>1486/1000000</f>
        <v>1.4859999999999999E-3</v>
      </c>
      <c r="L6" s="77">
        <f>1815/1000000</f>
        <v>1.815E-3</v>
      </c>
      <c r="M6" s="75">
        <f>2095/1000000</f>
        <v>2.0950000000000001E-3</v>
      </c>
    </row>
    <row r="7" spans="1:17" s="8" customFormat="1" x14ac:dyDescent="0.15">
      <c r="A7" s="8" t="s">
        <v>67</v>
      </c>
      <c r="B7" s="22"/>
      <c r="C7" s="23"/>
      <c r="D7" s="23"/>
      <c r="E7" s="23"/>
      <c r="F7" s="22"/>
      <c r="G7" s="10">
        <f>SUM(G3:G4)/G6</f>
        <v>18602.99625468165</v>
      </c>
      <c r="H7" s="10">
        <f>SUM(H3:H4)/H6</f>
        <v>18364.908503767492</v>
      </c>
      <c r="I7" s="10">
        <f>SUM(I3:I4)/I6</f>
        <v>18352.54562920269</v>
      </c>
      <c r="J7" s="81">
        <f>SUM(J3:J4)/J6</f>
        <v>30238.095238095237</v>
      </c>
      <c r="K7" s="10">
        <f>SUM(K3:K4)/K6</f>
        <v>22815.612382234183</v>
      </c>
      <c r="L7" s="10">
        <f>SUM(L3:L4)/L6</f>
        <v>16995.592286501378</v>
      </c>
      <c r="M7" s="10">
        <f>SUM(M3:M4)/M6</f>
        <v>15872.55369928401</v>
      </c>
    </row>
    <row r="8" spans="1:17" s="64" customFormat="1" x14ac:dyDescent="0.15">
      <c r="B8" s="65"/>
      <c r="F8" s="65"/>
      <c r="J8" s="65"/>
      <c r="M8" s="8"/>
      <c r="N8" s="8"/>
    </row>
    <row r="9" spans="1:17" s="17" customFormat="1" x14ac:dyDescent="0.15">
      <c r="A9" s="17" t="s">
        <v>0</v>
      </c>
      <c r="B9" s="25">
        <f>SUM(B3:B4)</f>
        <v>8.0750000000000011</v>
      </c>
      <c r="C9" s="24">
        <f>SUM(C3:C4)</f>
        <v>10.509</v>
      </c>
      <c r="D9" s="24">
        <f>SUM(D3:D4)</f>
        <v>12.653</v>
      </c>
      <c r="E9" s="24">
        <f>SUM(E3:E4)</f>
        <v>12.420999999999999</v>
      </c>
      <c r="F9" s="25">
        <f>SUM(F3:F4)</f>
        <v>13.362</v>
      </c>
      <c r="G9" s="24">
        <f>G6*G7</f>
        <v>14.901</v>
      </c>
      <c r="H9" s="24">
        <f>H6*H7</f>
        <v>17.061</v>
      </c>
      <c r="I9" s="24">
        <f>I6*I7</f>
        <v>19.105</v>
      </c>
      <c r="J9" s="25">
        <f>J6*J7</f>
        <v>35.559999999999995</v>
      </c>
      <c r="K9" s="24">
        <f>K6*K7</f>
        <v>33.903999999999996</v>
      </c>
      <c r="L9" s="24">
        <f>L6*L7</f>
        <v>30.847000000000001</v>
      </c>
      <c r="M9" s="24">
        <f>M6*M7</f>
        <v>33.253</v>
      </c>
    </row>
    <row r="10" spans="1:17" s="8" customFormat="1" x14ac:dyDescent="0.15">
      <c r="A10" s="8" t="s">
        <v>1</v>
      </c>
      <c r="B10" s="22">
        <v>2.355</v>
      </c>
      <c r="C10" s="23">
        <v>2.8879999999999999</v>
      </c>
      <c r="D10" s="23">
        <v>3.4820000000000002</v>
      </c>
      <c r="E10" s="23">
        <v>3.9089999999999998</v>
      </c>
      <c r="F10" s="22">
        <v>4.1520000000000001</v>
      </c>
      <c r="G10" s="23">
        <v>4.5839999999999996</v>
      </c>
      <c r="H10" s="51">
        <v>5.2480000000000002</v>
      </c>
      <c r="I10" s="51">
        <v>6.4340000000000002</v>
      </c>
      <c r="J10" s="22">
        <v>11.082000000000001</v>
      </c>
      <c r="K10" s="51">
        <v>11.377000000000001</v>
      </c>
      <c r="L10" s="51">
        <v>11.583</v>
      </c>
      <c r="M10" s="8">
        <v>13.157</v>
      </c>
    </row>
    <row r="11" spans="1:17" s="8" customFormat="1" x14ac:dyDescent="0.15">
      <c r="A11" s="8" t="s">
        <v>2</v>
      </c>
      <c r="B11" s="27">
        <f>B9-B10</f>
        <v>5.7200000000000006</v>
      </c>
      <c r="C11" s="26">
        <f>C9-C10</f>
        <v>7.6210000000000004</v>
      </c>
      <c r="D11" s="26">
        <f t="shared" ref="D11:F11" si="0">D9-D10</f>
        <v>9.1709999999999994</v>
      </c>
      <c r="E11" s="26">
        <f t="shared" si="0"/>
        <v>8.5120000000000005</v>
      </c>
      <c r="F11" s="27">
        <f t="shared" si="0"/>
        <v>9.2100000000000009</v>
      </c>
      <c r="G11" s="26">
        <f t="shared" ref="G11:M11" si="1">G9-G10</f>
        <v>10.317</v>
      </c>
      <c r="H11" s="26">
        <f t="shared" si="1"/>
        <v>11.812999999999999</v>
      </c>
      <c r="I11" s="26">
        <f t="shared" si="1"/>
        <v>12.670999999999999</v>
      </c>
      <c r="J11" s="27">
        <f t="shared" ref="J11" si="2">J9-J10</f>
        <v>24.477999999999994</v>
      </c>
      <c r="K11" s="26">
        <f t="shared" si="1"/>
        <v>22.526999999999994</v>
      </c>
      <c r="L11" s="26">
        <f t="shared" si="1"/>
        <v>19.264000000000003</v>
      </c>
      <c r="M11" s="26">
        <f t="shared" si="1"/>
        <v>20.096</v>
      </c>
    </row>
    <row r="12" spans="1:17" s="8" customFormat="1" x14ac:dyDescent="0.15">
      <c r="A12" s="8" t="s">
        <v>3</v>
      </c>
      <c r="B12" s="22">
        <v>3</v>
      </c>
      <c r="C12" s="23">
        <v>4</v>
      </c>
      <c r="D12" s="23">
        <v>4</v>
      </c>
      <c r="E12" s="23">
        <v>4</v>
      </c>
      <c r="F12" s="22">
        <v>4</v>
      </c>
      <c r="G12" s="23">
        <v>6</v>
      </c>
      <c r="H12" s="51">
        <v>7</v>
      </c>
      <c r="I12" s="51">
        <v>7</v>
      </c>
      <c r="J12" s="22">
        <v>12</v>
      </c>
      <c r="K12" s="51">
        <v>11</v>
      </c>
      <c r="L12" s="51">
        <v>12</v>
      </c>
      <c r="M12" s="8">
        <v>14</v>
      </c>
    </row>
    <row r="13" spans="1:17" s="8" customFormat="1" x14ac:dyDescent="0.15">
      <c r="A13" s="8" t="s">
        <v>4</v>
      </c>
      <c r="B13" s="22">
        <v>2</v>
      </c>
      <c r="C13" s="23">
        <v>2</v>
      </c>
      <c r="D13" s="23">
        <v>4</v>
      </c>
      <c r="E13" s="23">
        <v>4</v>
      </c>
      <c r="F13" s="22">
        <v>4</v>
      </c>
      <c r="G13" s="23">
        <v>5</v>
      </c>
      <c r="H13" s="51">
        <v>5</v>
      </c>
      <c r="I13" s="51">
        <v>6</v>
      </c>
      <c r="J13" s="22">
        <v>6</v>
      </c>
      <c r="K13" s="51">
        <v>6</v>
      </c>
      <c r="L13" s="51">
        <v>6</v>
      </c>
      <c r="M13" s="8">
        <v>7</v>
      </c>
    </row>
    <row r="14" spans="1:17" s="8" customFormat="1" x14ac:dyDescent="0.15">
      <c r="A14" s="8" t="s">
        <v>5</v>
      </c>
      <c r="B14" s="22">
        <v>1</v>
      </c>
      <c r="C14" s="23">
        <v>1</v>
      </c>
      <c r="D14" s="23">
        <v>1</v>
      </c>
      <c r="E14" s="23">
        <v>2</v>
      </c>
      <c r="F14" s="22">
        <v>2</v>
      </c>
      <c r="G14" s="23">
        <v>2</v>
      </c>
      <c r="H14" s="51">
        <v>2</v>
      </c>
      <c r="I14" s="51">
        <v>2</v>
      </c>
      <c r="J14" s="22">
        <v>4</v>
      </c>
      <c r="K14" s="51">
        <v>3</v>
      </c>
      <c r="L14" s="51">
        <v>4</v>
      </c>
      <c r="M14" s="8">
        <v>7</v>
      </c>
    </row>
    <row r="15" spans="1:17" s="8" customFormat="1" x14ac:dyDescent="0.15">
      <c r="A15" s="8" t="s">
        <v>6</v>
      </c>
      <c r="B15" s="27">
        <f t="shared" ref="B15" si="3">SUM(B12:B14)</f>
        <v>6</v>
      </c>
      <c r="C15" s="26">
        <f t="shared" ref="C15:D15" si="4">SUM(C12:C14)</f>
        <v>7</v>
      </c>
      <c r="D15" s="26">
        <f t="shared" si="4"/>
        <v>9</v>
      </c>
      <c r="E15" s="26">
        <f t="shared" ref="E15:G15" si="5">SUM(E12:E14)</f>
        <v>10</v>
      </c>
      <c r="F15" s="27">
        <f t="shared" si="5"/>
        <v>10</v>
      </c>
      <c r="G15" s="26">
        <f t="shared" si="5"/>
        <v>13</v>
      </c>
      <c r="H15" s="26">
        <f t="shared" ref="H15:I15" si="6">SUM(H12:H14)</f>
        <v>14</v>
      </c>
      <c r="I15" s="26">
        <f t="shared" si="6"/>
        <v>15</v>
      </c>
      <c r="J15" s="27">
        <f t="shared" ref="J15:K15" si="7">SUM(J12:J14)</f>
        <v>22</v>
      </c>
      <c r="K15" s="26">
        <f t="shared" si="7"/>
        <v>20</v>
      </c>
      <c r="L15" s="26">
        <f t="shared" ref="L15" si="8">SUM(L12:L14)</f>
        <v>22</v>
      </c>
      <c r="M15" s="26">
        <f>SUM(M12:M14)</f>
        <v>28</v>
      </c>
    </row>
    <row r="16" spans="1:17" s="8" customFormat="1" x14ac:dyDescent="0.15">
      <c r="A16" s="8" t="s">
        <v>7</v>
      </c>
      <c r="B16" s="27">
        <f t="shared" ref="B16:D16" si="9">B11-B15</f>
        <v>-0.27999999999999936</v>
      </c>
      <c r="C16" s="26">
        <f t="shared" si="9"/>
        <v>0.62100000000000044</v>
      </c>
      <c r="D16" s="26">
        <f t="shared" si="9"/>
        <v>0.17099999999999937</v>
      </c>
      <c r="E16" s="26">
        <f t="shared" ref="E16:G16" si="10">E11-E15</f>
        <v>-1.4879999999999995</v>
      </c>
      <c r="F16" s="27">
        <f t="shared" si="10"/>
        <v>-0.78999999999999915</v>
      </c>
      <c r="G16" s="26">
        <f t="shared" si="10"/>
        <v>-2.6829999999999998</v>
      </c>
      <c r="H16" s="26">
        <f t="shared" ref="H16:I16" si="11">H11-H15</f>
        <v>-2.1870000000000012</v>
      </c>
      <c r="I16" s="26">
        <f t="shared" si="11"/>
        <v>-2.3290000000000006</v>
      </c>
      <c r="J16" s="27">
        <f t="shared" ref="J16:K16" si="12">J11-J15</f>
        <v>2.4779999999999944</v>
      </c>
      <c r="K16" s="26">
        <f t="shared" si="12"/>
        <v>2.5269999999999939</v>
      </c>
      <c r="L16" s="26">
        <f t="shared" ref="L16:M16" si="13">L11-L15</f>
        <v>-2.7359999999999971</v>
      </c>
      <c r="M16" s="26">
        <f t="shared" si="13"/>
        <v>-7.9039999999999999</v>
      </c>
    </row>
    <row r="17" spans="1:17" s="8" customFormat="1" x14ac:dyDescent="0.15">
      <c r="A17" s="8" t="s">
        <v>8</v>
      </c>
      <c r="B17" s="22">
        <v>0</v>
      </c>
      <c r="C17" s="23">
        <v>0</v>
      </c>
      <c r="D17" s="23">
        <v>1</v>
      </c>
      <c r="E17" s="23">
        <v>0</v>
      </c>
      <c r="F17" s="22">
        <v>0</v>
      </c>
      <c r="G17" s="23">
        <v>0</v>
      </c>
      <c r="H17" s="51">
        <v>0</v>
      </c>
      <c r="I17" s="51">
        <f>0+0</f>
        <v>0</v>
      </c>
      <c r="J17" s="22">
        <v>0</v>
      </c>
      <c r="K17" s="51">
        <f>0+0</f>
        <v>0</v>
      </c>
      <c r="L17" s="51">
        <v>1</v>
      </c>
      <c r="M17" s="8">
        <f>0+2</f>
        <v>2</v>
      </c>
    </row>
    <row r="18" spans="1:17" s="8" customFormat="1" x14ac:dyDescent="0.15">
      <c r="A18" s="8" t="s">
        <v>9</v>
      </c>
      <c r="B18" s="27">
        <f t="shared" ref="B18" si="14">B16+B17</f>
        <v>-0.27999999999999936</v>
      </c>
      <c r="C18" s="26">
        <f t="shared" ref="C18" si="15">C16+C17</f>
        <v>0.62100000000000044</v>
      </c>
      <c r="D18" s="26">
        <f t="shared" ref="D18:H18" si="16">D16+D17</f>
        <v>1.1709999999999994</v>
      </c>
      <c r="E18" s="26">
        <f t="shared" si="16"/>
        <v>-1.4879999999999995</v>
      </c>
      <c r="F18" s="27">
        <f t="shared" si="16"/>
        <v>-0.78999999999999915</v>
      </c>
      <c r="G18" s="26">
        <f t="shared" si="16"/>
        <v>-2.6829999999999998</v>
      </c>
      <c r="H18" s="26">
        <f t="shared" si="16"/>
        <v>-2.1870000000000012</v>
      </c>
      <c r="I18" s="26">
        <f t="shared" ref="I18" si="17">I16+I17</f>
        <v>-2.3290000000000006</v>
      </c>
      <c r="J18" s="27">
        <f t="shared" ref="J18:M18" si="18">J16+J17</f>
        <v>2.4779999999999944</v>
      </c>
      <c r="K18" s="26">
        <f t="shared" si="18"/>
        <v>2.5269999999999939</v>
      </c>
      <c r="L18" s="26">
        <f t="shared" si="18"/>
        <v>-1.7359999999999971</v>
      </c>
      <c r="M18" s="26">
        <f t="shared" si="18"/>
        <v>-5.9039999999999999</v>
      </c>
    </row>
    <row r="19" spans="1:17" s="8" customFormat="1" x14ac:dyDescent="0.15">
      <c r="A19" s="8" t="s">
        <v>10</v>
      </c>
      <c r="B19" s="22">
        <v>0</v>
      </c>
      <c r="C19" s="23">
        <v>0</v>
      </c>
      <c r="D19" s="23">
        <v>0</v>
      </c>
      <c r="E19" s="23">
        <v>0</v>
      </c>
      <c r="F19" s="22">
        <v>0</v>
      </c>
      <c r="G19" s="23">
        <v>0</v>
      </c>
      <c r="H19" s="23">
        <v>0</v>
      </c>
      <c r="I19" s="23">
        <v>0</v>
      </c>
      <c r="J19" s="22">
        <v>0</v>
      </c>
      <c r="K19" s="23">
        <v>0</v>
      </c>
      <c r="L19" s="23">
        <v>0</v>
      </c>
      <c r="M19" s="8">
        <v>0</v>
      </c>
    </row>
    <row r="20" spans="1:17" s="17" customFormat="1" x14ac:dyDescent="0.15">
      <c r="A20" s="17" t="s">
        <v>11</v>
      </c>
      <c r="B20" s="25">
        <f t="shared" ref="B20:L20" si="19">B18-B19</f>
        <v>-0.27999999999999936</v>
      </c>
      <c r="C20" s="24">
        <f t="shared" si="19"/>
        <v>0.62100000000000044</v>
      </c>
      <c r="D20" s="24">
        <f t="shared" si="19"/>
        <v>1.1709999999999994</v>
      </c>
      <c r="E20" s="24">
        <f t="shared" si="19"/>
        <v>-1.4879999999999995</v>
      </c>
      <c r="F20" s="25">
        <f t="shared" si="19"/>
        <v>-0.78999999999999915</v>
      </c>
      <c r="G20" s="24">
        <f t="shared" si="19"/>
        <v>-2.6829999999999998</v>
      </c>
      <c r="H20" s="24">
        <f t="shared" si="19"/>
        <v>-2.1870000000000012</v>
      </c>
      <c r="I20" s="24">
        <f t="shared" si="19"/>
        <v>-2.3290000000000006</v>
      </c>
      <c r="J20" s="25">
        <f t="shared" si="19"/>
        <v>2.4779999999999944</v>
      </c>
      <c r="K20" s="24">
        <f t="shared" si="19"/>
        <v>2.5269999999999939</v>
      </c>
      <c r="L20" s="24">
        <f t="shared" si="19"/>
        <v>-1.7359999999999971</v>
      </c>
      <c r="M20" s="24">
        <f>M18-M19</f>
        <v>-5.9039999999999999</v>
      </c>
      <c r="N20" s="8"/>
    </row>
    <row r="21" spans="1:17" x14ac:dyDescent="0.15">
      <c r="A21" s="6" t="s">
        <v>12</v>
      </c>
      <c r="B21" s="29">
        <f t="shared" ref="B21:G21" si="20">IFERROR(B20/B22,0)</f>
        <v>0</v>
      </c>
      <c r="C21" s="28">
        <f t="shared" si="20"/>
        <v>0</v>
      </c>
      <c r="D21" s="28">
        <f t="shared" si="20"/>
        <v>0</v>
      </c>
      <c r="E21" s="28">
        <f t="shared" si="20"/>
        <v>0</v>
      </c>
      <c r="F21" s="29">
        <f t="shared" si="20"/>
        <v>0</v>
      </c>
      <c r="G21" s="28">
        <f t="shared" si="20"/>
        <v>-2.3362527582019493E-2</v>
      </c>
      <c r="H21" s="28">
        <f t="shared" ref="H21:I21" si="21">IFERROR(H20/H22,0)</f>
        <v>-1.8770475009228182E-2</v>
      </c>
      <c r="I21" s="28">
        <f t="shared" si="21"/>
        <v>-1.9703521476132E-2</v>
      </c>
      <c r="J21" s="29">
        <f t="shared" ref="J21:L21" si="22">IFERROR(J20/J22,0)</f>
        <v>0</v>
      </c>
      <c r="K21" s="28">
        <f t="shared" si="22"/>
        <v>1.8422715483766686E-2</v>
      </c>
      <c r="L21" s="28">
        <f t="shared" si="22"/>
        <v>-1.7048945024220805E-2</v>
      </c>
      <c r="M21" s="28">
        <f t="shared" ref="M21" si="23">IFERROR(M20/M22,0)</f>
        <v>-5.7882120561486568E-2</v>
      </c>
    </row>
    <row r="22" spans="1:17" s="8" customFormat="1" x14ac:dyDescent="0.15">
      <c r="A22" s="8" t="s">
        <v>13</v>
      </c>
      <c r="B22" s="22"/>
      <c r="C22" s="23"/>
      <c r="D22" s="23"/>
      <c r="E22" s="23"/>
      <c r="F22" s="22"/>
      <c r="G22" s="23">
        <v>114.842026</v>
      </c>
      <c r="H22" s="51">
        <v>116.51276799999999</v>
      </c>
      <c r="I22" s="51">
        <v>118.20222099999999</v>
      </c>
      <c r="J22" s="22"/>
      <c r="K22" s="51">
        <v>137.167618</v>
      </c>
      <c r="L22" s="51">
        <f>407.297929/4</f>
        <v>101.82448225</v>
      </c>
      <c r="M22" s="8">
        <f>408.001638/4</f>
        <v>102.0004095</v>
      </c>
      <c r="N22" s="6"/>
    </row>
    <row r="23" spans="1:17" s="42" customFormat="1" x14ac:dyDescent="0.15">
      <c r="B23" s="55"/>
      <c r="E23" s="40"/>
      <c r="F23" s="55"/>
      <c r="J23" s="55"/>
      <c r="M23" s="6"/>
      <c r="N23" s="6"/>
    </row>
    <row r="24" spans="1:17" x14ac:dyDescent="0.15">
      <c r="A24" s="6" t="s">
        <v>15</v>
      </c>
      <c r="B24" s="35">
        <f t="shared" ref="B24:J24" si="24">IFERROR(B11/B9,0)</f>
        <v>0.70835913312693499</v>
      </c>
      <c r="C24" s="34">
        <f t="shared" si="24"/>
        <v>0.72518793415167948</v>
      </c>
      <c r="D24" s="34">
        <f t="shared" si="24"/>
        <v>0.72480834584683462</v>
      </c>
      <c r="E24" s="34">
        <f t="shared" si="24"/>
        <v>0.68529103936881097</v>
      </c>
      <c r="F24" s="35">
        <f t="shared" si="24"/>
        <v>0.68926807364167042</v>
      </c>
      <c r="G24" s="34">
        <f t="shared" si="24"/>
        <v>0.69236963962150189</v>
      </c>
      <c r="H24" s="34">
        <f t="shared" si="24"/>
        <v>0.69239786647910428</v>
      </c>
      <c r="I24" s="34">
        <f t="shared" si="24"/>
        <v>0.66322952106778321</v>
      </c>
      <c r="J24" s="35">
        <f t="shared" si="24"/>
        <v>0.68835770528683904</v>
      </c>
      <c r="K24" s="34">
        <f t="shared" ref="K24:L24" si="25">IFERROR(K11/K9,0)</f>
        <v>0.66443487494100983</v>
      </c>
      <c r="L24" s="34">
        <f t="shared" si="25"/>
        <v>0.62450157227607228</v>
      </c>
      <c r="M24" s="34">
        <f t="shared" ref="M24" si="26">IFERROR(M11/M9,0)</f>
        <v>0.6043364508465402</v>
      </c>
    </row>
    <row r="25" spans="1:17" x14ac:dyDescent="0.15">
      <c r="A25" s="6" t="s">
        <v>16</v>
      </c>
      <c r="B25" s="37">
        <f t="shared" ref="B25:J25" si="27">IFERROR(B16/B9,0)</f>
        <v>-3.4674922600619114E-2</v>
      </c>
      <c r="C25" s="36">
        <f t="shared" si="27"/>
        <v>5.9092206679988622E-2</v>
      </c>
      <c r="D25" s="36">
        <f t="shared" si="27"/>
        <v>1.3514581522168606E-2</v>
      </c>
      <c r="E25" s="36">
        <f t="shared" si="27"/>
        <v>-0.11979711778439736</v>
      </c>
      <c r="F25" s="37">
        <f t="shared" si="27"/>
        <v>-5.9122885795539523E-2</v>
      </c>
      <c r="G25" s="36">
        <f t="shared" si="27"/>
        <v>-0.18005502986376754</v>
      </c>
      <c r="H25" s="36">
        <f t="shared" si="27"/>
        <v>-0.12818709337084586</v>
      </c>
      <c r="I25" s="36">
        <f t="shared" si="27"/>
        <v>-0.12190526040303588</v>
      </c>
      <c r="J25" s="37">
        <f t="shared" si="27"/>
        <v>6.9685039370078597E-2</v>
      </c>
      <c r="K25" s="36">
        <f t="shared" ref="K25:L25" si="28">IFERROR(K16/K9,0)</f>
        <v>7.4533978291646832E-2</v>
      </c>
      <c r="L25" s="36">
        <f t="shared" si="28"/>
        <v>-8.869582131163474E-2</v>
      </c>
      <c r="M25" s="36">
        <f t="shared" ref="M25" si="29">IFERROR(M16/M9,0)</f>
        <v>-0.23769283974378252</v>
      </c>
    </row>
    <row r="26" spans="1:17" x14ac:dyDescent="0.15">
      <c r="A26" s="6" t="s">
        <v>17</v>
      </c>
      <c r="B26" s="37">
        <f t="shared" ref="B26:J26" si="30">IFERROR(B19/B18,0)</f>
        <v>0</v>
      </c>
      <c r="C26" s="36">
        <f t="shared" si="30"/>
        <v>0</v>
      </c>
      <c r="D26" s="36">
        <f t="shared" si="30"/>
        <v>0</v>
      </c>
      <c r="E26" s="36">
        <f t="shared" si="30"/>
        <v>0</v>
      </c>
      <c r="F26" s="37">
        <f t="shared" si="30"/>
        <v>0</v>
      </c>
      <c r="G26" s="36">
        <f t="shared" si="30"/>
        <v>0</v>
      </c>
      <c r="H26" s="36">
        <f t="shared" si="30"/>
        <v>0</v>
      </c>
      <c r="I26" s="36">
        <f t="shared" si="30"/>
        <v>0</v>
      </c>
      <c r="J26" s="37">
        <f t="shared" si="30"/>
        <v>0</v>
      </c>
      <c r="K26" s="36">
        <f t="shared" ref="K26:L26" si="31">IFERROR(K19/K18,0)</f>
        <v>0</v>
      </c>
      <c r="L26" s="36">
        <f t="shared" si="31"/>
        <v>0</v>
      </c>
      <c r="M26" s="36">
        <f t="shared" ref="M26" si="32">IFERROR(M19/M18,0)</f>
        <v>0</v>
      </c>
    </row>
    <row r="27" spans="1:17" s="42" customFormat="1" x14ac:dyDescent="0.15">
      <c r="B27" s="55"/>
      <c r="E27" s="40"/>
      <c r="F27" s="55"/>
      <c r="J27" s="55"/>
      <c r="N27" s="6"/>
    </row>
    <row r="28" spans="1:17" s="12" customFormat="1" x14ac:dyDescent="0.15">
      <c r="A28" s="12" t="s">
        <v>14</v>
      </c>
      <c r="B28" s="31"/>
      <c r="C28" s="30"/>
      <c r="D28" s="30"/>
      <c r="E28" s="30"/>
      <c r="F28" s="31">
        <f t="shared" ref="F28:Q28" si="33">IFERROR((F9/B9)-1,0)</f>
        <v>0.65473684210526306</v>
      </c>
      <c r="G28" s="30">
        <f t="shared" si="33"/>
        <v>0.41792749072223812</v>
      </c>
      <c r="H28" s="30">
        <f t="shared" si="33"/>
        <v>0.3483758792381253</v>
      </c>
      <c r="I28" s="30">
        <f t="shared" si="33"/>
        <v>0.53812092424120461</v>
      </c>
      <c r="J28" s="31">
        <f t="shared" si="33"/>
        <v>1.6612782517587186</v>
      </c>
      <c r="K28" s="30">
        <f t="shared" si="33"/>
        <v>1.2752835380175824</v>
      </c>
      <c r="L28" s="30">
        <f t="shared" si="33"/>
        <v>0.80804173260652967</v>
      </c>
      <c r="M28" s="30">
        <f t="shared" si="33"/>
        <v>0.74053912588327653</v>
      </c>
      <c r="N28" s="30"/>
      <c r="O28" s="30"/>
      <c r="P28" s="30"/>
      <c r="Q28" s="30"/>
    </row>
    <row r="29" spans="1:17" s="12" customFormat="1" x14ac:dyDescent="0.15">
      <c r="A29" s="6" t="s">
        <v>30</v>
      </c>
      <c r="B29" s="33"/>
      <c r="C29" s="32"/>
      <c r="D29" s="32"/>
      <c r="E29" s="32"/>
      <c r="F29" s="33">
        <f t="shared" ref="F29:M32" si="34">F12/B12-1</f>
        <v>0.33333333333333326</v>
      </c>
      <c r="G29" s="32">
        <f t="shared" si="34"/>
        <v>0.5</v>
      </c>
      <c r="H29" s="32">
        <f t="shared" si="34"/>
        <v>0.75</v>
      </c>
      <c r="I29" s="32">
        <f t="shared" si="34"/>
        <v>0.75</v>
      </c>
      <c r="J29" s="33">
        <f t="shared" si="34"/>
        <v>2</v>
      </c>
      <c r="K29" s="32">
        <f t="shared" si="34"/>
        <v>0.83333333333333326</v>
      </c>
      <c r="L29" s="32">
        <f t="shared" si="34"/>
        <v>0.71428571428571419</v>
      </c>
      <c r="M29" s="32">
        <f t="shared" si="34"/>
        <v>1</v>
      </c>
      <c r="N29" s="6"/>
    </row>
    <row r="30" spans="1:17" s="12" customFormat="1" x14ac:dyDescent="0.15">
      <c r="A30" s="6" t="s">
        <v>31</v>
      </c>
      <c r="B30" s="33"/>
      <c r="C30" s="32"/>
      <c r="D30" s="32"/>
      <c r="E30" s="32"/>
      <c r="F30" s="33">
        <f t="shared" si="34"/>
        <v>1</v>
      </c>
      <c r="G30" s="32">
        <f t="shared" si="34"/>
        <v>1.5</v>
      </c>
      <c r="H30" s="32">
        <f t="shared" si="34"/>
        <v>0.25</v>
      </c>
      <c r="I30" s="32">
        <f t="shared" si="34"/>
        <v>0.5</v>
      </c>
      <c r="J30" s="33">
        <f t="shared" si="34"/>
        <v>0.5</v>
      </c>
      <c r="K30" s="32">
        <f t="shared" si="34"/>
        <v>0.19999999999999996</v>
      </c>
      <c r="L30" s="32">
        <f t="shared" si="34"/>
        <v>0.19999999999999996</v>
      </c>
      <c r="M30" s="32">
        <f t="shared" si="34"/>
        <v>0.16666666666666674</v>
      </c>
      <c r="N30" s="6"/>
    </row>
    <row r="31" spans="1:17" s="12" customFormat="1" x14ac:dyDescent="0.15">
      <c r="A31" s="6" t="s">
        <v>32</v>
      </c>
      <c r="B31" s="33"/>
      <c r="C31" s="32"/>
      <c r="D31" s="32"/>
      <c r="E31" s="32"/>
      <c r="F31" s="33">
        <f t="shared" si="34"/>
        <v>1</v>
      </c>
      <c r="G31" s="32">
        <f t="shared" si="34"/>
        <v>1</v>
      </c>
      <c r="H31" s="32">
        <f t="shared" si="34"/>
        <v>1</v>
      </c>
      <c r="I31" s="32">
        <f t="shared" si="34"/>
        <v>0</v>
      </c>
      <c r="J31" s="33">
        <f t="shared" si="34"/>
        <v>1</v>
      </c>
      <c r="K31" s="32">
        <f t="shared" si="34"/>
        <v>0.5</v>
      </c>
      <c r="L31" s="32">
        <f t="shared" si="34"/>
        <v>1</v>
      </c>
      <c r="M31" s="32">
        <f t="shared" si="34"/>
        <v>2.5</v>
      </c>
      <c r="N31" s="6"/>
    </row>
    <row r="32" spans="1:17" x14ac:dyDescent="0.15">
      <c r="A32" s="6" t="s">
        <v>55</v>
      </c>
      <c r="B32" s="35"/>
      <c r="C32" s="34"/>
      <c r="D32" s="34"/>
      <c r="E32" s="34"/>
      <c r="F32" s="35">
        <f t="shared" si="34"/>
        <v>0.66666666666666674</v>
      </c>
      <c r="G32" s="34">
        <f t="shared" si="34"/>
        <v>0.85714285714285721</v>
      </c>
      <c r="H32" s="34">
        <f t="shared" si="34"/>
        <v>0.55555555555555558</v>
      </c>
      <c r="I32" s="34">
        <f t="shared" si="34"/>
        <v>0.5</v>
      </c>
      <c r="J32" s="35">
        <f t="shared" si="34"/>
        <v>1.2000000000000002</v>
      </c>
      <c r="K32" s="34">
        <f t="shared" si="34"/>
        <v>0.53846153846153855</v>
      </c>
      <c r="L32" s="34">
        <f t="shared" si="34"/>
        <v>0.5714285714285714</v>
      </c>
      <c r="M32" s="34">
        <f t="shared" si="34"/>
        <v>0.8666666666666667</v>
      </c>
    </row>
    <row r="33" spans="1:14" x14ac:dyDescent="0.15">
      <c r="B33" s="46"/>
      <c r="C33" s="45"/>
      <c r="D33" s="45"/>
      <c r="E33" s="45"/>
      <c r="G33" s="45"/>
      <c r="M33" s="6"/>
    </row>
    <row r="34" spans="1:14" s="17" customFormat="1" x14ac:dyDescent="0.15">
      <c r="A34" s="17" t="s">
        <v>18</v>
      </c>
      <c r="B34" s="41"/>
      <c r="C34" s="40"/>
      <c r="D34" s="40"/>
      <c r="E34" s="24">
        <f t="shared" ref="E34" si="35">E35-E36</f>
        <v>110</v>
      </c>
      <c r="F34" s="22"/>
      <c r="G34" s="40"/>
      <c r="H34" s="20"/>
      <c r="I34" s="24">
        <f t="shared" ref="I34" si="36">I35-I36</f>
        <v>106</v>
      </c>
      <c r="J34" s="21"/>
      <c r="K34" s="20"/>
      <c r="L34" s="20"/>
      <c r="M34" s="24">
        <f t="shared" ref="M34" si="37">M35-M36</f>
        <v>635</v>
      </c>
      <c r="N34" s="6"/>
    </row>
    <row r="35" spans="1:14" s="8" customFormat="1" x14ac:dyDescent="0.15">
      <c r="A35" s="8" t="s">
        <v>19</v>
      </c>
      <c r="B35" s="41"/>
      <c r="C35" s="40"/>
      <c r="D35" s="40"/>
      <c r="E35" s="23">
        <f>109+1</f>
        <v>110</v>
      </c>
      <c r="F35" s="22"/>
      <c r="G35" s="40"/>
      <c r="H35" s="20"/>
      <c r="I35" s="23">
        <v>106</v>
      </c>
      <c r="J35" s="21"/>
      <c r="K35" s="20"/>
      <c r="L35" s="20"/>
      <c r="M35" s="6">
        <f>111+524</f>
        <v>635</v>
      </c>
      <c r="N35" s="6"/>
    </row>
    <row r="36" spans="1:14" s="8" customFormat="1" x14ac:dyDescent="0.15">
      <c r="A36" s="8" t="s">
        <v>20</v>
      </c>
      <c r="B36" s="41"/>
      <c r="C36" s="40"/>
      <c r="D36" s="40"/>
      <c r="E36" s="23">
        <v>0</v>
      </c>
      <c r="F36" s="22"/>
      <c r="G36" s="40"/>
      <c r="H36" s="20"/>
      <c r="I36" s="23">
        <v>0</v>
      </c>
      <c r="J36" s="21"/>
      <c r="K36" s="20"/>
      <c r="L36" s="20"/>
      <c r="M36" s="6">
        <v>0</v>
      </c>
      <c r="N36" s="6"/>
    </row>
    <row r="37" spans="1:14" s="8" customFormat="1" x14ac:dyDescent="0.15">
      <c r="B37" s="41"/>
      <c r="C37" s="40"/>
      <c r="D37" s="40"/>
      <c r="E37" s="23"/>
      <c r="F37" s="22"/>
      <c r="G37" s="40"/>
      <c r="H37" s="20"/>
      <c r="I37" s="23"/>
      <c r="J37" s="21"/>
      <c r="K37" s="20"/>
      <c r="L37" s="20"/>
      <c r="M37" s="6"/>
      <c r="N37" s="6"/>
    </row>
    <row r="38" spans="1:14" s="8" customFormat="1" x14ac:dyDescent="0.15">
      <c r="A38" s="69" t="s">
        <v>44</v>
      </c>
      <c r="B38" s="41"/>
      <c r="C38" s="40"/>
      <c r="D38" s="40"/>
      <c r="E38" s="23">
        <v>0</v>
      </c>
      <c r="F38" s="22"/>
      <c r="G38" s="40"/>
      <c r="H38" s="20"/>
      <c r="I38" s="23">
        <v>0</v>
      </c>
      <c r="J38" s="21"/>
      <c r="K38" s="20"/>
      <c r="L38" s="20"/>
      <c r="M38" s="6">
        <f>3+0</f>
        <v>3</v>
      </c>
      <c r="N38" s="6"/>
    </row>
    <row r="39" spans="1:14" s="8" customFormat="1" x14ac:dyDescent="0.15">
      <c r="A39" s="69" t="s">
        <v>45</v>
      </c>
      <c r="B39" s="41"/>
      <c r="C39" s="40"/>
      <c r="D39" s="40"/>
      <c r="E39" s="23">
        <v>127</v>
      </c>
      <c r="F39" s="22"/>
      <c r="G39" s="40"/>
      <c r="H39" s="20"/>
      <c r="I39" s="23">
        <v>131</v>
      </c>
      <c r="J39" s="21"/>
      <c r="K39" s="20"/>
      <c r="L39" s="20"/>
      <c r="M39" s="6">
        <v>693</v>
      </c>
      <c r="N39" s="6"/>
    </row>
    <row r="40" spans="1:14" s="8" customFormat="1" x14ac:dyDescent="0.15">
      <c r="A40" s="69" t="s">
        <v>46</v>
      </c>
      <c r="B40" s="41"/>
      <c r="C40" s="40"/>
      <c r="D40" s="40"/>
      <c r="E40" s="23">
        <f>11+189</f>
        <v>200</v>
      </c>
      <c r="F40" s="22"/>
      <c r="G40" s="40"/>
      <c r="H40" s="20"/>
      <c r="I40" s="23">
        <f>18+240</f>
        <v>258</v>
      </c>
      <c r="J40" s="21"/>
      <c r="K40" s="20"/>
      <c r="L40" s="20"/>
      <c r="M40" s="6">
        <v>36</v>
      </c>
      <c r="N40" s="6"/>
    </row>
    <row r="41" spans="1:14" s="8" customFormat="1" x14ac:dyDescent="0.15">
      <c r="B41" s="41"/>
      <c r="C41" s="40"/>
      <c r="D41" s="40"/>
      <c r="E41" s="23"/>
      <c r="F41" s="22"/>
      <c r="G41" s="40"/>
      <c r="H41" s="20"/>
      <c r="I41" s="23"/>
      <c r="J41" s="21"/>
      <c r="K41" s="20"/>
      <c r="L41" s="20"/>
      <c r="M41" s="6"/>
      <c r="N41" s="6"/>
    </row>
    <row r="42" spans="1:14" s="8" customFormat="1" x14ac:dyDescent="0.15">
      <c r="A42" s="69" t="s">
        <v>47</v>
      </c>
      <c r="B42" s="41"/>
      <c r="C42" s="40"/>
      <c r="D42" s="40"/>
      <c r="E42" s="26">
        <f t="shared" ref="E42:I42" si="38">E39-E35-E38</f>
        <v>17</v>
      </c>
      <c r="F42" s="22"/>
      <c r="G42" s="40"/>
      <c r="H42" s="20"/>
      <c r="I42" s="26">
        <f t="shared" si="38"/>
        <v>25</v>
      </c>
      <c r="J42" s="21"/>
      <c r="K42" s="20"/>
      <c r="L42" s="20"/>
      <c r="M42" s="26">
        <f t="shared" ref="M42" si="39">M39-M35-M38</f>
        <v>55</v>
      </c>
      <c r="N42" s="6"/>
    </row>
    <row r="43" spans="1:14" s="8" customFormat="1" x14ac:dyDescent="0.15">
      <c r="A43" s="69" t="s">
        <v>48</v>
      </c>
      <c r="B43" s="41"/>
      <c r="C43" s="40"/>
      <c r="D43" s="40"/>
      <c r="E43" s="26">
        <f t="shared" ref="E43" si="40">E39-E40</f>
        <v>-73</v>
      </c>
      <c r="F43" s="22"/>
      <c r="G43" s="40"/>
      <c r="H43" s="20"/>
      <c r="I43" s="26">
        <f>I39-I40</f>
        <v>-127</v>
      </c>
      <c r="J43" s="21"/>
      <c r="K43" s="20"/>
      <c r="L43" s="20"/>
      <c r="M43" s="26">
        <f>M39-M40</f>
        <v>657</v>
      </c>
      <c r="N43" s="6"/>
    </row>
    <row r="44" spans="1:14" s="8" customFormat="1" x14ac:dyDescent="0.15">
      <c r="B44" s="41"/>
      <c r="C44" s="40"/>
      <c r="D44" s="40"/>
      <c r="E44" s="23"/>
      <c r="F44" s="22"/>
      <c r="G44" s="40"/>
      <c r="H44" s="20"/>
      <c r="I44" s="23"/>
      <c r="J44" s="21"/>
      <c r="K44" s="20"/>
      <c r="L44" s="20"/>
      <c r="M44" s="23"/>
      <c r="N44" s="6"/>
    </row>
    <row r="45" spans="1:14" s="17" customFormat="1" x14ac:dyDescent="0.15">
      <c r="A45" s="70" t="s">
        <v>49</v>
      </c>
      <c r="B45" s="41"/>
      <c r="C45" s="40"/>
      <c r="D45" s="40"/>
      <c r="E45" s="24">
        <f t="shared" ref="E45:I45" si="41">SUM(B20:E20)</f>
        <v>2.4000000000000909E-2</v>
      </c>
      <c r="F45" s="22"/>
      <c r="G45" s="40"/>
      <c r="H45" s="20"/>
      <c r="I45" s="24">
        <f t="shared" si="41"/>
        <v>-7.9890000000000008</v>
      </c>
      <c r="J45" s="21"/>
      <c r="K45" s="20"/>
      <c r="L45" s="20"/>
      <c r="M45" s="24">
        <f>SUM(J20:M20)</f>
        <v>-2.6350000000000087</v>
      </c>
      <c r="N45" s="6"/>
    </row>
    <row r="46" spans="1:14" x14ac:dyDescent="0.15">
      <c r="A46" s="18" t="s">
        <v>50</v>
      </c>
      <c r="B46" s="46"/>
      <c r="C46" s="45"/>
      <c r="D46" s="45"/>
      <c r="E46" s="34">
        <f t="shared" ref="E46:I46" si="42">E45/E43</f>
        <v>-3.2876712328768371E-4</v>
      </c>
      <c r="G46" s="45"/>
      <c r="I46" s="34">
        <f t="shared" si="42"/>
        <v>6.2905511811023634E-2</v>
      </c>
      <c r="M46" s="34">
        <f t="shared" ref="M46" si="43">M45/M43</f>
        <v>-4.0106544901065584E-3</v>
      </c>
    </row>
    <row r="47" spans="1:14" x14ac:dyDescent="0.15">
      <c r="A47" s="18" t="s">
        <v>51</v>
      </c>
      <c r="B47" s="46"/>
      <c r="C47" s="45"/>
      <c r="D47" s="45"/>
      <c r="E47" s="34">
        <f t="shared" ref="E47:I47" si="44">E45/E39</f>
        <v>1.8897637795276307E-4</v>
      </c>
      <c r="G47" s="45"/>
      <c r="I47" s="34">
        <f t="shared" si="44"/>
        <v>-6.0984732824427484E-2</v>
      </c>
      <c r="M47" s="34">
        <f t="shared" ref="M47" si="45">M45/M39</f>
        <v>-3.8023088023088148E-3</v>
      </c>
    </row>
    <row r="48" spans="1:14" x14ac:dyDescent="0.15">
      <c r="A48" s="18" t="s">
        <v>52</v>
      </c>
      <c r="B48" s="46"/>
      <c r="C48" s="45"/>
      <c r="D48" s="45"/>
      <c r="E48" s="34">
        <f t="shared" ref="E48:I48" si="46">E45/(E43-E38)</f>
        <v>-3.2876712328768371E-4</v>
      </c>
      <c r="G48" s="45"/>
      <c r="I48" s="34">
        <f t="shared" si="46"/>
        <v>6.2905511811023634E-2</v>
      </c>
      <c r="M48" s="34">
        <f t="shared" ref="M48" si="47">M45/(M43-M38)</f>
        <v>-4.0290519877675974E-3</v>
      </c>
    </row>
    <row r="49" spans="1:13" x14ac:dyDescent="0.15">
      <c r="A49" s="18" t="s">
        <v>53</v>
      </c>
      <c r="B49" s="46"/>
      <c r="C49" s="45"/>
      <c r="D49" s="45"/>
      <c r="E49" s="34">
        <f t="shared" ref="E49:I49" si="48">E45/E42</f>
        <v>1.4117647058824064E-3</v>
      </c>
      <c r="G49" s="45"/>
      <c r="I49" s="34">
        <f t="shared" si="48"/>
        <v>-0.31956000000000001</v>
      </c>
      <c r="M49" s="34">
        <f t="shared" ref="M49" si="49">M45/M42</f>
        <v>-4.7909090909091068E-2</v>
      </c>
    </row>
    <row r="50" spans="1:13" x14ac:dyDescent="0.15">
      <c r="M50" s="6"/>
    </row>
    <row r="51" spans="1:13" x14ac:dyDescent="0.15">
      <c r="A51" s="58" t="s">
        <v>75</v>
      </c>
      <c r="B51" s="35"/>
      <c r="C51" s="34"/>
      <c r="D51" s="34"/>
      <c r="E51" s="34"/>
      <c r="F51" s="35"/>
      <c r="G51" s="34"/>
      <c r="H51" s="34"/>
      <c r="I51" s="34"/>
      <c r="J51" s="35"/>
      <c r="K51" s="34">
        <f>K3/G3-1</f>
        <v>1.2654914889322479</v>
      </c>
      <c r="L51" s="34">
        <f>L3/H3-1</f>
        <v>0.80798299480396785</v>
      </c>
      <c r="M51" s="34">
        <f>M3/I3-1</f>
        <v>0.66725053078556273</v>
      </c>
    </row>
    <row r="52" spans="1:13" x14ac:dyDescent="0.15">
      <c r="A52" s="58" t="s">
        <v>76</v>
      </c>
      <c r="B52" s="35"/>
      <c r="C52" s="34"/>
      <c r="D52" s="34"/>
      <c r="E52" s="34"/>
      <c r="F52" s="35"/>
      <c r="G52" s="34"/>
      <c r="H52" s="34"/>
      <c r="I52" s="34"/>
      <c r="J52" s="35"/>
      <c r="K52" s="34">
        <f>K4/G4-1</f>
        <v>5.1052631578947372</v>
      </c>
      <c r="L52" s="34">
        <f>L4/H4-1</f>
        <v>0.81600000000000006</v>
      </c>
      <c r="M52" s="34">
        <f>M4/I4-1</f>
        <v>5.9509433962264149</v>
      </c>
    </row>
    <row r="54" spans="1:13" s="74" customFormat="1" x14ac:dyDescent="0.15">
      <c r="A54" s="73" t="s">
        <v>68</v>
      </c>
      <c r="B54" s="35"/>
      <c r="C54" s="34"/>
      <c r="D54" s="34"/>
      <c r="E54" s="34"/>
      <c r="F54" s="35"/>
      <c r="G54" s="34"/>
      <c r="H54" s="34"/>
      <c r="I54" s="34"/>
      <c r="J54" s="35"/>
      <c r="K54" s="34">
        <f>K6/G6-1</f>
        <v>0.85518102372034965</v>
      </c>
      <c r="L54" s="34">
        <f>L6/H6-1</f>
        <v>0.95371367061356294</v>
      </c>
      <c r="M54" s="34">
        <f>M6/I6-1</f>
        <v>1.0124879923150818</v>
      </c>
    </row>
    <row r="55" spans="1:13" s="74" customFormat="1" x14ac:dyDescent="0.15">
      <c r="A55" s="73" t="s">
        <v>69</v>
      </c>
      <c r="B55" s="35"/>
      <c r="C55" s="34"/>
      <c r="D55" s="34"/>
      <c r="E55" s="34"/>
      <c r="F55" s="35"/>
      <c r="G55" s="34"/>
      <c r="H55" s="34"/>
      <c r="I55" s="34"/>
      <c r="J55" s="35"/>
      <c r="K55" s="34">
        <f>K7/G7-1</f>
        <v>0.22644825972549354</v>
      </c>
      <c r="L55" s="34">
        <f>L7/H7-1</f>
        <v>-7.4561559453737769E-2</v>
      </c>
      <c r="M55" s="34">
        <f>M7/I7-1</f>
        <v>-0.13513067778305921</v>
      </c>
    </row>
    <row r="56" spans="1:13" s="14" customFormat="1" x14ac:dyDescent="0.15">
      <c r="B56" s="55"/>
      <c r="C56" s="42"/>
      <c r="D56" s="42"/>
      <c r="E56" s="42"/>
      <c r="F56" s="55"/>
      <c r="G56" s="42"/>
      <c r="H56" s="42"/>
      <c r="I56" s="45">
        <v>1.31</v>
      </c>
      <c r="J56" s="46">
        <v>1.66</v>
      </c>
      <c r="K56" s="45">
        <v>1.83</v>
      </c>
      <c r="L56" s="45">
        <v>1.88</v>
      </c>
      <c r="M56" s="45">
        <v>1.79</v>
      </c>
    </row>
    <row r="57" spans="1:13" s="74" customFormat="1" x14ac:dyDescent="0.15">
      <c r="A57" s="73" t="s">
        <v>70</v>
      </c>
      <c r="B57" s="35"/>
      <c r="C57" s="34"/>
      <c r="D57" s="34"/>
      <c r="E57" s="34"/>
      <c r="F57" s="35"/>
      <c r="G57" s="34"/>
      <c r="H57" s="34"/>
      <c r="I57" s="34"/>
      <c r="J57" s="35"/>
      <c r="K57" s="34">
        <f>(SUM(H9:K9)/G6)/(SUM(D9:G9)/G6)</f>
        <v>1.9804263456887337</v>
      </c>
      <c r="L57" s="34">
        <f>(SUM(I9:L9)/H6)/(SUM(E9:H9)/H6)</f>
        <v>2.0679885704389993</v>
      </c>
      <c r="M57" s="34">
        <f>(SUM(J9:M9)/I6)/(SUM(F9:I9)/I6)</f>
        <v>2.0730416427385183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6"/>
  <sheetViews>
    <sheetView zoomScale="130" zoomScaleNormal="130" workbookViewId="0">
      <selection activeCell="C33" sqref="C33"/>
    </sheetView>
  </sheetViews>
  <sheetFormatPr baseColWidth="10" defaultRowHeight="13" x14ac:dyDescent="0.15"/>
  <cols>
    <col min="1" max="1" width="10.83203125" style="3"/>
    <col min="2" max="2" width="14.6640625" style="3" customWidth="1"/>
    <col min="3" max="3" width="33.83203125" style="3" bestFit="1" customWidth="1"/>
    <col min="4" max="4" width="22.5" style="3" bestFit="1" customWidth="1"/>
    <col min="5" max="16384" width="10.83203125" style="3"/>
  </cols>
  <sheetData>
    <row r="4" spans="2:4" x14ac:dyDescent="0.15">
      <c r="B4" s="71" t="s">
        <v>64</v>
      </c>
    </row>
    <row r="6" spans="2:4" x14ac:dyDescent="0.15">
      <c r="B6" s="63" t="s">
        <v>73</v>
      </c>
      <c r="C6" s="63" t="s">
        <v>74</v>
      </c>
      <c r="D6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2021-02-26T20:52:55Z</dcterms:modified>
</cp:coreProperties>
</file>