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BB29ACB0-12CF-EB42-967D-FE0682E80B8B}" xr6:coauthVersionLast="46" xr6:coauthVersionMax="46" xr10:uidLastSave="{00000000-0000-0000-0000-000000000000}"/>
  <bookViews>
    <workbookView xWindow="0" yWindow="460" windowWidth="18640" windowHeight="2034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0" i="2" l="1"/>
  <c r="N20" i="2" s="1"/>
  <c r="O20" i="2" s="1"/>
  <c r="P20" i="2" s="1"/>
  <c r="L20" i="2"/>
  <c r="M19" i="2"/>
  <c r="N19" i="2" s="1"/>
  <c r="O19" i="2" s="1"/>
  <c r="P19" i="2" s="1"/>
  <c r="L19" i="2"/>
  <c r="M16" i="2"/>
  <c r="N16" i="2" s="1"/>
  <c r="O16" i="2" s="1"/>
  <c r="P16" i="2" s="1"/>
  <c r="Q16" i="2" s="1"/>
  <c r="L16" i="2"/>
  <c r="J14" i="2"/>
  <c r="K14" i="2" s="1"/>
  <c r="I14" i="2"/>
  <c r="H14" i="2"/>
  <c r="K13" i="2"/>
  <c r="J13" i="2"/>
  <c r="I13" i="2"/>
  <c r="H13" i="2"/>
  <c r="G14" i="2"/>
  <c r="G13" i="2"/>
  <c r="F4" i="2"/>
  <c r="C5" i="2"/>
  <c r="C3" i="2"/>
  <c r="H21" i="2"/>
  <c r="I21" i="2" s="1"/>
  <c r="J21" i="2" s="1"/>
  <c r="K21" i="2" s="1"/>
  <c r="H20" i="2"/>
  <c r="I20" i="2" s="1"/>
  <c r="J20" i="2" s="1"/>
  <c r="K20" i="2" s="1"/>
  <c r="G20" i="2"/>
  <c r="H19" i="2"/>
  <c r="I19" i="2" s="1"/>
  <c r="J19" i="2" s="1"/>
  <c r="K19" i="2" s="1"/>
  <c r="G61" i="2"/>
  <c r="G60" i="2"/>
  <c r="F61" i="2"/>
  <c r="F60" i="2"/>
  <c r="E47" i="2"/>
  <c r="E42" i="2"/>
  <c r="F47" i="2"/>
  <c r="F42" i="2"/>
  <c r="E17" i="2"/>
  <c r="F17" i="2"/>
  <c r="F11" i="2"/>
  <c r="F13" i="2"/>
  <c r="F14" i="2" s="1"/>
  <c r="F16" i="2" s="1"/>
  <c r="E13" i="2"/>
  <c r="E14" i="2" s="1"/>
  <c r="E16" i="2" s="1"/>
  <c r="Q44" i="1"/>
  <c r="Q43" i="1"/>
  <c r="Q35" i="1"/>
  <c r="Q36" i="1"/>
  <c r="R56" i="1"/>
  <c r="S56" i="1"/>
  <c r="U7" i="1"/>
  <c r="U9" i="1" s="1"/>
  <c r="Y29" i="1" s="1"/>
  <c r="R10" i="1"/>
  <c r="V10" i="1"/>
  <c r="R7" i="1"/>
  <c r="R9" i="1" s="1"/>
  <c r="V7" i="1"/>
  <c r="V9" i="1" s="1"/>
  <c r="W36" i="1"/>
  <c r="S10" i="1"/>
  <c r="S7" i="1"/>
  <c r="S9" i="1" s="1"/>
  <c r="W10" i="1"/>
  <c r="W4" i="1"/>
  <c r="W7" i="1" s="1"/>
  <c r="W9" i="1" s="1"/>
  <c r="X29" i="1"/>
  <c r="X56" i="1"/>
  <c r="V53" i="1"/>
  <c r="R53" i="1"/>
  <c r="N53" i="1"/>
  <c r="J53" i="1"/>
  <c r="T53" i="1"/>
  <c r="S53" i="1"/>
  <c r="Q53" i="1"/>
  <c r="P53" i="1"/>
  <c r="O53" i="1"/>
  <c r="M53" i="1"/>
  <c r="L53" i="1"/>
  <c r="K53" i="1"/>
  <c r="I53" i="1"/>
  <c r="H53" i="1"/>
  <c r="G53" i="1"/>
  <c r="F53" i="1"/>
  <c r="U53" i="1"/>
  <c r="X53" i="1"/>
  <c r="S52" i="1"/>
  <c r="U52" i="1"/>
  <c r="V52" i="1"/>
  <c r="W52" i="1"/>
  <c r="X52" i="1"/>
  <c r="U41" i="1"/>
  <c r="U36" i="1"/>
  <c r="X36" i="1"/>
  <c r="T10" i="1"/>
  <c r="T4" i="1"/>
  <c r="T7" i="1" s="1"/>
  <c r="T9" i="1" s="1"/>
  <c r="X10" i="1"/>
  <c r="X4" i="1"/>
  <c r="X7" i="1" s="1"/>
  <c r="X9" i="1" s="1"/>
  <c r="T56" i="1"/>
  <c r="U56" i="1"/>
  <c r="V56" i="1"/>
  <c r="W56" i="1"/>
  <c r="I61" i="2" l="1"/>
  <c r="H61" i="2"/>
  <c r="H60" i="2"/>
  <c r="H16" i="2"/>
  <c r="G16" i="2"/>
  <c r="W53" i="1"/>
  <c r="X44" i="1"/>
  <c r="X35" i="1"/>
  <c r="X31" i="1"/>
  <c r="X30" i="1"/>
  <c r="X15" i="1"/>
  <c r="X11" i="1"/>
  <c r="I60" i="2" l="1"/>
  <c r="G18" i="2"/>
  <c r="G17" i="2" s="1"/>
  <c r="I16" i="2"/>
  <c r="X16" i="1"/>
  <c r="X25" i="1"/>
  <c r="X43" i="1"/>
  <c r="W44" i="1"/>
  <c r="W35" i="1"/>
  <c r="W31" i="1"/>
  <c r="W30" i="1"/>
  <c r="W11" i="1"/>
  <c r="W25" i="1" s="1"/>
  <c r="K61" i="2" l="1"/>
  <c r="J61" i="2"/>
  <c r="J60" i="2"/>
  <c r="J16" i="2"/>
  <c r="W43" i="1"/>
  <c r="W15" i="1"/>
  <c r="X18" i="1"/>
  <c r="X26" i="1"/>
  <c r="Q20" i="2"/>
  <c r="G19" i="2"/>
  <c r="Q19" i="2" s="1"/>
  <c r="G58" i="2"/>
  <c r="V39" i="1"/>
  <c r="V36" i="1"/>
  <c r="U14" i="1"/>
  <c r="U44" i="1"/>
  <c r="U31" i="1"/>
  <c r="U30" i="1"/>
  <c r="U15" i="1"/>
  <c r="K60" i="2" l="1"/>
  <c r="K16" i="2"/>
  <c r="F50" i="2"/>
  <c r="Q37" i="2"/>
  <c r="R20" i="2"/>
  <c r="Q36" i="2"/>
  <c r="R19" i="2"/>
  <c r="U35" i="1"/>
  <c r="V43" i="1"/>
  <c r="X21" i="1"/>
  <c r="X22" i="1" s="1"/>
  <c r="X27" i="1"/>
  <c r="U43" i="1"/>
  <c r="F41" i="2"/>
  <c r="W16" i="1"/>
  <c r="U11" i="1"/>
  <c r="U25" i="1" s="1"/>
  <c r="G36" i="2"/>
  <c r="R37" i="2" l="1"/>
  <c r="S20" i="2"/>
  <c r="R36" i="2"/>
  <c r="S19" i="2"/>
  <c r="W26" i="1"/>
  <c r="W18" i="1"/>
  <c r="U16" i="1"/>
  <c r="F49" i="2"/>
  <c r="F18" i="2"/>
  <c r="S37" i="2" l="1"/>
  <c r="T20" i="2"/>
  <c r="S36" i="2"/>
  <c r="T19" i="2"/>
  <c r="U26" i="1"/>
  <c r="U18" i="1"/>
  <c r="W27" i="1"/>
  <c r="W21" i="1"/>
  <c r="W22" i="1" s="1"/>
  <c r="T37" i="2" l="1"/>
  <c r="U20" i="2"/>
  <c r="U37" i="2" s="1"/>
  <c r="T36" i="2"/>
  <c r="U19" i="2"/>
  <c r="U21" i="1"/>
  <c r="U27" i="1"/>
  <c r="U36" i="2" l="1"/>
  <c r="U22" i="1"/>
  <c r="T52" i="1"/>
  <c r="X32" i="1"/>
  <c r="V44" i="1"/>
  <c r="V31" i="1"/>
  <c r="V30" i="1"/>
  <c r="V15" i="1"/>
  <c r="T11" i="1" l="1"/>
  <c r="T15" i="1"/>
  <c r="V11" i="1"/>
  <c r="V35" i="1"/>
  <c r="C4" i="2"/>
  <c r="T30" i="1"/>
  <c r="T31" i="1"/>
  <c r="W32" i="1"/>
  <c r="S31" i="1"/>
  <c r="S30" i="1"/>
  <c r="F58" i="2"/>
  <c r="F57" i="2"/>
  <c r="B14" i="1"/>
  <c r="B15" i="1" s="1"/>
  <c r="F14" i="1"/>
  <c r="C14" i="1"/>
  <c r="C15" i="1" s="1"/>
  <c r="G14" i="1"/>
  <c r="G15" i="1" s="1"/>
  <c r="C9" i="1"/>
  <c r="C11" i="1" s="1"/>
  <c r="F9" i="1"/>
  <c r="F11" i="1" s="1"/>
  <c r="G9" i="1"/>
  <c r="G29" i="1" s="1"/>
  <c r="F52" i="1"/>
  <c r="G52" i="1"/>
  <c r="H52" i="1"/>
  <c r="D14" i="1"/>
  <c r="D15" i="1" s="1"/>
  <c r="H14" i="1"/>
  <c r="H15" i="1" s="1"/>
  <c r="H9" i="1"/>
  <c r="E14" i="1"/>
  <c r="E15" i="1" s="1"/>
  <c r="I14" i="1"/>
  <c r="I15" i="1" s="1"/>
  <c r="J14" i="1"/>
  <c r="J15" i="1" s="1"/>
  <c r="K14" i="1"/>
  <c r="O14" i="1"/>
  <c r="O15" i="1" s="1"/>
  <c r="L14" i="1"/>
  <c r="L15" i="1" s="1"/>
  <c r="P14" i="1"/>
  <c r="P15" i="1" s="1"/>
  <c r="M14" i="1"/>
  <c r="M15" i="1" s="1"/>
  <c r="Q14" i="1"/>
  <c r="U32" i="1" s="1"/>
  <c r="R52" i="1"/>
  <c r="Q9" i="1"/>
  <c r="P9" i="1"/>
  <c r="P11" i="1" s="1"/>
  <c r="P25" i="1" s="1"/>
  <c r="O9" i="1"/>
  <c r="O11" i="1" s="1"/>
  <c r="N14" i="1"/>
  <c r="N15" i="1" s="1"/>
  <c r="R31" i="1"/>
  <c r="R30" i="1"/>
  <c r="N9" i="1"/>
  <c r="N11" i="1" s="1"/>
  <c r="N25" i="1" s="1"/>
  <c r="R11" i="1"/>
  <c r="V32" i="1"/>
  <c r="M9" i="1"/>
  <c r="M11" i="1"/>
  <c r="M25" i="1" s="1"/>
  <c r="I9" i="1"/>
  <c r="I29" i="1" s="1"/>
  <c r="Q52" i="1"/>
  <c r="P52" i="1"/>
  <c r="O52" i="1"/>
  <c r="N52" i="1"/>
  <c r="M52" i="1"/>
  <c r="L52" i="1"/>
  <c r="K52" i="1"/>
  <c r="J52" i="1"/>
  <c r="I52" i="1"/>
  <c r="E9" i="1"/>
  <c r="E11" i="1" s="1"/>
  <c r="J9" i="1"/>
  <c r="J11" i="1" s="1"/>
  <c r="K9" i="1"/>
  <c r="L9" i="1"/>
  <c r="B9" i="1"/>
  <c r="B11" i="1"/>
  <c r="B25" i="1" s="1"/>
  <c r="D9" i="1"/>
  <c r="D11" i="1" s="1"/>
  <c r="Q31" i="1"/>
  <c r="Q30" i="1"/>
  <c r="N31" i="1"/>
  <c r="N30" i="1"/>
  <c r="O31" i="1"/>
  <c r="O30" i="1"/>
  <c r="P31" i="1"/>
  <c r="P30" i="1"/>
  <c r="G29" i="2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F30" i="1"/>
  <c r="I30" i="1"/>
  <c r="M30" i="1"/>
  <c r="K30" i="1"/>
  <c r="J30" i="1"/>
  <c r="H30" i="1"/>
  <c r="L30" i="1"/>
  <c r="H31" i="1"/>
  <c r="I31" i="1"/>
  <c r="J31" i="1"/>
  <c r="K31" i="1"/>
  <c r="L31" i="1"/>
  <c r="M31" i="1"/>
  <c r="L32" i="1"/>
  <c r="G31" i="1"/>
  <c r="G30" i="1"/>
  <c r="F31" i="1"/>
  <c r="E9" i="2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C16" i="1" l="1"/>
  <c r="M33" i="1"/>
  <c r="L33" i="1"/>
  <c r="R29" i="1"/>
  <c r="L29" i="1"/>
  <c r="J32" i="1"/>
  <c r="M32" i="1"/>
  <c r="S11" i="1"/>
  <c r="S25" i="1" s="1"/>
  <c r="W29" i="1"/>
  <c r="Q11" i="1"/>
  <c r="Q25" i="1" s="1"/>
  <c r="U29" i="1"/>
  <c r="K29" i="1"/>
  <c r="R15" i="1"/>
  <c r="V33" i="1" s="1"/>
  <c r="I32" i="1"/>
  <c r="P32" i="1"/>
  <c r="H11" i="1"/>
  <c r="H25" i="1" s="1"/>
  <c r="F29" i="1"/>
  <c r="N32" i="1"/>
  <c r="J29" i="1"/>
  <c r="Q15" i="1"/>
  <c r="J16" i="1"/>
  <c r="J26" i="1" s="1"/>
  <c r="V29" i="1"/>
  <c r="P29" i="1"/>
  <c r="G32" i="1"/>
  <c r="Q32" i="1"/>
  <c r="T16" i="1"/>
  <c r="T18" i="1" s="1"/>
  <c r="T21" i="1" s="1"/>
  <c r="X33" i="1"/>
  <c r="E41" i="2"/>
  <c r="V16" i="1"/>
  <c r="V25" i="1"/>
  <c r="O16" i="1"/>
  <c r="O18" i="1" s="1"/>
  <c r="O25" i="1"/>
  <c r="O32" i="1"/>
  <c r="K32" i="1"/>
  <c r="M29" i="1"/>
  <c r="E50" i="2"/>
  <c r="E49" i="2"/>
  <c r="M16" i="1"/>
  <c r="M26" i="1" s="1"/>
  <c r="J25" i="1"/>
  <c r="N29" i="1"/>
  <c r="P33" i="1"/>
  <c r="E25" i="1"/>
  <c r="E16" i="1"/>
  <c r="D25" i="1"/>
  <c r="D16" i="1"/>
  <c r="N33" i="1"/>
  <c r="T32" i="1"/>
  <c r="F25" i="1"/>
  <c r="C18" i="1"/>
  <c r="C26" i="1"/>
  <c r="P16" i="1"/>
  <c r="F32" i="1"/>
  <c r="Q29" i="1"/>
  <c r="B16" i="1"/>
  <c r="C25" i="1"/>
  <c r="L11" i="1"/>
  <c r="N16" i="1"/>
  <c r="K15" i="1"/>
  <c r="K33" i="1" s="1"/>
  <c r="G11" i="1"/>
  <c r="S29" i="1"/>
  <c r="S15" i="1"/>
  <c r="H29" i="1"/>
  <c r="R32" i="1"/>
  <c r="C6" i="2"/>
  <c r="C7" i="2" s="1"/>
  <c r="K11" i="1"/>
  <c r="R25" i="1"/>
  <c r="F15" i="1"/>
  <c r="J33" i="1" s="1"/>
  <c r="S32" i="1"/>
  <c r="I11" i="1"/>
  <c r="H32" i="1"/>
  <c r="O29" i="1"/>
  <c r="T33" i="1"/>
  <c r="J18" i="1" l="1"/>
  <c r="J21" i="1" s="1"/>
  <c r="Q16" i="1"/>
  <c r="Q26" i="1" s="1"/>
  <c r="O26" i="1"/>
  <c r="G21" i="2"/>
  <c r="L21" i="2" s="1"/>
  <c r="M21" i="2" s="1"/>
  <c r="N21" i="2" s="1"/>
  <c r="O21" i="2" s="1"/>
  <c r="P21" i="2" s="1"/>
  <c r="Q21" i="2" s="1"/>
  <c r="F22" i="2"/>
  <c r="F23" i="2" s="1"/>
  <c r="F25" i="2" s="1"/>
  <c r="T22" i="1"/>
  <c r="H16" i="1"/>
  <c r="R16" i="1"/>
  <c r="R18" i="1" s="1"/>
  <c r="R21" i="1" s="1"/>
  <c r="U33" i="1"/>
  <c r="Q33" i="1"/>
  <c r="R33" i="1"/>
  <c r="S33" i="1"/>
  <c r="W33" i="1"/>
  <c r="V26" i="1"/>
  <c r="V18" i="1"/>
  <c r="H58" i="2"/>
  <c r="F16" i="1"/>
  <c r="F18" i="1" s="1"/>
  <c r="O33" i="1"/>
  <c r="M18" i="1"/>
  <c r="O21" i="1"/>
  <c r="O27" i="1"/>
  <c r="T29" i="1"/>
  <c r="I25" i="1"/>
  <c r="I16" i="1"/>
  <c r="H26" i="1"/>
  <c r="H18" i="1"/>
  <c r="F26" i="1"/>
  <c r="K16" i="1"/>
  <c r="K25" i="1"/>
  <c r="D18" i="1"/>
  <c r="D26" i="1"/>
  <c r="E26" i="1"/>
  <c r="E18" i="1"/>
  <c r="C21" i="1"/>
  <c r="C22" i="1" s="1"/>
  <c r="C27" i="1"/>
  <c r="N26" i="1"/>
  <c r="N18" i="1"/>
  <c r="L25" i="1"/>
  <c r="L16" i="1"/>
  <c r="B26" i="1"/>
  <c r="B18" i="1"/>
  <c r="F37" i="2"/>
  <c r="G16" i="1"/>
  <c r="G25" i="1"/>
  <c r="M21" i="1"/>
  <c r="M27" i="1"/>
  <c r="P18" i="1"/>
  <c r="P26" i="1"/>
  <c r="E18" i="2"/>
  <c r="S16" i="1"/>
  <c r="E22" i="2"/>
  <c r="Q18" i="1" l="1"/>
  <c r="J27" i="1"/>
  <c r="R27" i="1"/>
  <c r="Q38" i="2"/>
  <c r="R21" i="2"/>
  <c r="Q22" i="2"/>
  <c r="R22" i="1"/>
  <c r="R26" i="1"/>
  <c r="I58" i="2"/>
  <c r="V21" i="1"/>
  <c r="V27" i="1"/>
  <c r="F36" i="2"/>
  <c r="I26" i="1"/>
  <c r="I18" i="1"/>
  <c r="F27" i="1"/>
  <c r="F21" i="1"/>
  <c r="H21" i="1"/>
  <c r="H22" i="1" s="1"/>
  <c r="H27" i="1"/>
  <c r="S18" i="1"/>
  <c r="S26" i="1"/>
  <c r="D21" i="1"/>
  <c r="D22" i="1" s="1"/>
  <c r="D27" i="1"/>
  <c r="G26" i="1"/>
  <c r="G18" i="1"/>
  <c r="G37" i="2"/>
  <c r="B27" i="1"/>
  <c r="B21" i="1"/>
  <c r="P21" i="1"/>
  <c r="P27" i="1"/>
  <c r="T25" i="1"/>
  <c r="L26" i="1"/>
  <c r="L18" i="1"/>
  <c r="M22" i="1"/>
  <c r="J22" i="1"/>
  <c r="F38" i="2"/>
  <c r="E23" i="2"/>
  <c r="E31" i="2"/>
  <c r="N27" i="1"/>
  <c r="N21" i="1"/>
  <c r="Q27" i="1"/>
  <c r="Q21" i="1"/>
  <c r="E27" i="1"/>
  <c r="E21" i="1"/>
  <c r="K26" i="1"/>
  <c r="K18" i="1"/>
  <c r="O22" i="1"/>
  <c r="F39" i="2"/>
  <c r="R38" i="2" l="1"/>
  <c r="S21" i="2"/>
  <c r="R22" i="2"/>
  <c r="R39" i="2" s="1"/>
  <c r="Q22" i="1"/>
  <c r="X46" i="1"/>
  <c r="X50" i="1" s="1"/>
  <c r="W46" i="1"/>
  <c r="J58" i="2"/>
  <c r="V22" i="1"/>
  <c r="T26" i="1"/>
  <c r="G38" i="2"/>
  <c r="H22" i="2"/>
  <c r="G57" i="2"/>
  <c r="S27" i="1"/>
  <c r="S21" i="1"/>
  <c r="B22" i="1"/>
  <c r="E22" i="1"/>
  <c r="I21" i="1"/>
  <c r="I22" i="1" s="1"/>
  <c r="I27" i="1"/>
  <c r="H37" i="2"/>
  <c r="F35" i="2"/>
  <c r="P22" i="1"/>
  <c r="K21" i="1"/>
  <c r="K27" i="1"/>
  <c r="L27" i="1"/>
  <c r="L21" i="1"/>
  <c r="N22" i="1"/>
  <c r="E32" i="2"/>
  <c r="E25" i="2"/>
  <c r="F22" i="1"/>
  <c r="G22" i="2"/>
  <c r="G39" i="2" s="1"/>
  <c r="G21" i="1"/>
  <c r="G22" i="1" s="1"/>
  <c r="G27" i="1"/>
  <c r="S38" i="2" l="1"/>
  <c r="T21" i="2"/>
  <c r="S22" i="2"/>
  <c r="S39" i="2" s="1"/>
  <c r="S22" i="1"/>
  <c r="U46" i="1"/>
  <c r="W50" i="1"/>
  <c r="W47" i="1"/>
  <c r="W49" i="1"/>
  <c r="W48" i="1"/>
  <c r="X48" i="1"/>
  <c r="X49" i="1"/>
  <c r="X47" i="1"/>
  <c r="K58" i="2"/>
  <c r="H39" i="2"/>
  <c r="H36" i="2"/>
  <c r="F31" i="2"/>
  <c r="H57" i="2"/>
  <c r="H38" i="2"/>
  <c r="I37" i="2"/>
  <c r="G35" i="2"/>
  <c r="E33" i="2"/>
  <c r="E27" i="2"/>
  <c r="L22" i="1"/>
  <c r="K22" i="1"/>
  <c r="T38" i="2" l="1"/>
  <c r="U21" i="2"/>
  <c r="T22" i="2"/>
  <c r="T39" i="2" s="1"/>
  <c r="U50" i="1"/>
  <c r="U48" i="1"/>
  <c r="U49" i="1"/>
  <c r="U47" i="1"/>
  <c r="I22" i="2"/>
  <c r="I39" i="2" s="1"/>
  <c r="E55" i="2"/>
  <c r="E54" i="2"/>
  <c r="E52" i="2"/>
  <c r="I36" i="2"/>
  <c r="H35" i="2"/>
  <c r="I57" i="2"/>
  <c r="T27" i="1"/>
  <c r="E28" i="2"/>
  <c r="E53" i="2"/>
  <c r="J37" i="2"/>
  <c r="F32" i="2"/>
  <c r="I38" i="2"/>
  <c r="U38" i="2" l="1"/>
  <c r="U22" i="2"/>
  <c r="U39" i="2" s="1"/>
  <c r="G23" i="2"/>
  <c r="G32" i="2" s="1"/>
  <c r="G31" i="2"/>
  <c r="H18" i="2" s="1"/>
  <c r="J22" i="2"/>
  <c r="J39" i="2" s="1"/>
  <c r="K57" i="2"/>
  <c r="J36" i="2"/>
  <c r="F33" i="2"/>
  <c r="I35" i="2"/>
  <c r="K37" i="2"/>
  <c r="J38" i="2"/>
  <c r="J57" i="2"/>
  <c r="R16" i="2" l="1"/>
  <c r="S16" i="2" s="1"/>
  <c r="T16" i="2" s="1"/>
  <c r="U16" i="2" s="1"/>
  <c r="H23" i="2"/>
  <c r="H32" i="2" s="1"/>
  <c r="H31" i="2"/>
  <c r="I18" i="2" s="1"/>
  <c r="H17" i="2"/>
  <c r="F27" i="2"/>
  <c r="V46" i="1"/>
  <c r="K36" i="2"/>
  <c r="J35" i="2"/>
  <c r="K38" i="2"/>
  <c r="K22" i="2"/>
  <c r="K39" i="2" s="1"/>
  <c r="L37" i="2"/>
  <c r="I17" i="2" l="1"/>
  <c r="I31" i="2"/>
  <c r="J18" i="2" s="1"/>
  <c r="I23" i="2"/>
  <c r="I32" i="2" s="1"/>
  <c r="V49" i="1"/>
  <c r="V50" i="1"/>
  <c r="F28" i="2"/>
  <c r="F52" i="2"/>
  <c r="F54" i="2"/>
  <c r="F53" i="2"/>
  <c r="F55" i="2"/>
  <c r="G25" i="2"/>
  <c r="V48" i="1"/>
  <c r="V47" i="1"/>
  <c r="L36" i="2"/>
  <c r="M22" i="2"/>
  <c r="L38" i="2"/>
  <c r="K35" i="2"/>
  <c r="L22" i="2"/>
  <c r="L39" i="2" s="1"/>
  <c r="M37" i="2"/>
  <c r="J17" i="2" l="1"/>
  <c r="J31" i="2"/>
  <c r="K18" i="2" s="1"/>
  <c r="J23" i="2"/>
  <c r="J32" i="2" s="1"/>
  <c r="M36" i="2"/>
  <c r="G33" i="2"/>
  <c r="L35" i="2"/>
  <c r="M39" i="2"/>
  <c r="N37" i="2"/>
  <c r="M38" i="2"/>
  <c r="K17" i="2" l="1"/>
  <c r="K31" i="2"/>
  <c r="K23" i="2"/>
  <c r="K32" i="2" s="1"/>
  <c r="G27" i="2"/>
  <c r="N36" i="2"/>
  <c r="M35" i="2"/>
  <c r="O37" i="2"/>
  <c r="N38" i="2"/>
  <c r="N22" i="2"/>
  <c r="N39" i="2" s="1"/>
  <c r="L18" i="2" l="1"/>
  <c r="L23" i="2" s="1"/>
  <c r="L32" i="2" s="1"/>
  <c r="G28" i="2"/>
  <c r="G41" i="2"/>
  <c r="O36" i="2"/>
  <c r="O38" i="2"/>
  <c r="O22" i="2"/>
  <c r="O39" i="2" s="1"/>
  <c r="P37" i="2"/>
  <c r="P22" i="2"/>
  <c r="Q39" i="2" s="1"/>
  <c r="N35" i="2"/>
  <c r="L31" i="2" l="1"/>
  <c r="M18" i="2" s="1"/>
  <c r="M23" i="2" s="1"/>
  <c r="L17" i="2"/>
  <c r="M17" i="2"/>
  <c r="P36" i="2"/>
  <c r="O35" i="2"/>
  <c r="P39" i="2"/>
  <c r="H25" i="2"/>
  <c r="P38" i="2"/>
  <c r="M32" i="2"/>
  <c r="M31" i="2" l="1"/>
  <c r="N18" i="2" s="1"/>
  <c r="N31" i="2" s="1"/>
  <c r="O18" i="2" s="1"/>
  <c r="O17" i="2" s="1"/>
  <c r="Q35" i="2"/>
  <c r="H33" i="2"/>
  <c r="P35" i="2"/>
  <c r="O23" i="2" l="1"/>
  <c r="N23" i="2"/>
  <c r="N32" i="2" s="1"/>
  <c r="O31" i="2"/>
  <c r="P18" i="2" s="1"/>
  <c r="P23" i="2" s="1"/>
  <c r="N17" i="2"/>
  <c r="R35" i="2"/>
  <c r="H27" i="2"/>
  <c r="O32" i="2"/>
  <c r="P17" i="2" l="1"/>
  <c r="P31" i="2"/>
  <c r="Q18" i="2" s="1"/>
  <c r="Q23" i="2"/>
  <c r="Q31" i="2"/>
  <c r="R18" i="2" s="1"/>
  <c r="Q17" i="2"/>
  <c r="S35" i="2"/>
  <c r="H28" i="2"/>
  <c r="H41" i="2"/>
  <c r="I25" i="2" s="1"/>
  <c r="P32" i="2"/>
  <c r="T35" i="2" l="1"/>
  <c r="R31" i="2"/>
  <c r="S18" i="2" s="1"/>
  <c r="R23" i="2"/>
  <c r="R17" i="2"/>
  <c r="Q32" i="2"/>
  <c r="I33" i="2"/>
  <c r="R32" i="2" l="1"/>
  <c r="S31" i="2"/>
  <c r="T18" i="2" s="1"/>
  <c r="S23" i="2"/>
  <c r="S17" i="2"/>
  <c r="U35" i="2"/>
  <c r="I27" i="2"/>
  <c r="I41" i="2" l="1"/>
  <c r="S32" i="2"/>
  <c r="T17" i="2"/>
  <c r="T31" i="2"/>
  <c r="U18" i="2" s="1"/>
  <c r="T23" i="2"/>
  <c r="I28" i="2"/>
  <c r="J25" i="2"/>
  <c r="T32" i="2" l="1"/>
  <c r="U31" i="2"/>
  <c r="U23" i="2"/>
  <c r="U17" i="2"/>
  <c r="J33" i="2"/>
  <c r="U32" i="2" l="1"/>
  <c r="J27" i="2"/>
  <c r="J28" i="2" l="1"/>
  <c r="J41" i="2"/>
  <c r="K25" i="2" s="1"/>
  <c r="K33" i="2" l="1"/>
  <c r="K27" i="2" l="1"/>
  <c r="K41" i="2" s="1"/>
  <c r="K28" i="2" l="1"/>
  <c r="L25" i="2"/>
  <c r="L33" i="2" l="1"/>
  <c r="L27" i="2" l="1"/>
  <c r="L28" i="2" s="1"/>
  <c r="L41" i="2" l="1"/>
  <c r="M25" i="2"/>
  <c r="M33" i="2" l="1"/>
  <c r="M27" i="2" l="1"/>
  <c r="M28" i="2" l="1"/>
  <c r="M41" i="2"/>
  <c r="N25" i="2" l="1"/>
  <c r="N33" i="2" l="1"/>
  <c r="N27" i="2" l="1"/>
  <c r="N28" i="2" s="1"/>
  <c r="N41" i="2"/>
  <c r="O25" i="2" l="1"/>
  <c r="O33" i="2" l="1"/>
  <c r="O27" i="2" l="1"/>
  <c r="O28" i="2" s="1"/>
  <c r="O41" i="2" l="1"/>
  <c r="P25" i="2"/>
  <c r="P33" i="2" l="1"/>
  <c r="P27" i="2" l="1"/>
  <c r="P28" i="2" l="1"/>
  <c r="P41" i="2"/>
  <c r="Q25" i="2" l="1"/>
  <c r="Q33" i="2" l="1"/>
  <c r="Q27" i="2" l="1"/>
  <c r="Q28" i="2" s="1"/>
  <c r="Q41" i="2"/>
  <c r="R25" i="2" l="1"/>
  <c r="R26" i="2" l="1"/>
  <c r="R33" i="2" s="1"/>
  <c r="R27" i="2" l="1"/>
  <c r="R28" i="2"/>
  <c r="R41" i="2"/>
  <c r="S25" i="2" l="1"/>
  <c r="S26" i="2" l="1"/>
  <c r="S33" i="2" s="1"/>
  <c r="S27" i="2" l="1"/>
  <c r="S28" i="2" l="1"/>
  <c r="S41" i="2"/>
  <c r="T25" i="2" l="1"/>
  <c r="T26" i="2" l="1"/>
  <c r="T33" i="2" s="1"/>
  <c r="T27" i="2" l="1"/>
  <c r="T28" i="2" s="1"/>
  <c r="T41" i="2" l="1"/>
  <c r="U25" i="2"/>
  <c r="U26" i="2" l="1"/>
  <c r="U33" i="2" s="1"/>
  <c r="U27" i="2" l="1"/>
  <c r="U28" i="2" l="1"/>
  <c r="V27" i="2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CG27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X27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DO27" i="2" s="1"/>
  <c r="DP27" i="2" s="1"/>
  <c r="DQ27" i="2" s="1"/>
  <c r="DR27" i="2" s="1"/>
  <c r="DS27" i="2" s="1"/>
  <c r="DT27" i="2" s="1"/>
  <c r="DU27" i="2" s="1"/>
  <c r="DV27" i="2" s="1"/>
  <c r="DW27" i="2" s="1"/>
  <c r="DX27" i="2" s="1"/>
  <c r="DY27" i="2" s="1"/>
  <c r="DZ27" i="2" s="1"/>
  <c r="EA27" i="2" s="1"/>
  <c r="EB27" i="2" s="1"/>
  <c r="EC27" i="2" s="1"/>
  <c r="ED27" i="2" s="1"/>
  <c r="EE27" i="2" s="1"/>
  <c r="EF27" i="2" s="1"/>
  <c r="EG27" i="2" s="1"/>
  <c r="EH27" i="2" s="1"/>
  <c r="EI27" i="2" s="1"/>
  <c r="EJ27" i="2" s="1"/>
  <c r="EK27" i="2" s="1"/>
  <c r="EL27" i="2" s="1"/>
  <c r="EM27" i="2" s="1"/>
  <c r="EN27" i="2" s="1"/>
  <c r="EO27" i="2" s="1"/>
  <c r="EP27" i="2" s="1"/>
  <c r="EQ27" i="2" s="1"/>
  <c r="ER27" i="2" s="1"/>
  <c r="ES27" i="2" s="1"/>
  <c r="ET27" i="2" s="1"/>
  <c r="EU27" i="2" s="1"/>
  <c r="EV27" i="2" s="1"/>
  <c r="EW27" i="2" s="1"/>
  <c r="EX27" i="2" s="1"/>
  <c r="EY27" i="2" s="1"/>
  <c r="EZ27" i="2" s="1"/>
  <c r="FA27" i="2" s="1"/>
  <c r="FB27" i="2" s="1"/>
  <c r="FC27" i="2" s="1"/>
  <c r="FD27" i="2" s="1"/>
  <c r="FE27" i="2" s="1"/>
  <c r="FF27" i="2" s="1"/>
  <c r="FG27" i="2" s="1"/>
  <c r="FH27" i="2" s="1"/>
  <c r="FI27" i="2" s="1"/>
  <c r="FJ27" i="2" s="1"/>
  <c r="FK27" i="2" s="1"/>
  <c r="FL27" i="2" s="1"/>
  <c r="FM27" i="2" s="1"/>
  <c r="FN27" i="2" s="1"/>
  <c r="FO27" i="2" s="1"/>
  <c r="FP27" i="2" s="1"/>
  <c r="FQ27" i="2" s="1"/>
  <c r="FR27" i="2" s="1"/>
  <c r="FS27" i="2" s="1"/>
  <c r="FT27" i="2" s="1"/>
  <c r="FU27" i="2" s="1"/>
  <c r="FV27" i="2" s="1"/>
  <c r="FW27" i="2" s="1"/>
  <c r="FX27" i="2" s="1"/>
  <c r="FY27" i="2" s="1"/>
  <c r="FZ27" i="2" s="1"/>
  <c r="GA27" i="2" s="1"/>
  <c r="GB27" i="2" s="1"/>
  <c r="GC27" i="2" s="1"/>
  <c r="GD27" i="2" s="1"/>
  <c r="GE27" i="2" s="1"/>
  <c r="GF27" i="2" s="1"/>
  <c r="GG27" i="2" s="1"/>
  <c r="GH27" i="2" s="1"/>
  <c r="GI27" i="2" s="1"/>
  <c r="GJ27" i="2" s="1"/>
  <c r="GK27" i="2" s="1"/>
  <c r="GL27" i="2" s="1"/>
  <c r="GM27" i="2" s="1"/>
  <c r="GN27" i="2" s="1"/>
  <c r="GO27" i="2" s="1"/>
  <c r="GP27" i="2" s="1"/>
  <c r="GQ27" i="2" s="1"/>
  <c r="GR27" i="2" s="1"/>
  <c r="F5" i="2" s="1"/>
  <c r="U41" i="2"/>
  <c r="F6" i="2" l="1"/>
  <c r="F7" i="2" s="1"/>
  <c r="G7" i="2" s="1"/>
</calcChain>
</file>

<file path=xl/sharedStrings.xml><?xml version="1.0" encoding="utf-8"?>
<sst xmlns="http://schemas.openxmlformats.org/spreadsheetml/2006/main" count="137" uniqueCount="93">
  <si>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</si>
  <si>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</si>
  <si>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</si>
  <si>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</si>
  <si>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</si>
  <si>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</si>
  <si>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</si>
  <si>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</si>
  <si>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</si>
  <si>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</si>
  <si>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</si>
  <si>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</si>
  <si>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</si>
  <si>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</si>
  <si>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</si>
  <si>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</si>
  <si>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</si>
  <si>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</si>
  <si>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</si>
  <si>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</si>
  <si>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</si>
  <si>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</si>
  <si>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</si>
  <si>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</si>
  <si>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</si>
  <si>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</si>
  <si>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</si>
  <si>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</si>
  <si>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</si>
  <si>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</si>
  <si>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</si>
  <si>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</si>
  <si>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</si>
  <si>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</si>
  <si>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</si>
  <si>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</si>
  <si>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</si>
  <si>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</si>
  <si>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Q115</t>
  </si>
  <si>
    <t>Q215</t>
  </si>
  <si>
    <t>Q315</t>
  </si>
  <si>
    <t>Q415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</si>
  <si>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</si>
  <si>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</si>
  <si>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</si>
  <si>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</si>
  <si>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</si>
  <si>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</si>
  <si>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</si>
  <si>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</si>
  <si>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</si>
  <si>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</si>
  <si>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Q119</t>
  </si>
  <si>
    <t>Q219</t>
  </si>
  <si>
    <t>Q319</t>
  </si>
  <si>
    <t>Q419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</si>
  <si>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</si>
  <si>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</si>
  <si>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</si>
  <si>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</si>
  <si>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</si>
  <si>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</si>
  <si>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</si>
  <si>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</si>
  <si>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</si>
  <si>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</si>
  <si>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</si>
  <si>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Expected return on invested capital (innovation grade)</t>
  </si>
  <si>
    <t>Tax anomaly</t>
  </si>
  <si>
    <t>Operating Expenses y/y</t>
  </si>
  <si>
    <t>Q120</t>
  </si>
  <si>
    <t>Q420</t>
  </si>
  <si>
    <t>Risk-free rate + market premium (opportunity cost)</t>
  </si>
  <si>
    <t>http://www.worldgovernmentbonds.com/country/united-states/</t>
  </si>
  <si>
    <t>Net present value on future net income (terminal value)</t>
  </si>
  <si>
    <t>Q220</t>
  </si>
  <si>
    <t>Q320</t>
  </si>
  <si>
    <t>Lemonade Inc (LMND)</t>
  </si>
  <si>
    <t>Daniel Schreiber</t>
  </si>
  <si>
    <t>Shai Wininger</t>
  </si>
  <si>
    <t>PRODUCTS</t>
  </si>
  <si>
    <t>Customers</t>
  </si>
  <si>
    <t>ARPU</t>
  </si>
  <si>
    <t>IFP</t>
  </si>
  <si>
    <t>IFP y/y</t>
  </si>
  <si>
    <t>Premium</t>
  </si>
  <si>
    <t>Commission and other</t>
  </si>
  <si>
    <t>Premium y/y</t>
  </si>
  <si>
    <t>Commission and other y/y</t>
  </si>
  <si>
    <t>Commision and other</t>
  </si>
  <si>
    <t>Commision and other y/y</t>
  </si>
  <si>
    <t>Customers y/y</t>
  </si>
  <si>
    <t>ARPU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</si>
</sst>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 ;[Red]\-#,##0\ "/>
    <numFmt numFmtId="165" formatCode="0.0%"/>
    <numFmt numFmtId="169" formatCode="#,##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5">
    <xf numFmtId="0" fontId="0" fillId="0" borderId="0" xfId="0"/>
    <xf numFmtId="0" fontId="4" fillId="0" borderId="0" xfId="4" applyFont="1" applyBorder="1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7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5" fillId="0" borderId="0" xfId="0" applyFont="1" applyBorder="1"/>
    <xf numFmtId="164" fontId="5" fillId="2" borderId="0" xfId="0" applyNumberFormat="1" applyFont="1" applyFill="1"/>
    <xf numFmtId="0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0" borderId="0" xfId="0" applyNumberFormat="1" applyFont="1" applyBorder="1"/>
    <xf numFmtId="0" fontId="6" fillId="0" borderId="0" xfId="0" applyFont="1" applyFill="1" applyBorder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7" fillId="0" borderId="0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4" fontId="6" fillId="2" borderId="0" xfId="0" applyNumberFormat="1" applyFont="1" applyFill="1"/>
    <xf numFmtId="4" fontId="6" fillId="2" borderId="0" xfId="0" applyNumberFormat="1" applyFont="1" applyFill="1" applyBorder="1"/>
    <xf numFmtId="9" fontId="7" fillId="0" borderId="0" xfId="0" applyNumberFormat="1" applyFont="1" applyBorder="1" applyAlignment="1">
      <alignment horizontal="right"/>
    </xf>
    <xf numFmtId="9" fontId="7" fillId="0" borderId="1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3" fontId="7" fillId="0" borderId="0" xfId="0" applyNumberFormat="1" applyFont="1" applyBorder="1"/>
    <xf numFmtId="2" fontId="6" fillId="0" borderId="0" xfId="0" applyNumberFormat="1" applyFont="1" applyBorder="1" applyAlignment="1">
      <alignment horizontal="right"/>
    </xf>
    <xf numFmtId="9" fontId="5" fillId="0" borderId="0" xfId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Alignment="1">
      <alignment horizontal="right"/>
    </xf>
    <xf numFmtId="165" fontId="6" fillId="0" borderId="0" xfId="0" applyNumberFormat="1" applyFont="1" applyAlignment="1">
      <alignment horizontal="right"/>
    </xf>
    <xf numFmtId="3" fontId="6" fillId="0" borderId="0" xfId="0" applyNumberFormat="1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9" fontId="6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right"/>
    </xf>
    <xf numFmtId="14" fontId="6" fillId="0" borderId="0" xfId="0" applyNumberFormat="1" applyFont="1" applyBorder="1" applyAlignment="1">
      <alignment horizontal="right"/>
    </xf>
    <xf numFmtId="14" fontId="6" fillId="0" borderId="1" xfId="0" applyNumberFormat="1" applyFont="1" applyBorder="1" applyAlignment="1">
      <alignment horizontal="right"/>
    </xf>
    <xf numFmtId="4" fontId="6" fillId="2" borderId="0" xfId="0" applyNumberFormat="1" applyFont="1" applyFill="1" applyBorder="1" applyAlignment="1">
      <alignment horizontal="right"/>
    </xf>
    <xf numFmtId="4" fontId="6" fillId="2" borderId="1" xfId="0" applyNumberFormat="1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/>
    <xf numFmtId="3" fontId="5" fillId="0" borderId="0" xfId="0" applyNumberFormat="1" applyFont="1" applyFill="1" applyBorder="1"/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4" applyBorder="1"/>
    <xf numFmtId="0" fontId="4" fillId="0" borderId="0" xfId="4"/>
    <xf numFmtId="0" fontId="8" fillId="0" borderId="0" xfId="0" applyFont="1"/>
    <xf numFmtId="169" fontId="6" fillId="0" borderId="0" xfId="0" applyNumberFormat="1" applyFont="1" applyBorder="1"/>
    <xf numFmtId="169" fontId="6" fillId="0" borderId="0" xfId="0" applyNumberFormat="1" applyFont="1" applyBorder="1" applyAlignment="1">
      <alignment horizontal="right"/>
    </xf>
    <xf numFmtId="169" fontId="6" fillId="0" borderId="1" xfId="0" applyNumberFormat="1" applyFont="1" applyBorder="1" applyAlignment="1">
      <alignment horizontal="right"/>
    </xf>
    <xf numFmtId="169" fontId="6" fillId="0" borderId="0" xfId="0" applyNumberFormat="1" applyFont="1" applyAlignment="1">
      <alignment horizontal="right"/>
    </xf>
    <xf numFmtId="169" fontId="6" fillId="0" borderId="0" xfId="0" applyNumberFormat="1" applyFont="1"/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7</xdr:row>
      <xdr:rowOff>152400</xdr:rowOff>
    </xdr:from>
    <xdr:to>
      <xdr:col>6</xdr:col>
      <xdr:colOff>165100</xdr:colOff>
      <xdr:row>62</xdr:row>
      <xdr:rowOff>11545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868555" y="1283855"/>
          <a:ext cx="0" cy="874914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165100</xdr:colOff>
      <xdr:row>0</xdr:row>
      <xdr:rowOff>152400</xdr:rowOff>
    </xdr:from>
    <xdr:to>
      <xdr:col>24</xdr:col>
      <xdr:colOff>165100</xdr:colOff>
      <xdr:row>57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20831464" y="152400"/>
          <a:ext cx="0" cy="922250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daschreiber" TargetMode="External"/><Relationship Id="rId2" Type="http://schemas.openxmlformats.org/officeDocument/2006/relationships/hyperlink" Target="http://www.worldgovernmentbonds.com/country/united-states/" TargetMode="External"/><Relationship Id="rId1" Type="http://schemas.openxmlformats.org/officeDocument/2006/relationships/hyperlink" Target="https://investor.lemonade.com/home/default.aspx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twitter.com/shai_wininger" TargetMode="External"/><Relationship Id="rId4" Type="http://schemas.openxmlformats.org/officeDocument/2006/relationships/hyperlink" Target="https://twitter.com/daschreib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1691421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R61"/>
  <sheetViews>
    <sheetView tabSelected="1" zoomScale="110" zoomScaleNormal="110" workbookViewId="0">
      <pane xSplit="1" ySplit="9" topLeftCell="E10" activePane="bottomRight" state="frozen"/>
      <selection pane="topRight" activeCell="B1" sqref="B1"/>
      <selection pane="bottomLeft" activeCell="A11" sqref="A11"/>
      <selection pane="bottomRight" activeCell="H7" sqref="H7"/>
    </sheetView>
  </sheetViews>
  <sheetFormatPr baseColWidth="10" defaultRowHeight="13" x14ac:dyDescent="0.15"/>
  <cols>
    <col min="1" max="1" width="20.33203125" style="3" bestFit="1" customWidth="1"/>
    <col min="2" max="16384" width="10.83203125" style="3"/>
  </cols>
  <sheetData>
    <row r="1" spans="1:117" x14ac:dyDescent="0.15">
      <c r="A1" s="67" t="s">
        <v>66</v>
      </c>
      <c r="B1" s="2" t="s">
        <v>77</v>
      </c>
    </row>
    <row r="2" spans="1:117" x14ac:dyDescent="0.15">
      <c r="B2" s="3" t="s">
        <v>48</v>
      </c>
      <c r="C2" s="4">
        <v>121.51</v>
      </c>
      <c r="D2" s="65">
        <v>44201</v>
      </c>
      <c r="E2" s="6" t="s">
        <v>29</v>
      </c>
      <c r="F2" s="7">
        <v>0.01</v>
      </c>
      <c r="I2" s="16"/>
      <c r="L2" s="2"/>
    </row>
    <row r="3" spans="1:117" x14ac:dyDescent="0.15">
      <c r="A3" s="2" t="s">
        <v>46</v>
      </c>
      <c r="B3" s="3" t="s">
        <v>17</v>
      </c>
      <c r="C3" s="8">
        <f>Reports!X23</f>
        <v>53.997315</v>
      </c>
      <c r="D3" s="66" t="s">
        <v>76</v>
      </c>
      <c r="E3" s="6" t="s">
        <v>30</v>
      </c>
      <c r="F3" s="7">
        <v>0.02</v>
      </c>
      <c r="G3" s="5" t="s">
        <v>67</v>
      </c>
      <c r="I3" s="16"/>
    </row>
    <row r="4" spans="1:117" x14ac:dyDescent="0.15">
      <c r="A4" s="68" t="s">
        <v>78</v>
      </c>
      <c r="B4" s="3" t="s">
        <v>49</v>
      </c>
      <c r="C4" s="10">
        <f>C2*C3</f>
        <v>6561.2137456500004</v>
      </c>
      <c r="D4" s="66"/>
      <c r="E4" s="6" t="s">
        <v>31</v>
      </c>
      <c r="F4" s="7">
        <f>6%</f>
        <v>0.06</v>
      </c>
      <c r="G4" s="5" t="s">
        <v>72</v>
      </c>
      <c r="I4" s="19"/>
      <c r="L4" s="9" t="s">
        <v>73</v>
      </c>
    </row>
    <row r="5" spans="1:117" x14ac:dyDescent="0.15">
      <c r="B5" s="3" t="s">
        <v>26</v>
      </c>
      <c r="C5" s="8">
        <f>Reports!X35</f>
        <v>597.40000000000009</v>
      </c>
      <c r="D5" s="66" t="s">
        <v>76</v>
      </c>
      <c r="E5" s="6" t="s">
        <v>32</v>
      </c>
      <c r="F5" s="11">
        <f>NPV(F4,G27:GR27)</f>
        <v>6744.1070289121562</v>
      </c>
      <c r="G5" s="5" t="s">
        <v>74</v>
      </c>
      <c r="I5" s="19"/>
    </row>
    <row r="6" spans="1:117" x14ac:dyDescent="0.15">
      <c r="A6" s="2" t="s">
        <v>47</v>
      </c>
      <c r="B6" s="3" t="s">
        <v>50</v>
      </c>
      <c r="C6" s="10">
        <f>C4-C5</f>
        <v>5963.8137456500008</v>
      </c>
      <c r="D6" s="66"/>
      <c r="E6" s="12" t="s">
        <v>33</v>
      </c>
      <c r="F6" s="13">
        <f>F5+C5</f>
        <v>7341.5070289121559</v>
      </c>
      <c r="I6" s="19"/>
    </row>
    <row r="7" spans="1:117" x14ac:dyDescent="0.15">
      <c r="A7" s="68" t="s">
        <v>78</v>
      </c>
      <c r="B7" s="5" t="s">
        <v>51</v>
      </c>
      <c r="C7" s="43">
        <f>C6/C3</f>
        <v>110.44648693458186</v>
      </c>
      <c r="D7" s="66"/>
      <c r="E7" s="14" t="s">
        <v>51</v>
      </c>
      <c r="F7" s="42">
        <f>F6/C3</f>
        <v>135.96059413161851</v>
      </c>
      <c r="G7" s="19">
        <f>F7/C2-1</f>
        <v>0.11892514304681501</v>
      </c>
    </row>
    <row r="8" spans="1:117" x14ac:dyDescent="0.15">
      <c r="A8" s="68" t="s">
        <v>79</v>
      </c>
      <c r="E8" s="6"/>
      <c r="F8" s="15"/>
    </row>
    <row r="9" spans="1:117" x14ac:dyDescent="0.15">
      <c r="B9" s="38">
        <v>2015</v>
      </c>
      <c r="C9" s="38">
        <v>2016</v>
      </c>
      <c r="D9" s="38">
        <v>2017</v>
      </c>
      <c r="E9" s="38">
        <f>D9+1</f>
        <v>2018</v>
      </c>
      <c r="F9" s="38">
        <f t="shared" ref="F9:U9" si="0">E9+1</f>
        <v>2019</v>
      </c>
      <c r="G9" s="38">
        <f t="shared" si="0"/>
        <v>2020</v>
      </c>
      <c r="H9" s="38">
        <f t="shared" si="0"/>
        <v>2021</v>
      </c>
      <c r="I9" s="38">
        <f t="shared" si="0"/>
        <v>2022</v>
      </c>
      <c r="J9" s="38">
        <f t="shared" si="0"/>
        <v>2023</v>
      </c>
      <c r="K9" s="38">
        <f t="shared" si="0"/>
        <v>2024</v>
      </c>
      <c r="L9" s="38">
        <f t="shared" si="0"/>
        <v>2025</v>
      </c>
      <c r="M9" s="38">
        <f t="shared" si="0"/>
        <v>2026</v>
      </c>
      <c r="N9" s="38">
        <f t="shared" si="0"/>
        <v>2027</v>
      </c>
      <c r="O9" s="38">
        <f t="shared" si="0"/>
        <v>2028</v>
      </c>
      <c r="P9" s="38">
        <f t="shared" si="0"/>
        <v>2029</v>
      </c>
      <c r="Q9" s="38">
        <f t="shared" si="0"/>
        <v>2030</v>
      </c>
      <c r="R9" s="38">
        <f t="shared" si="0"/>
        <v>2031</v>
      </c>
      <c r="S9" s="38">
        <f t="shared" si="0"/>
        <v>2032</v>
      </c>
      <c r="T9" s="38">
        <f t="shared" si="0"/>
        <v>2033</v>
      </c>
      <c r="U9" s="38">
        <f t="shared" si="0"/>
        <v>2034</v>
      </c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</row>
    <row r="10" spans="1:117" x14ac:dyDescent="0.15">
      <c r="A10" s="8" t="s">
        <v>85</v>
      </c>
      <c r="B10" s="23"/>
      <c r="C10" s="23"/>
      <c r="D10" s="37"/>
      <c r="E10" s="37">
        <v>21.2</v>
      </c>
      <c r="F10" s="37">
        <v>63.8</v>
      </c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</row>
    <row r="11" spans="1:117" x14ac:dyDescent="0.15">
      <c r="A11" s="8" t="s">
        <v>89</v>
      </c>
      <c r="B11" s="23"/>
      <c r="C11" s="23"/>
      <c r="D11" s="37"/>
      <c r="E11" s="37">
        <v>1.3</v>
      </c>
      <c r="F11" s="37">
        <f>3.4+0.1</f>
        <v>3.5</v>
      </c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</row>
    <row r="12" spans="1:117" x14ac:dyDescent="0.15">
      <c r="A12" s="8"/>
      <c r="B12" s="23"/>
      <c r="C12" s="23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</row>
    <row r="13" spans="1:117" s="74" customFormat="1" x14ac:dyDescent="0.15">
      <c r="A13" s="70" t="s">
        <v>81</v>
      </c>
      <c r="B13" s="71"/>
      <c r="C13" s="71"/>
      <c r="D13" s="73"/>
      <c r="E13" s="73">
        <f>Reports!Q6</f>
        <v>0.30883500000000003</v>
      </c>
      <c r="F13" s="73">
        <f>Reports!U6</f>
        <v>0.64311799999999997</v>
      </c>
      <c r="G13" s="73">
        <f>F13*1.45</f>
        <v>0.93252109999999988</v>
      </c>
      <c r="H13" s="73">
        <f>G13*1.45</f>
        <v>1.3521555949999997</v>
      </c>
      <c r="I13" s="73">
        <f>H13*1.45</f>
        <v>1.9606256127499995</v>
      </c>
      <c r="J13" s="73">
        <f>I13*1.45</f>
        <v>2.8429071384874991</v>
      </c>
      <c r="K13" s="73">
        <f>J13*1.45</f>
        <v>4.122215350806874</v>
      </c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  <c r="CK13" s="73"/>
      <c r="CL13" s="73"/>
      <c r="CM13" s="73"/>
      <c r="CN13" s="73"/>
      <c r="CO13" s="73"/>
      <c r="CP13" s="73"/>
      <c r="CQ13" s="73"/>
      <c r="CR13" s="73"/>
      <c r="CS13" s="73"/>
      <c r="CT13" s="73"/>
      <c r="CU13" s="73"/>
      <c r="CV13" s="73"/>
      <c r="CW13" s="73"/>
      <c r="CX13" s="73"/>
      <c r="CY13" s="73"/>
      <c r="CZ13" s="73"/>
      <c r="DA13" s="73"/>
      <c r="DB13" s="73"/>
      <c r="DC13" s="73"/>
      <c r="DD13" s="73"/>
      <c r="DE13" s="73"/>
      <c r="DF13" s="73"/>
      <c r="DG13" s="73"/>
      <c r="DH13" s="73"/>
      <c r="DI13" s="73"/>
      <c r="DJ13" s="73"/>
      <c r="DK13" s="73"/>
      <c r="DL13" s="73"/>
      <c r="DM13" s="73"/>
    </row>
    <row r="14" spans="1:117" x14ac:dyDescent="0.15">
      <c r="A14" s="8" t="s">
        <v>82</v>
      </c>
      <c r="B14" s="23"/>
      <c r="C14" s="23"/>
      <c r="D14" s="37"/>
      <c r="E14" s="55">
        <f>SUM(E10:E11)/E13</f>
        <v>72.854436835203259</v>
      </c>
      <c r="F14" s="55">
        <f>SUM(F10:F11)/F13</f>
        <v>104.64642569481806</v>
      </c>
      <c r="G14" s="37">
        <f>F14*0.95</f>
        <v>99.414104410077158</v>
      </c>
      <c r="H14" s="37">
        <f>G14*1.25</f>
        <v>124.26763051259644</v>
      </c>
      <c r="I14" s="37">
        <f t="shared" ref="I14:K14" si="1">H14*1.25</f>
        <v>155.33453814074556</v>
      </c>
      <c r="J14" s="37">
        <f t="shared" si="1"/>
        <v>194.16817267593194</v>
      </c>
      <c r="K14" s="37">
        <f t="shared" si="1"/>
        <v>242.71021584491493</v>
      </c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</row>
    <row r="15" spans="1:117" s="38" customFormat="1" x14ac:dyDescent="0.15">
      <c r="F15" s="37"/>
      <c r="G15" s="37">
        <v>91</v>
      </c>
      <c r="H15" s="37"/>
      <c r="I15" s="37"/>
    </row>
    <row r="16" spans="1:117" x14ac:dyDescent="0.15">
      <c r="A16" s="2" t="s">
        <v>4</v>
      </c>
      <c r="B16" s="38"/>
      <c r="C16" s="38"/>
      <c r="D16" s="38"/>
      <c r="E16" s="24">
        <f>E14*E13</f>
        <v>22.5</v>
      </c>
      <c r="F16" s="24">
        <f>F14*F13</f>
        <v>67.3</v>
      </c>
      <c r="G16" s="46">
        <f>G14*G13</f>
        <v>92.705749999999995</v>
      </c>
      <c r="H16" s="46">
        <f>H14*H13</f>
        <v>168.02917187499995</v>
      </c>
      <c r="I16" s="46">
        <f>I14*I13</f>
        <v>304.55287402343743</v>
      </c>
      <c r="J16" s="46">
        <f>J14*J13</f>
        <v>552.00208416748023</v>
      </c>
      <c r="K16" s="46">
        <f>K14*K13</f>
        <v>1000.5037775535581</v>
      </c>
      <c r="L16" s="46">
        <f>K16*1.2</f>
        <v>1200.6045330642696</v>
      </c>
      <c r="M16" s="46">
        <f t="shared" ref="M16:P16" si="2">L16*1.2</f>
        <v>1440.7254396771234</v>
      </c>
      <c r="N16" s="46">
        <f t="shared" si="2"/>
        <v>1728.8705276125481</v>
      </c>
      <c r="O16" s="46">
        <f t="shared" si="2"/>
        <v>2074.6446331350576</v>
      </c>
      <c r="P16" s="46">
        <f t="shared" si="2"/>
        <v>2489.5735597620692</v>
      </c>
      <c r="Q16" s="46">
        <f t="shared" ref="M16:Q16" si="3">P16*1.15</f>
        <v>2863.0095937263795</v>
      </c>
      <c r="R16" s="46">
        <f t="shared" ref="Q16:U16" si="4">Q16*1.05</f>
        <v>3006.1600734126987</v>
      </c>
      <c r="S16" s="46">
        <f t="shared" si="4"/>
        <v>3156.4680770833338</v>
      </c>
      <c r="T16" s="46">
        <f t="shared" si="4"/>
        <v>3314.2914809375006</v>
      </c>
      <c r="U16" s="46">
        <f t="shared" si="4"/>
        <v>3480.0060549843756</v>
      </c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</row>
    <row r="17" spans="1:200" x14ac:dyDescent="0.15">
      <c r="A17" s="3" t="s">
        <v>5</v>
      </c>
      <c r="B17" s="38"/>
      <c r="C17" s="38"/>
      <c r="D17" s="38"/>
      <c r="E17" s="37">
        <f>15.2+4.2</f>
        <v>19.399999999999999</v>
      </c>
      <c r="F17" s="37">
        <f>45.8+9.6</f>
        <v>55.4</v>
      </c>
      <c r="G17" s="23">
        <f>G16-G18</f>
        <v>72.60526999999999</v>
      </c>
      <c r="H17" s="23">
        <f t="shared" ref="H17" si="5">H16-H18</f>
        <v>124.87588499999995</v>
      </c>
      <c r="I17" s="23">
        <f t="shared" ref="I17:P17" si="6">I16-I18</f>
        <v>214.15542660156245</v>
      </c>
      <c r="J17" s="23">
        <f t="shared" si="6"/>
        <v>366.07662734863266</v>
      </c>
      <c r="K17" s="23">
        <f>K16-K18</f>
        <v>623.49373596725445</v>
      </c>
      <c r="L17" s="23">
        <f t="shared" si="6"/>
        <v>748.19248316070536</v>
      </c>
      <c r="M17" s="23">
        <f t="shared" si="6"/>
        <v>897.83097979284639</v>
      </c>
      <c r="N17" s="23">
        <f t="shared" si="6"/>
        <v>1077.3971757514157</v>
      </c>
      <c r="O17" s="23">
        <f t="shared" si="6"/>
        <v>1292.8766109016988</v>
      </c>
      <c r="P17" s="23">
        <f t="shared" si="6"/>
        <v>1551.4519330820385</v>
      </c>
      <c r="Q17" s="23">
        <f t="shared" ref="Q17:U17" si="7">Q16-Q18</f>
        <v>1784.1697230443442</v>
      </c>
      <c r="R17" s="23">
        <f t="shared" si="7"/>
        <v>1873.3782091965616</v>
      </c>
      <c r="S17" s="23">
        <f t="shared" si="7"/>
        <v>1967.0471196563899</v>
      </c>
      <c r="T17" s="23">
        <f t="shared" si="7"/>
        <v>2065.3994756392094</v>
      </c>
      <c r="U17" s="23">
        <f t="shared" si="7"/>
        <v>2168.6694494211697</v>
      </c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</row>
    <row r="18" spans="1:200" x14ac:dyDescent="0.15">
      <c r="A18" s="3" t="s">
        <v>6</v>
      </c>
      <c r="B18" s="38"/>
      <c r="C18" s="38"/>
      <c r="D18" s="38"/>
      <c r="E18" s="26">
        <f>E16-E17</f>
        <v>3.1000000000000014</v>
      </c>
      <c r="F18" s="26">
        <f>F16-F17</f>
        <v>11.899999999999999</v>
      </c>
      <c r="G18" s="23">
        <f>G16*(F31+0.04)</f>
        <v>20.100479999999997</v>
      </c>
      <c r="H18" s="23">
        <f>H16*(G31+0.04)</f>
        <v>43.153286874999985</v>
      </c>
      <c r="I18" s="23">
        <f>I16*(H31+0.04)</f>
        <v>90.397447421874972</v>
      </c>
      <c r="J18" s="23">
        <f>J16*(I31+0.04)</f>
        <v>185.92545681884755</v>
      </c>
      <c r="K18" s="23">
        <f>K16*(J31+0.04)</f>
        <v>377.01004158630354</v>
      </c>
      <c r="L18" s="23">
        <f>L16*K31</f>
        <v>452.41204990356425</v>
      </c>
      <c r="M18" s="23">
        <f t="shared" ref="H18:U18" si="8">M16*L31</f>
        <v>542.89445988427701</v>
      </c>
      <c r="N18" s="23">
        <f t="shared" si="8"/>
        <v>651.47335186113241</v>
      </c>
      <c r="O18" s="23">
        <f t="shared" si="8"/>
        <v>781.76802223335881</v>
      </c>
      <c r="P18" s="23">
        <f t="shared" si="8"/>
        <v>938.12162668003066</v>
      </c>
      <c r="Q18" s="23">
        <f t="shared" si="8"/>
        <v>1078.8398706820353</v>
      </c>
      <c r="R18" s="23">
        <f t="shared" si="8"/>
        <v>1132.7818642161371</v>
      </c>
      <c r="S18" s="23">
        <f t="shared" si="8"/>
        <v>1189.4209574269439</v>
      </c>
      <c r="T18" s="23">
        <f t="shared" si="8"/>
        <v>1248.892005298291</v>
      </c>
      <c r="U18" s="23">
        <f t="shared" si="8"/>
        <v>1311.3366055632057</v>
      </c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</row>
    <row r="19" spans="1:200" x14ac:dyDescent="0.15">
      <c r="A19" s="3" t="s">
        <v>7</v>
      </c>
      <c r="B19" s="38"/>
      <c r="C19" s="38"/>
      <c r="D19" s="38"/>
      <c r="E19" s="37">
        <v>4.7</v>
      </c>
      <c r="F19" s="37">
        <v>9.8000000000000007</v>
      </c>
      <c r="G19" s="23">
        <f>F19*1.15</f>
        <v>11.27</v>
      </c>
      <c r="H19" s="23">
        <f t="shared" ref="H19:K19" si="9">G19*1.15</f>
        <v>12.960499999999998</v>
      </c>
      <c r="I19" s="23">
        <f t="shared" si="9"/>
        <v>14.904574999999996</v>
      </c>
      <c r="J19" s="23">
        <f t="shared" si="9"/>
        <v>17.140261249999995</v>
      </c>
      <c r="K19" s="23">
        <f t="shared" si="9"/>
        <v>19.711300437499993</v>
      </c>
      <c r="L19" s="23">
        <f>K19*1.2</f>
        <v>23.653560524999993</v>
      </c>
      <c r="M19" s="23">
        <f t="shared" ref="M19:P19" si="10">L19*1.2</f>
        <v>28.384272629999991</v>
      </c>
      <c r="N19" s="23">
        <f t="shared" si="10"/>
        <v>34.061127155999991</v>
      </c>
      <c r="O19" s="23">
        <f t="shared" si="10"/>
        <v>40.873352587199989</v>
      </c>
      <c r="P19" s="23">
        <f t="shared" si="10"/>
        <v>49.048023104639988</v>
      </c>
      <c r="Q19" s="23">
        <f t="shared" ref="Q19:U19" si="11">P19*1.08</f>
        <v>52.971864953011192</v>
      </c>
      <c r="R19" s="23">
        <f t="shared" si="11"/>
        <v>57.20961414925209</v>
      </c>
      <c r="S19" s="23">
        <f t="shared" si="11"/>
        <v>61.786383281192258</v>
      </c>
      <c r="T19" s="23">
        <f t="shared" si="11"/>
        <v>66.729293943687637</v>
      </c>
      <c r="U19" s="23">
        <f t="shared" si="11"/>
        <v>72.067637459182649</v>
      </c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</row>
    <row r="20" spans="1:200" x14ac:dyDescent="0.15">
      <c r="A20" s="3" t="s">
        <v>8</v>
      </c>
      <c r="B20" s="38"/>
      <c r="C20" s="38"/>
      <c r="D20" s="38"/>
      <c r="E20" s="37">
        <v>41.9</v>
      </c>
      <c r="F20" s="37">
        <v>89.1</v>
      </c>
      <c r="G20" s="23">
        <f>F20*1.2</f>
        <v>106.91999999999999</v>
      </c>
      <c r="H20" s="23">
        <f t="shared" ref="H20:K20" si="12">G20*1.2</f>
        <v>128.30399999999997</v>
      </c>
      <c r="I20" s="23">
        <f t="shared" si="12"/>
        <v>153.96479999999997</v>
      </c>
      <c r="J20" s="23">
        <f t="shared" si="12"/>
        <v>184.75775999999996</v>
      </c>
      <c r="K20" s="23">
        <f t="shared" si="12"/>
        <v>221.70931199999995</v>
      </c>
      <c r="L20" s="23">
        <f>K20*1.2</f>
        <v>266.05117439999992</v>
      </c>
      <c r="M20" s="23">
        <f t="shared" ref="M20:P20" si="13">L20*1.2</f>
        <v>319.2614092799999</v>
      </c>
      <c r="N20" s="23">
        <f t="shared" si="13"/>
        <v>383.11369113599989</v>
      </c>
      <c r="O20" s="23">
        <f t="shared" si="13"/>
        <v>459.73642936319987</v>
      </c>
      <c r="P20" s="23">
        <f t="shared" si="13"/>
        <v>551.68371523583983</v>
      </c>
      <c r="Q20" s="23">
        <f t="shared" ref="Q20:U20" si="14">P20*0.98</f>
        <v>540.65004093112304</v>
      </c>
      <c r="R20" s="23">
        <f t="shared" si="14"/>
        <v>529.83704011250052</v>
      </c>
      <c r="S20" s="23">
        <f t="shared" si="14"/>
        <v>519.24029931025052</v>
      </c>
      <c r="T20" s="23">
        <f t="shared" si="14"/>
        <v>508.85549332404548</v>
      </c>
      <c r="U20" s="23">
        <f t="shared" si="14"/>
        <v>498.67838345756456</v>
      </c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</row>
    <row r="21" spans="1:200" x14ac:dyDescent="0.15">
      <c r="A21" s="3" t="s">
        <v>9</v>
      </c>
      <c r="B21" s="38"/>
      <c r="C21" s="38"/>
      <c r="D21" s="38"/>
      <c r="E21" s="37">
        <v>9.1</v>
      </c>
      <c r="F21" s="37">
        <v>20.9</v>
      </c>
      <c r="G21" s="23">
        <f>F21*1.15</f>
        <v>24.034999999999997</v>
      </c>
      <c r="H21" s="23">
        <f t="shared" ref="H21:K21" si="15">G21*1.15</f>
        <v>27.640249999999995</v>
      </c>
      <c r="I21" s="23">
        <f t="shared" si="15"/>
        <v>31.786287499999993</v>
      </c>
      <c r="J21" s="23">
        <f t="shared" si="15"/>
        <v>36.554230624999988</v>
      </c>
      <c r="K21" s="23">
        <f t="shared" si="15"/>
        <v>42.037365218749983</v>
      </c>
      <c r="L21" s="23">
        <f>K21*1.05</f>
        <v>44.139233479687483</v>
      </c>
      <c r="M21" s="23">
        <f t="shared" ref="M21:P21" si="16">L21*1.05</f>
        <v>46.346195153671857</v>
      </c>
      <c r="N21" s="23">
        <f t="shared" si="16"/>
        <v>48.663504911355453</v>
      </c>
      <c r="O21" s="23">
        <f t="shared" si="16"/>
        <v>51.096680156923227</v>
      </c>
      <c r="P21" s="23">
        <f t="shared" si="16"/>
        <v>53.651514164769388</v>
      </c>
      <c r="Q21" s="23">
        <f t="shared" ref="Q21:U21" si="17">P21*0.98</f>
        <v>52.578483881474</v>
      </c>
      <c r="R21" s="23">
        <f t="shared" si="17"/>
        <v>51.52691420384452</v>
      </c>
      <c r="S21" s="23">
        <f t="shared" si="17"/>
        <v>50.49637591976763</v>
      </c>
      <c r="T21" s="23">
        <f t="shared" si="17"/>
        <v>49.486448401372279</v>
      </c>
      <c r="U21" s="23">
        <f t="shared" si="17"/>
        <v>48.496719433344829</v>
      </c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</row>
    <row r="22" spans="1:200" x14ac:dyDescent="0.15">
      <c r="A22" s="3" t="s">
        <v>10</v>
      </c>
      <c r="B22" s="38"/>
      <c r="C22" s="38"/>
      <c r="D22" s="38"/>
      <c r="E22" s="26">
        <f>SUM(E19:E21)</f>
        <v>55.7</v>
      </c>
      <c r="F22" s="26">
        <f>SUM(F19:F21)</f>
        <v>119.79999999999998</v>
      </c>
      <c r="G22" s="23">
        <f t="shared" ref="G22:H22" si="18">SUM(G19:G21)</f>
        <v>142.22499999999997</v>
      </c>
      <c r="H22" s="23">
        <f t="shared" si="18"/>
        <v>168.90474999999998</v>
      </c>
      <c r="I22" s="23">
        <f t="shared" ref="I22:P22" si="19">SUM(I19:I21)</f>
        <v>200.65566249999995</v>
      </c>
      <c r="J22" s="23">
        <f t="shared" si="19"/>
        <v>238.45225187499994</v>
      </c>
      <c r="K22" s="23">
        <f t="shared" si="19"/>
        <v>283.45797765624991</v>
      </c>
      <c r="L22" s="23">
        <f t="shared" si="19"/>
        <v>333.84396840468742</v>
      </c>
      <c r="M22" s="23">
        <f t="shared" si="19"/>
        <v>393.99187706367172</v>
      </c>
      <c r="N22" s="23">
        <f t="shared" si="19"/>
        <v>465.83832320335534</v>
      </c>
      <c r="O22" s="23">
        <f t="shared" si="19"/>
        <v>551.70646210732309</v>
      </c>
      <c r="P22" s="23">
        <f t="shared" si="19"/>
        <v>654.38325250524929</v>
      </c>
      <c r="Q22" s="23">
        <f t="shared" ref="Q22:U22" si="20">SUM(Q19:Q21)</f>
        <v>646.20038976560818</v>
      </c>
      <c r="R22" s="23">
        <f t="shared" si="20"/>
        <v>638.57356846559708</v>
      </c>
      <c r="S22" s="23">
        <f t="shared" si="20"/>
        <v>631.52305851121037</v>
      </c>
      <c r="T22" s="23">
        <f t="shared" si="20"/>
        <v>625.07123566910536</v>
      </c>
      <c r="U22" s="23">
        <f t="shared" si="20"/>
        <v>619.24274035009205</v>
      </c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</row>
    <row r="23" spans="1:200" x14ac:dyDescent="0.15">
      <c r="A23" s="3" t="s">
        <v>11</v>
      </c>
      <c r="B23" s="38"/>
      <c r="C23" s="38"/>
      <c r="D23" s="38"/>
      <c r="E23" s="26">
        <f>E18-E22</f>
        <v>-52.6</v>
      </c>
      <c r="F23" s="26">
        <f>F18-F22</f>
        <v>-107.89999999999998</v>
      </c>
      <c r="G23" s="23">
        <f t="shared" ref="G23:H23" si="21">G18-G22</f>
        <v>-122.12451999999996</v>
      </c>
      <c r="H23" s="23">
        <f t="shared" si="21"/>
        <v>-125.75146312499999</v>
      </c>
      <c r="I23" s="23">
        <f t="shared" ref="I23:P23" si="22">I18-I22</f>
        <v>-110.25821507812498</v>
      </c>
      <c r="J23" s="23">
        <f t="shared" si="22"/>
        <v>-52.526795056152395</v>
      </c>
      <c r="K23" s="23">
        <f t="shared" si="22"/>
        <v>93.552063930053635</v>
      </c>
      <c r="L23" s="23">
        <f t="shared" si="22"/>
        <v>118.56808149887684</v>
      </c>
      <c r="M23" s="23">
        <f t="shared" si="22"/>
        <v>148.90258282060529</v>
      </c>
      <c r="N23" s="23">
        <f t="shared" si="22"/>
        <v>185.63502865777707</v>
      </c>
      <c r="O23" s="23">
        <f t="shared" si="22"/>
        <v>230.06156012603572</v>
      </c>
      <c r="P23" s="23">
        <f t="shared" si="22"/>
        <v>283.73837417478137</v>
      </c>
      <c r="Q23" s="23">
        <f t="shared" ref="Q23:U23" si="23">Q18-Q22</f>
        <v>432.63948091642715</v>
      </c>
      <c r="R23" s="23">
        <f t="shared" si="23"/>
        <v>494.20829575054006</v>
      </c>
      <c r="S23" s="23">
        <f t="shared" si="23"/>
        <v>557.89789891573355</v>
      </c>
      <c r="T23" s="23">
        <f t="shared" si="23"/>
        <v>623.82076962918563</v>
      </c>
      <c r="U23" s="23">
        <f t="shared" si="23"/>
        <v>692.09386521311365</v>
      </c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</row>
    <row r="24" spans="1:200" x14ac:dyDescent="0.15">
      <c r="A24" s="3" t="s">
        <v>12</v>
      </c>
      <c r="B24" s="38"/>
      <c r="C24" s="38"/>
      <c r="D24" s="38"/>
      <c r="E24" s="23">
        <v>0</v>
      </c>
      <c r="F24" s="37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</row>
    <row r="25" spans="1:200" x14ac:dyDescent="0.15">
      <c r="A25" s="3" t="s">
        <v>13</v>
      </c>
      <c r="B25" s="38"/>
      <c r="C25" s="38"/>
      <c r="D25" s="38"/>
      <c r="E25" s="26">
        <f>E23+E24</f>
        <v>-52.6</v>
      </c>
      <c r="F25" s="26">
        <f>F23+F24</f>
        <v>-107.89999999999998</v>
      </c>
      <c r="G25" s="23">
        <f t="shared" ref="G25:H25" si="24">G23+G24</f>
        <v>-122.12451999999996</v>
      </c>
      <c r="H25" s="23">
        <f t="shared" si="24"/>
        <v>-125.75146312499999</v>
      </c>
      <c r="I25" s="23">
        <f t="shared" ref="I25" si="25">I23+I24</f>
        <v>-110.25821507812498</v>
      </c>
      <c r="J25" s="23">
        <f t="shared" ref="J25" si="26">J23+J24</f>
        <v>-52.526795056152395</v>
      </c>
      <c r="K25" s="23">
        <f t="shared" ref="K25" si="27">K23+K24</f>
        <v>93.552063930053635</v>
      </c>
      <c r="L25" s="23">
        <f t="shared" ref="L25" si="28">L23+L24</f>
        <v>118.56808149887684</v>
      </c>
      <c r="M25" s="23">
        <f t="shared" ref="M25" si="29">M23+M24</f>
        <v>148.90258282060529</v>
      </c>
      <c r="N25" s="23">
        <f t="shared" ref="N25" si="30">N23+N24</f>
        <v>185.63502865777707</v>
      </c>
      <c r="O25" s="23">
        <f t="shared" ref="O25" si="31">O23+O24</f>
        <v>230.06156012603572</v>
      </c>
      <c r="P25" s="23">
        <f t="shared" ref="P25:Q25" si="32">P23+P24</f>
        <v>283.73837417478137</v>
      </c>
      <c r="Q25" s="23">
        <f t="shared" si="32"/>
        <v>432.63948091642715</v>
      </c>
      <c r="R25" s="23">
        <f t="shared" ref="R25:U25" si="33">R23+R24</f>
        <v>494.20829575054006</v>
      </c>
      <c r="S25" s="23">
        <f t="shared" si="33"/>
        <v>557.89789891573355</v>
      </c>
      <c r="T25" s="23">
        <f t="shared" si="33"/>
        <v>623.82076962918563</v>
      </c>
      <c r="U25" s="23">
        <f t="shared" si="33"/>
        <v>692.09386521311365</v>
      </c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</row>
    <row r="26" spans="1:200" x14ac:dyDescent="0.15">
      <c r="A26" s="3" t="s">
        <v>14</v>
      </c>
      <c r="B26" s="38"/>
      <c r="C26" s="38"/>
      <c r="D26" s="38"/>
      <c r="E26" s="23">
        <v>0</v>
      </c>
      <c r="F26" s="37">
        <v>0.1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f t="shared" ref="Q26:U26" si="34">R25*0.1</f>
        <v>49.420829575054007</v>
      </c>
      <c r="S26" s="23">
        <f t="shared" si="34"/>
        <v>55.789789891573356</v>
      </c>
      <c r="T26" s="23">
        <f t="shared" si="34"/>
        <v>62.382076962918568</v>
      </c>
      <c r="U26" s="23">
        <f t="shared" si="34"/>
        <v>69.209386521311373</v>
      </c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</row>
    <row r="27" spans="1:200" s="2" customFormat="1" x14ac:dyDescent="0.15">
      <c r="A27" s="2" t="s">
        <v>15</v>
      </c>
      <c r="B27" s="38"/>
      <c r="C27" s="38"/>
      <c r="D27" s="38"/>
      <c r="E27" s="24">
        <f>E25-E26</f>
        <v>-52.6</v>
      </c>
      <c r="F27" s="24">
        <f t="shared" ref="F27:H27" si="35">F25-F26</f>
        <v>-107.99999999999997</v>
      </c>
      <c r="G27" s="24">
        <f>G25-G26</f>
        <v>-122.12451999999996</v>
      </c>
      <c r="H27" s="24">
        <f t="shared" si="35"/>
        <v>-125.75146312499999</v>
      </c>
      <c r="I27" s="24">
        <f t="shared" ref="I27:P27" si="36">I25-I26</f>
        <v>-110.25821507812498</v>
      </c>
      <c r="J27" s="24">
        <f t="shared" si="36"/>
        <v>-52.526795056152395</v>
      </c>
      <c r="K27" s="24">
        <f t="shared" si="36"/>
        <v>93.552063930053635</v>
      </c>
      <c r="L27" s="24">
        <f t="shared" si="36"/>
        <v>118.56808149887684</v>
      </c>
      <c r="M27" s="24">
        <f t="shared" si="36"/>
        <v>148.90258282060529</v>
      </c>
      <c r="N27" s="24">
        <f t="shared" si="36"/>
        <v>185.63502865777707</v>
      </c>
      <c r="O27" s="24">
        <f t="shared" si="36"/>
        <v>230.06156012603572</v>
      </c>
      <c r="P27" s="24">
        <f t="shared" si="36"/>
        <v>283.73837417478137</v>
      </c>
      <c r="Q27" s="24">
        <f t="shared" ref="Q27:U27" si="37">Q25-Q26</f>
        <v>432.63948091642715</v>
      </c>
      <c r="R27" s="24">
        <f t="shared" si="37"/>
        <v>444.78746617548603</v>
      </c>
      <c r="S27" s="24">
        <f t="shared" si="37"/>
        <v>502.10810902416017</v>
      </c>
      <c r="T27" s="24">
        <f t="shared" si="37"/>
        <v>561.43869266626712</v>
      </c>
      <c r="U27" s="24">
        <f t="shared" si="37"/>
        <v>622.88447869180231</v>
      </c>
      <c r="V27" s="24">
        <f t="shared" ref="V27:BY27" si="38">U27*($F$2+1)</f>
        <v>629.1133234787203</v>
      </c>
      <c r="W27" s="24">
        <f t="shared" si="38"/>
        <v>635.40445671350756</v>
      </c>
      <c r="X27" s="24">
        <f t="shared" si="38"/>
        <v>641.75850128064269</v>
      </c>
      <c r="Y27" s="24">
        <f t="shared" si="38"/>
        <v>648.17608629344909</v>
      </c>
      <c r="Z27" s="24">
        <f t="shared" si="38"/>
        <v>654.65784715638358</v>
      </c>
      <c r="AA27" s="24">
        <f t="shared" si="38"/>
        <v>661.20442562794744</v>
      </c>
      <c r="AB27" s="24">
        <f t="shared" si="38"/>
        <v>667.81646988422688</v>
      </c>
      <c r="AC27" s="24">
        <f t="shared" si="38"/>
        <v>674.49463458306911</v>
      </c>
      <c r="AD27" s="24">
        <f t="shared" si="38"/>
        <v>681.23958092889984</v>
      </c>
      <c r="AE27" s="24">
        <f t="shared" si="38"/>
        <v>688.05197673818884</v>
      </c>
      <c r="AF27" s="24">
        <f t="shared" si="38"/>
        <v>694.93249650557073</v>
      </c>
      <c r="AG27" s="24">
        <f t="shared" si="38"/>
        <v>701.88182147062639</v>
      </c>
      <c r="AH27" s="24">
        <f t="shared" si="38"/>
        <v>708.90063968533264</v>
      </c>
      <c r="AI27" s="24">
        <f t="shared" si="38"/>
        <v>715.98964608218591</v>
      </c>
      <c r="AJ27" s="24">
        <f t="shared" si="38"/>
        <v>723.14954254300778</v>
      </c>
      <c r="AK27" s="24">
        <f t="shared" si="38"/>
        <v>730.38103796843791</v>
      </c>
      <c r="AL27" s="24">
        <f t="shared" si="38"/>
        <v>737.68484834812227</v>
      </c>
      <c r="AM27" s="24">
        <f t="shared" si="38"/>
        <v>745.06169683160351</v>
      </c>
      <c r="AN27" s="24">
        <f t="shared" si="38"/>
        <v>752.51231379991953</v>
      </c>
      <c r="AO27" s="24">
        <f t="shared" si="38"/>
        <v>760.03743693791876</v>
      </c>
      <c r="AP27" s="24">
        <f t="shared" si="38"/>
        <v>767.63781130729797</v>
      </c>
      <c r="AQ27" s="24">
        <f t="shared" si="38"/>
        <v>775.31418942037101</v>
      </c>
      <c r="AR27" s="24">
        <f t="shared" si="38"/>
        <v>783.06733131457474</v>
      </c>
      <c r="AS27" s="24">
        <f t="shared" si="38"/>
        <v>790.89800462772052</v>
      </c>
      <c r="AT27" s="24">
        <f t="shared" si="38"/>
        <v>798.8069846739977</v>
      </c>
      <c r="AU27" s="24">
        <f t="shared" si="38"/>
        <v>806.79505452073772</v>
      </c>
      <c r="AV27" s="24">
        <f t="shared" si="38"/>
        <v>814.86300506594512</v>
      </c>
      <c r="AW27" s="24">
        <f t="shared" si="38"/>
        <v>823.01163511660457</v>
      </c>
      <c r="AX27" s="24">
        <f t="shared" si="38"/>
        <v>831.24175146777065</v>
      </c>
      <c r="AY27" s="24">
        <f t="shared" si="38"/>
        <v>839.55416898244835</v>
      </c>
      <c r="AZ27" s="24">
        <f t="shared" si="38"/>
        <v>847.94971067227289</v>
      </c>
      <c r="BA27" s="24">
        <f t="shared" si="38"/>
        <v>856.42920777899565</v>
      </c>
      <c r="BB27" s="24">
        <f t="shared" si="38"/>
        <v>864.99349985678566</v>
      </c>
      <c r="BC27" s="24">
        <f t="shared" si="38"/>
        <v>873.64343485535358</v>
      </c>
      <c r="BD27" s="24">
        <f t="shared" si="38"/>
        <v>882.37986920390711</v>
      </c>
      <c r="BE27" s="24">
        <f t="shared" si="38"/>
        <v>891.20366789594618</v>
      </c>
      <c r="BF27" s="24">
        <f t="shared" si="38"/>
        <v>900.11570457490564</v>
      </c>
      <c r="BG27" s="24">
        <f t="shared" si="38"/>
        <v>909.11686162065473</v>
      </c>
      <c r="BH27" s="24">
        <f t="shared" si="38"/>
        <v>918.2080302368613</v>
      </c>
      <c r="BI27" s="24">
        <f t="shared" si="38"/>
        <v>927.39011053922991</v>
      </c>
      <c r="BJ27" s="24">
        <f t="shared" si="38"/>
        <v>936.66401164462218</v>
      </c>
      <c r="BK27" s="24">
        <f t="shared" si="38"/>
        <v>946.03065176106838</v>
      </c>
      <c r="BL27" s="24">
        <f t="shared" si="38"/>
        <v>955.49095827867905</v>
      </c>
      <c r="BM27" s="24">
        <f t="shared" si="38"/>
        <v>965.04586786146581</v>
      </c>
      <c r="BN27" s="24">
        <f t="shared" si="38"/>
        <v>974.69632654008046</v>
      </c>
      <c r="BO27" s="24">
        <f t="shared" si="38"/>
        <v>984.4432898054813</v>
      </c>
      <c r="BP27" s="24">
        <f t="shared" si="38"/>
        <v>994.28772270353613</v>
      </c>
      <c r="BQ27" s="24">
        <f t="shared" si="38"/>
        <v>1004.2305999305715</v>
      </c>
      <c r="BR27" s="24">
        <f t="shared" si="38"/>
        <v>1014.2729059298773</v>
      </c>
      <c r="BS27" s="24">
        <f t="shared" si="38"/>
        <v>1024.4156349891762</v>
      </c>
      <c r="BT27" s="24">
        <f t="shared" si="38"/>
        <v>1034.6597913390679</v>
      </c>
      <c r="BU27" s="24">
        <f t="shared" si="38"/>
        <v>1045.0063892524586</v>
      </c>
      <c r="BV27" s="24">
        <f t="shared" si="38"/>
        <v>1055.4564531449832</v>
      </c>
      <c r="BW27" s="24">
        <f t="shared" si="38"/>
        <v>1066.0110176764331</v>
      </c>
      <c r="BX27" s="24">
        <f t="shared" si="38"/>
        <v>1076.6711278531975</v>
      </c>
      <c r="BY27" s="24">
        <f t="shared" si="38"/>
        <v>1087.4378391317296</v>
      </c>
      <c r="BZ27" s="24">
        <f t="shared" ref="BZ27:DM27" si="39">BY27*($F$2+1)</f>
        <v>1098.3122175230469</v>
      </c>
      <c r="CA27" s="24">
        <f t="shared" si="39"/>
        <v>1109.2953396982773</v>
      </c>
      <c r="CB27" s="24">
        <f t="shared" si="39"/>
        <v>1120.38829309526</v>
      </c>
      <c r="CC27" s="24">
        <f t="shared" si="39"/>
        <v>1131.5921760262127</v>
      </c>
      <c r="CD27" s="24">
        <f t="shared" si="39"/>
        <v>1142.9080977864749</v>
      </c>
      <c r="CE27" s="24">
        <f t="shared" si="39"/>
        <v>1154.3371787643396</v>
      </c>
      <c r="CF27" s="24">
        <f t="shared" si="39"/>
        <v>1165.8805505519829</v>
      </c>
      <c r="CG27" s="24">
        <f t="shared" si="39"/>
        <v>1177.5393560575028</v>
      </c>
      <c r="CH27" s="24">
        <f t="shared" si="39"/>
        <v>1189.3147496180779</v>
      </c>
      <c r="CI27" s="24">
        <f t="shared" si="39"/>
        <v>1201.2078971142587</v>
      </c>
      <c r="CJ27" s="24">
        <f t="shared" si="39"/>
        <v>1213.2199760854012</v>
      </c>
      <c r="CK27" s="24">
        <f t="shared" si="39"/>
        <v>1225.3521758462552</v>
      </c>
      <c r="CL27" s="24">
        <f t="shared" si="39"/>
        <v>1237.6056976047178</v>
      </c>
      <c r="CM27" s="24">
        <f t="shared" si="39"/>
        <v>1249.981754580765</v>
      </c>
      <c r="CN27" s="24">
        <f t="shared" si="39"/>
        <v>1262.4815721265727</v>
      </c>
      <c r="CO27" s="24">
        <f t="shared" si="39"/>
        <v>1275.1063878478385</v>
      </c>
      <c r="CP27" s="24">
        <f t="shared" si="39"/>
        <v>1287.8574517263169</v>
      </c>
      <c r="CQ27" s="24">
        <f t="shared" si="39"/>
        <v>1300.73602624358</v>
      </c>
      <c r="CR27" s="24">
        <f t="shared" si="39"/>
        <v>1313.7433865060159</v>
      </c>
      <c r="CS27" s="24">
        <f t="shared" si="39"/>
        <v>1326.880820371076</v>
      </c>
      <c r="CT27" s="24">
        <f t="shared" si="39"/>
        <v>1340.1496285747867</v>
      </c>
      <c r="CU27" s="24">
        <f t="shared" si="39"/>
        <v>1353.5511248605346</v>
      </c>
      <c r="CV27" s="24">
        <f t="shared" si="39"/>
        <v>1367.08663610914</v>
      </c>
      <c r="CW27" s="24">
        <f t="shared" si="39"/>
        <v>1380.7575024702314</v>
      </c>
      <c r="CX27" s="24">
        <f t="shared" si="39"/>
        <v>1394.5650774949338</v>
      </c>
      <c r="CY27" s="24">
        <f t="shared" si="39"/>
        <v>1408.5107282698832</v>
      </c>
      <c r="CZ27" s="24">
        <f t="shared" si="39"/>
        <v>1422.595835552582</v>
      </c>
      <c r="DA27" s="24">
        <f t="shared" si="39"/>
        <v>1436.8217939081078</v>
      </c>
      <c r="DB27" s="24">
        <f t="shared" si="39"/>
        <v>1451.1900118471888</v>
      </c>
      <c r="DC27" s="24">
        <f t="shared" si="39"/>
        <v>1465.7019119656607</v>
      </c>
      <c r="DD27" s="24">
        <f t="shared" si="39"/>
        <v>1480.3589310853172</v>
      </c>
      <c r="DE27" s="24">
        <f t="shared" si="39"/>
        <v>1495.1625203961703</v>
      </c>
      <c r="DF27" s="24">
        <f t="shared" si="39"/>
        <v>1510.1141456001319</v>
      </c>
      <c r="DG27" s="24">
        <f t="shared" si="39"/>
        <v>1525.2152870561333</v>
      </c>
      <c r="DH27" s="24">
        <f t="shared" si="39"/>
        <v>1540.4674399266946</v>
      </c>
      <c r="DI27" s="24">
        <f t="shared" si="39"/>
        <v>1555.8721143259615</v>
      </c>
      <c r="DJ27" s="24">
        <f t="shared" si="39"/>
        <v>1571.4308354692212</v>
      </c>
      <c r="DK27" s="24">
        <f t="shared" si="39"/>
        <v>1587.1451438239135</v>
      </c>
      <c r="DL27" s="24">
        <f t="shared" si="39"/>
        <v>1603.0165952621526</v>
      </c>
      <c r="DM27" s="24">
        <f t="shared" si="39"/>
        <v>1619.0467612147741</v>
      </c>
      <c r="DN27" s="24">
        <f t="shared" ref="DN27" si="40">DM27*($F$2+1)</f>
        <v>1635.2372288269219</v>
      </c>
      <c r="DO27" s="24">
        <f t="shared" ref="DO27" si="41">DN27*($F$2+1)</f>
        <v>1651.589601115191</v>
      </c>
      <c r="DP27" s="24">
        <f t="shared" ref="DP27" si="42">DO27*($F$2+1)</f>
        <v>1668.1054971263429</v>
      </c>
      <c r="DQ27" s="24">
        <f t="shared" ref="DQ27" si="43">DP27*($F$2+1)</f>
        <v>1684.7865520976063</v>
      </c>
      <c r="DR27" s="24">
        <f t="shared" ref="DR27" si="44">DQ27*($F$2+1)</f>
        <v>1701.6344176185823</v>
      </c>
      <c r="DS27" s="24">
        <f t="shared" ref="DS27" si="45">DR27*($F$2+1)</f>
        <v>1718.6507617947682</v>
      </c>
      <c r="DT27" s="24">
        <f t="shared" ref="DT27" si="46">DS27*($F$2+1)</f>
        <v>1735.8372694127158</v>
      </c>
      <c r="DU27" s="24">
        <f t="shared" ref="DU27" si="47">DT27*($F$2+1)</f>
        <v>1753.195642106843</v>
      </c>
      <c r="DV27" s="24">
        <f t="shared" ref="DV27" si="48">DU27*($F$2+1)</f>
        <v>1770.7275985279114</v>
      </c>
      <c r="DW27" s="24">
        <f t="shared" ref="DW27" si="49">DV27*($F$2+1)</f>
        <v>1788.4348745131906</v>
      </c>
      <c r="DX27" s="24">
        <f t="shared" ref="DX27" si="50">DW27*($F$2+1)</f>
        <v>1806.3192232583226</v>
      </c>
      <c r="DY27" s="24">
        <f t="shared" ref="DY27" si="51">DX27*($F$2+1)</f>
        <v>1824.3824154909059</v>
      </c>
      <c r="DZ27" s="24">
        <f t="shared" ref="DZ27" si="52">DY27*($F$2+1)</f>
        <v>1842.6262396458151</v>
      </c>
      <c r="EA27" s="24">
        <f t="shared" ref="EA27" si="53">DZ27*($F$2+1)</f>
        <v>1861.0525020422733</v>
      </c>
      <c r="EB27" s="24">
        <f t="shared" ref="EB27" si="54">EA27*($F$2+1)</f>
        <v>1879.6630270626961</v>
      </c>
      <c r="EC27" s="24">
        <f t="shared" ref="EC27" si="55">EB27*($F$2+1)</f>
        <v>1898.4596573333231</v>
      </c>
      <c r="ED27" s="24">
        <f t="shared" ref="ED27" si="56">EC27*($F$2+1)</f>
        <v>1917.4442539066563</v>
      </c>
      <c r="EE27" s="24">
        <f t="shared" ref="EE27" si="57">ED27*($F$2+1)</f>
        <v>1936.6186964457229</v>
      </c>
      <c r="EF27" s="24">
        <f t="shared" ref="EF27" si="58">EE27*($F$2+1)</f>
        <v>1955.9848834101801</v>
      </c>
      <c r="EG27" s="24">
        <f t="shared" ref="EG27" si="59">EF27*($F$2+1)</f>
        <v>1975.5447322442819</v>
      </c>
      <c r="EH27" s="24">
        <f t="shared" ref="EH27" si="60">EG27*($F$2+1)</f>
        <v>1995.3001795667249</v>
      </c>
      <c r="EI27" s="24">
        <f t="shared" ref="EI27" si="61">EH27*($F$2+1)</f>
        <v>2015.2531813623921</v>
      </c>
      <c r="EJ27" s="24">
        <f t="shared" ref="EJ27" si="62">EI27*($F$2+1)</f>
        <v>2035.405713176016</v>
      </c>
      <c r="EK27" s="24">
        <f t="shared" ref="EK27" si="63">EJ27*($F$2+1)</f>
        <v>2055.7597703077763</v>
      </c>
      <c r="EL27" s="24">
        <f t="shared" ref="EL27" si="64">EK27*($F$2+1)</f>
        <v>2076.3173680108539</v>
      </c>
      <c r="EM27" s="24">
        <f t="shared" ref="EM27" si="65">EL27*($F$2+1)</f>
        <v>2097.0805416909625</v>
      </c>
      <c r="EN27" s="24">
        <f t="shared" ref="EN27" si="66">EM27*($F$2+1)</f>
        <v>2118.0513471078721</v>
      </c>
      <c r="EO27" s="24">
        <f t="shared" ref="EO27" si="67">EN27*($F$2+1)</f>
        <v>2139.231860578951</v>
      </c>
      <c r="EP27" s="24">
        <f t="shared" ref="EP27" si="68">EO27*($F$2+1)</f>
        <v>2160.6241791847406</v>
      </c>
      <c r="EQ27" s="24">
        <f t="shared" ref="EQ27" si="69">EP27*($F$2+1)</f>
        <v>2182.230420976588</v>
      </c>
      <c r="ER27" s="24">
        <f t="shared" ref="ER27" si="70">EQ27*($F$2+1)</f>
        <v>2204.0527251863541</v>
      </c>
      <c r="ES27" s="24">
        <f t="shared" ref="ES27" si="71">ER27*($F$2+1)</f>
        <v>2226.0932524382179</v>
      </c>
      <c r="ET27" s="24">
        <f t="shared" ref="ET27" si="72">ES27*($F$2+1)</f>
        <v>2248.3541849625999</v>
      </c>
      <c r="EU27" s="24">
        <f t="shared" ref="EU27" si="73">ET27*($F$2+1)</f>
        <v>2270.8377268122258</v>
      </c>
      <c r="EV27" s="24">
        <f t="shared" ref="EV27" si="74">EU27*($F$2+1)</f>
        <v>2293.546104080348</v>
      </c>
      <c r="EW27" s="24">
        <f t="shared" ref="EW27" si="75">EV27*($F$2+1)</f>
        <v>2316.4815651211516</v>
      </c>
      <c r="EX27" s="24">
        <f t="shared" ref="EX27" si="76">EW27*($F$2+1)</f>
        <v>2339.646380772363</v>
      </c>
      <c r="EY27" s="24">
        <f t="shared" ref="EY27" si="77">EX27*($F$2+1)</f>
        <v>2363.0428445800867</v>
      </c>
      <c r="EZ27" s="24">
        <f t="shared" ref="EZ27" si="78">EY27*($F$2+1)</f>
        <v>2386.6732730258877</v>
      </c>
      <c r="FA27" s="24">
        <f t="shared" ref="FA27" si="79">EZ27*($F$2+1)</f>
        <v>2410.5400057561465</v>
      </c>
      <c r="FB27" s="24">
        <f t="shared" ref="FB27" si="80">FA27*($F$2+1)</f>
        <v>2434.6454058137078</v>
      </c>
      <c r="FC27" s="24">
        <f t="shared" ref="FC27" si="81">FB27*($F$2+1)</f>
        <v>2458.991859871845</v>
      </c>
      <c r="FD27" s="24">
        <f t="shared" ref="FD27" si="82">FC27*($F$2+1)</f>
        <v>2483.5817784705637</v>
      </c>
      <c r="FE27" s="24">
        <f t="shared" ref="FE27" si="83">FD27*($F$2+1)</f>
        <v>2508.4175962552695</v>
      </c>
      <c r="FF27" s="24">
        <f t="shared" ref="FF27" si="84">FE27*($F$2+1)</f>
        <v>2533.5017722178222</v>
      </c>
      <c r="FG27" s="24">
        <f t="shared" ref="FG27" si="85">FF27*($F$2+1)</f>
        <v>2558.8367899400005</v>
      </c>
      <c r="FH27" s="24">
        <f t="shared" ref="FH27" si="86">FG27*($F$2+1)</f>
        <v>2584.4251578394005</v>
      </c>
      <c r="FI27" s="24">
        <f t="shared" ref="FI27" si="87">FH27*($F$2+1)</f>
        <v>2610.2694094177946</v>
      </c>
      <c r="FJ27" s="24">
        <f t="shared" ref="FJ27" si="88">FI27*($F$2+1)</f>
        <v>2636.3721035119725</v>
      </c>
      <c r="FK27" s="24">
        <f t="shared" ref="FK27" si="89">FJ27*($F$2+1)</f>
        <v>2662.7358245470923</v>
      </c>
      <c r="FL27" s="24">
        <f t="shared" ref="FL27" si="90">FK27*($F$2+1)</f>
        <v>2689.3631827925633</v>
      </c>
      <c r="FM27" s="24">
        <f t="shared" ref="FM27" si="91">FL27*($F$2+1)</f>
        <v>2716.256814620489</v>
      </c>
      <c r="FN27" s="24">
        <f t="shared" ref="FN27" si="92">FM27*($F$2+1)</f>
        <v>2743.4193827666941</v>
      </c>
      <c r="FO27" s="24">
        <f t="shared" ref="FO27" si="93">FN27*($F$2+1)</f>
        <v>2770.8535765943611</v>
      </c>
      <c r="FP27" s="24">
        <f t="shared" ref="FP27" si="94">FO27*($F$2+1)</f>
        <v>2798.5621123603046</v>
      </c>
      <c r="FQ27" s="24">
        <f t="shared" ref="FQ27" si="95">FP27*($F$2+1)</f>
        <v>2826.5477334839075</v>
      </c>
      <c r="FR27" s="24">
        <f t="shared" ref="FR27" si="96">FQ27*($F$2+1)</f>
        <v>2854.8132108187465</v>
      </c>
      <c r="FS27" s="24">
        <f t="shared" ref="FS27" si="97">FR27*($F$2+1)</f>
        <v>2883.361342926934</v>
      </c>
      <c r="FT27" s="24">
        <f t="shared" ref="FT27" si="98">FS27*($F$2+1)</f>
        <v>2912.1949563562034</v>
      </c>
      <c r="FU27" s="24">
        <f t="shared" ref="FU27" si="99">FT27*($F$2+1)</f>
        <v>2941.3169059197653</v>
      </c>
      <c r="FV27" s="24">
        <f t="shared" ref="FV27" si="100">FU27*($F$2+1)</f>
        <v>2970.7300749789629</v>
      </c>
      <c r="FW27" s="24">
        <f t="shared" ref="FW27" si="101">FV27*($F$2+1)</f>
        <v>3000.4373757287526</v>
      </c>
      <c r="FX27" s="24">
        <f t="shared" ref="FX27" si="102">FW27*($F$2+1)</f>
        <v>3030.44174948604</v>
      </c>
      <c r="FY27" s="24">
        <f t="shared" ref="FY27" si="103">FX27*($F$2+1)</f>
        <v>3060.7461669809004</v>
      </c>
      <c r="FZ27" s="24">
        <f t="shared" ref="FZ27" si="104">FY27*($F$2+1)</f>
        <v>3091.3536286507097</v>
      </c>
      <c r="GA27" s="24">
        <f t="shared" ref="GA27" si="105">FZ27*($F$2+1)</f>
        <v>3122.2671649372169</v>
      </c>
      <c r="GB27" s="24">
        <f t="shared" ref="GB27" si="106">GA27*($F$2+1)</f>
        <v>3153.4898365865893</v>
      </c>
      <c r="GC27" s="24">
        <f t="shared" ref="GC27" si="107">GB27*($F$2+1)</f>
        <v>3185.0247349524552</v>
      </c>
      <c r="GD27" s="24">
        <f t="shared" ref="GD27" si="108">GC27*($F$2+1)</f>
        <v>3216.8749823019798</v>
      </c>
      <c r="GE27" s="24">
        <f t="shared" ref="GE27" si="109">GD27*($F$2+1)</f>
        <v>3249.0437321249997</v>
      </c>
      <c r="GF27" s="24">
        <f t="shared" ref="GF27" si="110">GE27*($F$2+1)</f>
        <v>3281.5341694462495</v>
      </c>
      <c r="GG27" s="24">
        <f t="shared" ref="GG27" si="111">GF27*($F$2+1)</f>
        <v>3314.3495111407119</v>
      </c>
      <c r="GH27" s="24">
        <f t="shared" ref="GH27" si="112">GG27*($F$2+1)</f>
        <v>3347.4930062521189</v>
      </c>
      <c r="GI27" s="24">
        <f t="shared" ref="GI27" si="113">GH27*($F$2+1)</f>
        <v>3380.9679363146402</v>
      </c>
      <c r="GJ27" s="24">
        <f t="shared" ref="GJ27" si="114">GI27*($F$2+1)</f>
        <v>3414.7776156777868</v>
      </c>
      <c r="GK27" s="24">
        <f t="shared" ref="GK27" si="115">GJ27*($F$2+1)</f>
        <v>3448.9253918345648</v>
      </c>
      <c r="GL27" s="24">
        <f t="shared" ref="GL27" si="116">GK27*($F$2+1)</f>
        <v>3483.4146457529105</v>
      </c>
      <c r="GM27" s="24">
        <f t="shared" ref="GM27" si="117">GL27*($F$2+1)</f>
        <v>3518.2487922104397</v>
      </c>
      <c r="GN27" s="24">
        <f t="shared" ref="GN27" si="118">GM27*($F$2+1)</f>
        <v>3553.4312801325441</v>
      </c>
      <c r="GO27" s="24">
        <f t="shared" ref="GO27" si="119">GN27*($F$2+1)</f>
        <v>3588.9655929338696</v>
      </c>
      <c r="GP27" s="24">
        <f t="shared" ref="GP27" si="120">GO27*($F$2+1)</f>
        <v>3624.8552488632085</v>
      </c>
      <c r="GQ27" s="24">
        <f t="shared" ref="GQ27" si="121">GP27*($F$2+1)</f>
        <v>3661.1038013518405</v>
      </c>
      <c r="GR27" s="24">
        <f t="shared" ref="GR27" si="122">GQ27*($F$2+1)</f>
        <v>3697.7148393653588</v>
      </c>
    </row>
    <row r="28" spans="1:200" x14ac:dyDescent="0.15">
      <c r="A28" s="3" t="s">
        <v>16</v>
      </c>
      <c r="B28" s="38"/>
      <c r="C28" s="38"/>
      <c r="D28" s="38"/>
      <c r="E28" s="28">
        <f t="shared" ref="E28:G28" si="123">E27/E29</f>
        <v>-4.8116609780515081</v>
      </c>
      <c r="F28" s="28">
        <f t="shared" si="123"/>
        <v>-9.7083913851690085</v>
      </c>
      <c r="G28" s="48">
        <f t="shared" si="123"/>
        <v>-10.978079980425003</v>
      </c>
      <c r="H28" s="48">
        <f t="shared" ref="H28" si="124">H27/H29</f>
        <v>-11.30411501180693</v>
      </c>
      <c r="I28" s="48">
        <f t="shared" ref="I28:P28" si="125">I27/I29</f>
        <v>-9.9113880130424121</v>
      </c>
      <c r="J28" s="48">
        <f t="shared" si="125"/>
        <v>-4.7217655982748905</v>
      </c>
      <c r="K28" s="48">
        <f t="shared" si="125"/>
        <v>8.409630106697346</v>
      </c>
      <c r="L28" s="48">
        <f t="shared" si="125"/>
        <v>10.658382786849195</v>
      </c>
      <c r="M28" s="48">
        <f t="shared" si="125"/>
        <v>13.385227335972035</v>
      </c>
      <c r="N28" s="48">
        <f t="shared" si="125"/>
        <v>16.687199194507087</v>
      </c>
      <c r="O28" s="48">
        <f t="shared" si="125"/>
        <v>20.680811744316184</v>
      </c>
      <c r="P28" s="48">
        <f t="shared" si="125"/>
        <v>25.505955439632491</v>
      </c>
      <c r="Q28" s="48">
        <f t="shared" ref="Q28:U28" si="126">Q27/Q29</f>
        <v>38.891050087157723</v>
      </c>
      <c r="R28" s="48">
        <f t="shared" si="126"/>
        <v>39.98306300786335</v>
      </c>
      <c r="S28" s="48">
        <f t="shared" si="126"/>
        <v>45.135759630311661</v>
      </c>
      <c r="T28" s="48">
        <f t="shared" si="126"/>
        <v>50.469134881312407</v>
      </c>
      <c r="U28" s="48">
        <f t="shared" si="126"/>
        <v>55.992650989694297</v>
      </c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</row>
    <row r="29" spans="1:200" s="16" customFormat="1" x14ac:dyDescent="0.15">
      <c r="A29" s="16" t="s">
        <v>17</v>
      </c>
      <c r="B29" s="38"/>
      <c r="C29" s="38"/>
      <c r="D29" s="38"/>
      <c r="E29" s="23">
        <v>10.931775999999999</v>
      </c>
      <c r="F29" s="23">
        <v>11.124397</v>
      </c>
      <c r="G29" s="23">
        <f t="shared" ref="G29" si="127">F29</f>
        <v>11.124397</v>
      </c>
      <c r="H29" s="23">
        <f t="shared" ref="H29" si="128">G29</f>
        <v>11.124397</v>
      </c>
      <c r="I29" s="23">
        <f t="shared" ref="I29" si="129">H29</f>
        <v>11.124397</v>
      </c>
      <c r="J29" s="23">
        <f t="shared" ref="J29" si="130">I29</f>
        <v>11.124397</v>
      </c>
      <c r="K29" s="23">
        <f t="shared" ref="K29" si="131">J29</f>
        <v>11.124397</v>
      </c>
      <c r="L29" s="23">
        <f t="shared" ref="L29" si="132">K29</f>
        <v>11.124397</v>
      </c>
      <c r="M29" s="23">
        <f t="shared" ref="M29" si="133">L29</f>
        <v>11.124397</v>
      </c>
      <c r="N29" s="23">
        <f t="shared" ref="N29" si="134">M29</f>
        <v>11.124397</v>
      </c>
      <c r="O29" s="23">
        <f t="shared" ref="O29" si="135">N29</f>
        <v>11.124397</v>
      </c>
      <c r="P29" s="23">
        <f t="shared" ref="P29:U29" si="136">O29</f>
        <v>11.124397</v>
      </c>
      <c r="Q29" s="23">
        <f t="shared" si="136"/>
        <v>11.124397</v>
      </c>
      <c r="R29" s="23">
        <f t="shared" si="136"/>
        <v>11.124397</v>
      </c>
      <c r="S29" s="23">
        <f t="shared" si="136"/>
        <v>11.124397</v>
      </c>
      <c r="T29" s="23">
        <f t="shared" si="136"/>
        <v>11.124397</v>
      </c>
      <c r="U29" s="23">
        <f t="shared" si="136"/>
        <v>11.124397</v>
      </c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</row>
    <row r="30" spans="1:200" x14ac:dyDescent="0.15">
      <c r="B30" s="38"/>
      <c r="C30" s="38"/>
      <c r="D30" s="3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</row>
    <row r="31" spans="1:200" x14ac:dyDescent="0.15">
      <c r="A31" s="3" t="s">
        <v>19</v>
      </c>
      <c r="B31" s="38"/>
      <c r="C31" s="38"/>
      <c r="D31" s="38"/>
      <c r="E31" s="33">
        <f>IFERROR(E18/E16,0)</f>
        <v>0.13777777777777783</v>
      </c>
      <c r="F31" s="33">
        <f t="shared" ref="F31:P31" si="137">IFERROR(F18/F16,0)</f>
        <v>0.17682020802377413</v>
      </c>
      <c r="G31" s="33">
        <f t="shared" si="137"/>
        <v>0.21682020802377414</v>
      </c>
      <c r="H31" s="33">
        <f>IFERROR(H18/H16,0)</f>
        <v>0.25682020802377414</v>
      </c>
      <c r="I31" s="33">
        <f t="shared" si="137"/>
        <v>0.29682020802377412</v>
      </c>
      <c r="J31" s="33">
        <f t="shared" si="137"/>
        <v>0.3368202080237741</v>
      </c>
      <c r="K31" s="33">
        <f t="shared" si="137"/>
        <v>0.37682020802377408</v>
      </c>
      <c r="L31" s="33">
        <f t="shared" si="137"/>
        <v>0.37682020802377408</v>
      </c>
      <c r="M31" s="33">
        <f t="shared" si="137"/>
        <v>0.37682020802377408</v>
      </c>
      <c r="N31" s="33">
        <f t="shared" si="137"/>
        <v>0.37682020802377408</v>
      </c>
      <c r="O31" s="33">
        <f t="shared" si="137"/>
        <v>0.37682020802377408</v>
      </c>
      <c r="P31" s="33">
        <f t="shared" si="137"/>
        <v>0.37682020802377408</v>
      </c>
      <c r="Q31" s="33">
        <f t="shared" ref="Q31:U31" si="138">IFERROR(Q18/Q16,0)</f>
        <v>0.37682020802377408</v>
      </c>
      <c r="R31" s="33">
        <f t="shared" si="138"/>
        <v>0.37682020802377408</v>
      </c>
      <c r="S31" s="33">
        <f t="shared" si="138"/>
        <v>0.37682020802377403</v>
      </c>
      <c r="T31" s="33">
        <f t="shared" si="138"/>
        <v>0.37682020802377403</v>
      </c>
      <c r="U31" s="33">
        <f t="shared" si="138"/>
        <v>0.37682020802377403</v>
      </c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</row>
    <row r="32" spans="1:200" x14ac:dyDescent="0.15">
      <c r="A32" s="3" t="s">
        <v>20</v>
      </c>
      <c r="B32" s="38"/>
      <c r="C32" s="38"/>
      <c r="D32" s="38"/>
      <c r="E32" s="35">
        <f>IFERROR(E23/E16,0)</f>
        <v>-2.3377777777777777</v>
      </c>
      <c r="F32" s="35">
        <f t="shared" ref="F32:P32" si="139">IFERROR(F23/F16,0)</f>
        <v>-1.6032689450222879</v>
      </c>
      <c r="G32" s="35">
        <f>IFERROR(G23/G16,0)</f>
        <v>-1.3173349010174662</v>
      </c>
      <c r="H32" s="35">
        <f t="shared" si="139"/>
        <v>-0.74839066170336699</v>
      </c>
      <c r="I32" s="35">
        <f t="shared" si="139"/>
        <v>-0.36203308023827696</v>
      </c>
      <c r="J32" s="35">
        <f t="shared" si="139"/>
        <v>-9.5156878140002635E-2</v>
      </c>
      <c r="K32" s="35">
        <f t="shared" si="139"/>
        <v>9.3504958230950494E-2</v>
      </c>
      <c r="L32" s="35">
        <f t="shared" si="139"/>
        <v>9.8756983031089193E-2</v>
      </c>
      <c r="M32" s="35">
        <f t="shared" si="139"/>
        <v>0.10335250473121055</v>
      </c>
      <c r="N32" s="35">
        <f t="shared" si="139"/>
        <v>0.10737358621881671</v>
      </c>
      <c r="O32" s="35">
        <f t="shared" si="139"/>
        <v>0.1108920325204721</v>
      </c>
      <c r="P32" s="35">
        <f t="shared" si="139"/>
        <v>0.1139706730344206</v>
      </c>
      <c r="Q32" s="35">
        <f t="shared" ref="Q32:U32" si="140">IFERROR(Q23/Q16,0)</f>
        <v>0.15111352817833934</v>
      </c>
      <c r="R32" s="35">
        <f t="shared" si="140"/>
        <v>0.16439852957979625</v>
      </c>
      <c r="S32" s="35">
        <f t="shared" si="140"/>
        <v>0.17674751820434917</v>
      </c>
      <c r="T32" s="35">
        <f t="shared" si="140"/>
        <v>0.18822145644616867</v>
      </c>
      <c r="U32" s="35">
        <f t="shared" si="140"/>
        <v>0.19887720144102478</v>
      </c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</row>
    <row r="33" spans="1:117" x14ac:dyDescent="0.15">
      <c r="A33" s="3" t="s">
        <v>21</v>
      </c>
      <c r="B33" s="38"/>
      <c r="C33" s="38"/>
      <c r="D33" s="38"/>
      <c r="E33" s="35">
        <f>IFERROR(E26/E25,0)</f>
        <v>0</v>
      </c>
      <c r="F33" s="35">
        <f t="shared" ref="F33:P33" si="141">IFERROR(F26/F25,0)</f>
        <v>-9.2678405931418003E-4</v>
      </c>
      <c r="G33" s="35">
        <f t="shared" si="141"/>
        <v>0</v>
      </c>
      <c r="H33" s="35">
        <f t="shared" si="141"/>
        <v>0</v>
      </c>
      <c r="I33" s="35">
        <f t="shared" si="141"/>
        <v>0</v>
      </c>
      <c r="J33" s="35">
        <f t="shared" si="141"/>
        <v>0</v>
      </c>
      <c r="K33" s="35">
        <f t="shared" si="141"/>
        <v>0</v>
      </c>
      <c r="L33" s="35">
        <f t="shared" si="141"/>
        <v>0</v>
      </c>
      <c r="M33" s="35">
        <f t="shared" si="141"/>
        <v>0</v>
      </c>
      <c r="N33" s="35">
        <f t="shared" si="141"/>
        <v>0</v>
      </c>
      <c r="O33" s="35">
        <f t="shared" si="141"/>
        <v>0</v>
      </c>
      <c r="P33" s="35">
        <f t="shared" si="141"/>
        <v>0</v>
      </c>
      <c r="Q33" s="35">
        <f t="shared" ref="Q33:U33" si="142">IFERROR(Q26/Q25,0)</f>
        <v>0</v>
      </c>
      <c r="R33" s="35">
        <f t="shared" si="142"/>
        <v>0.1</v>
      </c>
      <c r="S33" s="35">
        <f t="shared" si="142"/>
        <v>0.1</v>
      </c>
      <c r="T33" s="35">
        <f t="shared" si="142"/>
        <v>0.1</v>
      </c>
      <c r="U33" s="35">
        <f t="shared" si="142"/>
        <v>0.1</v>
      </c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</row>
    <row r="34" spans="1:117" x14ac:dyDescent="0.15">
      <c r="B34" s="38"/>
      <c r="C34" s="38"/>
      <c r="D34" s="38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</row>
    <row r="35" spans="1:117" x14ac:dyDescent="0.15">
      <c r="A35" s="2" t="s">
        <v>18</v>
      </c>
      <c r="B35" s="38"/>
      <c r="C35" s="38"/>
      <c r="D35" s="38"/>
      <c r="E35" s="49"/>
      <c r="F35" s="49">
        <f>F16/E16-1</f>
        <v>1.9911111111111111</v>
      </c>
      <c r="G35" s="49">
        <f t="shared" ref="G35:U35" si="143">G16/F16-1</f>
        <v>0.37749999999999995</v>
      </c>
      <c r="H35" s="49">
        <f t="shared" si="143"/>
        <v>0.81249999999999956</v>
      </c>
      <c r="I35" s="49">
        <f t="shared" si="143"/>
        <v>0.81250000000000022</v>
      </c>
      <c r="J35" s="49">
        <f t="shared" si="143"/>
        <v>0.81249999999999978</v>
      </c>
      <c r="K35" s="49">
        <f t="shared" si="143"/>
        <v>0.81250000000000022</v>
      </c>
      <c r="L35" s="49">
        <f t="shared" si="143"/>
        <v>0.19999999999999996</v>
      </c>
      <c r="M35" s="49">
        <f t="shared" si="143"/>
        <v>0.19999999999999996</v>
      </c>
      <c r="N35" s="49">
        <f t="shared" si="143"/>
        <v>0.19999999999999996</v>
      </c>
      <c r="O35" s="49">
        <f t="shared" si="143"/>
        <v>0.19999999999999996</v>
      </c>
      <c r="P35" s="49">
        <f t="shared" si="143"/>
        <v>0.19999999999999996</v>
      </c>
      <c r="Q35" s="49">
        <f t="shared" si="143"/>
        <v>0.14999999999999991</v>
      </c>
      <c r="R35" s="49">
        <f t="shared" si="143"/>
        <v>5.0000000000000044E-2</v>
      </c>
      <c r="S35" s="49">
        <f t="shared" si="143"/>
        <v>5.0000000000000044E-2</v>
      </c>
      <c r="T35" s="49">
        <f t="shared" si="143"/>
        <v>5.0000000000000044E-2</v>
      </c>
      <c r="U35" s="49">
        <f t="shared" si="143"/>
        <v>5.0000000000000044E-2</v>
      </c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</row>
    <row r="36" spans="1:117" x14ac:dyDescent="0.15">
      <c r="A36" s="3" t="s">
        <v>42</v>
      </c>
      <c r="B36" s="38"/>
      <c r="C36" s="38"/>
      <c r="D36" s="38"/>
      <c r="E36" s="35"/>
      <c r="F36" s="35">
        <f t="shared" ref="F36:U36" si="144">F19/E19-1</f>
        <v>1.0851063829787235</v>
      </c>
      <c r="G36" s="35">
        <f t="shared" si="144"/>
        <v>0.14999999999999991</v>
      </c>
      <c r="H36" s="35">
        <f t="shared" si="144"/>
        <v>0.14999999999999991</v>
      </c>
      <c r="I36" s="35">
        <f t="shared" si="144"/>
        <v>0.14999999999999991</v>
      </c>
      <c r="J36" s="35">
        <f t="shared" si="144"/>
        <v>0.14999999999999991</v>
      </c>
      <c r="K36" s="35">
        <f t="shared" si="144"/>
        <v>0.14999999999999991</v>
      </c>
      <c r="L36" s="35">
        <f t="shared" si="144"/>
        <v>0.19999999999999996</v>
      </c>
      <c r="M36" s="35">
        <f t="shared" si="144"/>
        <v>0.19999999999999996</v>
      </c>
      <c r="N36" s="35">
        <f t="shared" si="144"/>
        <v>0.19999999999999996</v>
      </c>
      <c r="O36" s="35">
        <f t="shared" si="144"/>
        <v>0.19999999999999996</v>
      </c>
      <c r="P36" s="35">
        <f t="shared" si="144"/>
        <v>0.19999999999999996</v>
      </c>
      <c r="Q36" s="35">
        <f t="shared" si="144"/>
        <v>8.0000000000000071E-2</v>
      </c>
      <c r="R36" s="35">
        <f t="shared" si="144"/>
        <v>8.0000000000000071E-2</v>
      </c>
      <c r="S36" s="35">
        <f t="shared" si="144"/>
        <v>8.0000000000000071E-2</v>
      </c>
      <c r="T36" s="35">
        <f t="shared" si="144"/>
        <v>8.0000000000000071E-2</v>
      </c>
      <c r="U36" s="35">
        <f t="shared" si="144"/>
        <v>8.0000000000000071E-2</v>
      </c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</row>
    <row r="37" spans="1:117" x14ac:dyDescent="0.15">
      <c r="A37" s="3" t="s">
        <v>43</v>
      </c>
      <c r="B37" s="38"/>
      <c r="C37" s="38"/>
      <c r="D37" s="38"/>
      <c r="E37" s="35"/>
      <c r="F37" s="35">
        <f t="shared" ref="F37:U37" si="145">F20/E20-1</f>
        <v>1.1264916467780428</v>
      </c>
      <c r="G37" s="35">
        <f t="shared" si="145"/>
        <v>0.19999999999999996</v>
      </c>
      <c r="H37" s="35">
        <f t="shared" si="145"/>
        <v>0.19999999999999996</v>
      </c>
      <c r="I37" s="35">
        <f t="shared" si="145"/>
        <v>0.19999999999999996</v>
      </c>
      <c r="J37" s="35">
        <f t="shared" si="145"/>
        <v>0.19999999999999996</v>
      </c>
      <c r="K37" s="35">
        <f t="shared" si="145"/>
        <v>0.19999999999999996</v>
      </c>
      <c r="L37" s="35">
        <f t="shared" si="145"/>
        <v>0.19999999999999996</v>
      </c>
      <c r="M37" s="35">
        <f t="shared" si="145"/>
        <v>0.19999999999999996</v>
      </c>
      <c r="N37" s="35">
        <f t="shared" si="145"/>
        <v>0.19999999999999996</v>
      </c>
      <c r="O37" s="35">
        <f t="shared" si="145"/>
        <v>0.19999999999999996</v>
      </c>
      <c r="P37" s="35">
        <f t="shared" si="145"/>
        <v>0.19999999999999996</v>
      </c>
      <c r="Q37" s="35">
        <f t="shared" si="145"/>
        <v>-2.0000000000000018E-2</v>
      </c>
      <c r="R37" s="35">
        <f t="shared" si="145"/>
        <v>-2.0000000000000129E-2</v>
      </c>
      <c r="S37" s="35">
        <f t="shared" si="145"/>
        <v>-2.0000000000000018E-2</v>
      </c>
      <c r="T37" s="35">
        <f t="shared" si="145"/>
        <v>-2.0000000000000018E-2</v>
      </c>
      <c r="U37" s="35">
        <f t="shared" si="145"/>
        <v>-2.0000000000000018E-2</v>
      </c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</row>
    <row r="38" spans="1:117" x14ac:dyDescent="0.15">
      <c r="A38" s="3" t="s">
        <v>44</v>
      </c>
      <c r="B38" s="38"/>
      <c r="C38" s="38"/>
      <c r="D38" s="38"/>
      <c r="E38" s="35"/>
      <c r="F38" s="35">
        <f t="shared" ref="F38:U38" si="146">F21/E21-1</f>
        <v>1.2967032967032965</v>
      </c>
      <c r="G38" s="35">
        <f t="shared" si="146"/>
        <v>0.14999999999999991</v>
      </c>
      <c r="H38" s="35">
        <f t="shared" si="146"/>
        <v>0.14999999999999991</v>
      </c>
      <c r="I38" s="35">
        <f t="shared" si="146"/>
        <v>0.14999999999999991</v>
      </c>
      <c r="J38" s="35">
        <f t="shared" si="146"/>
        <v>0.14999999999999991</v>
      </c>
      <c r="K38" s="35">
        <f t="shared" si="146"/>
        <v>0.14999999999999991</v>
      </c>
      <c r="L38" s="35">
        <f t="shared" si="146"/>
        <v>5.0000000000000044E-2</v>
      </c>
      <c r="M38" s="35">
        <f t="shared" si="146"/>
        <v>5.0000000000000044E-2</v>
      </c>
      <c r="N38" s="35">
        <f t="shared" si="146"/>
        <v>5.0000000000000044E-2</v>
      </c>
      <c r="O38" s="35">
        <f t="shared" si="146"/>
        <v>5.0000000000000044E-2</v>
      </c>
      <c r="P38" s="35">
        <f t="shared" si="146"/>
        <v>5.0000000000000044E-2</v>
      </c>
      <c r="Q38" s="35">
        <f t="shared" si="146"/>
        <v>-2.0000000000000018E-2</v>
      </c>
      <c r="R38" s="35">
        <f t="shared" si="146"/>
        <v>-2.0000000000000018E-2</v>
      </c>
      <c r="S38" s="35">
        <f t="shared" si="146"/>
        <v>-2.0000000000000018E-2</v>
      </c>
      <c r="T38" s="35">
        <f t="shared" si="146"/>
        <v>-2.0000000000000018E-2</v>
      </c>
      <c r="U38" s="35">
        <f t="shared" si="146"/>
        <v>-2.0000000000000129E-2</v>
      </c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</row>
    <row r="39" spans="1:117" x14ac:dyDescent="0.15">
      <c r="A39" s="6" t="s">
        <v>69</v>
      </c>
      <c r="B39" s="38"/>
      <c r="C39" s="38"/>
      <c r="D39" s="38"/>
      <c r="E39" s="44"/>
      <c r="F39" s="44">
        <f t="shared" ref="F39:U39" si="147">F22/E22-1</f>
        <v>1.1508078994613999</v>
      </c>
      <c r="G39" s="44">
        <f t="shared" si="147"/>
        <v>0.1871869782971618</v>
      </c>
      <c r="H39" s="44">
        <f t="shared" si="147"/>
        <v>0.18758832835296202</v>
      </c>
      <c r="I39" s="44">
        <f t="shared" si="147"/>
        <v>0.18798116986052782</v>
      </c>
      <c r="J39" s="44">
        <f t="shared" si="147"/>
        <v>0.18836542614390472</v>
      </c>
      <c r="K39" s="44">
        <f t="shared" si="147"/>
        <v>0.1887410390439197</v>
      </c>
      <c r="L39" s="44">
        <f>L22/K22-1</f>
        <v>0.17775471046907954</v>
      </c>
      <c r="M39" s="44">
        <f t="shared" si="147"/>
        <v>0.18016772609793774</v>
      </c>
      <c r="N39" s="44">
        <f t="shared" si="147"/>
        <v>0.18235514568254096</v>
      </c>
      <c r="O39" s="44">
        <f t="shared" si="147"/>
        <v>0.18433034515814883</v>
      </c>
      <c r="P39" s="44">
        <f t="shared" si="147"/>
        <v>0.18610764500697941</v>
      </c>
      <c r="Q39" s="44">
        <f t="shared" si="147"/>
        <v>-1.250469462400472E-2</v>
      </c>
      <c r="R39" s="44">
        <f t="shared" si="147"/>
        <v>-1.1802563757006612E-2</v>
      </c>
      <c r="S39" s="44">
        <f t="shared" si="147"/>
        <v>-1.10410300434578E-2</v>
      </c>
      <c r="T39" s="44">
        <f t="shared" si="147"/>
        <v>-1.021629021324244E-2</v>
      </c>
      <c r="U39" s="44">
        <f t="shared" si="147"/>
        <v>-9.324529727838482E-3</v>
      </c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</row>
    <row r="40" spans="1:117" x14ac:dyDescent="0.15">
      <c r="B40" s="38"/>
      <c r="C40" s="38"/>
      <c r="D40" s="38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</row>
    <row r="41" spans="1:117" x14ac:dyDescent="0.15">
      <c r="A41" s="2" t="s">
        <v>26</v>
      </c>
      <c r="B41" s="38"/>
      <c r="C41" s="38"/>
      <c r="D41" s="38"/>
      <c r="E41" s="24">
        <f>E42-E43</f>
        <v>-69.2</v>
      </c>
      <c r="F41" s="24">
        <f>F42-F43</f>
        <v>-149.29999999999995</v>
      </c>
      <c r="G41" s="50">
        <f>F41+G27</f>
        <v>-271.42451999999992</v>
      </c>
      <c r="H41" s="50">
        <f>G41+H27</f>
        <v>-397.1759831249999</v>
      </c>
      <c r="I41" s="50">
        <f t="shared" ref="I41:U41" si="148">H41+I27</f>
        <v>-507.43419820312488</v>
      </c>
      <c r="J41" s="50">
        <f t="shared" si="148"/>
        <v>-559.9609932592773</v>
      </c>
      <c r="K41" s="50">
        <f t="shared" si="148"/>
        <v>-466.40892932922367</v>
      </c>
      <c r="L41" s="50">
        <f t="shared" si="148"/>
        <v>-347.84084783034683</v>
      </c>
      <c r="M41" s="50">
        <f t="shared" si="148"/>
        <v>-198.93826500974154</v>
      </c>
      <c r="N41" s="50">
        <f t="shared" si="148"/>
        <v>-13.303236351964472</v>
      </c>
      <c r="O41" s="50">
        <f t="shared" si="148"/>
        <v>216.75832377407124</v>
      </c>
      <c r="P41" s="50">
        <f t="shared" si="148"/>
        <v>500.49669794885261</v>
      </c>
      <c r="Q41" s="50">
        <f t="shared" si="148"/>
        <v>933.13617886527982</v>
      </c>
      <c r="R41" s="50">
        <f t="shared" si="148"/>
        <v>1377.9236450407659</v>
      </c>
      <c r="S41" s="50">
        <f t="shared" si="148"/>
        <v>1880.0317540649262</v>
      </c>
      <c r="T41" s="50">
        <f t="shared" si="148"/>
        <v>2441.4704467311931</v>
      </c>
      <c r="U41" s="50">
        <f t="shared" si="148"/>
        <v>3064.3549254229956</v>
      </c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</row>
    <row r="42" spans="1:117" x14ac:dyDescent="0.15">
      <c r="A42" s="3" t="s">
        <v>27</v>
      </c>
      <c r="B42" s="38"/>
      <c r="C42" s="38"/>
      <c r="D42" s="38"/>
      <c r="E42" s="51">
        <f>9.2+102.4</f>
        <v>111.60000000000001</v>
      </c>
      <c r="F42" s="51">
        <f>60.6+270.3</f>
        <v>330.90000000000003</v>
      </c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23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</row>
    <row r="43" spans="1:117" x14ac:dyDescent="0.15">
      <c r="A43" s="3" t="s">
        <v>28</v>
      </c>
      <c r="B43" s="38"/>
      <c r="C43" s="38"/>
      <c r="D43" s="38"/>
      <c r="E43" s="51">
        <v>180.8</v>
      </c>
      <c r="F43" s="51">
        <v>480.2</v>
      </c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23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</row>
    <row r="44" spans="1:117" x14ac:dyDescent="0.15">
      <c r="B44" s="38"/>
      <c r="C44" s="38"/>
      <c r="D44" s="38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3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</row>
    <row r="45" spans="1:117" x14ac:dyDescent="0.15">
      <c r="A45" s="3" t="s">
        <v>56</v>
      </c>
      <c r="B45" s="38"/>
      <c r="C45" s="38"/>
      <c r="D45" s="38"/>
      <c r="E45" s="51">
        <v>0</v>
      </c>
      <c r="F45" s="51">
        <v>0.6</v>
      </c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</row>
    <row r="46" spans="1:117" x14ac:dyDescent="0.15">
      <c r="A46" s="3" t="s">
        <v>57</v>
      </c>
      <c r="B46" s="38"/>
      <c r="C46" s="38"/>
      <c r="D46" s="38"/>
      <c r="E46" s="51">
        <v>153.80000000000001</v>
      </c>
      <c r="F46" s="51">
        <v>414.3</v>
      </c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37"/>
      <c r="CV46" s="37"/>
      <c r="CW46" s="37"/>
      <c r="CX46" s="37"/>
      <c r="CY46" s="37"/>
      <c r="CZ46" s="37"/>
      <c r="DA46" s="37"/>
      <c r="DB46" s="37"/>
      <c r="DC46" s="37"/>
      <c r="DD46" s="37"/>
      <c r="DE46" s="37"/>
      <c r="DF46" s="37"/>
      <c r="DG46" s="37"/>
      <c r="DH46" s="37"/>
      <c r="DI46" s="37"/>
      <c r="DJ46" s="37"/>
      <c r="DK46" s="37"/>
      <c r="DL46" s="37"/>
      <c r="DM46" s="37"/>
    </row>
    <row r="47" spans="1:117" x14ac:dyDescent="0.15">
      <c r="A47" s="3" t="s">
        <v>58</v>
      </c>
      <c r="B47" s="38"/>
      <c r="C47" s="38"/>
      <c r="D47" s="38"/>
      <c r="E47" s="51">
        <f>52.1+180.8</f>
        <v>232.9</v>
      </c>
      <c r="F47" s="51">
        <f>116.6+480.2</f>
        <v>596.79999999999995</v>
      </c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7"/>
      <c r="CN47" s="37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</row>
    <row r="48" spans="1:117" x14ac:dyDescent="0.15"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</row>
    <row r="49" spans="1:117" x14ac:dyDescent="0.15">
      <c r="A49" s="3" t="s">
        <v>59</v>
      </c>
      <c r="B49" s="38"/>
      <c r="C49" s="38"/>
      <c r="D49" s="38"/>
      <c r="E49" s="55">
        <f>E46-E45-E42</f>
        <v>42.2</v>
      </c>
      <c r="F49" s="55">
        <f>F46-F45-F42</f>
        <v>82.799999999999955</v>
      </c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</row>
    <row r="50" spans="1:117" x14ac:dyDescent="0.15">
      <c r="A50" s="3" t="s">
        <v>60</v>
      </c>
      <c r="B50" s="38"/>
      <c r="C50" s="38"/>
      <c r="D50" s="38"/>
      <c r="E50" s="55">
        <f>E46-E47</f>
        <v>-79.099999999999994</v>
      </c>
      <c r="F50" s="55">
        <f>F46-F47</f>
        <v>-182.49999999999994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  <c r="CL50" s="37"/>
      <c r="CM50" s="37"/>
      <c r="CN50" s="37"/>
      <c r="CO50" s="37"/>
      <c r="CP50" s="37"/>
      <c r="CQ50" s="37"/>
      <c r="CR50" s="37"/>
      <c r="CS50" s="37"/>
      <c r="CT50" s="37"/>
      <c r="CU50" s="37"/>
      <c r="CV50" s="37"/>
      <c r="CW50" s="37"/>
      <c r="CX50" s="37"/>
      <c r="CY50" s="37"/>
      <c r="CZ50" s="37"/>
      <c r="DA50" s="37"/>
      <c r="DB50" s="37"/>
      <c r="DC50" s="37"/>
      <c r="DD50" s="37"/>
      <c r="DE50" s="37"/>
      <c r="DF50" s="37"/>
      <c r="DG50" s="37"/>
      <c r="DH50" s="37"/>
      <c r="DI50" s="37"/>
      <c r="DJ50" s="37"/>
      <c r="DK50" s="37"/>
      <c r="DL50" s="37"/>
      <c r="DM50" s="37"/>
    </row>
    <row r="51" spans="1:117" x14ac:dyDescent="0.15"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</row>
    <row r="52" spans="1:117" x14ac:dyDescent="0.15">
      <c r="A52" s="18" t="s">
        <v>62</v>
      </c>
      <c r="B52" s="38"/>
      <c r="C52" s="38"/>
      <c r="D52" s="38"/>
      <c r="E52" s="56">
        <f>E27/E50</f>
        <v>0.66498103666245267</v>
      </c>
      <c r="F52" s="56">
        <f>F27/F50</f>
        <v>0.59178082191780823</v>
      </c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</row>
    <row r="53" spans="1:117" x14ac:dyDescent="0.15">
      <c r="A53" s="18" t="s">
        <v>63</v>
      </c>
      <c r="B53" s="38"/>
      <c r="C53" s="38"/>
      <c r="D53" s="38"/>
      <c r="E53" s="56">
        <f>E27/E46</f>
        <v>-0.34200260078023403</v>
      </c>
      <c r="F53" s="56">
        <f>F27/F46</f>
        <v>-0.2606806661839246</v>
      </c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</row>
    <row r="54" spans="1:117" x14ac:dyDescent="0.15">
      <c r="A54" s="18" t="s">
        <v>64</v>
      </c>
      <c r="B54" s="38"/>
      <c r="C54" s="38"/>
      <c r="D54" s="38"/>
      <c r="E54" s="56">
        <f>E27/(E50-E45)</f>
        <v>0.66498103666245267</v>
      </c>
      <c r="F54" s="56">
        <f>F27/(F50-F45)</f>
        <v>0.5898416166029492</v>
      </c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</row>
    <row r="55" spans="1:117" x14ac:dyDescent="0.15">
      <c r="A55" s="18" t="s">
        <v>65</v>
      </c>
      <c r="B55" s="38"/>
      <c r="C55" s="38"/>
      <c r="D55" s="38"/>
      <c r="E55" s="56">
        <f>E27/E49</f>
        <v>-1.2464454976303316</v>
      </c>
      <c r="F55" s="56">
        <f>F27/F49</f>
        <v>-1.304347826086957</v>
      </c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</row>
    <row r="56" spans="1:117" x14ac:dyDescent="0.15"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</row>
    <row r="57" spans="1:117" x14ac:dyDescent="0.15">
      <c r="A57" s="6" t="s">
        <v>87</v>
      </c>
      <c r="B57" s="38"/>
      <c r="C57" s="38"/>
      <c r="D57" s="38"/>
      <c r="E57" s="56"/>
      <c r="F57" s="56">
        <f>F10/E10-1</f>
        <v>2.0094339622641511</v>
      </c>
      <c r="G57" s="56">
        <f>G10/F10-1</f>
        <v>-1</v>
      </c>
      <c r="H57" s="56" t="e">
        <f>H10/G10-1</f>
        <v>#DIV/0!</v>
      </c>
      <c r="I57" s="56" t="e">
        <f>I10/H10-1</f>
        <v>#DIV/0!</v>
      </c>
      <c r="J57" s="56" t="e">
        <f>J10/I10-1</f>
        <v>#DIV/0!</v>
      </c>
      <c r="K57" s="56" t="e">
        <f>K10/J10-1</f>
        <v>#DIV/0!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</row>
    <row r="58" spans="1:117" x14ac:dyDescent="0.15">
      <c r="A58" s="6" t="s">
        <v>90</v>
      </c>
      <c r="B58" s="38"/>
      <c r="C58" s="38"/>
      <c r="D58" s="38"/>
      <c r="E58" s="56"/>
      <c r="F58" s="56">
        <f>F11/E11-1</f>
        <v>1.6923076923076921</v>
      </c>
      <c r="G58" s="56">
        <f>G11/F11-1</f>
        <v>-1</v>
      </c>
      <c r="H58" s="56" t="e">
        <f>H11/G11-1</f>
        <v>#DIV/0!</v>
      </c>
      <c r="I58" s="56" t="e">
        <f>I11/H11-1</f>
        <v>#DIV/0!</v>
      </c>
      <c r="J58" s="56" t="e">
        <f>J11/I11-1</f>
        <v>#DIV/0!</v>
      </c>
      <c r="K58" s="56" t="e">
        <f>K11/J11-1</f>
        <v>#DIV/0!</v>
      </c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</row>
    <row r="59" spans="1:117" x14ac:dyDescent="0.15">
      <c r="B59" s="38"/>
      <c r="C59" s="38"/>
      <c r="D59" s="38"/>
    </row>
    <row r="60" spans="1:117" x14ac:dyDescent="0.15">
      <c r="A60" s="3" t="s">
        <v>91</v>
      </c>
      <c r="B60" s="38"/>
      <c r="C60" s="38"/>
      <c r="D60" s="38"/>
      <c r="F60" s="19">
        <f>F13/E13-1</f>
        <v>1.0823999870480998</v>
      </c>
      <c r="G60" s="19">
        <f t="shared" ref="G60:K60" si="149">G13/F13-1</f>
        <v>0.44999999999999996</v>
      </c>
      <c r="H60" s="19">
        <f t="shared" si="149"/>
        <v>0.44999999999999996</v>
      </c>
      <c r="I60" s="19">
        <f t="shared" si="149"/>
        <v>0.44999999999999996</v>
      </c>
      <c r="J60" s="19">
        <f t="shared" si="149"/>
        <v>0.44999999999999996</v>
      </c>
      <c r="K60" s="19">
        <f t="shared" si="149"/>
        <v>0.45000000000000018</v>
      </c>
    </row>
    <row r="61" spans="1:117" x14ac:dyDescent="0.15">
      <c r="A61" s="3" t="s">
        <v>92</v>
      </c>
      <c r="F61" s="19">
        <f>F14/E14-1</f>
        <v>0.43637683908707281</v>
      </c>
      <c r="G61" s="19">
        <f t="shared" ref="G61:K61" si="150">G14/F14-1</f>
        <v>-5.0000000000000044E-2</v>
      </c>
      <c r="H61" s="19">
        <f t="shared" si="150"/>
        <v>0.25</v>
      </c>
      <c r="I61" s="19">
        <f t="shared" si="150"/>
        <v>0.25000000000000022</v>
      </c>
      <c r="J61" s="19">
        <f t="shared" si="150"/>
        <v>0.25</v>
      </c>
      <c r="K61" s="19">
        <f t="shared" si="150"/>
        <v>0.25</v>
      </c>
    </row>
  </sheetData>
  <hyperlinks>
    <hyperlink ref="A1" r:id="rId1" xr:uid="{00000000-0004-0000-0000-000000000000}"/>
    <hyperlink ref="L4" r:id="rId2" xr:uid="{CBCA994A-BC74-CB48-8009-AD2DE8254A02}"/>
    <hyperlink ref="A4" r:id="rId3" xr:uid="{20ADF148-AAFB-5D4F-BDDA-2F9EDC016BE6}"/>
    <hyperlink ref="A7" r:id="rId4" xr:uid="{46A0FC95-EB17-B64B-BB90-A45394F454BF}"/>
    <hyperlink ref="A8" r:id="rId5" xr:uid="{074E6B54-58A5-6143-B27B-D988C9DF5B15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6"/>
  <sheetViews>
    <sheetView zoomScale="110" zoomScaleNormal="110" workbookViewId="0">
      <pane xSplit="1" ySplit="2" topLeftCell="R3" activePane="bottomRight" state="frozen"/>
      <selection pane="topRight" activeCell="B1" sqref="B1"/>
      <selection pane="bottomLeft" activeCell="A3" sqref="A3"/>
      <selection pane="bottomRight" activeCell="R40" sqref="R40"/>
    </sheetView>
  </sheetViews>
  <sheetFormatPr baseColWidth="10" defaultRowHeight="13" x14ac:dyDescent="0.15"/>
  <cols>
    <col min="1" max="1" width="20.33203125" style="6" bestFit="1" customWidth="1"/>
    <col min="2" max="5" width="10.83203125" style="20" customWidth="1"/>
    <col min="6" max="6" width="10.83203125" style="21" customWidth="1"/>
    <col min="7" max="8" width="10.83203125" style="20" customWidth="1"/>
    <col min="9" max="9" width="10.83203125" style="20"/>
    <col min="10" max="10" width="10.83203125" style="21"/>
    <col min="11" max="13" width="10.83203125" style="20"/>
    <col min="14" max="14" width="10.83203125" style="21"/>
    <col min="15" max="15" width="10.83203125" style="20"/>
    <col min="16" max="16" width="11" style="20" bestFit="1" customWidth="1"/>
    <col min="17" max="17" width="11.1640625" style="20" bestFit="1" customWidth="1"/>
    <col min="18" max="18" width="11.1640625" style="21" bestFit="1" customWidth="1"/>
    <col min="19" max="21" width="11.1640625" style="20" bestFit="1" customWidth="1"/>
    <col min="22" max="22" width="11.1640625" style="21" bestFit="1" customWidth="1"/>
    <col min="23" max="24" width="11.1640625" style="20" bestFit="1" customWidth="1"/>
    <col min="25" max="25" width="10.83203125" style="20"/>
    <col min="26" max="16384" width="10.83203125" style="6"/>
  </cols>
  <sheetData>
    <row r="1" spans="1:25" x14ac:dyDescent="0.15">
      <c r="A1" s="67" t="s">
        <v>45</v>
      </c>
      <c r="B1" s="20" t="s">
        <v>38</v>
      </c>
      <c r="C1" s="20" t="s">
        <v>39</v>
      </c>
      <c r="D1" s="20" t="s">
        <v>40</v>
      </c>
      <c r="E1" s="20" t="s">
        <v>41</v>
      </c>
      <c r="F1" s="21" t="s">
        <v>22</v>
      </c>
      <c r="G1" s="20" t="s">
        <v>23</v>
      </c>
      <c r="H1" s="20" t="s">
        <v>24</v>
      </c>
      <c r="I1" s="20" t="s">
        <v>25</v>
      </c>
      <c r="J1" s="22" t="s">
        <v>0</v>
      </c>
      <c r="K1" s="23" t="s">
        <v>1</v>
      </c>
      <c r="L1" s="23" t="s">
        <v>2</v>
      </c>
      <c r="M1" s="23" t="s">
        <v>3</v>
      </c>
      <c r="N1" s="22" t="s">
        <v>34</v>
      </c>
      <c r="O1" s="23" t="s">
        <v>35</v>
      </c>
      <c r="P1" s="23" t="s">
        <v>36</v>
      </c>
      <c r="Q1" s="23" t="s">
        <v>37</v>
      </c>
      <c r="R1" s="22" t="s">
        <v>52</v>
      </c>
      <c r="S1" s="23" t="s">
        <v>53</v>
      </c>
      <c r="T1" s="23" t="s">
        <v>54</v>
      </c>
      <c r="U1" s="23" t="s">
        <v>55</v>
      </c>
      <c r="V1" s="22" t="s">
        <v>70</v>
      </c>
      <c r="W1" s="23" t="s">
        <v>75</v>
      </c>
      <c r="X1" s="23" t="s">
        <v>76</v>
      </c>
      <c r="Y1" s="23" t="s">
        <v>71</v>
      </c>
    </row>
    <row r="2" spans="1:25" s="20" customFormat="1" x14ac:dyDescent="0.15">
      <c r="A2" s="1"/>
      <c r="F2" s="21"/>
      <c r="J2" s="21"/>
      <c r="N2" s="59">
        <v>43190</v>
      </c>
      <c r="O2" s="58">
        <v>43281</v>
      </c>
      <c r="P2" s="58">
        <v>43373</v>
      </c>
      <c r="Q2" s="58">
        <v>43465</v>
      </c>
      <c r="R2" s="59">
        <v>43555</v>
      </c>
      <c r="S2" s="58">
        <v>43646</v>
      </c>
      <c r="T2" s="58">
        <v>43738</v>
      </c>
      <c r="U2" s="58">
        <v>43830</v>
      </c>
      <c r="V2" s="59">
        <v>43921</v>
      </c>
      <c r="W2" s="58">
        <v>44012</v>
      </c>
      <c r="X2" s="58">
        <v>44104</v>
      </c>
    </row>
    <row r="3" spans="1:25" s="8" customFormat="1" x14ac:dyDescent="0.15">
      <c r="A3" s="8" t="s">
        <v>85</v>
      </c>
      <c r="B3" s="23"/>
      <c r="C3" s="23"/>
      <c r="D3" s="23"/>
      <c r="E3" s="23"/>
      <c r="F3" s="22"/>
      <c r="G3" s="23"/>
      <c r="H3" s="23"/>
      <c r="I3" s="23"/>
      <c r="J3" s="22"/>
      <c r="K3" s="23"/>
      <c r="L3" s="23"/>
      <c r="M3" s="23"/>
      <c r="N3" s="22"/>
      <c r="O3" s="23"/>
      <c r="P3" s="23"/>
      <c r="Q3" s="23"/>
      <c r="R3" s="22">
        <v>10.5</v>
      </c>
      <c r="S3" s="23">
        <v>13.3</v>
      </c>
      <c r="T3" s="23">
        <v>17.8</v>
      </c>
      <c r="U3" s="23">
        <v>23.5</v>
      </c>
      <c r="V3" s="22">
        <v>25.3</v>
      </c>
      <c r="W3" s="23">
        <v>29.2</v>
      </c>
      <c r="X3" s="23">
        <v>10.5</v>
      </c>
      <c r="Y3" s="23"/>
    </row>
    <row r="4" spans="1:25" s="8" customFormat="1" x14ac:dyDescent="0.15">
      <c r="A4" s="8" t="s">
        <v>86</v>
      </c>
      <c r="B4" s="23"/>
      <c r="C4" s="23"/>
      <c r="D4" s="23"/>
      <c r="E4" s="23"/>
      <c r="F4" s="22"/>
      <c r="G4" s="23"/>
      <c r="H4" s="23"/>
      <c r="I4" s="23"/>
      <c r="J4" s="22"/>
      <c r="K4" s="23"/>
      <c r="L4" s="23"/>
      <c r="M4" s="23"/>
      <c r="N4" s="22"/>
      <c r="O4" s="23"/>
      <c r="P4" s="23"/>
      <c r="Q4" s="23"/>
      <c r="R4" s="22">
        <v>0.5</v>
      </c>
      <c r="S4" s="23">
        <v>0.5</v>
      </c>
      <c r="T4" s="23">
        <f>1.1+0.1</f>
        <v>1.2000000000000002</v>
      </c>
      <c r="U4" s="23">
        <v>0</v>
      </c>
      <c r="V4" s="22">
        <v>0.9</v>
      </c>
      <c r="W4" s="23">
        <f>0.4+0.2+0.1</f>
        <v>0.70000000000000007</v>
      </c>
      <c r="X4" s="23">
        <f>7+0.2+0.1</f>
        <v>7.3</v>
      </c>
      <c r="Y4" s="23"/>
    </row>
    <row r="5" spans="1:25" s="8" customFormat="1" x14ac:dyDescent="0.15">
      <c r="B5" s="23"/>
      <c r="C5" s="23"/>
      <c r="D5" s="23"/>
      <c r="E5" s="23"/>
      <c r="F5" s="22"/>
      <c r="G5" s="23"/>
      <c r="H5" s="23"/>
      <c r="I5" s="23"/>
      <c r="J5" s="22"/>
      <c r="K5" s="23"/>
      <c r="L5" s="23"/>
      <c r="M5" s="23"/>
      <c r="N5" s="22"/>
      <c r="O5" s="23"/>
      <c r="P5" s="23"/>
      <c r="Q5" s="23"/>
      <c r="R5" s="22"/>
      <c r="S5" s="23"/>
      <c r="T5" s="23"/>
      <c r="U5" s="23"/>
      <c r="V5" s="22"/>
      <c r="W5" s="23"/>
      <c r="X5" s="23"/>
      <c r="Y5" s="23"/>
    </row>
    <row r="6" spans="1:25" s="70" customFormat="1" x14ac:dyDescent="0.15">
      <c r="A6" s="70" t="s">
        <v>81</v>
      </c>
      <c r="B6" s="71"/>
      <c r="C6" s="71"/>
      <c r="D6" s="71"/>
      <c r="E6" s="71"/>
      <c r="F6" s="72"/>
      <c r="G6" s="71"/>
      <c r="H6" s="71"/>
      <c r="I6" s="71"/>
      <c r="J6" s="72"/>
      <c r="K6" s="71"/>
      <c r="L6" s="71"/>
      <c r="M6" s="71"/>
      <c r="N6" s="72">
        <v>0.11781800000000001</v>
      </c>
      <c r="O6" s="71">
        <v>0.168491</v>
      </c>
      <c r="P6" s="71">
        <v>0.25736700000000001</v>
      </c>
      <c r="Q6" s="71">
        <v>0.30883500000000003</v>
      </c>
      <c r="R6" s="72">
        <v>0.37157099999999998</v>
      </c>
      <c r="S6" s="71">
        <v>0.44275199999999998</v>
      </c>
      <c r="T6" s="71">
        <v>0.56225099999999995</v>
      </c>
      <c r="U6" s="71">
        <v>0.64311799999999997</v>
      </c>
      <c r="V6" s="72">
        <v>0.729325</v>
      </c>
      <c r="W6" s="71">
        <v>0.81415999999999999</v>
      </c>
      <c r="X6" s="71">
        <v>0.94131299999999996</v>
      </c>
      <c r="Y6" s="71"/>
    </row>
    <row r="7" spans="1:25" s="8" customFormat="1" x14ac:dyDescent="0.15">
      <c r="A7" s="8" t="s">
        <v>82</v>
      </c>
      <c r="B7" s="23"/>
      <c r="C7" s="23"/>
      <c r="D7" s="23"/>
      <c r="E7" s="23"/>
      <c r="F7" s="22"/>
      <c r="G7" s="23"/>
      <c r="H7" s="23"/>
      <c r="I7" s="23"/>
      <c r="J7" s="22"/>
      <c r="K7" s="23"/>
      <c r="L7" s="23"/>
      <c r="M7" s="23"/>
      <c r="N7" s="22"/>
      <c r="O7" s="23"/>
      <c r="P7" s="23"/>
      <c r="Q7" s="23"/>
      <c r="R7" s="27">
        <f>SUM(R3:R4)/R6</f>
        <v>29.604032607496279</v>
      </c>
      <c r="S7" s="26">
        <f>SUM(S3:S4)/S6</f>
        <v>31.168690372940159</v>
      </c>
      <c r="T7" s="26">
        <f>SUM(T3:T4)/T6</f>
        <v>33.792736695888493</v>
      </c>
      <c r="U7" s="26">
        <f>SUM(U3:U4)/U6</f>
        <v>36.54072814009249</v>
      </c>
      <c r="V7" s="27">
        <f>SUM(V3:V4)/V6</f>
        <v>35.923628012203061</v>
      </c>
      <c r="W7" s="26">
        <f>SUM(W3:W4)/W6</f>
        <v>36.724968065245157</v>
      </c>
      <c r="X7" s="26">
        <f>SUM(X3:X4)/X6</f>
        <v>18.909756903389205</v>
      </c>
      <c r="Y7" s="23"/>
    </row>
    <row r="8" spans="1:25" s="23" customFormat="1" x14ac:dyDescent="0.15">
      <c r="F8" s="22"/>
      <c r="J8" s="22"/>
      <c r="N8" s="22"/>
      <c r="R8" s="22"/>
      <c r="V8" s="22"/>
      <c r="X8" s="23">
        <v>14</v>
      </c>
      <c r="Y8" s="23">
        <v>18</v>
      </c>
    </row>
    <row r="9" spans="1:25" s="17" customFormat="1" x14ac:dyDescent="0.15">
      <c r="A9" s="17" t="s">
        <v>4</v>
      </c>
      <c r="B9" s="24">
        <f t="shared" ref="B9:Q9" si="0">SUM(B3:B7)</f>
        <v>0</v>
      </c>
      <c r="C9" s="24">
        <f t="shared" si="0"/>
        <v>0</v>
      </c>
      <c r="D9" s="24">
        <f t="shared" si="0"/>
        <v>0</v>
      </c>
      <c r="E9" s="24">
        <f t="shared" si="0"/>
        <v>0</v>
      </c>
      <c r="F9" s="25">
        <f t="shared" si="0"/>
        <v>0</v>
      </c>
      <c r="G9" s="24">
        <f t="shared" si="0"/>
        <v>0</v>
      </c>
      <c r="H9" s="24">
        <f t="shared" si="0"/>
        <v>0</v>
      </c>
      <c r="I9" s="24">
        <f t="shared" si="0"/>
        <v>0</v>
      </c>
      <c r="J9" s="25">
        <f t="shared" si="0"/>
        <v>0</v>
      </c>
      <c r="K9" s="24">
        <f t="shared" si="0"/>
        <v>0</v>
      </c>
      <c r="L9" s="24">
        <f t="shared" si="0"/>
        <v>0</v>
      </c>
      <c r="M9" s="24">
        <f t="shared" si="0"/>
        <v>0</v>
      </c>
      <c r="N9" s="25">
        <f t="shared" si="0"/>
        <v>0.11781800000000001</v>
      </c>
      <c r="O9" s="24">
        <f t="shared" si="0"/>
        <v>0.168491</v>
      </c>
      <c r="P9" s="24">
        <f t="shared" si="0"/>
        <v>0.25736700000000001</v>
      </c>
      <c r="Q9" s="24">
        <f t="shared" si="0"/>
        <v>0.30883500000000003</v>
      </c>
      <c r="R9" s="25">
        <f>R7*R6</f>
        <v>11</v>
      </c>
      <c r="S9" s="24">
        <f>S7*S6</f>
        <v>13.8</v>
      </c>
      <c r="T9" s="24">
        <f>T7*T6</f>
        <v>19</v>
      </c>
      <c r="U9" s="24">
        <f>U7*U6</f>
        <v>23.5</v>
      </c>
      <c r="V9" s="25">
        <f>V7*V6</f>
        <v>26.199999999999996</v>
      </c>
      <c r="W9" s="24">
        <f>W7*W6</f>
        <v>29.9</v>
      </c>
      <c r="X9" s="24">
        <f>X7*X6</f>
        <v>17.8</v>
      </c>
      <c r="Y9" s="50">
        <v>18</v>
      </c>
    </row>
    <row r="10" spans="1:25" s="8" customFormat="1" x14ac:dyDescent="0.15">
      <c r="A10" s="8" t="s">
        <v>5</v>
      </c>
      <c r="B10" s="23">
        <v>166.798</v>
      </c>
      <c r="C10" s="23">
        <v>185.173</v>
      </c>
      <c r="D10" s="23">
        <v>190.98500000000001</v>
      </c>
      <c r="E10" s="23">
        <v>201.36099999999999</v>
      </c>
      <c r="F10" s="22">
        <v>198.572</v>
      </c>
      <c r="G10" s="23">
        <v>202.07900000000001</v>
      </c>
      <c r="H10" s="23">
        <v>202.70099999999999</v>
      </c>
      <c r="I10" s="23">
        <v>216.55600000000001</v>
      </c>
      <c r="J10" s="22">
        <v>237.33699999999999</v>
      </c>
      <c r="K10" s="23">
        <v>239.36</v>
      </c>
      <c r="L10" s="23">
        <v>262.92200000000003</v>
      </c>
      <c r="M10" s="23">
        <v>270.87200000000001</v>
      </c>
      <c r="N10" s="22">
        <v>258.90199999999999</v>
      </c>
      <c r="O10" s="23">
        <v>281.34399999999999</v>
      </c>
      <c r="P10" s="23">
        <v>295.49200000000002</v>
      </c>
      <c r="Q10" s="23">
        <v>359.26100000000002</v>
      </c>
      <c r="R10" s="22">
        <f>7.9+1.9</f>
        <v>9.8000000000000007</v>
      </c>
      <c r="S10" s="23">
        <f>9.9+2.2</f>
        <v>12.100000000000001</v>
      </c>
      <c r="T10" s="51">
        <f>12.6+2.3</f>
        <v>14.899999999999999</v>
      </c>
      <c r="U10" s="51">
        <v>451.983</v>
      </c>
      <c r="V10" s="22">
        <f>18.2+3.3</f>
        <v>21.5</v>
      </c>
      <c r="W10" s="51">
        <f>20.5+4</f>
        <v>24.5</v>
      </c>
      <c r="X10" s="51">
        <f>6.7+3.5</f>
        <v>10.199999999999999</v>
      </c>
      <c r="Y10" s="51"/>
    </row>
    <row r="11" spans="1:25" s="8" customFormat="1" x14ac:dyDescent="0.15">
      <c r="A11" s="8" t="s">
        <v>6</v>
      </c>
      <c r="B11" s="26">
        <f>B9-B10</f>
        <v>-166.798</v>
      </c>
      <c r="C11" s="26">
        <f>C9-C10</f>
        <v>-185.173</v>
      </c>
      <c r="D11" s="26">
        <f>D9-D10</f>
        <v>-190.98500000000001</v>
      </c>
      <c r="E11" s="26">
        <f>E9-E10</f>
        <v>-201.36099999999999</v>
      </c>
      <c r="F11" s="27">
        <f>F9-F10</f>
        <v>-198.572</v>
      </c>
      <c r="G11" s="26">
        <f t="shared" ref="G11:L11" si="1">G9-G10</f>
        <v>-202.07900000000001</v>
      </c>
      <c r="H11" s="26">
        <f t="shared" si="1"/>
        <v>-202.70099999999999</v>
      </c>
      <c r="I11" s="26">
        <f t="shared" si="1"/>
        <v>-216.55600000000001</v>
      </c>
      <c r="J11" s="27">
        <f t="shared" si="1"/>
        <v>-237.33699999999999</v>
      </c>
      <c r="K11" s="26">
        <f t="shared" si="1"/>
        <v>-239.36</v>
      </c>
      <c r="L11" s="26">
        <f t="shared" si="1"/>
        <v>-262.92200000000003</v>
      </c>
      <c r="M11" s="26">
        <f t="shared" ref="M11" si="2">M9-M10</f>
        <v>-270.87200000000001</v>
      </c>
      <c r="N11" s="27">
        <f>N9-N10</f>
        <v>-258.78418199999999</v>
      </c>
      <c r="O11" s="26">
        <f>O9-O10</f>
        <v>-281.17550899999998</v>
      </c>
      <c r="P11" s="26">
        <f t="shared" ref="P11:R11" si="3">P9-P10</f>
        <v>-295.23463300000003</v>
      </c>
      <c r="Q11" s="26">
        <f t="shared" si="3"/>
        <v>-358.95216500000004</v>
      </c>
      <c r="R11" s="27">
        <f t="shared" si="3"/>
        <v>1.1999999999999993</v>
      </c>
      <c r="S11" s="26">
        <f t="shared" ref="S11:X11" si="4">S9-S10</f>
        <v>1.6999999999999993</v>
      </c>
      <c r="T11" s="26">
        <f t="shared" si="4"/>
        <v>4.1000000000000014</v>
      </c>
      <c r="U11" s="26">
        <f t="shared" si="4"/>
        <v>-428.483</v>
      </c>
      <c r="V11" s="27">
        <f t="shared" ref="V11" si="5">V9-V10</f>
        <v>4.6999999999999957</v>
      </c>
      <c r="W11" s="26">
        <f t="shared" si="4"/>
        <v>5.3999999999999986</v>
      </c>
      <c r="X11" s="26">
        <f t="shared" si="4"/>
        <v>7.6000000000000014</v>
      </c>
      <c r="Y11" s="51"/>
    </row>
    <row r="12" spans="1:25" s="8" customFormat="1" x14ac:dyDescent="0.15">
      <c r="A12" s="8" t="s">
        <v>7</v>
      </c>
      <c r="B12" s="23">
        <v>215.50899999999999</v>
      </c>
      <c r="C12" s="23">
        <v>208.047</v>
      </c>
      <c r="D12" s="23">
        <v>218.66</v>
      </c>
      <c r="E12" s="23">
        <v>220.51400000000001</v>
      </c>
      <c r="F12" s="22">
        <v>237.20400000000001</v>
      </c>
      <c r="G12" s="23">
        <v>232.48400000000001</v>
      </c>
      <c r="H12" s="23">
        <v>248.45</v>
      </c>
      <c r="I12" s="23">
        <v>257.84899999999999</v>
      </c>
      <c r="J12" s="22">
        <v>285.077</v>
      </c>
      <c r="K12" s="23">
        <v>299.40100000000001</v>
      </c>
      <c r="L12" s="23">
        <v>315.55500000000001</v>
      </c>
      <c r="M12" s="23">
        <v>324.02600000000001</v>
      </c>
      <c r="N12" s="22">
        <v>348.76900000000001</v>
      </c>
      <c r="O12" s="23">
        <v>374.12799999999999</v>
      </c>
      <c r="P12" s="23">
        <v>398.95699999999999</v>
      </c>
      <c r="Q12" s="23">
        <v>415.95800000000003</v>
      </c>
      <c r="R12" s="22">
        <v>1.5</v>
      </c>
      <c r="S12" s="23">
        <v>2.1</v>
      </c>
      <c r="T12" s="51">
        <v>2.8</v>
      </c>
      <c r="U12" s="51">
        <v>499.80599999999998</v>
      </c>
      <c r="V12" s="22">
        <v>3.5</v>
      </c>
      <c r="W12" s="51">
        <v>4.2</v>
      </c>
      <c r="X12" s="51">
        <v>5.3</v>
      </c>
      <c r="Y12" s="51"/>
    </row>
    <row r="13" spans="1:25" s="8" customFormat="1" x14ac:dyDescent="0.15">
      <c r="A13" s="8" t="s">
        <v>8</v>
      </c>
      <c r="B13" s="23">
        <v>392.74099999999999</v>
      </c>
      <c r="C13" s="23">
        <v>426.99799999999999</v>
      </c>
      <c r="D13" s="23">
        <v>422.03100000000001</v>
      </c>
      <c r="E13" s="23">
        <v>441.47199999999998</v>
      </c>
      <c r="F13" s="22">
        <v>474.89100000000002</v>
      </c>
      <c r="G13" s="23">
        <v>462.78899999999999</v>
      </c>
      <c r="H13" s="23">
        <v>477.47500000000002</v>
      </c>
      <c r="I13" s="23">
        <v>495.04199999999997</v>
      </c>
      <c r="J13" s="22">
        <v>520.29700000000003</v>
      </c>
      <c r="K13" s="23">
        <v>553.09799999999996</v>
      </c>
      <c r="L13" s="23">
        <v>550.09299999999996</v>
      </c>
      <c r="M13" s="23">
        <v>574.10400000000004</v>
      </c>
      <c r="N13" s="22">
        <v>580.95699999999999</v>
      </c>
      <c r="O13" s="23">
        <v>646.21500000000003</v>
      </c>
      <c r="P13" s="23">
        <v>670.08399999999995</v>
      </c>
      <c r="Q13" s="23">
        <v>723.57299999999998</v>
      </c>
      <c r="R13" s="22">
        <v>18.399999999999999</v>
      </c>
      <c r="S13" s="23">
        <v>19</v>
      </c>
      <c r="T13" s="51">
        <v>27.5</v>
      </c>
      <c r="U13" s="51">
        <v>801.58799999999997</v>
      </c>
      <c r="V13" s="22">
        <v>19.2</v>
      </c>
      <c r="W13" s="51">
        <v>16.100000000000001</v>
      </c>
      <c r="X13" s="51">
        <v>22.2</v>
      </c>
      <c r="Y13" s="51"/>
    </row>
    <row r="14" spans="1:25" s="8" customFormat="1" x14ac:dyDescent="0.15">
      <c r="A14" s="8" t="s">
        <v>9</v>
      </c>
      <c r="B14" s="23">
        <f>145.081+1.755+14.272</f>
        <v>161.10799999999998</v>
      </c>
      <c r="C14" s="23">
        <f>130.208+0.034+18.081</f>
        <v>148.32299999999998</v>
      </c>
      <c r="D14" s="23">
        <f>122.578-0.751+18.246</f>
        <v>140.07300000000001</v>
      </c>
      <c r="E14" s="23">
        <f>134.052+0.521+18.05</f>
        <v>152.62299999999999</v>
      </c>
      <c r="F14" s="22">
        <f>146.935-0.419+18.394</f>
        <v>164.91</v>
      </c>
      <c r="G14" s="23">
        <f>138.596-0.466+18.988</f>
        <v>157.11799999999999</v>
      </c>
      <c r="H14" s="23">
        <f>143.702-0.338+22.652</f>
        <v>166.01600000000002</v>
      </c>
      <c r="I14" s="23">
        <f>148.477-0.285+18.5</f>
        <v>166.69200000000001</v>
      </c>
      <c r="J14" s="22">
        <f>150.808+19.128</f>
        <v>169.93599999999998</v>
      </c>
      <c r="K14" s="23">
        <f>156.929+19.32</f>
        <v>176.249</v>
      </c>
      <c r="L14" s="23">
        <f>147.402+19.428</f>
        <v>166.82999999999998</v>
      </c>
      <c r="M14" s="23">
        <f>169.567+18.686</f>
        <v>188.25300000000001</v>
      </c>
      <c r="N14" s="22">
        <f>170.44+17.146</f>
        <v>187.58600000000001</v>
      </c>
      <c r="O14" s="23">
        <f>178.04+17.149</f>
        <v>195.18899999999999</v>
      </c>
      <c r="P14" s="23">
        <f>184.063+23.874</f>
        <v>207.93699999999998</v>
      </c>
      <c r="Q14" s="23">
        <f>212.355+32.932</f>
        <v>245.28699999999998</v>
      </c>
      <c r="R14" s="22">
        <v>2.8</v>
      </c>
      <c r="S14" s="23">
        <v>3.6</v>
      </c>
      <c r="T14" s="51">
        <v>4.8</v>
      </c>
      <c r="U14" s="51">
        <f>225.938+42.698</f>
        <v>268.63599999999997</v>
      </c>
      <c r="V14" s="22">
        <v>18.2</v>
      </c>
      <c r="W14" s="51">
        <v>5.8</v>
      </c>
      <c r="X14" s="51">
        <v>10.6</v>
      </c>
      <c r="Y14" s="51"/>
    </row>
    <row r="15" spans="1:25" s="8" customFormat="1" x14ac:dyDescent="0.15">
      <c r="A15" s="8" t="s">
        <v>10</v>
      </c>
      <c r="B15" s="26">
        <f>SUM(B12:B14)</f>
        <v>769.35799999999995</v>
      </c>
      <c r="C15" s="26">
        <f>SUM(C12:C14)</f>
        <v>783.36799999999994</v>
      </c>
      <c r="D15" s="26">
        <f>SUM(D12:D14)</f>
        <v>780.76400000000001</v>
      </c>
      <c r="E15" s="26">
        <f>SUM(E12:E14)</f>
        <v>814.60899999999992</v>
      </c>
      <c r="F15" s="27">
        <f>SUM(F12:F14)</f>
        <v>877.005</v>
      </c>
      <c r="G15" s="26">
        <f t="shared" ref="G15:L15" si="6">SUM(G12:G14)</f>
        <v>852.39100000000008</v>
      </c>
      <c r="H15" s="26">
        <f t="shared" si="6"/>
        <v>891.94100000000003</v>
      </c>
      <c r="I15" s="26">
        <f t="shared" si="6"/>
        <v>919.58299999999997</v>
      </c>
      <c r="J15" s="27">
        <f t="shared" si="6"/>
        <v>975.31</v>
      </c>
      <c r="K15" s="26">
        <f t="shared" si="6"/>
        <v>1028.748</v>
      </c>
      <c r="L15" s="26">
        <f t="shared" si="6"/>
        <v>1032.4779999999998</v>
      </c>
      <c r="M15" s="26">
        <f t="shared" ref="M15:N15" si="7">SUM(M12:M14)</f>
        <v>1086.383</v>
      </c>
      <c r="N15" s="27">
        <f t="shared" si="7"/>
        <v>1117.3119999999999</v>
      </c>
      <c r="O15" s="26">
        <f t="shared" ref="O15:P15" si="8">SUM(O12:O14)</f>
        <v>1215.5320000000002</v>
      </c>
      <c r="P15" s="26">
        <f t="shared" si="8"/>
        <v>1276.9779999999998</v>
      </c>
      <c r="Q15" s="26">
        <f t="shared" ref="Q15:S15" si="9">SUM(Q12:Q14)</f>
        <v>1384.818</v>
      </c>
      <c r="R15" s="27">
        <f t="shared" si="9"/>
        <v>22.7</v>
      </c>
      <c r="S15" s="26">
        <f t="shared" si="9"/>
        <v>24.700000000000003</v>
      </c>
      <c r="T15" s="26">
        <f t="shared" ref="T15:U15" si="10">SUM(T12:T14)</f>
        <v>35.1</v>
      </c>
      <c r="U15" s="26">
        <f t="shared" si="10"/>
        <v>1570.03</v>
      </c>
      <c r="V15" s="27">
        <f t="shared" ref="V15:X15" si="11">SUM(V12:V14)</f>
        <v>40.9</v>
      </c>
      <c r="W15" s="26">
        <f t="shared" si="11"/>
        <v>26.1</v>
      </c>
      <c r="X15" s="26">
        <f t="shared" si="11"/>
        <v>38.1</v>
      </c>
      <c r="Y15" s="51"/>
    </row>
    <row r="16" spans="1:25" s="8" customFormat="1" x14ac:dyDescent="0.15">
      <c r="A16" s="8" t="s">
        <v>11</v>
      </c>
      <c r="B16" s="26">
        <f>B11-B15</f>
        <v>-936.15599999999995</v>
      </c>
      <c r="C16" s="26">
        <f>C11-C15</f>
        <v>-968.54099999999994</v>
      </c>
      <c r="D16" s="26">
        <f>D11-D15</f>
        <v>-971.74900000000002</v>
      </c>
      <c r="E16" s="26">
        <f>E11-E15</f>
        <v>-1015.9699999999999</v>
      </c>
      <c r="F16" s="27">
        <f>F11-F15</f>
        <v>-1075.577</v>
      </c>
      <c r="G16" s="26">
        <f t="shared" ref="G16:H16" si="12">G11-G15</f>
        <v>-1054.47</v>
      </c>
      <c r="H16" s="26">
        <f t="shared" si="12"/>
        <v>-1094.6420000000001</v>
      </c>
      <c r="I16" s="26">
        <f t="shared" ref="I16:P16" si="13">I11-I15</f>
        <v>-1136.1389999999999</v>
      </c>
      <c r="J16" s="27">
        <f t="shared" si="13"/>
        <v>-1212.6469999999999</v>
      </c>
      <c r="K16" s="26">
        <f t="shared" si="13"/>
        <v>-1268.1080000000002</v>
      </c>
      <c r="L16" s="26">
        <f t="shared" si="13"/>
        <v>-1295.3999999999999</v>
      </c>
      <c r="M16" s="26">
        <f t="shared" si="13"/>
        <v>-1357.2550000000001</v>
      </c>
      <c r="N16" s="27">
        <f t="shared" si="13"/>
        <v>-1376.0961819999998</v>
      </c>
      <c r="O16" s="26">
        <f t="shared" si="13"/>
        <v>-1496.7075090000001</v>
      </c>
      <c r="P16" s="26">
        <f t="shared" si="13"/>
        <v>-1572.2126329999999</v>
      </c>
      <c r="Q16" s="26">
        <f t="shared" ref="Q16:S16" si="14">Q11-Q15</f>
        <v>-1743.7701649999999</v>
      </c>
      <c r="R16" s="27">
        <f t="shared" si="14"/>
        <v>-21.5</v>
      </c>
      <c r="S16" s="26">
        <f t="shared" si="14"/>
        <v>-23.000000000000004</v>
      </c>
      <c r="T16" s="26">
        <f t="shared" ref="T16:U16" si="15">T11-T15</f>
        <v>-31</v>
      </c>
      <c r="U16" s="26">
        <f t="shared" si="15"/>
        <v>-1998.5129999999999</v>
      </c>
      <c r="V16" s="27">
        <f t="shared" ref="V16:X16" si="16">V11-V15</f>
        <v>-36.200000000000003</v>
      </c>
      <c r="W16" s="26">
        <f t="shared" si="16"/>
        <v>-20.700000000000003</v>
      </c>
      <c r="X16" s="26">
        <f t="shared" si="16"/>
        <v>-30.5</v>
      </c>
      <c r="Y16" s="51"/>
    </row>
    <row r="17" spans="1:25" s="8" customFormat="1" x14ac:dyDescent="0.15">
      <c r="A17" s="8" t="s">
        <v>12</v>
      </c>
      <c r="B17" s="23">
        <v>-9.7769999999999992</v>
      </c>
      <c r="C17" s="23">
        <v>-12.643000000000001</v>
      </c>
      <c r="D17" s="23">
        <v>-13.4</v>
      </c>
      <c r="E17" s="23">
        <v>6.5060000000000002</v>
      </c>
      <c r="F17" s="22">
        <v>-15.451000000000001</v>
      </c>
      <c r="G17" s="23">
        <v>-14.409000000000001</v>
      </c>
      <c r="H17" s="23">
        <v>-13.023999999999999</v>
      </c>
      <c r="I17" s="23">
        <v>-15.58</v>
      </c>
      <c r="J17" s="22">
        <v>-8.3670000000000009</v>
      </c>
      <c r="K17" s="23">
        <v>-11.464</v>
      </c>
      <c r="L17" s="23">
        <v>-4.2949999999999999</v>
      </c>
      <c r="M17" s="23">
        <v>-6.3280000000000003</v>
      </c>
      <c r="N17" s="22">
        <v>-0.23100000000000001</v>
      </c>
      <c r="O17" s="23">
        <v>-7.6849999999999996</v>
      </c>
      <c r="P17" s="23">
        <v>-17.248000000000001</v>
      </c>
      <c r="Q17" s="23">
        <v>-21.329000000000001</v>
      </c>
      <c r="R17" s="22">
        <v>0</v>
      </c>
      <c r="S17" s="23">
        <v>0</v>
      </c>
      <c r="T17" s="51">
        <v>0</v>
      </c>
      <c r="U17" s="51">
        <v>-12.784000000000001</v>
      </c>
      <c r="V17" s="22">
        <v>0</v>
      </c>
      <c r="W17" s="51">
        <v>0</v>
      </c>
      <c r="X17" s="51">
        <v>0</v>
      </c>
      <c r="Y17" s="51"/>
    </row>
    <row r="18" spans="1:25" s="8" customFormat="1" x14ac:dyDescent="0.15">
      <c r="A18" s="8" t="s">
        <v>13</v>
      </c>
      <c r="B18" s="26">
        <f>B16+B17</f>
        <v>-945.93299999999999</v>
      </c>
      <c r="C18" s="26">
        <f>C16+C17</f>
        <v>-981.18399999999997</v>
      </c>
      <c r="D18" s="26">
        <f>D16+D17</f>
        <v>-985.149</v>
      </c>
      <c r="E18" s="26">
        <f>E16+E17</f>
        <v>-1009.4639999999999</v>
      </c>
      <c r="F18" s="27">
        <f>F16+F17</f>
        <v>-1091.028</v>
      </c>
      <c r="G18" s="26">
        <f t="shared" ref="G18:I18" si="17">G16+G17</f>
        <v>-1068.8790000000001</v>
      </c>
      <c r="H18" s="26">
        <f t="shared" si="17"/>
        <v>-1107.6659999999999</v>
      </c>
      <c r="I18" s="26">
        <f t="shared" si="17"/>
        <v>-1151.7189999999998</v>
      </c>
      <c r="J18" s="27">
        <f t="shared" ref="J18:K18" si="18">J16+J17</f>
        <v>-1221.0139999999999</v>
      </c>
      <c r="K18" s="26">
        <f t="shared" si="18"/>
        <v>-1279.5720000000001</v>
      </c>
      <c r="L18" s="26">
        <f t="shared" ref="L18:N18" si="19">L16+L17</f>
        <v>-1299.6949999999999</v>
      </c>
      <c r="M18" s="26">
        <f>M16+M17</f>
        <v>-1363.5830000000001</v>
      </c>
      <c r="N18" s="27">
        <f t="shared" si="19"/>
        <v>-1376.3271819999998</v>
      </c>
      <c r="O18" s="26">
        <f t="shared" ref="O18" si="20">O16+O17</f>
        <v>-1504.392509</v>
      </c>
      <c r="P18" s="26">
        <f t="shared" ref="P18:T18" si="21">P16+P17</f>
        <v>-1589.4606329999999</v>
      </c>
      <c r="Q18" s="26">
        <f t="shared" si="21"/>
        <v>-1765.0991649999999</v>
      </c>
      <c r="R18" s="27">
        <f t="shared" si="21"/>
        <v>-21.5</v>
      </c>
      <c r="S18" s="26">
        <f t="shared" si="21"/>
        <v>-23.000000000000004</v>
      </c>
      <c r="T18" s="26">
        <f t="shared" si="21"/>
        <v>-31</v>
      </c>
      <c r="U18" s="26">
        <f t="shared" ref="U18" si="22">U16+U17</f>
        <v>-2011.297</v>
      </c>
      <c r="V18" s="27">
        <f t="shared" ref="V18:X18" si="23">V16+V17</f>
        <v>-36.200000000000003</v>
      </c>
      <c r="W18" s="26">
        <f t="shared" si="23"/>
        <v>-20.700000000000003</v>
      </c>
      <c r="X18" s="26">
        <f t="shared" si="23"/>
        <v>-30.5</v>
      </c>
      <c r="Y18" s="51"/>
    </row>
    <row r="19" spans="1:25" s="8" customFormat="1" x14ac:dyDescent="0.15">
      <c r="A19" s="8" t="s">
        <v>14</v>
      </c>
      <c r="B19" s="23">
        <v>78.36</v>
      </c>
      <c r="C19" s="23">
        <v>33.481000000000002</v>
      </c>
      <c r="D19" s="23">
        <v>58.154000000000003</v>
      </c>
      <c r="E19" s="23">
        <v>74.234999999999999</v>
      </c>
      <c r="F19" s="22">
        <v>38</v>
      </c>
      <c r="G19" s="23">
        <v>85.756</v>
      </c>
      <c r="H19" s="23">
        <v>85.513000000000005</v>
      </c>
      <c r="I19" s="23">
        <v>57.087000000000003</v>
      </c>
      <c r="J19" s="22">
        <v>62.186</v>
      </c>
      <c r="K19" s="23">
        <v>118.22799999999999</v>
      </c>
      <c r="L19" s="23">
        <v>121.81</v>
      </c>
      <c r="M19" s="23">
        <v>141.46299999999999</v>
      </c>
      <c r="N19" s="22">
        <v>119.426</v>
      </c>
      <c r="O19" s="23">
        <v>27.632000000000001</v>
      </c>
      <c r="P19" s="23">
        <v>35.067</v>
      </c>
      <c r="Q19" s="23">
        <v>20.977</v>
      </c>
      <c r="R19" s="22">
        <v>0.1</v>
      </c>
      <c r="S19" s="23">
        <v>0.1</v>
      </c>
      <c r="T19" s="23">
        <v>0.1</v>
      </c>
      <c r="U19" s="23">
        <v>105.286</v>
      </c>
      <c r="V19" s="22">
        <v>0.3</v>
      </c>
      <c r="W19" s="23">
        <v>0.2</v>
      </c>
      <c r="X19" s="23">
        <v>0.4</v>
      </c>
      <c r="Y19" s="23"/>
    </row>
    <row r="20" spans="1:25" s="47" customFormat="1" x14ac:dyDescent="0.15">
      <c r="A20" s="47" t="s">
        <v>68</v>
      </c>
      <c r="B20" s="39"/>
      <c r="C20" s="39"/>
      <c r="D20" s="39"/>
      <c r="E20" s="39"/>
      <c r="F20" s="40"/>
      <c r="G20" s="39"/>
      <c r="H20" s="39"/>
      <c r="I20" s="39"/>
      <c r="J20" s="40"/>
      <c r="K20" s="39"/>
      <c r="L20" s="39"/>
      <c r="M20" s="39"/>
      <c r="N20" s="40"/>
      <c r="O20" s="39"/>
      <c r="P20" s="39"/>
      <c r="Q20" s="39"/>
      <c r="R20" s="40"/>
      <c r="S20" s="39"/>
      <c r="T20" s="39"/>
      <c r="U20" s="39"/>
      <c r="V20" s="40"/>
      <c r="W20" s="39"/>
      <c r="X20" s="39"/>
      <c r="Y20" s="39"/>
    </row>
    <row r="21" spans="1:25" s="17" customFormat="1" x14ac:dyDescent="0.15">
      <c r="A21" s="17" t="s">
        <v>15</v>
      </c>
      <c r="B21" s="24">
        <f>B18-B19</f>
        <v>-1024.2929999999999</v>
      </c>
      <c r="C21" s="24">
        <f>C18-C19</f>
        <v>-1014.665</v>
      </c>
      <c r="D21" s="24">
        <f>D18-D19</f>
        <v>-1043.3030000000001</v>
      </c>
      <c r="E21" s="24">
        <f>E18-E19</f>
        <v>-1083.6989999999998</v>
      </c>
      <c r="F21" s="25">
        <f>F18-F19</f>
        <v>-1129.028</v>
      </c>
      <c r="G21" s="24">
        <f t="shared" ref="G21:H21" si="24">G18-G19</f>
        <v>-1154.6350000000002</v>
      </c>
      <c r="H21" s="24">
        <f t="shared" si="24"/>
        <v>-1193.1789999999999</v>
      </c>
      <c r="I21" s="24">
        <f t="shared" ref="I21:O21" si="25">I18-I19</f>
        <v>-1208.8059999999998</v>
      </c>
      <c r="J21" s="25">
        <f t="shared" si="25"/>
        <v>-1283.1999999999998</v>
      </c>
      <c r="K21" s="24">
        <f t="shared" si="25"/>
        <v>-1397.8000000000002</v>
      </c>
      <c r="L21" s="24">
        <f t="shared" si="25"/>
        <v>-1421.5049999999999</v>
      </c>
      <c r="M21" s="24">
        <f t="shared" si="25"/>
        <v>-1505.046</v>
      </c>
      <c r="N21" s="25">
        <f t="shared" si="25"/>
        <v>-1495.7531819999997</v>
      </c>
      <c r="O21" s="24">
        <f t="shared" si="25"/>
        <v>-1532.0245090000001</v>
      </c>
      <c r="P21" s="24">
        <f t="shared" ref="P21:S21" si="26">P18-P19</f>
        <v>-1624.5276329999999</v>
      </c>
      <c r="Q21" s="24">
        <f t="shared" si="26"/>
        <v>-1786.0761649999999</v>
      </c>
      <c r="R21" s="25">
        <f t="shared" si="26"/>
        <v>-21.6</v>
      </c>
      <c r="S21" s="24">
        <f t="shared" si="26"/>
        <v>-23.100000000000005</v>
      </c>
      <c r="T21" s="24">
        <f t="shared" ref="T21:U21" si="27">T18-T19</f>
        <v>-31.1</v>
      </c>
      <c r="U21" s="24">
        <f t="shared" si="27"/>
        <v>-2116.5830000000001</v>
      </c>
      <c r="V21" s="25">
        <f t="shared" ref="V21:X21" si="28">V18-V19</f>
        <v>-36.5</v>
      </c>
      <c r="W21" s="24">
        <f t="shared" si="28"/>
        <v>-20.900000000000002</v>
      </c>
      <c r="X21" s="24">
        <f t="shared" si="28"/>
        <v>-30.9</v>
      </c>
      <c r="Y21" s="50"/>
    </row>
    <row r="22" spans="1:25" s="4" customFormat="1" x14ac:dyDescent="0.15">
      <c r="A22" s="4" t="s">
        <v>16</v>
      </c>
      <c r="B22" s="60">
        <f t="shared" ref="B22:H22" si="29">IFERROR(B21/B23,0)</f>
        <v>0</v>
      </c>
      <c r="C22" s="60">
        <f t="shared" si="29"/>
        <v>0</v>
      </c>
      <c r="D22" s="60">
        <f t="shared" si="29"/>
        <v>0</v>
      </c>
      <c r="E22" s="60">
        <f>IFERROR(E21/E23,0)</f>
        <v>0</v>
      </c>
      <c r="F22" s="61">
        <f t="shared" si="29"/>
        <v>0</v>
      </c>
      <c r="G22" s="60">
        <f t="shared" si="29"/>
        <v>0</v>
      </c>
      <c r="H22" s="60">
        <f t="shared" si="29"/>
        <v>0</v>
      </c>
      <c r="I22" s="60">
        <f t="shared" ref="I22:L22" si="30">IFERROR(I21/I23,0)</f>
        <v>0</v>
      </c>
      <c r="J22" s="61">
        <f t="shared" si="30"/>
        <v>0</v>
      </c>
      <c r="K22" s="60">
        <f t="shared" si="30"/>
        <v>0</v>
      </c>
      <c r="L22" s="60">
        <f t="shared" si="30"/>
        <v>0</v>
      </c>
      <c r="M22" s="60">
        <f t="shared" ref="M22" si="31">IFERROR(M21/M23,0)</f>
        <v>0</v>
      </c>
      <c r="N22" s="61">
        <f t="shared" ref="N22:S22" si="32">IFERROR(N21/N23,0)</f>
        <v>0</v>
      </c>
      <c r="O22" s="60">
        <f t="shared" si="32"/>
        <v>0</v>
      </c>
      <c r="P22" s="60">
        <f t="shared" si="32"/>
        <v>0</v>
      </c>
      <c r="Q22" s="60">
        <f t="shared" si="32"/>
        <v>0</v>
      </c>
      <c r="R22" s="61">
        <f t="shared" si="32"/>
        <v>-1.9665221454975113</v>
      </c>
      <c r="S22" s="60">
        <f t="shared" si="32"/>
        <v>-2.0861583394179624</v>
      </c>
      <c r="T22" s="60">
        <f t="shared" ref="T22:U22" si="33">IFERROR(T21/T23,0)</f>
        <v>-2.7820208814372474</v>
      </c>
      <c r="U22" s="60">
        <f t="shared" si="33"/>
        <v>0</v>
      </c>
      <c r="V22" s="61">
        <f t="shared" ref="V22:X22" si="34">IFERROR(V21/V23,0)</f>
        <v>-3.1623520344147074</v>
      </c>
      <c r="W22" s="60">
        <f t="shared" si="34"/>
        <v>-1.7574871264067993</v>
      </c>
      <c r="X22" s="60">
        <f t="shared" si="34"/>
        <v>-0.572250675797491</v>
      </c>
      <c r="Y22" s="62"/>
    </row>
    <row r="23" spans="1:25" s="8" customFormat="1" x14ac:dyDescent="0.15">
      <c r="A23" s="8" t="s">
        <v>17</v>
      </c>
      <c r="B23" s="23"/>
      <c r="C23" s="23"/>
      <c r="D23" s="23"/>
      <c r="E23" s="23"/>
      <c r="F23" s="22"/>
      <c r="G23" s="23"/>
      <c r="H23" s="23"/>
      <c r="I23" s="23"/>
      <c r="J23" s="22"/>
      <c r="K23" s="23"/>
      <c r="L23" s="23"/>
      <c r="M23" s="23"/>
      <c r="N23" s="22"/>
      <c r="O23" s="23"/>
      <c r="P23" s="23"/>
      <c r="Q23" s="23"/>
      <c r="R23" s="22">
        <v>10.983858</v>
      </c>
      <c r="S23" s="23">
        <v>11.072984999999999</v>
      </c>
      <c r="T23" s="51">
        <v>11.178924</v>
      </c>
      <c r="U23" s="51"/>
      <c r="V23" s="22">
        <v>11.542042</v>
      </c>
      <c r="W23" s="51">
        <v>11.891978999999999</v>
      </c>
      <c r="X23" s="51">
        <v>53.997315</v>
      </c>
      <c r="Y23" s="51"/>
    </row>
    <row r="24" spans="1:25" s="41" customFormat="1" x14ac:dyDescent="0.15">
      <c r="B24" s="39"/>
      <c r="C24" s="39"/>
      <c r="D24" s="39"/>
      <c r="E24" s="39"/>
      <c r="F24" s="40"/>
      <c r="G24" s="39"/>
      <c r="H24" s="39"/>
      <c r="I24" s="39"/>
      <c r="J24" s="40"/>
      <c r="K24" s="39"/>
      <c r="L24" s="39"/>
      <c r="M24" s="39"/>
      <c r="N24" s="57"/>
      <c r="Q24" s="39"/>
      <c r="R24" s="57"/>
      <c r="V24" s="57"/>
    </row>
    <row r="25" spans="1:25" x14ac:dyDescent="0.15">
      <c r="A25" s="6" t="s">
        <v>19</v>
      </c>
      <c r="B25" s="33">
        <f t="shared" ref="B25:Q25" si="35">IFERROR(B11/B9,0)</f>
        <v>0</v>
      </c>
      <c r="C25" s="33">
        <f t="shared" si="35"/>
        <v>0</v>
      </c>
      <c r="D25" s="33">
        <f t="shared" si="35"/>
        <v>0</v>
      </c>
      <c r="E25" s="33">
        <f t="shared" si="35"/>
        <v>0</v>
      </c>
      <c r="F25" s="34">
        <f t="shared" si="35"/>
        <v>0</v>
      </c>
      <c r="G25" s="33">
        <f t="shared" si="35"/>
        <v>0</v>
      </c>
      <c r="H25" s="33">
        <f t="shared" si="35"/>
        <v>0</v>
      </c>
      <c r="I25" s="33">
        <f t="shared" si="35"/>
        <v>0</v>
      </c>
      <c r="J25" s="34">
        <f t="shared" si="35"/>
        <v>0</v>
      </c>
      <c r="K25" s="33">
        <f t="shared" si="35"/>
        <v>0</v>
      </c>
      <c r="L25" s="33">
        <f t="shared" si="35"/>
        <v>0</v>
      </c>
      <c r="M25" s="33">
        <f t="shared" si="35"/>
        <v>0</v>
      </c>
      <c r="N25" s="34">
        <f t="shared" si="35"/>
        <v>-2196.4740701760338</v>
      </c>
      <c r="O25" s="33">
        <f t="shared" si="35"/>
        <v>-1668.7865167872467</v>
      </c>
      <c r="P25" s="33">
        <f t="shared" si="35"/>
        <v>-1147.1347647522798</v>
      </c>
      <c r="Q25" s="33">
        <f t="shared" si="35"/>
        <v>-1162.2781258600871</v>
      </c>
      <c r="R25" s="34">
        <f t="shared" ref="R25:S25" si="36">IFERROR(R11/R9,0)</f>
        <v>0.10909090909090903</v>
      </c>
      <c r="S25" s="33">
        <f t="shared" si="36"/>
        <v>0.12318840579710139</v>
      </c>
      <c r="T25" s="33">
        <f t="shared" ref="T25:V25" si="37">IFERROR(T11/T9,0)</f>
        <v>0.21578947368421061</v>
      </c>
      <c r="U25" s="33">
        <f t="shared" ref="U25" si="38">IFERROR(U11/U9,0)</f>
        <v>-18.233319148936172</v>
      </c>
      <c r="V25" s="34">
        <f t="shared" si="37"/>
        <v>0.17938931297709909</v>
      </c>
      <c r="W25" s="33">
        <f>IFERROR(W11/W9,0)</f>
        <v>0.18060200668896317</v>
      </c>
      <c r="X25" s="33">
        <f t="shared" ref="X25" si="39">IFERROR(X11/X9,0)</f>
        <v>0.4269662921348315</v>
      </c>
      <c r="Y25" s="33"/>
    </row>
    <row r="26" spans="1:25" x14ac:dyDescent="0.15">
      <c r="A26" s="6" t="s">
        <v>20</v>
      </c>
      <c r="B26" s="35">
        <f t="shared" ref="B26:Q26" si="40">IFERROR(B16/B9,0)</f>
        <v>0</v>
      </c>
      <c r="C26" s="35">
        <f t="shared" si="40"/>
        <v>0</v>
      </c>
      <c r="D26" s="35">
        <f t="shared" si="40"/>
        <v>0</v>
      </c>
      <c r="E26" s="35">
        <f t="shared" si="40"/>
        <v>0</v>
      </c>
      <c r="F26" s="36">
        <f t="shared" si="40"/>
        <v>0</v>
      </c>
      <c r="G26" s="35">
        <f t="shared" si="40"/>
        <v>0</v>
      </c>
      <c r="H26" s="35">
        <f t="shared" si="40"/>
        <v>0</v>
      </c>
      <c r="I26" s="35">
        <f t="shared" si="40"/>
        <v>0</v>
      </c>
      <c r="J26" s="36">
        <f t="shared" si="40"/>
        <v>0</v>
      </c>
      <c r="K26" s="35">
        <f t="shared" si="40"/>
        <v>0</v>
      </c>
      <c r="L26" s="35">
        <f t="shared" si="40"/>
        <v>0</v>
      </c>
      <c r="M26" s="35">
        <f t="shared" si="40"/>
        <v>0</v>
      </c>
      <c r="N26" s="36">
        <f t="shared" si="40"/>
        <v>-11679.846729701741</v>
      </c>
      <c r="O26" s="35">
        <f t="shared" si="40"/>
        <v>-8883.0116089286676</v>
      </c>
      <c r="P26" s="35">
        <f t="shared" si="40"/>
        <v>-6108.835371279145</v>
      </c>
      <c r="Q26" s="35">
        <f t="shared" si="40"/>
        <v>-5646.2841484935316</v>
      </c>
      <c r="R26" s="36">
        <f t="shared" ref="R26:S26" si="41">IFERROR(R16/R9,0)</f>
        <v>-1.9545454545454546</v>
      </c>
      <c r="S26" s="35">
        <f t="shared" si="41"/>
        <v>-1.6666666666666667</v>
      </c>
      <c r="T26" s="35">
        <f t="shared" ref="T26:V26" si="42">IFERROR(T16/T9,0)</f>
        <v>-1.631578947368421</v>
      </c>
      <c r="U26" s="35">
        <f t="shared" ref="U26" si="43">IFERROR(U16/U9,0)</f>
        <v>-85.043106382978721</v>
      </c>
      <c r="V26" s="36">
        <f t="shared" si="42"/>
        <v>-1.3816793893129775</v>
      </c>
      <c r="W26" s="35">
        <f t="shared" ref="W26:X26" si="44">IFERROR(W16/W9,0)</f>
        <v>-0.6923076923076924</v>
      </c>
      <c r="X26" s="35">
        <f t="shared" si="44"/>
        <v>-1.7134831460674156</v>
      </c>
      <c r="Y26" s="35"/>
    </row>
    <row r="27" spans="1:25" x14ac:dyDescent="0.15">
      <c r="A27" s="6" t="s">
        <v>21</v>
      </c>
      <c r="B27" s="35">
        <f t="shared" ref="B27:Q27" si="45">IFERROR(B19/B18,0)</f>
        <v>-8.2838847994519696E-2</v>
      </c>
      <c r="C27" s="35">
        <f t="shared" si="45"/>
        <v>-3.4123059487313291E-2</v>
      </c>
      <c r="D27" s="35">
        <f t="shared" si="45"/>
        <v>-5.9030664396959247E-2</v>
      </c>
      <c r="E27" s="35">
        <f t="shared" si="45"/>
        <v>-7.3539026651767675E-2</v>
      </c>
      <c r="F27" s="36">
        <f t="shared" si="45"/>
        <v>-3.482953691380973E-2</v>
      </c>
      <c r="G27" s="35">
        <f t="shared" si="45"/>
        <v>-8.0229848280301122E-2</v>
      </c>
      <c r="H27" s="35">
        <f t="shared" si="45"/>
        <v>-7.7201069636514991E-2</v>
      </c>
      <c r="I27" s="35">
        <f t="shared" si="45"/>
        <v>-4.9566778007482735E-2</v>
      </c>
      <c r="J27" s="36">
        <f t="shared" si="45"/>
        <v>-5.0929800968703066E-2</v>
      </c>
      <c r="K27" s="35">
        <f t="shared" si="45"/>
        <v>-9.239652008640388E-2</v>
      </c>
      <c r="L27" s="35">
        <f t="shared" si="45"/>
        <v>-9.3721988620407107E-2</v>
      </c>
      <c r="M27" s="35">
        <f t="shared" si="45"/>
        <v>-0.10374359316594588</v>
      </c>
      <c r="N27" s="36">
        <f t="shared" si="45"/>
        <v>-8.6771518837880535E-2</v>
      </c>
      <c r="O27" s="35">
        <f t="shared" si="45"/>
        <v>-1.836754692322122E-2</v>
      </c>
      <c r="P27" s="35">
        <f t="shared" si="45"/>
        <v>-2.206220102086668E-2</v>
      </c>
      <c r="Q27" s="35">
        <f t="shared" si="45"/>
        <v>-1.1884318125548488E-2</v>
      </c>
      <c r="R27" s="36">
        <f t="shared" ref="R27:S27" si="46">IFERROR(R19/R18,0)</f>
        <v>-4.6511627906976744E-3</v>
      </c>
      <c r="S27" s="35">
        <f t="shared" si="46"/>
        <v>-4.3478260869565209E-3</v>
      </c>
      <c r="T27" s="35">
        <f t="shared" ref="T27:V27" si="47">IFERROR(T19/T18,0)</f>
        <v>-3.2258064516129032E-3</v>
      </c>
      <c r="U27" s="35">
        <f t="shared" ref="U27" si="48">IFERROR(U19/U18,0)</f>
        <v>-5.2347316184531673E-2</v>
      </c>
      <c r="V27" s="36">
        <f t="shared" si="47"/>
        <v>-8.2872928176795577E-3</v>
      </c>
      <c r="W27" s="35">
        <f t="shared" ref="W27:X27" si="49">IFERROR(W19/W18,0)</f>
        <v>-9.6618357487922701E-3</v>
      </c>
      <c r="X27" s="35">
        <f t="shared" si="49"/>
        <v>-1.3114754098360656E-2</v>
      </c>
      <c r="Y27" s="35"/>
    </row>
    <row r="28" spans="1:25" s="41" customFormat="1" x14ac:dyDescent="0.15">
      <c r="B28" s="39"/>
      <c r="C28" s="39"/>
      <c r="D28" s="39"/>
      <c r="E28" s="39"/>
      <c r="F28" s="40"/>
      <c r="G28" s="39"/>
      <c r="H28" s="39"/>
      <c r="I28" s="39"/>
      <c r="J28" s="40"/>
      <c r="K28" s="39"/>
      <c r="L28" s="39"/>
      <c r="M28" s="39"/>
      <c r="N28" s="57"/>
      <c r="Q28" s="39"/>
      <c r="R28" s="57"/>
      <c r="V28" s="57"/>
    </row>
    <row r="29" spans="1:25" s="12" customFormat="1" x14ac:dyDescent="0.15">
      <c r="A29" s="12" t="s">
        <v>18</v>
      </c>
      <c r="B29" s="29"/>
      <c r="C29" s="29"/>
      <c r="D29" s="29"/>
      <c r="E29" s="29"/>
      <c r="F29" s="30">
        <f t="shared" ref="F29:Y29" si="50">IFERROR((F9/B9)-1,0)</f>
        <v>0</v>
      </c>
      <c r="G29" s="29">
        <f t="shared" si="50"/>
        <v>0</v>
      </c>
      <c r="H29" s="29">
        <f t="shared" si="50"/>
        <v>0</v>
      </c>
      <c r="I29" s="29">
        <f t="shared" si="50"/>
        <v>0</v>
      </c>
      <c r="J29" s="30">
        <f t="shared" si="50"/>
        <v>0</v>
      </c>
      <c r="K29" s="29">
        <f t="shared" si="50"/>
        <v>0</v>
      </c>
      <c r="L29" s="29">
        <f t="shared" si="50"/>
        <v>0</v>
      </c>
      <c r="M29" s="29">
        <f t="shared" si="50"/>
        <v>0</v>
      </c>
      <c r="N29" s="30">
        <f t="shared" si="50"/>
        <v>0</v>
      </c>
      <c r="O29" s="29">
        <f t="shared" si="50"/>
        <v>0</v>
      </c>
      <c r="P29" s="29">
        <f t="shared" si="50"/>
        <v>0</v>
      </c>
      <c r="Q29" s="29">
        <f t="shared" si="50"/>
        <v>0</v>
      </c>
      <c r="R29" s="30">
        <f t="shared" si="50"/>
        <v>92.364341611638281</v>
      </c>
      <c r="S29" s="29">
        <f t="shared" si="50"/>
        <v>80.903484459110572</v>
      </c>
      <c r="T29" s="29">
        <f t="shared" si="50"/>
        <v>72.824538499496825</v>
      </c>
      <c r="U29" s="29">
        <f t="shared" si="50"/>
        <v>75.092411805656738</v>
      </c>
      <c r="V29" s="30">
        <f t="shared" ref="V29" si="51">IFERROR((V9/R9)-1,0)</f>
        <v>1.3818181818181814</v>
      </c>
      <c r="W29" s="29">
        <f t="shared" si="50"/>
        <v>1.1666666666666665</v>
      </c>
      <c r="X29" s="29">
        <f>IFERROR((X9/T9)-1,0)</f>
        <v>-6.315789473684208E-2</v>
      </c>
      <c r="Y29" s="29">
        <f>IFERROR((Y9/U9)-1,0)</f>
        <v>-0.23404255319148937</v>
      </c>
    </row>
    <row r="30" spans="1:25" s="12" customFormat="1" x14ac:dyDescent="0.15">
      <c r="A30" s="6" t="s">
        <v>42</v>
      </c>
      <c r="B30" s="31"/>
      <c r="C30" s="31"/>
      <c r="D30" s="31"/>
      <c r="E30" s="31"/>
      <c r="F30" s="32">
        <f t="shared" ref="F30:X33" si="52">F12/B12-1</f>
        <v>0.10066864956915955</v>
      </c>
      <c r="G30" s="31">
        <f t="shared" si="52"/>
        <v>0.11745903569866423</v>
      </c>
      <c r="H30" s="31">
        <f t="shared" si="52"/>
        <v>0.13623890972285735</v>
      </c>
      <c r="I30" s="31">
        <f t="shared" si="52"/>
        <v>0.16930897811476808</v>
      </c>
      <c r="J30" s="32">
        <f t="shared" si="52"/>
        <v>0.20182206033625061</v>
      </c>
      <c r="K30" s="31">
        <f t="shared" si="52"/>
        <v>0.28783486175392725</v>
      </c>
      <c r="L30" s="31">
        <f t="shared" si="52"/>
        <v>0.27009458643590278</v>
      </c>
      <c r="M30" s="31">
        <f t="shared" si="52"/>
        <v>0.25665021000663191</v>
      </c>
      <c r="N30" s="32">
        <f t="shared" si="52"/>
        <v>0.22342033906628744</v>
      </c>
      <c r="O30" s="31">
        <f t="shared" si="52"/>
        <v>0.24958834472830738</v>
      </c>
      <c r="P30" s="31">
        <f t="shared" si="52"/>
        <v>0.26430257799749635</v>
      </c>
      <c r="Q30" s="31">
        <f t="shared" si="52"/>
        <v>0.28371797324906023</v>
      </c>
      <c r="R30" s="32">
        <f t="shared" si="52"/>
        <v>-0.99569915904223139</v>
      </c>
      <c r="S30" s="31">
        <f t="shared" si="52"/>
        <v>-0.99438694778257708</v>
      </c>
      <c r="T30" s="31">
        <f t="shared" si="52"/>
        <v>-0.99298169978218209</v>
      </c>
      <c r="U30" s="31">
        <f t="shared" si="52"/>
        <v>0.20157804393712819</v>
      </c>
      <c r="V30" s="32">
        <f t="shared" ref="V30:V32" si="53">V12/R12-1</f>
        <v>1.3333333333333335</v>
      </c>
      <c r="W30" s="31">
        <f t="shared" si="52"/>
        <v>1</v>
      </c>
      <c r="X30" s="31">
        <f t="shared" si="52"/>
        <v>0.89285714285714302</v>
      </c>
      <c r="Y30" s="31"/>
    </row>
    <row r="31" spans="1:25" s="12" customFormat="1" x14ac:dyDescent="0.15">
      <c r="A31" s="6" t="s">
        <v>43</v>
      </c>
      <c r="B31" s="31"/>
      <c r="C31" s="31"/>
      <c r="D31" s="31"/>
      <c r="E31" s="31"/>
      <c r="F31" s="32">
        <f t="shared" si="52"/>
        <v>0.20917092944204962</v>
      </c>
      <c r="G31" s="31">
        <f t="shared" si="52"/>
        <v>8.3820064730982358E-2</v>
      </c>
      <c r="H31" s="31">
        <f t="shared" si="52"/>
        <v>0.13137423554193894</v>
      </c>
      <c r="I31" s="31">
        <f t="shared" si="52"/>
        <v>0.12134404899970996</v>
      </c>
      <c r="J31" s="32">
        <f t="shared" si="52"/>
        <v>9.5613519734002228E-2</v>
      </c>
      <c r="K31" s="31">
        <f t="shared" si="52"/>
        <v>0.19514076609426745</v>
      </c>
      <c r="L31" s="31">
        <f t="shared" si="52"/>
        <v>0.15208754385046319</v>
      </c>
      <c r="M31" s="31">
        <f t="shared" si="52"/>
        <v>0.15970766116814339</v>
      </c>
      <c r="N31" s="32">
        <f t="shared" si="52"/>
        <v>0.11658725689365879</v>
      </c>
      <c r="O31" s="31">
        <f t="shared" si="52"/>
        <v>0.16835533666728164</v>
      </c>
      <c r="P31" s="31">
        <f t="shared" si="52"/>
        <v>0.21812857098708771</v>
      </c>
      <c r="Q31" s="31">
        <f t="shared" si="52"/>
        <v>0.2603517829522175</v>
      </c>
      <c r="R31" s="32">
        <f t="shared" si="52"/>
        <v>-0.96832812066986029</v>
      </c>
      <c r="S31" s="31">
        <f t="shared" si="52"/>
        <v>-0.97059802078255686</v>
      </c>
      <c r="T31" s="31">
        <f t="shared" si="52"/>
        <v>-0.95896036914774863</v>
      </c>
      <c r="U31" s="31">
        <f t="shared" si="52"/>
        <v>0.10781911431189384</v>
      </c>
      <c r="V31" s="32">
        <f t="shared" si="53"/>
        <v>4.3478260869565188E-2</v>
      </c>
      <c r="W31" s="31">
        <f t="shared" si="52"/>
        <v>-0.15263157894736834</v>
      </c>
      <c r="X31" s="31">
        <f t="shared" si="52"/>
        <v>-0.19272727272727275</v>
      </c>
      <c r="Y31" s="31"/>
    </row>
    <row r="32" spans="1:25" s="12" customFormat="1" x14ac:dyDescent="0.15">
      <c r="A32" s="6" t="s">
        <v>44</v>
      </c>
      <c r="B32" s="31"/>
      <c r="C32" s="31"/>
      <c r="D32" s="31"/>
      <c r="E32" s="31"/>
      <c r="F32" s="32">
        <f t="shared" si="52"/>
        <v>2.3599076395958152E-2</v>
      </c>
      <c r="G32" s="31">
        <f t="shared" si="52"/>
        <v>5.9296265582546415E-2</v>
      </c>
      <c r="H32" s="31">
        <f t="shared" si="52"/>
        <v>0.18521056877485309</v>
      </c>
      <c r="I32" s="31">
        <f t="shared" si="52"/>
        <v>9.218138812629828E-2</v>
      </c>
      <c r="J32" s="32">
        <f t="shared" si="52"/>
        <v>3.0477230004244626E-2</v>
      </c>
      <c r="K32" s="31">
        <f t="shared" si="52"/>
        <v>0.12176198780534375</v>
      </c>
      <c r="L32" s="31">
        <f t="shared" si="52"/>
        <v>4.9031418658440629E-3</v>
      </c>
      <c r="M32" s="31">
        <f t="shared" si="52"/>
        <v>0.12934633935641782</v>
      </c>
      <c r="N32" s="32">
        <f t="shared" si="52"/>
        <v>0.10386263063741663</v>
      </c>
      <c r="O32" s="31">
        <f t="shared" si="52"/>
        <v>0.10746160261902205</v>
      </c>
      <c r="P32" s="31">
        <f t="shared" si="52"/>
        <v>0.24640052748306651</v>
      </c>
      <c r="Q32" s="31">
        <f t="shared" si="52"/>
        <v>0.30296462738973595</v>
      </c>
      <c r="R32" s="32">
        <f t="shared" si="52"/>
        <v>-0.98507351294872747</v>
      </c>
      <c r="S32" s="31">
        <f t="shared" si="52"/>
        <v>-0.98155633770345663</v>
      </c>
      <c r="T32" s="31">
        <f t="shared" si="52"/>
        <v>-0.97691608516040918</v>
      </c>
      <c r="U32" s="31">
        <f t="shared" si="52"/>
        <v>9.5190531907520581E-2</v>
      </c>
      <c r="V32" s="32">
        <f t="shared" si="53"/>
        <v>5.5</v>
      </c>
      <c r="W32" s="31">
        <f t="shared" si="52"/>
        <v>0.61111111111111094</v>
      </c>
      <c r="X32" s="31">
        <f t="shared" si="52"/>
        <v>1.2083333333333335</v>
      </c>
      <c r="Y32" s="31"/>
    </row>
    <row r="33" spans="1:25" x14ac:dyDescent="0.15">
      <c r="A33" s="6" t="s">
        <v>69</v>
      </c>
      <c r="J33" s="34">
        <f t="shared" ref="J33:P33" si="54">J15/F15-1</f>
        <v>0.11209172125586497</v>
      </c>
      <c r="K33" s="33">
        <f t="shared" si="54"/>
        <v>0.20689683490323096</v>
      </c>
      <c r="L33" s="33">
        <f t="shared" si="54"/>
        <v>0.15756311235832832</v>
      </c>
      <c r="M33" s="33">
        <f t="shared" si="54"/>
        <v>0.18138656325747649</v>
      </c>
      <c r="N33" s="34">
        <f t="shared" si="54"/>
        <v>0.14559678461207204</v>
      </c>
      <c r="O33" s="33">
        <f t="shared" si="54"/>
        <v>0.18156438700245348</v>
      </c>
      <c r="P33" s="33">
        <f t="shared" si="54"/>
        <v>0.23680891989950403</v>
      </c>
      <c r="Q33" s="33">
        <f>Q15/M15-1</f>
        <v>0.27470514542293079</v>
      </c>
      <c r="R33" s="34">
        <f>R15/N15-1</f>
        <v>-0.97968338297628599</v>
      </c>
      <c r="S33" s="33">
        <f t="shared" si="52"/>
        <v>-0.97967967935027622</v>
      </c>
      <c r="T33" s="33">
        <f t="shared" si="52"/>
        <v>-0.97251323045502747</v>
      </c>
      <c r="U33" s="33">
        <f t="shared" si="52"/>
        <v>0.13374465092163734</v>
      </c>
      <c r="V33" s="34">
        <f>V15/R15-1</f>
        <v>0.80176211453744495</v>
      </c>
      <c r="W33" s="33">
        <f t="shared" si="52"/>
        <v>5.6680161943319707E-2</v>
      </c>
      <c r="X33" s="33">
        <f t="shared" si="52"/>
        <v>8.5470085470085388E-2</v>
      </c>
      <c r="Y33" s="33"/>
    </row>
    <row r="34" spans="1:25" x14ac:dyDescent="0.15">
      <c r="J34" s="45"/>
      <c r="K34" s="44"/>
      <c r="L34" s="44"/>
      <c r="M34" s="44"/>
      <c r="N34" s="45"/>
      <c r="O34" s="44"/>
      <c r="P34" s="44"/>
      <c r="Q34" s="44"/>
    </row>
    <row r="35" spans="1:25" s="17" customFormat="1" x14ac:dyDescent="0.15">
      <c r="A35" s="17" t="s">
        <v>26</v>
      </c>
      <c r="B35" s="23"/>
      <c r="C35" s="23"/>
      <c r="D35" s="23"/>
      <c r="E35" s="23"/>
      <c r="F35" s="22"/>
      <c r="G35" s="23"/>
      <c r="H35" s="23"/>
      <c r="I35" s="23"/>
      <c r="J35" s="22"/>
      <c r="K35" s="23"/>
      <c r="L35" s="23"/>
      <c r="M35" s="23"/>
      <c r="N35" s="22"/>
      <c r="O35" s="23"/>
      <c r="P35" s="23"/>
      <c r="Q35" s="24">
        <f t="shared" ref="Q35" si="55">Q36-Q37</f>
        <v>-69.2</v>
      </c>
      <c r="R35" s="22"/>
      <c r="S35" s="23"/>
      <c r="T35" s="23"/>
      <c r="U35" s="24">
        <f t="shared" ref="U35" si="56">U36-U37</f>
        <v>330.90000000000003</v>
      </c>
      <c r="V35" s="25">
        <f t="shared" ref="V35:X35" si="57">V36-V37</f>
        <v>58</v>
      </c>
      <c r="W35" s="24">
        <f t="shared" si="57"/>
        <v>-184.79999999999995</v>
      </c>
      <c r="X35" s="24">
        <f t="shared" si="57"/>
        <v>597.40000000000009</v>
      </c>
      <c r="Y35" s="46"/>
    </row>
    <row r="36" spans="1:25" s="8" customFormat="1" x14ac:dyDescent="0.15">
      <c r="A36" s="8" t="s">
        <v>27</v>
      </c>
      <c r="B36" s="23"/>
      <c r="C36" s="23"/>
      <c r="D36" s="23"/>
      <c r="E36" s="23"/>
      <c r="F36" s="22"/>
      <c r="G36" s="23"/>
      <c r="H36" s="23"/>
      <c r="I36" s="23"/>
      <c r="J36" s="22"/>
      <c r="K36" s="23"/>
      <c r="L36" s="23"/>
      <c r="M36" s="23"/>
      <c r="N36" s="22"/>
      <c r="O36" s="23"/>
      <c r="P36" s="23"/>
      <c r="Q36" s="23">
        <f>9.2+102.4</f>
        <v>111.60000000000001</v>
      </c>
      <c r="R36" s="22"/>
      <c r="S36" s="23"/>
      <c r="T36" s="23"/>
      <c r="U36" s="23">
        <f>60.6+270.3</f>
        <v>330.90000000000003</v>
      </c>
      <c r="V36" s="22">
        <f>2688+1483</f>
        <v>4171</v>
      </c>
      <c r="W36" s="23">
        <f>36.6+258.8</f>
        <v>295.40000000000003</v>
      </c>
      <c r="X36" s="23">
        <f>21.7+575.7</f>
        <v>597.40000000000009</v>
      </c>
      <c r="Y36" s="23"/>
    </row>
    <row r="37" spans="1:25" s="8" customFormat="1" x14ac:dyDescent="0.15">
      <c r="A37" s="8" t="s">
        <v>28</v>
      </c>
      <c r="B37" s="23"/>
      <c r="C37" s="23"/>
      <c r="D37" s="23"/>
      <c r="E37" s="23"/>
      <c r="F37" s="22"/>
      <c r="G37" s="23"/>
      <c r="H37" s="23"/>
      <c r="I37" s="23"/>
      <c r="J37" s="22"/>
      <c r="K37" s="23"/>
      <c r="L37" s="23"/>
      <c r="M37" s="23"/>
      <c r="N37" s="22"/>
      <c r="O37" s="23"/>
      <c r="P37" s="23"/>
      <c r="Q37" s="23">
        <v>180.8</v>
      </c>
      <c r="R37" s="22"/>
      <c r="S37" s="23"/>
      <c r="T37" s="23"/>
      <c r="U37" s="23">
        <v>0</v>
      </c>
      <c r="V37" s="22">
        <v>4113</v>
      </c>
      <c r="W37" s="23">
        <v>480.2</v>
      </c>
      <c r="X37" s="23">
        <v>0</v>
      </c>
      <c r="Y37" s="23"/>
    </row>
    <row r="38" spans="1:25" s="8" customFormat="1" x14ac:dyDescent="0.15">
      <c r="B38" s="23"/>
      <c r="C38" s="23"/>
      <c r="D38" s="23"/>
      <c r="E38" s="23"/>
      <c r="F38" s="22"/>
      <c r="G38" s="23"/>
      <c r="H38" s="23"/>
      <c r="I38" s="23"/>
      <c r="J38" s="22"/>
      <c r="K38" s="23"/>
      <c r="L38" s="23"/>
      <c r="M38" s="23"/>
      <c r="N38" s="22"/>
      <c r="O38" s="23"/>
      <c r="P38" s="23"/>
      <c r="Q38" s="23"/>
      <c r="R38" s="22"/>
      <c r="S38" s="23"/>
      <c r="T38" s="23"/>
      <c r="U38" s="23"/>
      <c r="V38" s="22"/>
      <c r="W38" s="23"/>
      <c r="X38" s="23"/>
      <c r="Y38" s="23"/>
    </row>
    <row r="39" spans="1:25" s="8" customFormat="1" x14ac:dyDescent="0.15">
      <c r="A39" s="63" t="s">
        <v>56</v>
      </c>
      <c r="B39" s="23"/>
      <c r="C39" s="23"/>
      <c r="D39" s="23"/>
      <c r="E39" s="23"/>
      <c r="F39" s="22"/>
      <c r="G39" s="23"/>
      <c r="H39" s="23"/>
      <c r="I39" s="23"/>
      <c r="J39" s="22"/>
      <c r="K39" s="23"/>
      <c r="L39" s="23"/>
      <c r="M39" s="23"/>
      <c r="N39" s="22"/>
      <c r="O39" s="23"/>
      <c r="P39" s="23"/>
      <c r="Q39" s="23">
        <v>0</v>
      </c>
      <c r="R39" s="22"/>
      <c r="S39" s="23"/>
      <c r="T39" s="23"/>
      <c r="U39" s="23">
        <v>0.6</v>
      </c>
      <c r="V39" s="22">
        <f>10691+1626</f>
        <v>12317</v>
      </c>
      <c r="W39" s="23">
        <v>0.6</v>
      </c>
      <c r="X39" s="23">
        <v>0.6</v>
      </c>
      <c r="Y39" s="23"/>
    </row>
    <row r="40" spans="1:25" s="8" customFormat="1" x14ac:dyDescent="0.15">
      <c r="A40" s="63" t="s">
        <v>57</v>
      </c>
      <c r="B40" s="23"/>
      <c r="C40" s="23"/>
      <c r="D40" s="23"/>
      <c r="E40" s="23"/>
      <c r="F40" s="22"/>
      <c r="G40" s="23"/>
      <c r="H40" s="23"/>
      <c r="I40" s="23"/>
      <c r="J40" s="22"/>
      <c r="K40" s="23"/>
      <c r="L40" s="23"/>
      <c r="M40" s="23"/>
      <c r="N40" s="22"/>
      <c r="O40" s="23"/>
      <c r="P40" s="23"/>
      <c r="Q40" s="23">
        <v>153.80000000000001</v>
      </c>
      <c r="R40" s="22"/>
      <c r="S40" s="23"/>
      <c r="T40" s="23"/>
      <c r="U40" s="23">
        <v>414.3</v>
      </c>
      <c r="V40" s="22">
        <v>21214</v>
      </c>
      <c r="W40" s="23">
        <v>399.9</v>
      </c>
      <c r="X40" s="23">
        <v>831.5</v>
      </c>
      <c r="Y40" s="23"/>
    </row>
    <row r="41" spans="1:25" s="8" customFormat="1" x14ac:dyDescent="0.15">
      <c r="A41" s="63" t="s">
        <v>58</v>
      </c>
      <c r="B41" s="23"/>
      <c r="C41" s="23"/>
      <c r="D41" s="23"/>
      <c r="E41" s="23"/>
      <c r="F41" s="22"/>
      <c r="G41" s="23"/>
      <c r="H41" s="23"/>
      <c r="I41" s="23"/>
      <c r="J41" s="22"/>
      <c r="K41" s="23"/>
      <c r="L41" s="23"/>
      <c r="M41" s="23"/>
      <c r="N41" s="22"/>
      <c r="O41" s="23"/>
      <c r="P41" s="23"/>
      <c r="Q41" s="23">
        <v>52.1</v>
      </c>
      <c r="R41" s="22"/>
      <c r="S41" s="23"/>
      <c r="T41" s="23"/>
      <c r="U41" s="23">
        <f>116.6+480.2</f>
        <v>596.79999999999995</v>
      </c>
      <c r="V41" s="22">
        <v>10749</v>
      </c>
      <c r="W41" s="23">
        <v>141.30000000000001</v>
      </c>
      <c r="X41" s="23">
        <v>262.5</v>
      </c>
      <c r="Y41" s="23"/>
    </row>
    <row r="42" spans="1:25" s="8" customFormat="1" x14ac:dyDescent="0.15">
      <c r="B42" s="23"/>
      <c r="C42" s="23"/>
      <c r="D42" s="23"/>
      <c r="E42" s="23"/>
      <c r="F42" s="22"/>
      <c r="G42" s="23"/>
      <c r="H42" s="23"/>
      <c r="I42" s="23"/>
      <c r="J42" s="22"/>
      <c r="K42" s="23"/>
      <c r="L42" s="23"/>
      <c r="M42" s="23"/>
      <c r="N42" s="22"/>
      <c r="O42" s="23"/>
      <c r="P42" s="23"/>
      <c r="Q42" s="23"/>
      <c r="R42" s="22"/>
      <c r="S42" s="23"/>
      <c r="T42" s="23"/>
      <c r="U42" s="23"/>
      <c r="V42" s="22"/>
      <c r="W42" s="23"/>
      <c r="X42" s="23"/>
      <c r="Y42" s="23"/>
    </row>
    <row r="43" spans="1:25" s="8" customFormat="1" x14ac:dyDescent="0.15">
      <c r="A43" s="63" t="s">
        <v>59</v>
      </c>
      <c r="B43" s="23"/>
      <c r="C43" s="23"/>
      <c r="D43" s="23"/>
      <c r="E43" s="23"/>
      <c r="F43" s="22"/>
      <c r="G43" s="23"/>
      <c r="H43" s="23"/>
      <c r="I43" s="23"/>
      <c r="J43" s="22"/>
      <c r="K43" s="23"/>
      <c r="L43" s="23"/>
      <c r="M43" s="23"/>
      <c r="N43" s="22"/>
      <c r="O43" s="23"/>
      <c r="P43" s="23"/>
      <c r="Q43" s="26">
        <f t="shared" ref="Q43" si="58">Q40-Q36-Q39</f>
        <v>42.2</v>
      </c>
      <c r="R43" s="22"/>
      <c r="S43" s="23"/>
      <c r="T43" s="23"/>
      <c r="U43" s="26">
        <f t="shared" ref="P43:V43" si="59">U40-U36-U39</f>
        <v>82.799999999999983</v>
      </c>
      <c r="V43" s="27">
        <f t="shared" si="59"/>
        <v>4726</v>
      </c>
      <c r="W43" s="26">
        <f t="shared" ref="W43:X43" si="60">W40-W36-W39</f>
        <v>103.89999999999995</v>
      </c>
      <c r="X43" s="26">
        <f t="shared" si="60"/>
        <v>233.49999999999991</v>
      </c>
      <c r="Y43" s="23"/>
    </row>
    <row r="44" spans="1:25" s="8" customFormat="1" x14ac:dyDescent="0.15">
      <c r="A44" s="63" t="s">
        <v>60</v>
      </c>
      <c r="B44" s="23"/>
      <c r="C44" s="23"/>
      <c r="D44" s="23"/>
      <c r="E44" s="23"/>
      <c r="F44" s="22"/>
      <c r="G44" s="23"/>
      <c r="H44" s="23"/>
      <c r="I44" s="23"/>
      <c r="J44" s="22"/>
      <c r="K44" s="23"/>
      <c r="L44" s="23"/>
      <c r="M44" s="23"/>
      <c r="N44" s="22"/>
      <c r="O44" s="23"/>
      <c r="P44" s="23"/>
      <c r="Q44" s="26">
        <f>Q40-Q41</f>
        <v>101.70000000000002</v>
      </c>
      <c r="R44" s="22"/>
      <c r="S44" s="23"/>
      <c r="T44" s="23"/>
      <c r="U44" s="26">
        <f>U40-U41</f>
        <v>-182.49999999999994</v>
      </c>
      <c r="V44" s="27">
        <f t="shared" ref="V44" si="61">V40-V41</f>
        <v>10465</v>
      </c>
      <c r="W44" s="26">
        <f>W40-W41</f>
        <v>258.59999999999997</v>
      </c>
      <c r="X44" s="26">
        <f>X40-X41</f>
        <v>569</v>
      </c>
      <c r="Y44" s="23"/>
    </row>
    <row r="45" spans="1:25" s="8" customFormat="1" x14ac:dyDescent="0.15">
      <c r="B45" s="23"/>
      <c r="C45" s="23"/>
      <c r="D45" s="23"/>
      <c r="E45" s="23"/>
      <c r="F45" s="22"/>
      <c r="G45" s="23"/>
      <c r="H45" s="23"/>
      <c r="I45" s="23"/>
      <c r="J45" s="22"/>
      <c r="K45" s="23"/>
      <c r="L45" s="23"/>
      <c r="M45" s="23"/>
      <c r="N45" s="22"/>
      <c r="O45" s="23"/>
      <c r="P45" s="23"/>
      <c r="Q45" s="23"/>
      <c r="R45" s="22"/>
      <c r="S45" s="23"/>
      <c r="T45" s="23"/>
      <c r="U45" s="23"/>
      <c r="V45" s="22"/>
      <c r="W45" s="23"/>
      <c r="X45" s="23"/>
      <c r="Y45" s="23"/>
    </row>
    <row r="46" spans="1:25" s="17" customFormat="1" x14ac:dyDescent="0.15">
      <c r="A46" s="64" t="s">
        <v>61</v>
      </c>
      <c r="B46" s="23"/>
      <c r="C46" s="23"/>
      <c r="D46" s="23"/>
      <c r="E46" s="23"/>
      <c r="F46" s="22"/>
      <c r="G46" s="23"/>
      <c r="H46" s="23"/>
      <c r="I46" s="23"/>
      <c r="J46" s="22"/>
      <c r="K46" s="23"/>
      <c r="L46" s="23"/>
      <c r="M46" s="23"/>
      <c r="N46" s="22"/>
      <c r="O46" s="23"/>
      <c r="P46" s="23"/>
      <c r="Q46" s="23"/>
      <c r="R46" s="22"/>
      <c r="S46" s="23"/>
      <c r="T46" s="23"/>
      <c r="U46" s="24">
        <f t="shared" ref="M46:U46" si="62">SUM(R21:U21)</f>
        <v>-2192.3830000000003</v>
      </c>
      <c r="V46" s="25">
        <f t="shared" ref="V46" si="63">SUM(S21:V21)</f>
        <v>-2207.2829999999999</v>
      </c>
      <c r="W46" s="24">
        <f>SUM(T21:W21)</f>
        <v>-2205.0830000000001</v>
      </c>
      <c r="X46" s="24">
        <f>SUM(U21:X21)</f>
        <v>-2204.8830000000003</v>
      </c>
      <c r="Y46" s="46"/>
    </row>
    <row r="47" spans="1:25" x14ac:dyDescent="0.15">
      <c r="A47" s="18" t="s">
        <v>62</v>
      </c>
      <c r="U47" s="33">
        <f t="shared" ref="P47:V47" si="64">U46/U44</f>
        <v>12.013057534246581</v>
      </c>
      <c r="V47" s="34">
        <f t="shared" si="64"/>
        <v>-0.21092049689440992</v>
      </c>
      <c r="W47" s="33">
        <f t="shared" ref="W47:X47" si="65">W46/W44</f>
        <v>-8.5270030935808219</v>
      </c>
      <c r="X47" s="33">
        <f t="shared" si="65"/>
        <v>-3.8750140597539549</v>
      </c>
    </row>
    <row r="48" spans="1:25" x14ac:dyDescent="0.15">
      <c r="A48" s="18" t="s">
        <v>63</v>
      </c>
      <c r="U48" s="33">
        <f t="shared" ref="P48:V48" si="66">U46/U40</f>
        <v>-5.2917764904658462</v>
      </c>
      <c r="V48" s="34">
        <f t="shared" si="66"/>
        <v>-0.10404841142641651</v>
      </c>
      <c r="W48" s="33">
        <f t="shared" ref="W48:X48" si="67">W46/W40</f>
        <v>-5.5140860215053769</v>
      </c>
      <c r="X48" s="33">
        <f t="shared" si="67"/>
        <v>-2.6516933253156947</v>
      </c>
    </row>
    <row r="49" spans="1:25" x14ac:dyDescent="0.15">
      <c r="A49" s="18" t="s">
        <v>64</v>
      </c>
      <c r="U49" s="33">
        <f t="shared" ref="P49:V49" si="68">U46/(U44-U39)</f>
        <v>11.973691971600225</v>
      </c>
      <c r="V49" s="34">
        <f t="shared" si="68"/>
        <v>1.1918374730021597</v>
      </c>
      <c r="W49" s="33">
        <f t="shared" ref="W49:X49" si="69">W46/(W44-W39)</f>
        <v>-8.5468333333333355</v>
      </c>
      <c r="X49" s="33">
        <f t="shared" si="69"/>
        <v>-3.8791045038705145</v>
      </c>
    </row>
    <row r="50" spans="1:25" x14ac:dyDescent="0.15">
      <c r="A50" s="18" t="s">
        <v>65</v>
      </c>
      <c r="U50" s="33">
        <f t="shared" ref="P50:V50" si="70">U46/U43</f>
        <v>-26.478055555555564</v>
      </c>
      <c r="V50" s="34">
        <f t="shared" si="70"/>
        <v>-0.46705099449851883</v>
      </c>
      <c r="W50" s="33">
        <f t="shared" ref="W50:X50" si="71">W46/W43</f>
        <v>-21.223128007699721</v>
      </c>
      <c r="X50" s="33">
        <f>X46/X43</f>
        <v>-9.4427537473233443</v>
      </c>
    </row>
    <row r="52" spans="1:25" x14ac:dyDescent="0.15">
      <c r="A52" s="6" t="s">
        <v>87</v>
      </c>
      <c r="F52" s="34" t="e">
        <f>F3/B3-1</f>
        <v>#DIV/0!</v>
      </c>
      <c r="G52" s="33" t="e">
        <f>G3/C3-1</f>
        <v>#DIV/0!</v>
      </c>
      <c r="H52" s="33" t="e">
        <f>H3/D3-1</f>
        <v>#DIV/0!</v>
      </c>
      <c r="I52" s="33" t="e">
        <f>I3/E3-1</f>
        <v>#DIV/0!</v>
      </c>
      <c r="J52" s="34" t="e">
        <f>J3/F3-1</f>
        <v>#DIV/0!</v>
      </c>
      <c r="K52" s="33" t="e">
        <f>K3/G3-1</f>
        <v>#DIV/0!</v>
      </c>
      <c r="L52" s="33" t="e">
        <f>L3/H3-1</f>
        <v>#DIV/0!</v>
      </c>
      <c r="M52" s="33" t="e">
        <f>M3/I3-1</f>
        <v>#DIV/0!</v>
      </c>
      <c r="N52" s="34" t="e">
        <f>N3/J3-1</f>
        <v>#DIV/0!</v>
      </c>
      <c r="O52" s="33" t="e">
        <f>O3/K3-1</f>
        <v>#DIV/0!</v>
      </c>
      <c r="P52" s="33" t="e">
        <f>P3/L3-1</f>
        <v>#DIV/0!</v>
      </c>
      <c r="Q52" s="33" t="e">
        <f>Q3/M3-1</f>
        <v>#DIV/0!</v>
      </c>
      <c r="R52" s="34" t="e">
        <f>R3/N3-1</f>
        <v>#DIV/0!</v>
      </c>
      <c r="S52" s="33" t="e">
        <f>S3/O3-1</f>
        <v>#DIV/0!</v>
      </c>
      <c r="T52" s="33" t="e">
        <f>T3/P3-1</f>
        <v>#DIV/0!</v>
      </c>
      <c r="U52" s="33" t="e">
        <f>U3/Q3-1</f>
        <v>#DIV/0!</v>
      </c>
      <c r="V52" s="34">
        <f>V3/R3-1</f>
        <v>1.4095238095238094</v>
      </c>
      <c r="W52" s="33">
        <f>W3/S3-1</f>
        <v>1.1954887218045109</v>
      </c>
      <c r="X52" s="33">
        <f>X3/T3-1</f>
        <v>-0.4101123595505618</v>
      </c>
      <c r="Y52" s="33"/>
    </row>
    <row r="53" spans="1:25" x14ac:dyDescent="0.15">
      <c r="A53" s="6" t="s">
        <v>88</v>
      </c>
      <c r="F53" s="34" t="e">
        <f t="shared" ref="F53:V53" si="72">F4/B4-1</f>
        <v>#DIV/0!</v>
      </c>
      <c r="G53" s="33" t="e">
        <f t="shared" si="72"/>
        <v>#DIV/0!</v>
      </c>
      <c r="H53" s="33" t="e">
        <f t="shared" si="72"/>
        <v>#DIV/0!</v>
      </c>
      <c r="I53" s="33" t="e">
        <f t="shared" si="72"/>
        <v>#DIV/0!</v>
      </c>
      <c r="J53" s="34" t="e">
        <f t="shared" si="72"/>
        <v>#DIV/0!</v>
      </c>
      <c r="K53" s="33" t="e">
        <f t="shared" si="72"/>
        <v>#DIV/0!</v>
      </c>
      <c r="L53" s="33" t="e">
        <f t="shared" si="72"/>
        <v>#DIV/0!</v>
      </c>
      <c r="M53" s="33" t="e">
        <f t="shared" si="72"/>
        <v>#DIV/0!</v>
      </c>
      <c r="N53" s="34" t="e">
        <f t="shared" si="72"/>
        <v>#DIV/0!</v>
      </c>
      <c r="O53" s="33" t="e">
        <f t="shared" si="72"/>
        <v>#DIV/0!</v>
      </c>
      <c r="P53" s="33" t="e">
        <f t="shared" si="72"/>
        <v>#DIV/0!</v>
      </c>
      <c r="Q53" s="33" t="e">
        <f t="shared" si="72"/>
        <v>#DIV/0!</v>
      </c>
      <c r="R53" s="34" t="e">
        <f t="shared" si="72"/>
        <v>#DIV/0!</v>
      </c>
      <c r="S53" s="33" t="e">
        <f t="shared" si="72"/>
        <v>#DIV/0!</v>
      </c>
      <c r="T53" s="33" t="e">
        <f t="shared" si="72"/>
        <v>#DIV/0!</v>
      </c>
      <c r="U53" s="33" t="e">
        <f>U4/Q4-1</f>
        <v>#DIV/0!</v>
      </c>
      <c r="V53" s="34">
        <f t="shared" si="72"/>
        <v>0.8</v>
      </c>
      <c r="W53" s="33">
        <f>W4/S4-1</f>
        <v>0.40000000000000013</v>
      </c>
      <c r="X53" s="33">
        <f>X4/T4-1</f>
        <v>5.0833333333333321</v>
      </c>
      <c r="Y53" s="33"/>
    </row>
    <row r="55" spans="1:25" s="8" customFormat="1" x14ac:dyDescent="0.15">
      <c r="A55" s="8" t="s">
        <v>83</v>
      </c>
      <c r="B55" s="23"/>
      <c r="C55" s="23"/>
      <c r="D55" s="23"/>
      <c r="E55" s="23"/>
      <c r="F55" s="22"/>
      <c r="G55" s="23"/>
      <c r="H55" s="23"/>
      <c r="I55" s="23"/>
      <c r="J55" s="22"/>
      <c r="K55" s="23"/>
      <c r="L55" s="23"/>
      <c r="M55" s="23"/>
      <c r="N55" s="22">
        <v>15.5</v>
      </c>
      <c r="O55" s="23">
        <v>23.4</v>
      </c>
      <c r="P55" s="23">
        <v>35.6</v>
      </c>
      <c r="Q55" s="23">
        <v>44.9</v>
      </c>
      <c r="R55" s="22">
        <v>57.2</v>
      </c>
      <c r="S55" s="23">
        <v>72.099999999999994</v>
      </c>
      <c r="T55" s="23">
        <v>94.9</v>
      </c>
      <c r="U55" s="23">
        <v>113.8</v>
      </c>
      <c r="V55" s="22">
        <v>133.30000000000001</v>
      </c>
      <c r="W55" s="23">
        <v>155.1</v>
      </c>
      <c r="X55" s="23">
        <v>188.9</v>
      </c>
      <c r="Y55" s="23"/>
    </row>
    <row r="56" spans="1:25" x14ac:dyDescent="0.15">
      <c r="A56" s="6" t="s">
        <v>84</v>
      </c>
      <c r="R56" s="34">
        <f>R55/N55-1</f>
        <v>2.6903225806451614</v>
      </c>
      <c r="S56" s="33">
        <f>S55/O55-1</f>
        <v>2.0811965811965814</v>
      </c>
      <c r="T56" s="33">
        <f>T55/P55-1</f>
        <v>1.6657303370786516</v>
      </c>
      <c r="U56" s="33">
        <f>U55/Q55-1</f>
        <v>1.5345211581291758</v>
      </c>
      <c r="V56" s="34">
        <f>V55/R55-1</f>
        <v>1.3304195804195804</v>
      </c>
      <c r="W56" s="33">
        <f>W55/S55-1</f>
        <v>1.1511789181692094</v>
      </c>
      <c r="X56" s="33">
        <f>X55/T55-1</f>
        <v>0.9905163329820863</v>
      </c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"/>
  <sheetViews>
    <sheetView workbookViewId="0">
      <selection activeCell="B6" sqref="B6"/>
    </sheetView>
  </sheetViews>
  <sheetFormatPr baseColWidth="10" defaultRowHeight="13" x14ac:dyDescent="0.15"/>
  <cols>
    <col min="1" max="1" width="10.83203125" style="3"/>
    <col min="2" max="2" width="12.5" style="3" bestFit="1" customWidth="1"/>
    <col min="3" max="16384" width="10.83203125" style="3"/>
  </cols>
  <sheetData>
    <row r="4" spans="2:2" x14ac:dyDescent="0.15">
      <c r="B4" s="69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2021-01-05T18:22:01Z</dcterms:modified>
</cp:coreProperties>
</file>