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106DB5D1-9A2B-774D-80F5-662769255B89}" xr6:coauthVersionLast="46" xr6:coauthVersionMax="46" xr10:uidLastSave="{00000000-0000-0000-0000-000000000000}"/>
  <bookViews>
    <workbookView xWindow="-56520" yWindow="-5940" windowWidth="28240" windowHeight="26740" tabRatio="500" xr2:uid="{00000000-000D-0000-FFFF-FFFF00000000}"/>
  </bookViews>
  <sheets>
    <sheet name="Main" sheetId="2" r:id="rId1"/>
    <sheet name="Reports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2" l="1"/>
  <c r="K18" i="2"/>
  <c r="L18" i="2" s="1"/>
  <c r="M18" i="2" s="1"/>
  <c r="N18" i="2" s="1"/>
  <c r="J18" i="2"/>
  <c r="H18" i="2"/>
  <c r="I18" i="2" s="1"/>
  <c r="G18" i="2"/>
  <c r="F18" i="2"/>
  <c r="G16" i="2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F16" i="2"/>
  <c r="G17" i="2"/>
  <c r="H17" i="2" s="1"/>
  <c r="I17" i="2" s="1"/>
  <c r="F17" i="2"/>
  <c r="C5" i="2"/>
  <c r="C3" i="2"/>
  <c r="P13" i="2"/>
  <c r="Q13" i="2" s="1"/>
  <c r="R13" i="2" s="1"/>
  <c r="S13" i="2" s="1"/>
  <c r="O13" i="2"/>
  <c r="S26" i="2"/>
  <c r="S9" i="2"/>
  <c r="R26" i="2"/>
  <c r="R9" i="2"/>
  <c r="Q26" i="2"/>
  <c r="Q9" i="2"/>
  <c r="P26" i="2"/>
  <c r="P9" i="2"/>
  <c r="I13" i="2"/>
  <c r="I10" i="2"/>
  <c r="H10" i="2"/>
  <c r="G10" i="2"/>
  <c r="F10" i="2"/>
  <c r="G11" i="2"/>
  <c r="H11" i="2" s="1"/>
  <c r="I11" i="2" s="1"/>
  <c r="F11" i="2"/>
  <c r="E11" i="2"/>
  <c r="Q4" i="1"/>
  <c r="Q3" i="1"/>
  <c r="D44" i="2"/>
  <c r="D43" i="2"/>
  <c r="D50" i="2" s="1"/>
  <c r="D42" i="2"/>
  <c r="E23" i="2"/>
  <c r="E21" i="2"/>
  <c r="E18" i="2"/>
  <c r="E17" i="2"/>
  <c r="E16" i="2"/>
  <c r="P8" i="1"/>
  <c r="Q19" i="1"/>
  <c r="Q14" i="1"/>
  <c r="Q16" i="1"/>
  <c r="Q12" i="1"/>
  <c r="Q29" i="1" s="1"/>
  <c r="Q28" i="1"/>
  <c r="Q27" i="1"/>
  <c r="Q26" i="1"/>
  <c r="Q11" i="1"/>
  <c r="Q10" i="1"/>
  <c r="Q9" i="1"/>
  <c r="N49" i="1"/>
  <c r="N48" i="1"/>
  <c r="N42" i="1"/>
  <c r="N43" i="1" s="1"/>
  <c r="N40" i="1"/>
  <c r="N39" i="1"/>
  <c r="N35" i="1"/>
  <c r="N31" i="1"/>
  <c r="N29" i="1"/>
  <c r="N28" i="1"/>
  <c r="N27" i="1"/>
  <c r="N26" i="1"/>
  <c r="N25" i="1"/>
  <c r="N23" i="1"/>
  <c r="N22" i="1"/>
  <c r="N21" i="1"/>
  <c r="N17" i="1"/>
  <c r="N18" i="1" s="1"/>
  <c r="N15" i="1"/>
  <c r="N14" i="1"/>
  <c r="N12" i="1"/>
  <c r="N13" i="1" s="1"/>
  <c r="N8" i="1"/>
  <c r="N6" i="1"/>
  <c r="O49" i="1"/>
  <c r="O48" i="1"/>
  <c r="O42" i="1"/>
  <c r="O43" i="1" s="1"/>
  <c r="O40" i="1"/>
  <c r="O39" i="1"/>
  <c r="O35" i="1"/>
  <c r="O31" i="1"/>
  <c r="O29" i="1"/>
  <c r="O28" i="1"/>
  <c r="O27" i="1"/>
  <c r="O26" i="1"/>
  <c r="O25" i="1"/>
  <c r="O23" i="1"/>
  <c r="O22" i="1"/>
  <c r="O21" i="1"/>
  <c r="O18" i="1"/>
  <c r="O17" i="1"/>
  <c r="O15" i="1"/>
  <c r="O14" i="1"/>
  <c r="O12" i="1"/>
  <c r="O13" i="1" s="1"/>
  <c r="O8" i="1"/>
  <c r="O6" i="1"/>
  <c r="P49" i="1"/>
  <c r="P48" i="1"/>
  <c r="P42" i="1"/>
  <c r="P46" i="1" s="1"/>
  <c r="P40" i="1"/>
  <c r="P39" i="1"/>
  <c r="P35" i="1"/>
  <c r="P31" i="1"/>
  <c r="P29" i="1"/>
  <c r="P28" i="1"/>
  <c r="P27" i="1"/>
  <c r="P26" i="1"/>
  <c r="P25" i="1"/>
  <c r="P23" i="1"/>
  <c r="P22" i="1"/>
  <c r="P21" i="1"/>
  <c r="P17" i="1"/>
  <c r="P18" i="1" s="1"/>
  <c r="P15" i="1"/>
  <c r="P14" i="1"/>
  <c r="P12" i="1"/>
  <c r="P13" i="1" s="1"/>
  <c r="P6" i="1"/>
  <c r="D40" i="2"/>
  <c r="D26" i="2"/>
  <c r="D23" i="2"/>
  <c r="D21" i="2"/>
  <c r="D18" i="2"/>
  <c r="D17" i="2"/>
  <c r="D16" i="2"/>
  <c r="D14" i="2"/>
  <c r="M4" i="1"/>
  <c r="D11" i="2" s="1"/>
  <c r="M3" i="1"/>
  <c r="M48" i="1" s="1"/>
  <c r="M49" i="1"/>
  <c r="M40" i="1"/>
  <c r="M35" i="1"/>
  <c r="M32" i="1"/>
  <c r="M31" i="1" s="1"/>
  <c r="M28" i="1"/>
  <c r="M27" i="1"/>
  <c r="M26" i="1"/>
  <c r="M12" i="1"/>
  <c r="L35" i="1"/>
  <c r="L32" i="1"/>
  <c r="L49" i="1"/>
  <c r="L48" i="1"/>
  <c r="L40" i="1"/>
  <c r="L39" i="1"/>
  <c r="L31" i="1"/>
  <c r="L28" i="1"/>
  <c r="L27" i="1"/>
  <c r="L26" i="1"/>
  <c r="L12" i="1"/>
  <c r="L6" i="1"/>
  <c r="K35" i="1"/>
  <c r="K39" i="1" s="1"/>
  <c r="K32" i="1"/>
  <c r="K49" i="1"/>
  <c r="K48" i="1"/>
  <c r="K40" i="1"/>
  <c r="K31" i="1"/>
  <c r="K28" i="1"/>
  <c r="K27" i="1"/>
  <c r="K26" i="1"/>
  <c r="K12" i="1"/>
  <c r="K6" i="1"/>
  <c r="O18" i="2" l="1"/>
  <c r="P18" i="2" s="1"/>
  <c r="Q18" i="2" s="1"/>
  <c r="R18" i="2" s="1"/>
  <c r="S18" i="2" s="1"/>
  <c r="J17" i="2"/>
  <c r="K17" i="2" s="1"/>
  <c r="L17" i="2" s="1"/>
  <c r="M17" i="2" s="1"/>
  <c r="N17" i="2" s="1"/>
  <c r="O17" i="2" s="1"/>
  <c r="P17" i="2" s="1"/>
  <c r="Q17" i="2" s="1"/>
  <c r="R17" i="2" s="1"/>
  <c r="S17" i="2" s="1"/>
  <c r="R32" i="2"/>
  <c r="S32" i="2"/>
  <c r="Q32" i="2"/>
  <c r="P32" i="2"/>
  <c r="Q6" i="1"/>
  <c r="Q25" i="1" s="1"/>
  <c r="E10" i="2"/>
  <c r="E13" i="2" s="1"/>
  <c r="Q8" i="1"/>
  <c r="Q7" i="1" s="1"/>
  <c r="E14" i="2" s="1"/>
  <c r="D46" i="2"/>
  <c r="D52" i="2" s="1"/>
  <c r="D47" i="2"/>
  <c r="I55" i="2"/>
  <c r="N44" i="1"/>
  <c r="N45" i="1"/>
  <c r="N46" i="1"/>
  <c r="O44" i="1"/>
  <c r="O46" i="1"/>
  <c r="O45" i="1"/>
  <c r="P44" i="1"/>
  <c r="P45" i="1"/>
  <c r="P43" i="1"/>
  <c r="D19" i="2"/>
  <c r="D39" i="2"/>
  <c r="D38" i="2" s="1"/>
  <c r="M6" i="1"/>
  <c r="D10" i="2"/>
  <c r="K8" i="1"/>
  <c r="K21" i="1" s="1"/>
  <c r="L25" i="1"/>
  <c r="L29" i="1"/>
  <c r="M39" i="1"/>
  <c r="L8" i="1"/>
  <c r="K13" i="1"/>
  <c r="K15" i="1" s="1"/>
  <c r="C11" i="2"/>
  <c r="C10" i="2"/>
  <c r="C4" i="2"/>
  <c r="C9" i="2"/>
  <c r="D9" i="2" s="1"/>
  <c r="E9" i="2" s="1"/>
  <c r="F9" i="2" s="1"/>
  <c r="G9" i="2" s="1"/>
  <c r="H9" i="2" s="1"/>
  <c r="I9" i="2" s="1"/>
  <c r="J9" i="2" s="1"/>
  <c r="K9" i="2" s="1"/>
  <c r="L9" i="2" s="1"/>
  <c r="M9" i="2" s="1"/>
  <c r="N9" i="2" s="1"/>
  <c r="O9" i="2" s="1"/>
  <c r="H35" i="1"/>
  <c r="H39" i="1" s="1"/>
  <c r="B12" i="1"/>
  <c r="B6" i="1"/>
  <c r="C12" i="1"/>
  <c r="C6" i="1"/>
  <c r="C8" i="1" s="1"/>
  <c r="D12" i="1"/>
  <c r="D6" i="1"/>
  <c r="H25" i="1" s="1"/>
  <c r="F12" i="1"/>
  <c r="F28" i="1"/>
  <c r="F27" i="1"/>
  <c r="F26" i="1"/>
  <c r="F6" i="1"/>
  <c r="F8" i="1" s="1"/>
  <c r="F21" i="1" s="1"/>
  <c r="G12" i="1"/>
  <c r="K29" i="1" s="1"/>
  <c r="G28" i="1"/>
  <c r="G27" i="1"/>
  <c r="G26" i="1"/>
  <c r="G6" i="1"/>
  <c r="G8" i="1" s="1"/>
  <c r="G13" i="1" s="1"/>
  <c r="E6" i="1"/>
  <c r="E8" i="1" s="1"/>
  <c r="E21" i="1" s="1"/>
  <c r="E12" i="1"/>
  <c r="H6" i="1"/>
  <c r="H8" i="1" s="1"/>
  <c r="H12" i="1"/>
  <c r="H40" i="1"/>
  <c r="H31" i="1"/>
  <c r="H28" i="1"/>
  <c r="H27" i="1"/>
  <c r="H26" i="1"/>
  <c r="E35" i="1"/>
  <c r="B42" i="2" s="1"/>
  <c r="I35" i="1"/>
  <c r="C42" i="2" s="1"/>
  <c r="J35" i="1"/>
  <c r="J39" i="1" s="1"/>
  <c r="J6" i="1"/>
  <c r="J25" i="1" s="1"/>
  <c r="J12" i="1"/>
  <c r="I6" i="1"/>
  <c r="I8" i="1" s="1"/>
  <c r="I21" i="1" s="1"/>
  <c r="I12" i="1"/>
  <c r="J49" i="1"/>
  <c r="J48" i="1"/>
  <c r="J40" i="1"/>
  <c r="J31" i="1"/>
  <c r="J28" i="1"/>
  <c r="J27" i="1"/>
  <c r="J26" i="1"/>
  <c r="C16" i="2"/>
  <c r="D33" i="2" s="1"/>
  <c r="C17" i="2"/>
  <c r="C18" i="2"/>
  <c r="B16" i="2"/>
  <c r="B17" i="2"/>
  <c r="C34" i="2" s="1"/>
  <c r="B18" i="2"/>
  <c r="C43" i="2"/>
  <c r="C39" i="2"/>
  <c r="C14" i="2"/>
  <c r="C21" i="2"/>
  <c r="C23" i="2"/>
  <c r="B10" i="2"/>
  <c r="B11" i="2"/>
  <c r="B13" i="2" s="1"/>
  <c r="I40" i="1"/>
  <c r="C40" i="2"/>
  <c r="C44" i="2"/>
  <c r="C26" i="2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I31" i="1"/>
  <c r="B39" i="2"/>
  <c r="B40" i="2"/>
  <c r="I49" i="1"/>
  <c r="H49" i="1"/>
  <c r="G49" i="1"/>
  <c r="F49" i="1"/>
  <c r="I48" i="1"/>
  <c r="H48" i="1"/>
  <c r="G48" i="1"/>
  <c r="F48" i="1"/>
  <c r="B21" i="2"/>
  <c r="B43" i="2"/>
  <c r="B14" i="2"/>
  <c r="B23" i="2"/>
  <c r="B44" i="2"/>
  <c r="E40" i="1"/>
  <c r="E31" i="1"/>
  <c r="I28" i="1"/>
  <c r="I27" i="1"/>
  <c r="I26" i="1"/>
  <c r="B26" i="2"/>
  <c r="Q21" i="1" l="1"/>
  <c r="Q13" i="1"/>
  <c r="D51" i="2"/>
  <c r="D49" i="2"/>
  <c r="E39" i="1"/>
  <c r="J8" i="1"/>
  <c r="J21" i="1" s="1"/>
  <c r="M25" i="1"/>
  <c r="C35" i="2"/>
  <c r="K22" i="1"/>
  <c r="J29" i="1"/>
  <c r="B46" i="2"/>
  <c r="B47" i="2"/>
  <c r="H29" i="1"/>
  <c r="C38" i="2"/>
  <c r="B15" i="2"/>
  <c r="C47" i="2"/>
  <c r="F25" i="1"/>
  <c r="I39" i="1"/>
  <c r="B28" i="2"/>
  <c r="C21" i="1"/>
  <c r="C13" i="1"/>
  <c r="D8" i="1"/>
  <c r="G29" i="1"/>
  <c r="C33" i="2"/>
  <c r="G25" i="1"/>
  <c r="E13" i="1"/>
  <c r="E15" i="1" s="1"/>
  <c r="I29" i="1"/>
  <c r="B8" i="1"/>
  <c r="B21" i="1" s="1"/>
  <c r="B38" i="2"/>
  <c r="M29" i="1"/>
  <c r="G21" i="1"/>
  <c r="I25" i="1"/>
  <c r="D13" i="2"/>
  <c r="D54" i="2"/>
  <c r="B19" i="2"/>
  <c r="B20" i="2" s="1"/>
  <c r="C19" i="2"/>
  <c r="D36" i="2" s="1"/>
  <c r="F13" i="1"/>
  <c r="K25" i="1"/>
  <c r="M8" i="1"/>
  <c r="M21" i="1" s="1"/>
  <c r="L21" i="1"/>
  <c r="L13" i="1"/>
  <c r="K23" i="1"/>
  <c r="K17" i="1"/>
  <c r="C6" i="2"/>
  <c r="C7" i="2" s="1"/>
  <c r="G22" i="1"/>
  <c r="G15" i="1"/>
  <c r="D55" i="2"/>
  <c r="D34" i="2"/>
  <c r="F29" i="1"/>
  <c r="I13" i="1"/>
  <c r="H21" i="1"/>
  <c r="H13" i="1"/>
  <c r="C13" i="2"/>
  <c r="C32" i="2" s="1"/>
  <c r="C46" i="2"/>
  <c r="C54" i="2"/>
  <c r="C55" i="2"/>
  <c r="Q22" i="1" l="1"/>
  <c r="Q15" i="1"/>
  <c r="J13" i="1"/>
  <c r="C36" i="2"/>
  <c r="M13" i="1"/>
  <c r="E22" i="1"/>
  <c r="B22" i="2"/>
  <c r="B24" i="2" s="1"/>
  <c r="B29" i="2"/>
  <c r="B13" i="1"/>
  <c r="J22" i="1"/>
  <c r="J15" i="1"/>
  <c r="C22" i="1"/>
  <c r="C15" i="1"/>
  <c r="D32" i="2"/>
  <c r="D15" i="2"/>
  <c r="D20" i="2" s="1"/>
  <c r="D22" i="2" s="1"/>
  <c r="F22" i="1"/>
  <c r="F15" i="1"/>
  <c r="D13" i="1"/>
  <c r="D21" i="1"/>
  <c r="M22" i="1"/>
  <c r="M15" i="1"/>
  <c r="L15" i="1"/>
  <c r="L22" i="1"/>
  <c r="K18" i="1"/>
  <c r="H22" i="1"/>
  <c r="H15" i="1"/>
  <c r="E34" i="2"/>
  <c r="E55" i="2"/>
  <c r="E54" i="2"/>
  <c r="D35" i="2"/>
  <c r="I15" i="1"/>
  <c r="I22" i="1"/>
  <c r="E33" i="2"/>
  <c r="G17" i="1"/>
  <c r="G23" i="1"/>
  <c r="C15" i="2"/>
  <c r="E23" i="1"/>
  <c r="E17" i="1"/>
  <c r="Q17" i="1" l="1"/>
  <c r="Q18" i="1" s="1"/>
  <c r="Q23" i="1"/>
  <c r="B30" i="2"/>
  <c r="D15" i="1"/>
  <c r="D22" i="1"/>
  <c r="F17" i="1"/>
  <c r="F18" i="1" s="1"/>
  <c r="F23" i="1"/>
  <c r="C17" i="1"/>
  <c r="C18" i="1" s="1"/>
  <c r="C23" i="1"/>
  <c r="J23" i="1"/>
  <c r="J17" i="1"/>
  <c r="J18" i="1" s="1"/>
  <c r="B22" i="1"/>
  <c r="B15" i="1"/>
  <c r="M23" i="1"/>
  <c r="M17" i="1"/>
  <c r="L23" i="1"/>
  <c r="L17" i="1"/>
  <c r="G18" i="1"/>
  <c r="F54" i="2"/>
  <c r="E35" i="2"/>
  <c r="E19" i="2"/>
  <c r="E36" i="2" s="1"/>
  <c r="F55" i="2"/>
  <c r="E32" i="2"/>
  <c r="F34" i="2"/>
  <c r="C20" i="2"/>
  <c r="C28" i="2"/>
  <c r="E18" i="1"/>
  <c r="B52" i="2"/>
  <c r="B25" i="2"/>
  <c r="B51" i="2"/>
  <c r="B50" i="2"/>
  <c r="B49" i="2"/>
  <c r="H23" i="1"/>
  <c r="H17" i="1"/>
  <c r="I23" i="1"/>
  <c r="I17" i="1"/>
  <c r="I18" i="1" s="1"/>
  <c r="F33" i="2"/>
  <c r="B23" i="1" l="1"/>
  <c r="B17" i="1"/>
  <c r="J42" i="1"/>
  <c r="K42" i="1"/>
  <c r="D23" i="1"/>
  <c r="D17" i="1"/>
  <c r="D18" i="1" s="1"/>
  <c r="G13" i="2"/>
  <c r="M18" i="1"/>
  <c r="M42" i="1"/>
  <c r="L18" i="1"/>
  <c r="L42" i="1"/>
  <c r="J45" i="1"/>
  <c r="J46" i="1"/>
  <c r="J44" i="1"/>
  <c r="J43" i="1"/>
  <c r="G54" i="2"/>
  <c r="F32" i="2"/>
  <c r="H42" i="1"/>
  <c r="C29" i="2"/>
  <c r="C22" i="2"/>
  <c r="G55" i="2"/>
  <c r="H55" i="2"/>
  <c r="G33" i="2"/>
  <c r="H18" i="1"/>
  <c r="I42" i="1"/>
  <c r="G19" i="2"/>
  <c r="F35" i="2"/>
  <c r="G34" i="2"/>
  <c r="F19" i="2"/>
  <c r="F36" i="2" s="1"/>
  <c r="G36" i="2" l="1"/>
  <c r="E42" i="1"/>
  <c r="B18" i="1"/>
  <c r="H13" i="2"/>
  <c r="K43" i="1"/>
  <c r="K46" i="1"/>
  <c r="K45" i="1"/>
  <c r="K44" i="1"/>
  <c r="M45" i="1"/>
  <c r="M43" i="1"/>
  <c r="M46" i="1"/>
  <c r="M44" i="1"/>
  <c r="L45" i="1"/>
  <c r="L44" i="1"/>
  <c r="L46" i="1"/>
  <c r="L43" i="1"/>
  <c r="G32" i="2"/>
  <c r="H54" i="2"/>
  <c r="H33" i="2"/>
  <c r="C24" i="2"/>
  <c r="C30" i="2"/>
  <c r="H46" i="1"/>
  <c r="H45" i="1"/>
  <c r="H44" i="1"/>
  <c r="H43" i="1"/>
  <c r="H34" i="2"/>
  <c r="H19" i="2"/>
  <c r="H36" i="2" s="1"/>
  <c r="G35" i="2"/>
  <c r="I46" i="1"/>
  <c r="I45" i="1"/>
  <c r="I44" i="1"/>
  <c r="I43" i="1"/>
  <c r="D28" i="2"/>
  <c r="E15" i="2" s="1"/>
  <c r="I54" i="2" l="1"/>
  <c r="E44" i="1"/>
  <c r="E45" i="1"/>
  <c r="E46" i="1"/>
  <c r="E43" i="1"/>
  <c r="D29" i="2"/>
  <c r="E28" i="2"/>
  <c r="F15" i="2" s="1"/>
  <c r="E20" i="2"/>
  <c r="I33" i="2"/>
  <c r="H35" i="2"/>
  <c r="I19" i="2"/>
  <c r="I36" i="2" s="1"/>
  <c r="H32" i="2"/>
  <c r="I34" i="2"/>
  <c r="C51" i="2"/>
  <c r="C50" i="2"/>
  <c r="C52" i="2"/>
  <c r="C49" i="2"/>
  <c r="C25" i="2"/>
  <c r="J34" i="2" l="1"/>
  <c r="J33" i="2"/>
  <c r="J13" i="2"/>
  <c r="I32" i="2"/>
  <c r="E29" i="2"/>
  <c r="F20" i="2"/>
  <c r="F28" i="2"/>
  <c r="G15" i="2" s="1"/>
  <c r="F14" i="2"/>
  <c r="D30" i="2"/>
  <c r="D24" i="2"/>
  <c r="D25" i="2" s="1"/>
  <c r="I35" i="2"/>
  <c r="J19" i="2"/>
  <c r="J36" i="2" s="1"/>
  <c r="F29" i="2" l="1"/>
  <c r="G28" i="2"/>
  <c r="H15" i="2" s="1"/>
  <c r="G20" i="2"/>
  <c r="G14" i="2"/>
  <c r="K13" i="2"/>
  <c r="J32" i="2"/>
  <c r="K33" i="2"/>
  <c r="K34" i="2"/>
  <c r="J35" i="2"/>
  <c r="K19" i="2"/>
  <c r="K36" i="2" s="1"/>
  <c r="K32" i="2" l="1"/>
  <c r="L13" i="2"/>
  <c r="E22" i="2"/>
  <c r="G29" i="2"/>
  <c r="H20" i="2"/>
  <c r="H28" i="2"/>
  <c r="I15" i="2" s="1"/>
  <c r="H14" i="2"/>
  <c r="L34" i="2"/>
  <c r="K35" i="2"/>
  <c r="L33" i="2"/>
  <c r="L32" i="2" l="1"/>
  <c r="M13" i="2"/>
  <c r="I28" i="2"/>
  <c r="J15" i="2" s="1"/>
  <c r="I20" i="2"/>
  <c r="I14" i="2"/>
  <c r="E24" i="2"/>
  <c r="E38" i="2" s="1"/>
  <c r="E30" i="2"/>
  <c r="M34" i="2"/>
  <c r="M33" i="2"/>
  <c r="L35" i="2"/>
  <c r="H29" i="2"/>
  <c r="L19" i="2"/>
  <c r="L36" i="2" s="1"/>
  <c r="E25" i="2" l="1"/>
  <c r="I29" i="2"/>
  <c r="M32" i="2"/>
  <c r="N13" i="2"/>
  <c r="J20" i="2"/>
  <c r="J28" i="2"/>
  <c r="K15" i="2" s="1"/>
  <c r="J14" i="2"/>
  <c r="N19" i="2"/>
  <c r="M35" i="2"/>
  <c r="M19" i="2"/>
  <c r="M36" i="2" s="1"/>
  <c r="N33" i="2"/>
  <c r="N34" i="2"/>
  <c r="O34" i="2" l="1"/>
  <c r="P33" i="2"/>
  <c r="N36" i="2"/>
  <c r="K20" i="2"/>
  <c r="K28" i="2"/>
  <c r="L15" i="2" s="1"/>
  <c r="K14" i="2"/>
  <c r="J29" i="2"/>
  <c r="N32" i="2"/>
  <c r="O33" i="2"/>
  <c r="F21" i="2"/>
  <c r="F22" i="2" s="1"/>
  <c r="N35" i="2"/>
  <c r="O35" i="2" l="1"/>
  <c r="P19" i="2"/>
  <c r="P34" i="2"/>
  <c r="Q33" i="2"/>
  <c r="O32" i="2"/>
  <c r="L28" i="2"/>
  <c r="M15" i="2" s="1"/>
  <c r="L20" i="2"/>
  <c r="L14" i="2"/>
  <c r="K29" i="2"/>
  <c r="F24" i="2"/>
  <c r="F30" i="2"/>
  <c r="O19" i="2"/>
  <c r="O36" i="2" s="1"/>
  <c r="P35" i="2" l="1"/>
  <c r="Q34" i="2"/>
  <c r="P36" i="2"/>
  <c r="R33" i="2"/>
  <c r="F25" i="2"/>
  <c r="F38" i="2"/>
  <c r="L29" i="2"/>
  <c r="M20" i="2"/>
  <c r="M28" i="2"/>
  <c r="N15" i="2" s="1"/>
  <c r="M14" i="2"/>
  <c r="Q35" i="2" l="1"/>
  <c r="Q19" i="2"/>
  <c r="S34" i="2"/>
  <c r="R34" i="2"/>
  <c r="S33" i="2"/>
  <c r="M29" i="2"/>
  <c r="G21" i="2"/>
  <c r="G22" i="2" s="1"/>
  <c r="N28" i="2"/>
  <c r="O15" i="2" s="1"/>
  <c r="N20" i="2"/>
  <c r="N14" i="2"/>
  <c r="Q36" i="2" l="1"/>
  <c r="R35" i="2"/>
  <c r="R19" i="2"/>
  <c r="G24" i="2"/>
  <c r="G30" i="2"/>
  <c r="O28" i="2"/>
  <c r="P15" i="2" s="1"/>
  <c r="O20" i="2"/>
  <c r="O14" i="2"/>
  <c r="N29" i="2"/>
  <c r="P28" i="2" l="1"/>
  <c r="Q15" i="2" s="1"/>
  <c r="P14" i="2"/>
  <c r="P20" i="2"/>
  <c r="P29" i="2" s="1"/>
  <c r="S35" i="2"/>
  <c r="S19" i="2"/>
  <c r="R36" i="2"/>
  <c r="O29" i="2"/>
  <c r="G25" i="2"/>
  <c r="G38" i="2"/>
  <c r="Q28" i="2" l="1"/>
  <c r="R15" i="2" s="1"/>
  <c r="Q14" i="2"/>
  <c r="Q20" i="2"/>
  <c r="Q29" i="2" s="1"/>
  <c r="S36" i="2"/>
  <c r="H21" i="2"/>
  <c r="H22" i="2" s="1"/>
  <c r="R14" i="2" l="1"/>
  <c r="R28" i="2"/>
  <c r="S15" i="2" s="1"/>
  <c r="R20" i="2"/>
  <c r="R29" i="2" s="1"/>
  <c r="H23" i="2"/>
  <c r="H30" i="2" s="1"/>
  <c r="S28" i="2" l="1"/>
  <c r="S14" i="2"/>
  <c r="S20" i="2"/>
  <c r="S29" i="2" s="1"/>
  <c r="H24" i="2"/>
  <c r="H38" i="2" l="1"/>
  <c r="H25" i="2"/>
  <c r="I21" i="2"/>
  <c r="I22" i="2" s="1"/>
  <c r="I23" i="2" l="1"/>
  <c r="I30" i="2" s="1"/>
  <c r="I24" i="2" l="1"/>
  <c r="I25" i="2" s="1"/>
  <c r="I38" i="2" l="1"/>
  <c r="J21" i="2" s="1"/>
  <c r="J22" i="2" s="1"/>
  <c r="J23" i="2" l="1"/>
  <c r="J30" i="2" s="1"/>
  <c r="J24" i="2" l="1"/>
  <c r="J25" i="2" l="1"/>
  <c r="J38" i="2"/>
  <c r="K21" i="2" l="1"/>
  <c r="K22" i="2" s="1"/>
  <c r="K23" i="2" l="1"/>
  <c r="K30" i="2" s="1"/>
  <c r="K24" i="2" l="1"/>
  <c r="K25" i="2"/>
  <c r="K38" i="2"/>
  <c r="L21" i="2" l="1"/>
  <c r="L22" i="2" s="1"/>
  <c r="L23" i="2" l="1"/>
  <c r="L30" i="2" s="1"/>
  <c r="L24" i="2"/>
  <c r="L25" i="2" l="1"/>
  <c r="L38" i="2"/>
  <c r="M21" i="2" l="1"/>
  <c r="M22" i="2" s="1"/>
  <c r="M23" i="2" l="1"/>
  <c r="M30" i="2" s="1"/>
  <c r="M24" i="2" l="1"/>
  <c r="M25" i="2" l="1"/>
  <c r="M38" i="2"/>
  <c r="N21" i="2" l="1"/>
  <c r="N22" i="2" s="1"/>
  <c r="N23" i="2" l="1"/>
  <c r="N30" i="2" s="1"/>
  <c r="N24" i="2"/>
  <c r="N25" i="2" l="1"/>
  <c r="N38" i="2"/>
  <c r="O21" i="2" l="1"/>
  <c r="O22" i="2" s="1"/>
  <c r="O23" i="2" l="1"/>
  <c r="O30" i="2" s="1"/>
  <c r="O24" i="2"/>
  <c r="O25" i="2" l="1"/>
  <c r="O38" i="2"/>
  <c r="P21" i="2" l="1"/>
  <c r="P22" i="2" s="1"/>
  <c r="P23" i="2" l="1"/>
  <c r="P30" i="2" s="1"/>
  <c r="P24" i="2"/>
  <c r="P25" i="2" l="1"/>
  <c r="P38" i="2"/>
  <c r="Q21" i="2" l="1"/>
  <c r="Q22" i="2" s="1"/>
  <c r="Q23" i="2" l="1"/>
  <c r="Q30" i="2" s="1"/>
  <c r="Q24" i="2"/>
  <c r="Q25" i="2" l="1"/>
  <c r="Q38" i="2"/>
  <c r="R21" i="2" l="1"/>
  <c r="R22" i="2" s="1"/>
  <c r="R23" i="2" l="1"/>
  <c r="R30" i="2" s="1"/>
  <c r="R24" i="2"/>
  <c r="R25" i="2" l="1"/>
  <c r="R38" i="2"/>
  <c r="S21" i="2" l="1"/>
  <c r="S22" i="2" s="1"/>
  <c r="S23" i="2" l="1"/>
  <c r="S30" i="2" s="1"/>
  <c r="S24" i="2"/>
  <c r="S25" i="2" l="1"/>
  <c r="T24" i="2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DP24" i="2" s="1"/>
  <c r="S38" i="2"/>
  <c r="F5" i="2" l="1"/>
  <c r="F6" i="2" s="1"/>
  <c r="F7" i="2" s="1"/>
  <c r="G7" i="2" s="1"/>
</calcChain>
</file>

<file path=xl/sharedStrings.xml><?xml version="1.0" encoding="utf-8"?>
<sst xmlns="http://schemas.openxmlformats.org/spreadsheetml/2006/main" count="137" uniqueCount="95">
  <si>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</si>
  <si>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</si>
  <si>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</si>
  <si>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</si>
  <si>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</si>
  <si>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</si>
  <si>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</si>
  <si>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</si>
  <si>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</si>
  <si>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</si>
  <si>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</si>
  <si>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</si>
  <si>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</si>
  <si>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</si>
  <si>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</si>
  <si>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</si>
  <si>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</si>
  <si>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</si>
  <si>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</si>
  <si>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</si>
  <si>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</si>
  <si>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</si>
  <si>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</si>
  <si>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</si>
  <si>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</si>
  <si>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</si>
  <si>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</si>
  <si>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</si>
  <si>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</si>
  <si>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</si>
  <si>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</si>
  <si>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</si>
  <si>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</si>
  <si>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</si>
  <si>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</si>
  <si>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</si>
  <si>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</si>
  <si>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</si>
  <si>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</si>
  <si>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</si>
  <si>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</si>
  <si>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</si>
  <si>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</si>
  <si>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</si>
  <si>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</si>
  <si>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</si>
  <si>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</si>
  <si>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</si>
  <si>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</si>
  <si>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</si>
  <si>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</si>
  <si>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</si>
  <si>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</si>
  <si>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</si>
  <si>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</si>
  <si>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</si>
  <si>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DAU y/y</t>
  </si>
  <si>
    <t>ARPU y/y</t>
  </si>
  <si>
    <t>Smartsheet Inc (SMAR)</t>
  </si>
  <si>
    <t>Subscription</t>
  </si>
  <si>
    <t>Professional services</t>
  </si>
  <si>
    <t>Subscription y/y</t>
  </si>
  <si>
    <t>Professional services y/y</t>
  </si>
  <si>
    <t>Q120</t>
  </si>
  <si>
    <t>30/04/2019</t>
  </si>
  <si>
    <t>31/01/2019</t>
  </si>
  <si>
    <t>30/04/2018</t>
  </si>
  <si>
    <t>31/01/2018</t>
  </si>
  <si>
    <t>31/10/2018</t>
  </si>
  <si>
    <t>31/10/2017</t>
  </si>
  <si>
    <t>Operating Expenses y/y</t>
  </si>
  <si>
    <t>31/07/2018</t>
  </si>
  <si>
    <t>31/07/2017</t>
  </si>
  <si>
    <t>30/04/2017</t>
  </si>
  <si>
    <t>Q220</t>
  </si>
  <si>
    <t>31/07/2019</t>
  </si>
  <si>
    <t>31/10/2019</t>
  </si>
  <si>
    <t>31/01/2020</t>
  </si>
  <si>
    <t>Q320</t>
  </si>
  <si>
    <t>Q420</t>
  </si>
  <si>
    <t>OE y/y</t>
  </si>
  <si>
    <t>Mark Mader</t>
  </si>
  <si>
    <t>Brent Frei</t>
  </si>
  <si>
    <t>Q121</t>
  </si>
  <si>
    <t>Q221</t>
  </si>
  <si>
    <t>Q321</t>
  </si>
  <si>
    <t>Q421</t>
  </si>
  <si>
    <t>Risk-free rate + market premium (opportunity cost)</t>
  </si>
  <si>
    <t>Net present value on future net income (terminal value)</t>
  </si>
  <si>
    <t>ACV 5K</t>
  </si>
  <si>
    <t>ACV 50K</t>
  </si>
  <si>
    <t>ACV 100K</t>
  </si>
  <si>
    <t>ACV 5K y/y</t>
  </si>
  <si>
    <t>ACV 50K y/y</t>
  </si>
  <si>
    <t>ACV 100K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</si>
</sst>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5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2" borderId="0" xfId="0" applyNumberFormat="1" applyFont="1" applyFill="1" applyBorder="1"/>
    <xf numFmtId="3" fontId="5" fillId="0" borderId="0" xfId="0" applyNumberFormat="1" applyFont="1" applyBorder="1"/>
    <xf numFmtId="2" fontId="6" fillId="2" borderId="0" xfId="0" applyNumberFormat="1" applyFont="1" applyFill="1" applyBorder="1"/>
    <xf numFmtId="2" fontId="6" fillId="0" borderId="0" xfId="0" applyNumberFormat="1" applyFont="1" applyBorder="1"/>
    <xf numFmtId="9" fontId="5" fillId="0" borderId="0" xfId="1" applyFont="1" applyBorder="1"/>
    <xf numFmtId="9" fontId="6" fillId="0" borderId="0" xfId="1" applyFont="1" applyBorder="1"/>
    <xf numFmtId="9" fontId="6" fillId="0" borderId="0" xfId="0" applyNumberFormat="1" applyFont="1" applyBorder="1"/>
    <xf numFmtId="165" fontId="6" fillId="0" borderId="0" xfId="0" applyNumberFormat="1" applyFont="1" applyFill="1"/>
    <xf numFmtId="165" fontId="6" fillId="0" borderId="0" xfId="0" applyNumberFormat="1" applyFont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3" fontId="5" fillId="0" borderId="0" xfId="0" applyNumberFormat="1" applyFont="1" applyFill="1" applyBorder="1"/>
    <xf numFmtId="3" fontId="6" fillId="0" borderId="0" xfId="0" applyNumberFormat="1" applyFont="1" applyFill="1"/>
    <xf numFmtId="3" fontId="6" fillId="0" borderId="0" xfId="0" applyNumberFormat="1" applyFont="1" applyFill="1" applyBorder="1"/>
    <xf numFmtId="3" fontId="6" fillId="2" borderId="0" xfId="0" applyNumberFormat="1" applyFont="1" applyFill="1"/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9" fontId="7" fillId="0" borderId="0" xfId="0" applyNumberFormat="1" applyFont="1" applyBorder="1"/>
    <xf numFmtId="3" fontId="7" fillId="0" borderId="0" xfId="0" applyNumberFormat="1" applyFont="1" applyAlignment="1">
      <alignment horizontal="right"/>
    </xf>
    <xf numFmtId="14" fontId="6" fillId="0" borderId="0" xfId="0" applyNumberFormat="1" applyFont="1" applyBorder="1" applyAlignment="1">
      <alignment horizontal="right"/>
    </xf>
    <xf numFmtId="0" fontId="4" fillId="0" borderId="0" xfId="4" applyFont="1" applyBorder="1" applyAlignment="1">
      <alignment horizontal="left"/>
    </xf>
    <xf numFmtId="3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 applyBorder="1"/>
    <xf numFmtId="3" fontId="5" fillId="0" borderId="0" xfId="0" applyNumberFormat="1" applyFont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3" fontId="5" fillId="0" borderId="0" xfId="0" applyNumberFormat="1" applyFont="1" applyFill="1" applyBorder="1" applyAlignment="1">
      <alignment horizontal="left"/>
    </xf>
    <xf numFmtId="14" fontId="6" fillId="0" borderId="1" xfId="0" applyNumberFormat="1" applyFont="1" applyBorder="1" applyAlignment="1">
      <alignment horizontal="right"/>
    </xf>
    <xf numFmtId="3" fontId="6" fillId="0" borderId="1" xfId="0" applyNumberFormat="1" applyFont="1" applyBorder="1"/>
    <xf numFmtId="3" fontId="7" fillId="0" borderId="1" xfId="0" applyNumberFormat="1" applyFont="1" applyBorder="1"/>
    <xf numFmtId="0" fontId="6" fillId="0" borderId="1" xfId="0" applyFont="1" applyBorder="1"/>
    <xf numFmtId="14" fontId="6" fillId="0" borderId="0" xfId="0" applyNumberFormat="1" applyFont="1" applyAlignment="1">
      <alignment horizontal="left"/>
    </xf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7</xdr:row>
      <xdr:rowOff>152400</xdr:rowOff>
    </xdr:from>
    <xdr:to>
      <xdr:col>4</xdr:col>
      <xdr:colOff>215900</xdr:colOff>
      <xdr:row>59</xdr:row>
      <xdr:rowOff>12700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78300" y="1308100"/>
          <a:ext cx="0" cy="894080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274516</xdr:colOff>
      <xdr:row>0</xdr:row>
      <xdr:rowOff>152400</xdr:rowOff>
    </xdr:from>
    <xdr:to>
      <xdr:col>16</xdr:col>
      <xdr:colOff>274516</xdr:colOff>
      <xdr:row>58</xdr:row>
      <xdr:rowOff>9769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14215208" y="152400"/>
          <a:ext cx="0" cy="9489831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b_frei" TargetMode="External"/><Relationship Id="rId2" Type="http://schemas.openxmlformats.org/officeDocument/2006/relationships/hyperlink" Target="https://twitter.com/markmader" TargetMode="External"/><Relationship Id="rId1" Type="http://schemas.openxmlformats.org/officeDocument/2006/relationships/hyperlink" Target="https://investors.smartsheet.com/home/default.asp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CIK=SM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58"/>
  <sheetViews>
    <sheetView tabSelected="1" zoomScale="130" zoomScaleNormal="130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F4" sqref="F4"/>
    </sheetView>
  </sheetViews>
  <sheetFormatPr baseColWidth="10" defaultRowHeight="13" x14ac:dyDescent="0.15"/>
  <cols>
    <col min="1" max="1" width="19.5" style="3" bestFit="1" customWidth="1"/>
    <col min="2" max="16384" width="10.83203125" style="3"/>
  </cols>
  <sheetData>
    <row r="1" spans="1:120" x14ac:dyDescent="0.15">
      <c r="A1" s="1" t="s">
        <v>54</v>
      </c>
      <c r="B1" s="2" t="s">
        <v>58</v>
      </c>
    </row>
    <row r="2" spans="1:120" x14ac:dyDescent="0.15">
      <c r="B2" s="3" t="s">
        <v>36</v>
      </c>
      <c r="C2" s="4">
        <v>84.41</v>
      </c>
      <c r="D2" s="74">
        <v>44239</v>
      </c>
      <c r="E2" s="6" t="s">
        <v>21</v>
      </c>
      <c r="F2" s="7">
        <v>5.0000000000000001E-3</v>
      </c>
      <c r="I2" s="16"/>
      <c r="J2" s="2"/>
    </row>
    <row r="3" spans="1:120" x14ac:dyDescent="0.15">
      <c r="A3" s="2" t="s">
        <v>34</v>
      </c>
      <c r="B3" s="3" t="s">
        <v>13</v>
      </c>
      <c r="C3" s="8">
        <f>Reports!P19</f>
        <v>121.203</v>
      </c>
      <c r="D3" s="3" t="s">
        <v>85</v>
      </c>
      <c r="E3" s="6" t="s">
        <v>22</v>
      </c>
      <c r="F3" s="7">
        <v>0.05</v>
      </c>
      <c r="G3" s="5" t="s">
        <v>55</v>
      </c>
      <c r="I3" s="16"/>
    </row>
    <row r="4" spans="1:120" x14ac:dyDescent="0.15">
      <c r="A4" s="9" t="s">
        <v>81</v>
      </c>
      <c r="B4" s="3" t="s">
        <v>37</v>
      </c>
      <c r="C4" s="10">
        <f>C2*C3</f>
        <v>10230.74523</v>
      </c>
      <c r="E4" s="6" t="s">
        <v>23</v>
      </c>
      <c r="F4" s="7">
        <v>7.0000000000000007E-2</v>
      </c>
      <c r="G4" s="5" t="s">
        <v>87</v>
      </c>
      <c r="I4" s="27"/>
    </row>
    <row r="5" spans="1:120" x14ac:dyDescent="0.15">
      <c r="B5" s="3" t="s">
        <v>18</v>
      </c>
      <c r="C5" s="8">
        <f>Reports!P31</f>
        <v>420</v>
      </c>
      <c r="D5" s="3" t="s">
        <v>85</v>
      </c>
      <c r="E5" s="6" t="s">
        <v>24</v>
      </c>
      <c r="F5" s="11">
        <f>NPV(F4,E24:DP24)</f>
        <v>10105.025124775018</v>
      </c>
      <c r="G5" s="5" t="s">
        <v>88</v>
      </c>
      <c r="I5" s="27"/>
    </row>
    <row r="6" spans="1:120" x14ac:dyDescent="0.15">
      <c r="A6" s="2" t="s">
        <v>35</v>
      </c>
      <c r="B6" s="3" t="s">
        <v>38</v>
      </c>
      <c r="C6" s="10">
        <f>C4-C5</f>
        <v>9810.7452300000004</v>
      </c>
      <c r="E6" s="12" t="s">
        <v>25</v>
      </c>
      <c r="F6" s="13">
        <f>F5+C5</f>
        <v>10525.025124775018</v>
      </c>
      <c r="I6" s="27"/>
    </row>
    <row r="7" spans="1:120" x14ac:dyDescent="0.15">
      <c r="A7" s="9" t="s">
        <v>82</v>
      </c>
      <c r="B7" s="5" t="s">
        <v>39</v>
      </c>
      <c r="C7" s="54">
        <f>C6/C3</f>
        <v>80.944739239127742</v>
      </c>
      <c r="E7" s="14" t="s">
        <v>39</v>
      </c>
      <c r="F7" s="53">
        <f>F6/C3</f>
        <v>86.837991838279734</v>
      </c>
      <c r="G7" s="27">
        <f>F7/C2-1</f>
        <v>2.8764267720409187E-2</v>
      </c>
    </row>
    <row r="8" spans="1:120" x14ac:dyDescent="0.15">
      <c r="A8" s="9"/>
      <c r="C8" s="6"/>
      <c r="D8" s="15"/>
    </row>
    <row r="9" spans="1:120" x14ac:dyDescent="0.15">
      <c r="B9" s="3">
        <v>2018</v>
      </c>
      <c r="C9" s="3">
        <f t="shared" ref="C9:S9" si="0">B9+1</f>
        <v>2019</v>
      </c>
      <c r="D9" s="3">
        <f t="shared" si="0"/>
        <v>2020</v>
      </c>
      <c r="E9" s="3">
        <f t="shared" si="0"/>
        <v>2021</v>
      </c>
      <c r="F9" s="3">
        <f t="shared" si="0"/>
        <v>2022</v>
      </c>
      <c r="G9" s="3">
        <f t="shared" si="0"/>
        <v>2023</v>
      </c>
      <c r="H9" s="3">
        <f t="shared" si="0"/>
        <v>2024</v>
      </c>
      <c r="I9" s="3">
        <f t="shared" si="0"/>
        <v>2025</v>
      </c>
      <c r="J9" s="3">
        <f t="shared" si="0"/>
        <v>2026</v>
      </c>
      <c r="K9" s="3">
        <f t="shared" si="0"/>
        <v>2027</v>
      </c>
      <c r="L9" s="3">
        <f t="shared" si="0"/>
        <v>2028</v>
      </c>
      <c r="M9" s="3">
        <f t="shared" si="0"/>
        <v>2029</v>
      </c>
      <c r="N9" s="3">
        <f t="shared" si="0"/>
        <v>2030</v>
      </c>
      <c r="O9" s="3">
        <f t="shared" si="0"/>
        <v>2031</v>
      </c>
      <c r="P9" s="3">
        <f t="shared" si="0"/>
        <v>2032</v>
      </c>
      <c r="Q9" s="3">
        <f t="shared" si="0"/>
        <v>2033</v>
      </c>
      <c r="R9" s="3">
        <f t="shared" si="0"/>
        <v>2034</v>
      </c>
      <c r="S9" s="3">
        <f t="shared" si="0"/>
        <v>2035</v>
      </c>
    </row>
    <row r="10" spans="1:120" x14ac:dyDescent="0.15">
      <c r="A10" s="8" t="s">
        <v>59</v>
      </c>
      <c r="B10" s="16">
        <f>SUM(Reports!B3:E3)</f>
        <v>100.36799999999999</v>
      </c>
      <c r="C10" s="16">
        <f>SUM(Reports!F3:I3)</f>
        <v>157.529</v>
      </c>
      <c r="D10" s="16">
        <f>SUM(Reports!J3:M3)</f>
        <v>242.34399999999999</v>
      </c>
      <c r="E10" s="16">
        <f>SUM(Reports!N3:Q3)</f>
        <v>345.80105000000003</v>
      </c>
      <c r="F10" s="16">
        <f>E10*1.4</f>
        <v>484.12146999999999</v>
      </c>
      <c r="G10" s="16">
        <f>F10*1.35</f>
        <v>653.56398450000006</v>
      </c>
      <c r="H10" s="16">
        <f>G10*1.3</f>
        <v>849.63317985000015</v>
      </c>
      <c r="I10" s="16">
        <f>H10*1.25</f>
        <v>1062.0414748125002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</row>
    <row r="11" spans="1:120" x14ac:dyDescent="0.15">
      <c r="A11" s="8" t="s">
        <v>60</v>
      </c>
      <c r="B11" s="16">
        <f>SUM(Reports!B4:E4)</f>
        <v>10.885999999999999</v>
      </c>
      <c r="C11" s="16">
        <f>SUM(Reports!F4:I4)</f>
        <v>20.192999999999998</v>
      </c>
      <c r="D11" s="16">
        <f>SUM(Reports!J4:M4)</f>
        <v>27.3765</v>
      </c>
      <c r="E11" s="16">
        <f>SUM(Reports!N4:Q4)</f>
        <v>33.746024999999996</v>
      </c>
      <c r="F11" s="16">
        <f>E11*1.2</f>
        <v>40.495229999999992</v>
      </c>
      <c r="G11" s="16">
        <f t="shared" ref="G11:I11" si="1">F11*1.2</f>
        <v>48.594275999999986</v>
      </c>
      <c r="H11" s="16">
        <f t="shared" si="1"/>
        <v>58.31313119999998</v>
      </c>
      <c r="I11" s="16">
        <f t="shared" si="1"/>
        <v>69.975757439999967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</row>
    <row r="12" spans="1:120" s="16" customFormat="1" x14ac:dyDescent="0.15">
      <c r="D12" s="58">
        <v>262</v>
      </c>
      <c r="E12" s="16">
        <v>378</v>
      </c>
    </row>
    <row r="13" spans="1:120" x14ac:dyDescent="0.15">
      <c r="A13" s="2" t="s">
        <v>0</v>
      </c>
      <c r="B13" s="17">
        <f>SUM(B10:B11)</f>
        <v>111.25399999999999</v>
      </c>
      <c r="C13" s="17">
        <f>SUM(C10:C11)</f>
        <v>177.72199999999998</v>
      </c>
      <c r="D13" s="17">
        <f>SUM(D10:D11)</f>
        <v>269.72050000000002</v>
      </c>
      <c r="E13" s="17">
        <f>SUM(E10:E11)</f>
        <v>379.54707500000001</v>
      </c>
      <c r="F13" s="18">
        <f>SUM(F10:F11)</f>
        <v>524.61670000000004</v>
      </c>
      <c r="G13" s="18">
        <f>SUM(G10:G11)</f>
        <v>702.1582605000001</v>
      </c>
      <c r="H13" s="18">
        <f>SUM(H10:H11)</f>
        <v>907.94631105000008</v>
      </c>
      <c r="I13" s="18">
        <f>SUM(I10:I11)</f>
        <v>1132.0172322525002</v>
      </c>
      <c r="J13" s="18">
        <f t="shared" ref="J13:S13" si="2">I13*1.15</f>
        <v>1301.8198170903752</v>
      </c>
      <c r="K13" s="18">
        <f t="shared" si="2"/>
        <v>1497.0927896539313</v>
      </c>
      <c r="L13" s="18">
        <f t="shared" si="2"/>
        <v>1721.6567081020207</v>
      </c>
      <c r="M13" s="18">
        <f t="shared" si="2"/>
        <v>1979.9052143173237</v>
      </c>
      <c r="N13" s="18">
        <f t="shared" si="2"/>
        <v>2276.890996464922</v>
      </c>
      <c r="O13" s="18">
        <f>N13*1.1</f>
        <v>2504.5800961114142</v>
      </c>
      <c r="P13" s="18">
        <f t="shared" ref="P13:S13" si="3">O13*1.1</f>
        <v>2755.0381057225559</v>
      </c>
      <c r="Q13" s="18">
        <f t="shared" si="3"/>
        <v>3030.5419162948119</v>
      </c>
      <c r="R13" s="18">
        <f t="shared" si="3"/>
        <v>3333.5961079242934</v>
      </c>
      <c r="S13" s="18">
        <f t="shared" si="3"/>
        <v>3666.9557187167229</v>
      </c>
      <c r="T13" s="18"/>
    </row>
    <row r="14" spans="1:120" x14ac:dyDescent="0.15">
      <c r="A14" s="3" t="s">
        <v>1</v>
      </c>
      <c r="B14" s="16">
        <f>SUM(Reports!B7:E7)</f>
        <v>21.681999999999999</v>
      </c>
      <c r="C14" s="8">
        <f>SUM(Reports!F7:I7)</f>
        <v>33.849000000000004</v>
      </c>
      <c r="D14" s="16">
        <f>SUM(Reports!J7:M7)</f>
        <v>51.484999999999999</v>
      </c>
      <c r="E14" s="16">
        <f>SUM(Reports!N7:Q7)</f>
        <v>86.1115984226699</v>
      </c>
      <c r="F14" s="8">
        <f t="shared" ref="F14" si="4">F13-F15</f>
        <v>100.1402963419539</v>
      </c>
      <c r="G14" s="8">
        <f t="shared" ref="G14:O14" si="5">G13-G15</f>
        <v>134.02992372416065</v>
      </c>
      <c r="H14" s="8">
        <f t="shared" si="5"/>
        <v>173.31131977142718</v>
      </c>
      <c r="I14" s="8">
        <f t="shared" si="5"/>
        <v>216.08260107229501</v>
      </c>
      <c r="J14" s="8">
        <f t="shared" si="5"/>
        <v>248.49499123313922</v>
      </c>
      <c r="K14" s="8">
        <f t="shared" si="5"/>
        <v>285.76923991811009</v>
      </c>
      <c r="L14" s="8">
        <f t="shared" si="5"/>
        <v>328.6346259058264</v>
      </c>
      <c r="M14" s="8">
        <f t="shared" si="5"/>
        <v>377.92981979170031</v>
      </c>
      <c r="N14" s="8">
        <f t="shared" si="5"/>
        <v>434.61929276045521</v>
      </c>
      <c r="O14" s="8">
        <f t="shared" si="5"/>
        <v>478.08122203650078</v>
      </c>
      <c r="P14" s="8">
        <f t="shared" ref="P14:S14" si="6">P13-P15</f>
        <v>525.88934424015088</v>
      </c>
      <c r="Q14" s="8">
        <f t="shared" si="6"/>
        <v>578.47827866416583</v>
      </c>
      <c r="R14" s="8">
        <f t="shared" si="6"/>
        <v>636.32610653058236</v>
      </c>
      <c r="S14" s="8">
        <f t="shared" si="6"/>
        <v>699.9587171836406</v>
      </c>
      <c r="T14" s="8"/>
    </row>
    <row r="15" spans="1:120" x14ac:dyDescent="0.15">
      <c r="A15" s="3" t="s">
        <v>2</v>
      </c>
      <c r="B15" s="10">
        <f>B13-B14</f>
        <v>89.571999999999989</v>
      </c>
      <c r="C15" s="10">
        <f>C13-C14</f>
        <v>143.87299999999999</v>
      </c>
      <c r="D15" s="10">
        <f>D13-D14</f>
        <v>218.2355</v>
      </c>
      <c r="E15" s="8">
        <f t="shared" ref="E15:S15" si="7">E13*D28</f>
        <v>307.09807258314629</v>
      </c>
      <c r="F15" s="8">
        <f t="shared" si="7"/>
        <v>424.47640365804614</v>
      </c>
      <c r="G15" s="8">
        <f t="shared" si="7"/>
        <v>568.12833677583944</v>
      </c>
      <c r="H15" s="8">
        <f t="shared" si="7"/>
        <v>734.6349912785729</v>
      </c>
      <c r="I15" s="8">
        <f t="shared" si="7"/>
        <v>915.9346311802052</v>
      </c>
      <c r="J15" s="8">
        <f t="shared" si="7"/>
        <v>1053.324825857236</v>
      </c>
      <c r="K15" s="8">
        <f t="shared" si="7"/>
        <v>1211.3235497358212</v>
      </c>
      <c r="L15" s="8">
        <f t="shared" si="7"/>
        <v>1393.0220821961943</v>
      </c>
      <c r="M15" s="8">
        <f t="shared" si="7"/>
        <v>1601.9753945256234</v>
      </c>
      <c r="N15" s="8">
        <f t="shared" si="7"/>
        <v>1842.2717037044667</v>
      </c>
      <c r="O15" s="8">
        <f t="shared" si="7"/>
        <v>2026.4988740749134</v>
      </c>
      <c r="P15" s="8">
        <f t="shared" si="7"/>
        <v>2229.148761482405</v>
      </c>
      <c r="Q15" s="8">
        <f t="shared" si="7"/>
        <v>2452.0636376306461</v>
      </c>
      <c r="R15" s="8">
        <f t="shared" si="7"/>
        <v>2697.270001393711</v>
      </c>
      <c r="S15" s="8">
        <f t="shared" si="7"/>
        <v>2966.9970015330823</v>
      </c>
      <c r="T15" s="8"/>
    </row>
    <row r="16" spans="1:120" x14ac:dyDescent="0.15">
      <c r="A16" s="3" t="s">
        <v>3</v>
      </c>
      <c r="B16" s="16">
        <f>SUM(Reports!B9:E9)</f>
        <v>37.590000000000003</v>
      </c>
      <c r="C16" s="8">
        <f>SUM(Reports!F9:I9)</f>
        <v>58.841000000000008</v>
      </c>
      <c r="D16" s="16">
        <f>SUM(Reports!J9:M9)</f>
        <v>92.238</v>
      </c>
      <c r="E16" s="16">
        <f>SUM(Reports!N9:Q9)</f>
        <v>118</v>
      </c>
      <c r="F16" s="8">
        <f>E16*1.2</f>
        <v>141.6</v>
      </c>
      <c r="G16" s="8">
        <f t="shared" ref="G16:I16" si="8">F16*1.2</f>
        <v>169.92</v>
      </c>
      <c r="H16" s="8">
        <f t="shared" si="8"/>
        <v>203.90399999999997</v>
      </c>
      <c r="I16" s="8">
        <f t="shared" si="8"/>
        <v>244.68479999999994</v>
      </c>
      <c r="J16" s="8">
        <f>I16*1.15</f>
        <v>281.38751999999988</v>
      </c>
      <c r="K16" s="8">
        <f t="shared" ref="K16:N16" si="9">J16*1.15</f>
        <v>323.59564799999981</v>
      </c>
      <c r="L16" s="8">
        <f t="shared" si="9"/>
        <v>372.13499519999976</v>
      </c>
      <c r="M16" s="8">
        <f t="shared" si="9"/>
        <v>427.95524447999969</v>
      </c>
      <c r="N16" s="8">
        <f t="shared" si="9"/>
        <v>492.14853115199963</v>
      </c>
      <c r="O16" s="8">
        <f>N16*1.05</f>
        <v>516.75595770959967</v>
      </c>
      <c r="P16" s="8">
        <f t="shared" ref="P16:S16" si="10">O16*1.05</f>
        <v>542.59375559507964</v>
      </c>
      <c r="Q16" s="8">
        <f t="shared" si="10"/>
        <v>569.72344337483366</v>
      </c>
      <c r="R16" s="8">
        <f t="shared" si="10"/>
        <v>598.20961554357541</v>
      </c>
      <c r="S16" s="8">
        <f t="shared" si="10"/>
        <v>628.12009632075421</v>
      </c>
      <c r="T16" s="8"/>
    </row>
    <row r="17" spans="1:120" x14ac:dyDescent="0.15">
      <c r="A17" s="3" t="s">
        <v>4</v>
      </c>
      <c r="B17" s="16">
        <f>SUM(Reports!B10:E10)</f>
        <v>72.926000000000002</v>
      </c>
      <c r="C17" s="8">
        <f>SUM(Reports!F10:I10)</f>
        <v>106.06700000000001</v>
      </c>
      <c r="D17" s="16">
        <f>SUM(Reports!J10:M10)</f>
        <v>176.41300000000001</v>
      </c>
      <c r="E17" s="16">
        <f>SUM(Reports!N10:Q10)</f>
        <v>227</v>
      </c>
      <c r="F17" s="8">
        <f>E17*1.25</f>
        <v>283.75</v>
      </c>
      <c r="G17" s="8">
        <f t="shared" ref="G17:I17" si="11">F17*1.25</f>
        <v>354.6875</v>
      </c>
      <c r="H17" s="8">
        <f t="shared" si="11"/>
        <v>443.359375</v>
      </c>
      <c r="I17" s="8">
        <f t="shared" si="11"/>
        <v>554.19921875</v>
      </c>
      <c r="J17" s="8">
        <f>I17*1.1</f>
        <v>609.619140625</v>
      </c>
      <c r="K17" s="8">
        <f t="shared" ref="K17:N17" si="12">J17*1.1</f>
        <v>670.5810546875</v>
      </c>
      <c r="L17" s="8">
        <f t="shared" si="12"/>
        <v>737.63916015625011</v>
      </c>
      <c r="M17" s="8">
        <f t="shared" si="12"/>
        <v>811.40307617187523</v>
      </c>
      <c r="N17" s="8">
        <f t="shared" si="12"/>
        <v>892.54338378906277</v>
      </c>
      <c r="O17" s="8">
        <f>N17*0.95</f>
        <v>847.91621459960959</v>
      </c>
      <c r="P17" s="8">
        <f t="shared" ref="P17:S17" si="13">O17*0.95</f>
        <v>805.52040386962904</v>
      </c>
      <c r="Q17" s="8">
        <f t="shared" si="13"/>
        <v>765.24438367614755</v>
      </c>
      <c r="R17" s="8">
        <f t="shared" si="13"/>
        <v>726.98216449234019</v>
      </c>
      <c r="S17" s="8">
        <f t="shared" si="13"/>
        <v>690.63305626772319</v>
      </c>
      <c r="T17" s="8"/>
    </row>
    <row r="18" spans="1:120" x14ac:dyDescent="0.15">
      <c r="A18" s="3" t="s">
        <v>5</v>
      </c>
      <c r="B18" s="16">
        <f>SUM(Reports!B11:E11)</f>
        <v>28.033999999999999</v>
      </c>
      <c r="C18" s="8">
        <f>SUM(Reports!F11:I11)</f>
        <v>34.048999999999999</v>
      </c>
      <c r="D18" s="16">
        <f>SUM(Reports!J11:M11)</f>
        <v>47.939</v>
      </c>
      <c r="E18" s="16">
        <f>SUM(Reports!N11:Q11)</f>
        <v>72</v>
      </c>
      <c r="F18" s="8">
        <f>E18*1.2</f>
        <v>86.399999999999991</v>
      </c>
      <c r="G18" s="8">
        <f t="shared" ref="G18:I18" si="14">F18*1.2</f>
        <v>103.67999999999999</v>
      </c>
      <c r="H18" s="8">
        <f t="shared" si="14"/>
        <v>124.41599999999998</v>
      </c>
      <c r="I18" s="8">
        <f t="shared" si="14"/>
        <v>149.29919999999998</v>
      </c>
      <c r="J18" s="8">
        <f>I18*1.05</f>
        <v>156.76416</v>
      </c>
      <c r="K18" s="8">
        <f t="shared" ref="K18:N18" si="15">J18*1.05</f>
        <v>164.60236800000001</v>
      </c>
      <c r="L18" s="8">
        <f t="shared" si="15"/>
        <v>172.83248640000002</v>
      </c>
      <c r="M18" s="8">
        <f t="shared" si="15"/>
        <v>181.47411072000003</v>
      </c>
      <c r="N18" s="8">
        <f t="shared" si="15"/>
        <v>190.54781625600003</v>
      </c>
      <c r="O18" s="8">
        <f>N18*0.95</f>
        <v>181.02042544320003</v>
      </c>
      <c r="P18" s="8">
        <f t="shared" ref="P18:S18" si="16">O18*0.95</f>
        <v>171.96940417104003</v>
      </c>
      <c r="Q18" s="8">
        <f t="shared" si="16"/>
        <v>163.37093396248801</v>
      </c>
      <c r="R18" s="8">
        <f t="shared" si="16"/>
        <v>155.20238726436361</v>
      </c>
      <c r="S18" s="8">
        <f t="shared" si="16"/>
        <v>147.44226790114541</v>
      </c>
      <c r="T18" s="8"/>
    </row>
    <row r="19" spans="1:120" x14ac:dyDescent="0.15">
      <c r="A19" s="3" t="s">
        <v>6</v>
      </c>
      <c r="B19" s="10">
        <f>SUM(B16:B18)</f>
        <v>138.55000000000001</v>
      </c>
      <c r="C19" s="10">
        <f>SUM(C16:C18)</f>
        <v>198.95700000000002</v>
      </c>
      <c r="D19" s="10">
        <f>SUM(D16:D18)</f>
        <v>316.59000000000003</v>
      </c>
      <c r="E19" s="8">
        <f t="shared" ref="E19:F19" si="17">SUM(E16:E18)</f>
        <v>417</v>
      </c>
      <c r="F19" s="8">
        <f t="shared" si="17"/>
        <v>511.75</v>
      </c>
      <c r="G19" s="8">
        <f t="shared" ref="G19:O19" si="18">SUM(G16:G18)</f>
        <v>628.28749999999991</v>
      </c>
      <c r="H19" s="8">
        <f t="shared" si="18"/>
        <v>771.67937499999994</v>
      </c>
      <c r="I19" s="8">
        <f t="shared" si="18"/>
        <v>948.18321874999992</v>
      </c>
      <c r="J19" s="8">
        <f t="shared" si="18"/>
        <v>1047.7708206249999</v>
      </c>
      <c r="K19" s="8">
        <f t="shared" si="18"/>
        <v>1158.7790706874998</v>
      </c>
      <c r="L19" s="8">
        <f t="shared" si="18"/>
        <v>1282.6066417562499</v>
      </c>
      <c r="M19" s="8">
        <f t="shared" si="18"/>
        <v>1420.8324313718749</v>
      </c>
      <c r="N19" s="8">
        <f t="shared" si="18"/>
        <v>1575.2397311970624</v>
      </c>
      <c r="O19" s="8">
        <f t="shared" si="18"/>
        <v>1545.6925977524093</v>
      </c>
      <c r="P19" s="8">
        <f t="shared" ref="P19:S19" si="19">SUM(P16:P18)</f>
        <v>1520.0835636357488</v>
      </c>
      <c r="Q19" s="8">
        <f t="shared" si="19"/>
        <v>1498.3387610134691</v>
      </c>
      <c r="R19" s="8">
        <f t="shared" si="19"/>
        <v>1480.3941673002792</v>
      </c>
      <c r="S19" s="8">
        <f t="shared" si="19"/>
        <v>1466.1954204896228</v>
      </c>
      <c r="T19" s="8"/>
    </row>
    <row r="20" spans="1:120" x14ac:dyDescent="0.15">
      <c r="A20" s="3" t="s">
        <v>7</v>
      </c>
      <c r="B20" s="10">
        <f>B15-B19</f>
        <v>-48.978000000000023</v>
      </c>
      <c r="C20" s="10">
        <f>C15-C19</f>
        <v>-55.084000000000032</v>
      </c>
      <c r="D20" s="10">
        <f>D15-D19</f>
        <v>-98.35450000000003</v>
      </c>
      <c r="E20" s="8">
        <f t="shared" ref="E20:F20" si="20">E15-E19</f>
        <v>-109.90192741685371</v>
      </c>
      <c r="F20" s="8">
        <f t="shared" si="20"/>
        <v>-87.273596341953862</v>
      </c>
      <c r="G20" s="8">
        <f t="shared" ref="G20:O20" si="21">G15-G19</f>
        <v>-60.159163224160466</v>
      </c>
      <c r="H20" s="8">
        <f t="shared" si="21"/>
        <v>-37.044383721427039</v>
      </c>
      <c r="I20" s="8">
        <f t="shared" si="21"/>
        <v>-32.248587569794722</v>
      </c>
      <c r="J20" s="8">
        <f t="shared" si="21"/>
        <v>5.5540052322360225</v>
      </c>
      <c r="K20" s="8">
        <f t="shared" si="21"/>
        <v>52.544479048321364</v>
      </c>
      <c r="L20" s="8">
        <f t="shared" si="21"/>
        <v>110.4154404399444</v>
      </c>
      <c r="M20" s="8">
        <f t="shared" si="21"/>
        <v>181.1429631537485</v>
      </c>
      <c r="N20" s="8">
        <f t="shared" si="21"/>
        <v>267.03197250740436</v>
      </c>
      <c r="O20" s="8">
        <f t="shared" si="21"/>
        <v>480.80627632250412</v>
      </c>
      <c r="P20" s="8">
        <f t="shared" ref="P20:S20" si="22">P15-P19</f>
        <v>709.06519784665625</v>
      </c>
      <c r="Q20" s="8">
        <f t="shared" si="22"/>
        <v>953.72487661717696</v>
      </c>
      <c r="R20" s="8">
        <f t="shared" si="22"/>
        <v>1216.8758340934319</v>
      </c>
      <c r="S20" s="8">
        <f t="shared" si="22"/>
        <v>1500.8015810434595</v>
      </c>
      <c r="T20" s="8"/>
    </row>
    <row r="21" spans="1:120" x14ac:dyDescent="0.15">
      <c r="A21" s="3" t="s">
        <v>8</v>
      </c>
      <c r="B21" s="16">
        <f>SUM(Reports!B14:E14)</f>
        <v>-0.43500000000000005</v>
      </c>
      <c r="C21" s="8">
        <f>SUM(Reports!F14:I14)</f>
        <v>1.492</v>
      </c>
      <c r="D21" s="16">
        <f>SUM(Reports!J14:M14)</f>
        <v>9.036999999999999</v>
      </c>
      <c r="E21" s="16">
        <f>SUM(Reports!N14:Q14)</f>
        <v>4</v>
      </c>
      <c r="F21" s="8">
        <f t="shared" ref="E21:S21" si="23">E38*$F$3</f>
        <v>23.054903629157316</v>
      </c>
      <c r="G21" s="8">
        <f t="shared" si="23"/>
        <v>19.843968993517489</v>
      </c>
      <c r="H21" s="8">
        <f t="shared" si="23"/>
        <v>17.828209281985337</v>
      </c>
      <c r="I21" s="8">
        <f t="shared" si="23"/>
        <v>17.011521868309067</v>
      </c>
      <c r="J21" s="8">
        <f t="shared" si="23"/>
        <v>16.363946575995925</v>
      </c>
      <c r="K21" s="8">
        <f t="shared" si="23"/>
        <v>17.295459527845782</v>
      </c>
      <c r="L21" s="8">
        <f t="shared" si="23"/>
        <v>20.263656917332884</v>
      </c>
      <c r="M21" s="8">
        <f t="shared" si="23"/>
        <v>25.817518555017173</v>
      </c>
      <c r="N21" s="8">
        <f t="shared" si="23"/>
        <v>34.613339027639711</v>
      </c>
      <c r="O21" s="8">
        <f t="shared" si="23"/>
        <v>47.433264767879088</v>
      </c>
      <c r="P21" s="8">
        <f t="shared" si="23"/>
        <v>69.88344526422037</v>
      </c>
      <c r="Q21" s="8">
        <f t="shared" si="23"/>
        <v>102.98876259643262</v>
      </c>
      <c r="R21" s="8">
        <f t="shared" si="23"/>
        <v>147.89909226301103</v>
      </c>
      <c r="S21" s="8">
        <f t="shared" si="23"/>
        <v>205.90202663315986</v>
      </c>
      <c r="T21" s="8"/>
    </row>
    <row r="22" spans="1:120" x14ac:dyDescent="0.15">
      <c r="A22" s="3" t="s">
        <v>9</v>
      </c>
      <c r="B22" s="10">
        <f>B20+B21</f>
        <v>-49.413000000000025</v>
      </c>
      <c r="C22" s="10">
        <f>C20+C21</f>
        <v>-53.592000000000034</v>
      </c>
      <c r="D22" s="10">
        <f>D20+D21</f>
        <v>-89.317500000000024</v>
      </c>
      <c r="E22" s="8">
        <f t="shared" ref="E22:F22" si="24">E20+E21</f>
        <v>-105.90192741685371</v>
      </c>
      <c r="F22" s="8">
        <f t="shared" si="24"/>
        <v>-64.218692712796553</v>
      </c>
      <c r="G22" s="8">
        <f t="shared" ref="G22" si="25">G20+G21</f>
        <v>-40.315194230642973</v>
      </c>
      <c r="H22" s="8">
        <f t="shared" ref="H22" si="26">H20+H21</f>
        <v>-19.216174439441701</v>
      </c>
      <c r="I22" s="8">
        <f t="shared" ref="I22" si="27">I20+I21</f>
        <v>-15.237065701485655</v>
      </c>
      <c r="J22" s="8">
        <f t="shared" ref="J22" si="28">J20+J21</f>
        <v>21.917951808231948</v>
      </c>
      <c r="K22" s="8">
        <f t="shared" ref="K22" si="29">K20+K21</f>
        <v>69.839938576167143</v>
      </c>
      <c r="L22" s="8">
        <f t="shared" ref="L22" si="30">L20+L21</f>
        <v>130.6790973572773</v>
      </c>
      <c r="M22" s="8">
        <f t="shared" ref="M22" si="31">M20+M21</f>
        <v>206.96048170876566</v>
      </c>
      <c r="N22" s="8">
        <f t="shared" ref="N22" si="32">N20+N21</f>
        <v>301.64531153504407</v>
      </c>
      <c r="O22" s="8">
        <f t="shared" ref="O22:P22" si="33">O20+O21</f>
        <v>528.23954109038323</v>
      </c>
      <c r="P22" s="8">
        <f t="shared" si="33"/>
        <v>778.94864311087667</v>
      </c>
      <c r="Q22" s="8">
        <f t="shared" ref="Q22:S22" si="34">Q20+Q21</f>
        <v>1056.7136392136097</v>
      </c>
      <c r="R22" s="8">
        <f t="shared" si="34"/>
        <v>1364.7749263564428</v>
      </c>
      <c r="S22" s="8">
        <f t="shared" si="34"/>
        <v>1706.7036076766194</v>
      </c>
      <c r="T22" s="8"/>
    </row>
    <row r="23" spans="1:120" x14ac:dyDescent="0.15">
      <c r="A23" s="3" t="s">
        <v>10</v>
      </c>
      <c r="B23" s="16">
        <f>SUM(Reports!B16:E16)</f>
        <v>-0.307</v>
      </c>
      <c r="C23" s="8">
        <f>SUM(Reports!F16:I16)</f>
        <v>0.29299999999999998</v>
      </c>
      <c r="D23" s="16">
        <f>SUM(Reports!J16:M16)</f>
        <v>-3.5000000000000003E-2</v>
      </c>
      <c r="E23" s="16">
        <f>SUM(Reports!N16:Q16)</f>
        <v>-4</v>
      </c>
      <c r="F23" s="8">
        <v>0</v>
      </c>
      <c r="G23" s="8">
        <v>0</v>
      </c>
      <c r="H23" s="8">
        <f t="shared" ref="H23:O23" si="35">H22*0.15</f>
        <v>-2.8824261659162551</v>
      </c>
      <c r="I23" s="8">
        <f t="shared" si="35"/>
        <v>-2.2855598552228482</v>
      </c>
      <c r="J23" s="8">
        <f t="shared" si="35"/>
        <v>3.2876927712347919</v>
      </c>
      <c r="K23" s="8">
        <f t="shared" si="35"/>
        <v>10.47599078642507</v>
      </c>
      <c r="L23" s="8">
        <f t="shared" si="35"/>
        <v>19.601864603591594</v>
      </c>
      <c r="M23" s="8">
        <f t="shared" si="35"/>
        <v>31.044072256314848</v>
      </c>
      <c r="N23" s="8">
        <f t="shared" si="35"/>
        <v>45.246796730256612</v>
      </c>
      <c r="O23" s="8">
        <f t="shared" si="35"/>
        <v>79.235931163557481</v>
      </c>
      <c r="P23" s="8">
        <f t="shared" ref="P23:S23" si="36">P22*0.15</f>
        <v>116.8422964666315</v>
      </c>
      <c r="Q23" s="8">
        <f t="shared" si="36"/>
        <v>158.50704588204144</v>
      </c>
      <c r="R23" s="8">
        <f t="shared" si="36"/>
        <v>204.71623895346642</v>
      </c>
      <c r="S23" s="8">
        <f t="shared" si="36"/>
        <v>256.00554115149288</v>
      </c>
      <c r="T23" s="8"/>
    </row>
    <row r="24" spans="1:120" s="2" customFormat="1" x14ac:dyDescent="0.15">
      <c r="A24" s="2" t="s">
        <v>11</v>
      </c>
      <c r="B24" s="17">
        <f>B22-B23</f>
        <v>-49.106000000000023</v>
      </c>
      <c r="C24" s="17">
        <f>C22-C23</f>
        <v>-53.885000000000034</v>
      </c>
      <c r="D24" s="17">
        <f t="shared" ref="D24:F24" si="37">D22-D23</f>
        <v>-89.282500000000027</v>
      </c>
      <c r="E24" s="17">
        <f t="shared" si="37"/>
        <v>-101.90192741685371</v>
      </c>
      <c r="F24" s="17">
        <f t="shared" si="37"/>
        <v>-64.218692712796553</v>
      </c>
      <c r="G24" s="17">
        <f t="shared" ref="G24:O24" si="38">G22-G23</f>
        <v>-40.315194230642973</v>
      </c>
      <c r="H24" s="17">
        <f t="shared" si="38"/>
        <v>-16.333748273525448</v>
      </c>
      <c r="I24" s="17">
        <f t="shared" si="38"/>
        <v>-12.951505846262807</v>
      </c>
      <c r="J24" s="17">
        <f t="shared" si="38"/>
        <v>18.630259036997156</v>
      </c>
      <c r="K24" s="17">
        <f t="shared" si="38"/>
        <v>59.36394778974207</v>
      </c>
      <c r="L24" s="17">
        <f t="shared" si="38"/>
        <v>111.07723275368571</v>
      </c>
      <c r="M24" s="17">
        <f t="shared" si="38"/>
        <v>175.91640945245081</v>
      </c>
      <c r="N24" s="17">
        <f t="shared" si="38"/>
        <v>256.39851480478745</v>
      </c>
      <c r="O24" s="17">
        <f t="shared" si="38"/>
        <v>449.00360992682573</v>
      </c>
      <c r="P24" s="17">
        <f t="shared" ref="P24:S24" si="39">P22-P23</f>
        <v>662.10634664424515</v>
      </c>
      <c r="Q24" s="17">
        <f t="shared" si="39"/>
        <v>898.20659333156823</v>
      </c>
      <c r="R24" s="17">
        <f t="shared" si="39"/>
        <v>1160.0586874029764</v>
      </c>
      <c r="S24" s="17">
        <f t="shared" si="39"/>
        <v>1450.6980665251265</v>
      </c>
      <c r="T24" s="17">
        <f t="shared" ref="P24:AU24" si="40">S24*($F$2+1)</f>
        <v>1457.9515568577519</v>
      </c>
      <c r="U24" s="17">
        <f t="shared" si="40"/>
        <v>1465.2413146420406</v>
      </c>
      <c r="V24" s="17">
        <f t="shared" si="40"/>
        <v>1472.5675212152507</v>
      </c>
      <c r="W24" s="17">
        <f t="shared" si="40"/>
        <v>1479.9303588213268</v>
      </c>
      <c r="X24" s="17">
        <f t="shared" si="40"/>
        <v>1487.3300106154331</v>
      </c>
      <c r="Y24" s="17">
        <f t="shared" si="40"/>
        <v>1494.7666606685102</v>
      </c>
      <c r="Z24" s="17">
        <f t="shared" si="40"/>
        <v>1502.2404939718526</v>
      </c>
      <c r="AA24" s="17">
        <f t="shared" si="40"/>
        <v>1509.7516964417118</v>
      </c>
      <c r="AB24" s="17">
        <f t="shared" si="40"/>
        <v>1517.3004549239201</v>
      </c>
      <c r="AC24" s="17">
        <f t="shared" si="40"/>
        <v>1524.8869571985397</v>
      </c>
      <c r="AD24" s="17">
        <f t="shared" si="40"/>
        <v>1532.5113919845321</v>
      </c>
      <c r="AE24" s="17">
        <f t="shared" si="40"/>
        <v>1540.1739489444547</v>
      </c>
      <c r="AF24" s="17">
        <f t="shared" si="40"/>
        <v>1547.8748186891767</v>
      </c>
      <c r="AG24" s="17">
        <f t="shared" si="40"/>
        <v>1555.6141927826225</v>
      </c>
      <c r="AH24" s="17">
        <f t="shared" si="40"/>
        <v>1563.3922637465355</v>
      </c>
      <c r="AI24" s="17">
        <f t="shared" si="40"/>
        <v>1571.2092250652679</v>
      </c>
      <c r="AJ24" s="17">
        <f t="shared" si="40"/>
        <v>1579.0652711905941</v>
      </c>
      <c r="AK24" s="17">
        <f t="shared" si="40"/>
        <v>1586.960597546547</v>
      </c>
      <c r="AL24" s="17">
        <f t="shared" si="40"/>
        <v>1594.8954005342796</v>
      </c>
      <c r="AM24" s="17">
        <f t="shared" si="40"/>
        <v>1602.8698775369508</v>
      </c>
      <c r="AN24" s="17">
        <f t="shared" si="40"/>
        <v>1610.8842269246354</v>
      </c>
      <c r="AO24" s="17">
        <f t="shared" si="40"/>
        <v>1618.9386480592584</v>
      </c>
      <c r="AP24" s="17">
        <f t="shared" si="40"/>
        <v>1627.0333412995544</v>
      </c>
      <c r="AQ24" s="17">
        <f t="shared" si="40"/>
        <v>1635.168508006052</v>
      </c>
      <c r="AR24" s="17">
        <f t="shared" si="40"/>
        <v>1643.3443505460821</v>
      </c>
      <c r="AS24" s="17">
        <f t="shared" si="40"/>
        <v>1651.5610722988124</v>
      </c>
      <c r="AT24" s="17">
        <f t="shared" si="40"/>
        <v>1659.8188776603063</v>
      </c>
      <c r="AU24" s="17">
        <f t="shared" si="40"/>
        <v>1668.1179720486077</v>
      </c>
      <c r="AV24" s="17">
        <f t="shared" ref="AV24:CA24" si="41">AU24*($F$2+1)</f>
        <v>1676.4585619088507</v>
      </c>
      <c r="AW24" s="17">
        <f t="shared" si="41"/>
        <v>1684.8408547183947</v>
      </c>
      <c r="AX24" s="17">
        <f t="shared" si="41"/>
        <v>1693.2650589919865</v>
      </c>
      <c r="AY24" s="17">
        <f t="shared" si="41"/>
        <v>1701.7313842869462</v>
      </c>
      <c r="AZ24" s="17">
        <f t="shared" si="41"/>
        <v>1710.2400412083807</v>
      </c>
      <c r="BA24" s="17">
        <f t="shared" si="41"/>
        <v>1718.7912414144225</v>
      </c>
      <c r="BB24" s="17">
        <f t="shared" si="41"/>
        <v>1727.3851976214944</v>
      </c>
      <c r="BC24" s="17">
        <f t="shared" si="41"/>
        <v>1736.0221236096017</v>
      </c>
      <c r="BD24" s="17">
        <f t="shared" si="41"/>
        <v>1744.7022342276496</v>
      </c>
      <c r="BE24" s="17">
        <f t="shared" si="41"/>
        <v>1753.4257453987877</v>
      </c>
      <c r="BF24" s="17">
        <f t="shared" si="41"/>
        <v>1762.1928741257816</v>
      </c>
      <c r="BG24" s="17">
        <f t="shared" si="41"/>
        <v>1771.0038384964103</v>
      </c>
      <c r="BH24" s="17">
        <f t="shared" si="41"/>
        <v>1779.8588576888922</v>
      </c>
      <c r="BI24" s="17">
        <f t="shared" si="41"/>
        <v>1788.7581519773364</v>
      </c>
      <c r="BJ24" s="17">
        <f t="shared" si="41"/>
        <v>1797.7019427372229</v>
      </c>
      <c r="BK24" s="17">
        <f t="shared" si="41"/>
        <v>1806.6904524509089</v>
      </c>
      <c r="BL24" s="17">
        <f t="shared" si="41"/>
        <v>1815.7239047131632</v>
      </c>
      <c r="BM24" s="17">
        <f t="shared" si="41"/>
        <v>1824.8025242367287</v>
      </c>
      <c r="BN24" s="17">
        <f t="shared" si="41"/>
        <v>1833.9265368579122</v>
      </c>
      <c r="BO24" s="17">
        <f t="shared" si="41"/>
        <v>1843.0961695422016</v>
      </c>
      <c r="BP24" s="17">
        <f t="shared" si="41"/>
        <v>1852.3116503899123</v>
      </c>
      <c r="BQ24" s="17">
        <f t="shared" si="41"/>
        <v>1861.5732086418616</v>
      </c>
      <c r="BR24" s="17">
        <f t="shared" si="41"/>
        <v>1870.8810746850706</v>
      </c>
      <c r="BS24" s="17">
        <f t="shared" si="41"/>
        <v>1880.2354800584958</v>
      </c>
      <c r="BT24" s="17">
        <f t="shared" si="41"/>
        <v>1889.636657458788</v>
      </c>
      <c r="BU24" s="17">
        <f t="shared" si="41"/>
        <v>1899.0848407460817</v>
      </c>
      <c r="BV24" s="17">
        <f t="shared" si="41"/>
        <v>1908.5802649498119</v>
      </c>
      <c r="BW24" s="17">
        <f t="shared" si="41"/>
        <v>1918.1231662745606</v>
      </c>
      <c r="BX24" s="17">
        <f t="shared" si="41"/>
        <v>1927.7137821059332</v>
      </c>
      <c r="BY24" s="17">
        <f t="shared" si="41"/>
        <v>1937.3523510164628</v>
      </c>
      <c r="BZ24" s="17">
        <f t="shared" si="41"/>
        <v>1947.039112771545</v>
      </c>
      <c r="CA24" s="17">
        <f t="shared" si="41"/>
        <v>1956.7743083354026</v>
      </c>
      <c r="CB24" s="17">
        <f t="shared" ref="CB24:DG24" si="42">CA24*($F$2+1)</f>
        <v>1966.5581798770793</v>
      </c>
      <c r="CC24" s="17">
        <f t="shared" si="42"/>
        <v>1976.3909707764644</v>
      </c>
      <c r="CD24" s="17">
        <f t="shared" si="42"/>
        <v>1986.2729256303464</v>
      </c>
      <c r="CE24" s="17">
        <f t="shared" si="42"/>
        <v>1996.2042902584978</v>
      </c>
      <c r="CF24" s="17">
        <f t="shared" si="42"/>
        <v>2006.1853117097901</v>
      </c>
      <c r="CG24" s="17">
        <f t="shared" si="42"/>
        <v>2016.2162382683389</v>
      </c>
      <c r="CH24" s="17">
        <f t="shared" si="42"/>
        <v>2026.2973194596805</v>
      </c>
      <c r="CI24" s="17">
        <f t="shared" si="42"/>
        <v>2036.4288060569786</v>
      </c>
      <c r="CJ24" s="17">
        <f t="shared" si="42"/>
        <v>2046.6109500872633</v>
      </c>
      <c r="CK24" s="17">
        <f t="shared" si="42"/>
        <v>2056.8440048376992</v>
      </c>
      <c r="CL24" s="17">
        <f t="shared" si="42"/>
        <v>2067.1282248618877</v>
      </c>
      <c r="CM24" s="17">
        <f t="shared" si="42"/>
        <v>2077.4638659861971</v>
      </c>
      <c r="CN24" s="17">
        <f t="shared" si="42"/>
        <v>2087.8511853161281</v>
      </c>
      <c r="CO24" s="17">
        <f t="shared" si="42"/>
        <v>2098.2904412427083</v>
      </c>
      <c r="CP24" s="17">
        <f t="shared" si="42"/>
        <v>2108.7818934489214</v>
      </c>
      <c r="CQ24" s="17">
        <f t="shared" si="42"/>
        <v>2119.3258029161657</v>
      </c>
      <c r="CR24" s="17">
        <f t="shared" si="42"/>
        <v>2129.9224319307464</v>
      </c>
      <c r="CS24" s="17">
        <f t="shared" si="42"/>
        <v>2140.5720440903997</v>
      </c>
      <c r="CT24" s="17">
        <f t="shared" si="42"/>
        <v>2151.2749043108515</v>
      </c>
      <c r="CU24" s="17">
        <f t="shared" si="42"/>
        <v>2162.0312788324054</v>
      </c>
      <c r="CV24" s="17">
        <f t="shared" si="42"/>
        <v>2172.8414352265672</v>
      </c>
      <c r="CW24" s="17">
        <f t="shared" si="42"/>
        <v>2183.7056424027001</v>
      </c>
      <c r="CX24" s="17">
        <f t="shared" si="42"/>
        <v>2194.6241706147134</v>
      </c>
      <c r="CY24" s="17">
        <f t="shared" si="42"/>
        <v>2205.5972914677868</v>
      </c>
      <c r="CZ24" s="17">
        <f t="shared" si="42"/>
        <v>2216.6252779251254</v>
      </c>
      <c r="DA24" s="17">
        <f t="shared" si="42"/>
        <v>2227.7084043147506</v>
      </c>
      <c r="DB24" s="17">
        <f t="shared" si="42"/>
        <v>2238.846946336324</v>
      </c>
      <c r="DC24" s="17">
        <f t="shared" si="42"/>
        <v>2250.0411810680052</v>
      </c>
      <c r="DD24" s="17">
        <f t="shared" si="42"/>
        <v>2261.2913869733452</v>
      </c>
      <c r="DE24" s="17">
        <f t="shared" si="42"/>
        <v>2272.5978439082119</v>
      </c>
      <c r="DF24" s="17">
        <f t="shared" si="42"/>
        <v>2283.9608331277527</v>
      </c>
      <c r="DG24" s="17">
        <f t="shared" si="42"/>
        <v>2295.3806372933914</v>
      </c>
      <c r="DH24" s="17">
        <f t="shared" ref="DH24:DP24" si="43">DG24*($F$2+1)</f>
        <v>2306.857540479858</v>
      </c>
      <c r="DI24" s="17">
        <f t="shared" si="43"/>
        <v>2318.3918281822571</v>
      </c>
      <c r="DJ24" s="17">
        <f t="shared" si="43"/>
        <v>2329.9837873231681</v>
      </c>
      <c r="DK24" s="17">
        <f t="shared" si="43"/>
        <v>2341.6337062597836</v>
      </c>
      <c r="DL24" s="17">
        <f t="shared" si="43"/>
        <v>2353.3418747910823</v>
      </c>
      <c r="DM24" s="17">
        <f t="shared" si="43"/>
        <v>2365.1085841650374</v>
      </c>
      <c r="DN24" s="17">
        <f t="shared" si="43"/>
        <v>2376.9341270858622</v>
      </c>
      <c r="DO24" s="17">
        <f t="shared" si="43"/>
        <v>2388.818797721291</v>
      </c>
      <c r="DP24" s="17">
        <f t="shared" si="43"/>
        <v>2400.7628917098973</v>
      </c>
    </row>
    <row r="25" spans="1:120" x14ac:dyDescent="0.15">
      <c r="A25" s="3" t="s">
        <v>12</v>
      </c>
      <c r="B25" s="19">
        <f>B24/B26</f>
        <v>-2.5256390474720991</v>
      </c>
      <c r="C25" s="19">
        <f>C24/C26</f>
        <v>-0.51742846168619194</v>
      </c>
      <c r="D25" s="19">
        <f>D24/D26</f>
        <v>-0.76309829059829082</v>
      </c>
      <c r="E25" s="20">
        <f t="shared" ref="E25:F25" si="44">E24/E26</f>
        <v>-0.8709566445884932</v>
      </c>
      <c r="F25" s="20">
        <f t="shared" si="44"/>
        <v>-0.54887771549398767</v>
      </c>
      <c r="G25" s="20">
        <f t="shared" ref="G25:O25" si="45">G24/G26</f>
        <v>-0.34457430966361513</v>
      </c>
      <c r="H25" s="20">
        <f t="shared" si="45"/>
        <v>-0.1396046860985081</v>
      </c>
      <c r="I25" s="20">
        <f t="shared" si="45"/>
        <v>-0.11069663116463938</v>
      </c>
      <c r="J25" s="20">
        <f t="shared" si="45"/>
        <v>0.15923298322219792</v>
      </c>
      <c r="K25" s="20">
        <f t="shared" si="45"/>
        <v>0.50738416914309459</v>
      </c>
      <c r="L25" s="20">
        <f t="shared" si="45"/>
        <v>0.94937805772380945</v>
      </c>
      <c r="M25" s="20">
        <f t="shared" si="45"/>
        <v>1.5035590551491522</v>
      </c>
      <c r="N25" s="20">
        <f t="shared" si="45"/>
        <v>2.1914402974768157</v>
      </c>
      <c r="O25" s="20">
        <f t="shared" si="45"/>
        <v>3.8376376916822714</v>
      </c>
      <c r="P25" s="20">
        <f t="shared" ref="P25:S25" si="46">P24/P26</f>
        <v>5.6590286037969673</v>
      </c>
      <c r="Q25" s="20">
        <f t="shared" si="46"/>
        <v>7.6769794301843435</v>
      </c>
      <c r="R25" s="20">
        <f t="shared" si="46"/>
        <v>9.9150315162647562</v>
      </c>
      <c r="S25" s="20">
        <f t="shared" si="46"/>
        <v>12.399128773719029</v>
      </c>
      <c r="T25" s="20"/>
    </row>
    <row r="26" spans="1:120" s="16" customFormat="1" x14ac:dyDescent="0.15">
      <c r="A26" s="16" t="s">
        <v>13</v>
      </c>
      <c r="B26" s="8">
        <f>Reports!E19</f>
        <v>19.443000000000001</v>
      </c>
      <c r="C26" s="8">
        <f>Reports!I19</f>
        <v>104.14</v>
      </c>
      <c r="D26" s="8">
        <f>Reports!M19</f>
        <v>117</v>
      </c>
      <c r="E26" s="8">
        <f t="shared" ref="E26" si="47">D26</f>
        <v>117</v>
      </c>
      <c r="F26" s="8">
        <f t="shared" ref="F26" si="48">E26</f>
        <v>117</v>
      </c>
      <c r="G26" s="8">
        <f t="shared" ref="G26" si="49">F26</f>
        <v>117</v>
      </c>
      <c r="H26" s="8">
        <f t="shared" ref="H26" si="50">G26</f>
        <v>117</v>
      </c>
      <c r="I26" s="8">
        <f t="shared" ref="I26" si="51">H26</f>
        <v>117</v>
      </c>
      <c r="J26" s="8">
        <f t="shared" ref="J26" si="52">I26</f>
        <v>117</v>
      </c>
      <c r="K26" s="8">
        <f t="shared" ref="K26" si="53">J26</f>
        <v>117</v>
      </c>
      <c r="L26" s="8">
        <f t="shared" ref="L26" si="54">K26</f>
        <v>117</v>
      </c>
      <c r="M26" s="8">
        <f t="shared" ref="M26" si="55">L26</f>
        <v>117</v>
      </c>
      <c r="N26" s="8">
        <f t="shared" ref="N26" si="56">M26</f>
        <v>117</v>
      </c>
      <c r="O26" s="8">
        <f t="shared" ref="O26:S26" si="57">N26</f>
        <v>117</v>
      </c>
      <c r="P26" s="8">
        <f t="shared" si="57"/>
        <v>117</v>
      </c>
      <c r="Q26" s="8">
        <f t="shared" si="57"/>
        <v>117</v>
      </c>
      <c r="R26" s="8">
        <f t="shared" si="57"/>
        <v>117</v>
      </c>
      <c r="S26" s="8">
        <f t="shared" si="57"/>
        <v>117</v>
      </c>
      <c r="T26" s="8"/>
    </row>
    <row r="27" spans="1:120" x14ac:dyDescent="0.1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</row>
    <row r="28" spans="1:120" x14ac:dyDescent="0.15">
      <c r="A28" s="3" t="s">
        <v>15</v>
      </c>
      <c r="B28" s="23">
        <f t="shared" ref="B28:N28" si="58">IFERROR(B15/B13,0)</f>
        <v>0.80511262516403903</v>
      </c>
      <c r="C28" s="23">
        <f>IFERROR(C15/C13,0)</f>
        <v>0.80953961805516483</v>
      </c>
      <c r="D28" s="23">
        <f t="shared" si="58"/>
        <v>0.80911721578448803</v>
      </c>
      <c r="E28" s="23">
        <f t="shared" si="58"/>
        <v>0.80911721578448814</v>
      </c>
      <c r="F28" s="23">
        <f>IFERROR(F15/F13,0)</f>
        <v>0.80911721578448814</v>
      </c>
      <c r="G28" s="23">
        <f t="shared" si="58"/>
        <v>0.80911721578448814</v>
      </c>
      <c r="H28" s="23">
        <f t="shared" si="58"/>
        <v>0.80911721578448814</v>
      </c>
      <c r="I28" s="23">
        <f t="shared" si="58"/>
        <v>0.80911721578448814</v>
      </c>
      <c r="J28" s="23">
        <f t="shared" si="58"/>
        <v>0.80911721578448814</v>
      </c>
      <c r="K28" s="23">
        <f t="shared" si="58"/>
        <v>0.80911721578448814</v>
      </c>
      <c r="L28" s="23">
        <f t="shared" si="58"/>
        <v>0.80911721578448825</v>
      </c>
      <c r="M28" s="23">
        <f t="shared" si="58"/>
        <v>0.80911721578448825</v>
      </c>
      <c r="N28" s="23">
        <f t="shared" si="58"/>
        <v>0.80911721578448825</v>
      </c>
      <c r="O28" s="23">
        <f>IFERROR(O15/O13,0)</f>
        <v>0.80911721578448825</v>
      </c>
      <c r="P28" s="23">
        <f>IFERROR(P15/P13,0)</f>
        <v>0.80911721578448825</v>
      </c>
      <c r="Q28" s="23">
        <f>IFERROR(Q15/Q13,0)</f>
        <v>0.80911721578448836</v>
      </c>
      <c r="R28" s="23">
        <f>IFERROR(R15/R13,0)</f>
        <v>0.80911721578448836</v>
      </c>
      <c r="S28" s="23">
        <f>IFERROR(S15/S13,0)</f>
        <v>0.80911721578448836</v>
      </c>
      <c r="T28" s="23"/>
    </row>
    <row r="29" spans="1:120" x14ac:dyDescent="0.15">
      <c r="A29" s="3" t="s">
        <v>16</v>
      </c>
      <c r="B29" s="22">
        <f t="shared" ref="B29:O29" si="59">IFERROR(B20/B13,0)</f>
        <v>-0.44023585668829907</v>
      </c>
      <c r="C29" s="22">
        <f>IFERROR(C20/C13,0)</f>
        <v>-0.30994474516379533</v>
      </c>
      <c r="D29" s="22">
        <f t="shared" si="59"/>
        <v>-0.36465340973340932</v>
      </c>
      <c r="E29" s="22">
        <f t="shared" si="59"/>
        <v>-0.28956072818333195</v>
      </c>
      <c r="F29" s="22">
        <f t="shared" si="59"/>
        <v>-0.16635687796815057</v>
      </c>
      <c r="G29" s="22">
        <f t="shared" si="59"/>
        <v>-8.5677498376678943E-2</v>
      </c>
      <c r="H29" s="22">
        <f t="shared" si="59"/>
        <v>-4.0800191895252962E-2</v>
      </c>
      <c r="I29" s="22">
        <f t="shared" si="59"/>
        <v>-2.8487717899511239E-2</v>
      </c>
      <c r="J29" s="22">
        <f t="shared" si="59"/>
        <v>4.2663394421583395E-3</v>
      </c>
      <c r="K29" s="22">
        <f t="shared" si="59"/>
        <v>3.5097676918521246E-2</v>
      </c>
      <c r="L29" s="22">
        <f t="shared" si="59"/>
        <v>6.4133250212040235E-2</v>
      </c>
      <c r="M29" s="22">
        <f t="shared" si="59"/>
        <v>9.1490724830585915E-2</v>
      </c>
      <c r="N29" s="22">
        <f t="shared" si="59"/>
        <v>0.11727920788566318</v>
      </c>
      <c r="O29" s="22">
        <f t="shared" si="59"/>
        <v>0.1919708126200472</v>
      </c>
      <c r="P29" s="22">
        <f t="shared" ref="P29:S29" si="60">IFERROR(P20/P13,0)</f>
        <v>0.25737037769961868</v>
      </c>
      <c r="Q29" s="22">
        <f t="shared" si="60"/>
        <v>0.31470440038764286</v>
      </c>
      <c r="R29" s="22">
        <f t="shared" si="60"/>
        <v>0.36503397373208935</v>
      </c>
      <c r="S29" s="22">
        <f t="shared" si="60"/>
        <v>0.40927725780355906</v>
      </c>
      <c r="T29" s="22"/>
    </row>
    <row r="30" spans="1:120" x14ac:dyDescent="0.15">
      <c r="A30" s="3" t="s">
        <v>17</v>
      </c>
      <c r="B30" s="22">
        <f t="shared" ref="B30:O30" si="61">IFERROR(B23/B22,0)</f>
        <v>6.2129399145973698E-3</v>
      </c>
      <c r="C30" s="22">
        <f>IFERROR(C23/C22,0)</f>
        <v>-5.4672339155097741E-3</v>
      </c>
      <c r="D30" s="22">
        <f t="shared" si="61"/>
        <v>3.9186049766283196E-4</v>
      </c>
      <c r="E30" s="22">
        <f t="shared" si="61"/>
        <v>3.7770795089074292E-2</v>
      </c>
      <c r="F30" s="22">
        <f t="shared" si="61"/>
        <v>0</v>
      </c>
      <c r="G30" s="22">
        <f t="shared" si="61"/>
        <v>0</v>
      </c>
      <c r="H30" s="22">
        <f t="shared" si="61"/>
        <v>0.15</v>
      </c>
      <c r="I30" s="22">
        <f t="shared" si="61"/>
        <v>0.15</v>
      </c>
      <c r="J30" s="22">
        <f t="shared" si="61"/>
        <v>0.15</v>
      </c>
      <c r="K30" s="22">
        <f t="shared" si="61"/>
        <v>0.15</v>
      </c>
      <c r="L30" s="22">
        <f t="shared" si="61"/>
        <v>0.15</v>
      </c>
      <c r="M30" s="22">
        <f t="shared" si="61"/>
        <v>0.15</v>
      </c>
      <c r="N30" s="22">
        <f t="shared" si="61"/>
        <v>0.15</v>
      </c>
      <c r="O30" s="22">
        <f t="shared" si="61"/>
        <v>0.15</v>
      </c>
      <c r="P30" s="22">
        <f t="shared" ref="P30:S30" si="62">IFERROR(P23/P22,0)</f>
        <v>0.15</v>
      </c>
      <c r="Q30" s="22">
        <f t="shared" si="62"/>
        <v>0.15</v>
      </c>
      <c r="R30" s="22">
        <f t="shared" si="62"/>
        <v>0.15</v>
      </c>
      <c r="S30" s="22">
        <f t="shared" si="62"/>
        <v>0.14999999999999997</v>
      </c>
      <c r="T30" s="22"/>
    </row>
    <row r="31" spans="1:120" x14ac:dyDescent="0.15"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</row>
    <row r="32" spans="1:120" x14ac:dyDescent="0.15">
      <c r="A32" s="2" t="s">
        <v>14</v>
      </c>
      <c r="B32" s="21"/>
      <c r="C32" s="21">
        <f>C13/B13-1</f>
        <v>0.59744368741798048</v>
      </c>
      <c r="D32" s="21">
        <f>D13/C13-1</f>
        <v>0.51765397643510669</v>
      </c>
      <c r="E32" s="21">
        <f t="shared" ref="E32:S32" si="63">E13/D13-1</f>
        <v>0.40718660613486923</v>
      </c>
      <c r="F32" s="21">
        <f t="shared" si="63"/>
        <v>0.38221773939372361</v>
      </c>
      <c r="G32" s="21">
        <f t="shared" si="63"/>
        <v>0.3384214808640289</v>
      </c>
      <c r="H32" s="21">
        <f t="shared" si="63"/>
        <v>0.29307929868041471</v>
      </c>
      <c r="I32" s="21">
        <f t="shared" si="63"/>
        <v>0.24678873461512496</v>
      </c>
      <c r="J32" s="21">
        <f t="shared" si="63"/>
        <v>0.14999999999999991</v>
      </c>
      <c r="K32" s="21">
        <f t="shared" si="63"/>
        <v>0.14999999999999991</v>
      </c>
      <c r="L32" s="21">
        <f t="shared" si="63"/>
        <v>0.14999999999999991</v>
      </c>
      <c r="M32" s="21">
        <f t="shared" si="63"/>
        <v>0.14999999999999991</v>
      </c>
      <c r="N32" s="21">
        <f t="shared" si="63"/>
        <v>0.14999999999999991</v>
      </c>
      <c r="O32" s="21">
        <f t="shared" si="63"/>
        <v>0.10000000000000009</v>
      </c>
      <c r="P32" s="21">
        <f t="shared" si="63"/>
        <v>0.10000000000000009</v>
      </c>
      <c r="Q32" s="21">
        <f t="shared" si="63"/>
        <v>0.10000000000000009</v>
      </c>
      <c r="R32" s="21">
        <f t="shared" si="63"/>
        <v>0.10000000000000009</v>
      </c>
      <c r="S32" s="21">
        <f t="shared" si="63"/>
        <v>0.10000000000000009</v>
      </c>
      <c r="T32" s="21"/>
    </row>
    <row r="33" spans="1:120" x14ac:dyDescent="0.15">
      <c r="A33" s="3" t="s">
        <v>30</v>
      </c>
      <c r="B33" s="22"/>
      <c r="C33" s="22">
        <f t="shared" ref="C33:S33" si="64">C16/B16-1</f>
        <v>0.56533652567172132</v>
      </c>
      <c r="D33" s="22">
        <f t="shared" si="64"/>
        <v>0.56758042861270175</v>
      </c>
      <c r="E33" s="22">
        <f t="shared" si="64"/>
        <v>0.27929920423252885</v>
      </c>
      <c r="F33" s="22">
        <f t="shared" si="64"/>
        <v>0.19999999999999996</v>
      </c>
      <c r="G33" s="22">
        <f t="shared" si="64"/>
        <v>0.19999999999999996</v>
      </c>
      <c r="H33" s="22">
        <f t="shared" si="64"/>
        <v>0.19999999999999996</v>
      </c>
      <c r="I33" s="22">
        <f t="shared" si="64"/>
        <v>0.19999999999999996</v>
      </c>
      <c r="J33" s="22">
        <f t="shared" si="64"/>
        <v>0.14999999999999991</v>
      </c>
      <c r="K33" s="22">
        <f t="shared" si="64"/>
        <v>0.14999999999999991</v>
      </c>
      <c r="L33" s="22">
        <f t="shared" si="64"/>
        <v>0.14999999999999991</v>
      </c>
      <c r="M33" s="22">
        <f t="shared" si="64"/>
        <v>0.14999999999999991</v>
      </c>
      <c r="N33" s="22">
        <f t="shared" si="64"/>
        <v>0.14999999999999991</v>
      </c>
      <c r="O33" s="22">
        <f t="shared" si="64"/>
        <v>5.0000000000000044E-2</v>
      </c>
      <c r="P33" s="22">
        <f t="shared" si="64"/>
        <v>5.0000000000000044E-2</v>
      </c>
      <c r="Q33" s="22">
        <f t="shared" si="64"/>
        <v>5.0000000000000044E-2</v>
      </c>
      <c r="R33" s="22">
        <f t="shared" si="64"/>
        <v>5.0000000000000044E-2</v>
      </c>
      <c r="S33" s="22">
        <f t="shared" si="64"/>
        <v>5.0000000000000044E-2</v>
      </c>
      <c r="T33" s="22"/>
    </row>
    <row r="34" spans="1:120" x14ac:dyDescent="0.15">
      <c r="A34" s="3" t="s">
        <v>31</v>
      </c>
      <c r="B34" s="22"/>
      <c r="C34" s="22">
        <f t="shared" ref="C34:S34" si="65">C17/B17-1</f>
        <v>0.45444697364451647</v>
      </c>
      <c r="D34" s="22">
        <f t="shared" si="65"/>
        <v>0.66322230288402606</v>
      </c>
      <c r="E34" s="22">
        <f t="shared" si="65"/>
        <v>0.28675324380856271</v>
      </c>
      <c r="F34" s="22">
        <f t="shared" si="65"/>
        <v>0.25</v>
      </c>
      <c r="G34" s="22">
        <f t="shared" si="65"/>
        <v>0.25</v>
      </c>
      <c r="H34" s="22">
        <f t="shared" si="65"/>
        <v>0.25</v>
      </c>
      <c r="I34" s="22">
        <f t="shared" si="65"/>
        <v>0.25</v>
      </c>
      <c r="J34" s="22">
        <f t="shared" si="65"/>
        <v>0.10000000000000009</v>
      </c>
      <c r="K34" s="22">
        <f t="shared" si="65"/>
        <v>0.10000000000000009</v>
      </c>
      <c r="L34" s="22">
        <f t="shared" si="65"/>
        <v>0.10000000000000009</v>
      </c>
      <c r="M34" s="22">
        <f t="shared" si="65"/>
        <v>0.10000000000000009</v>
      </c>
      <c r="N34" s="22">
        <f t="shared" si="65"/>
        <v>0.10000000000000009</v>
      </c>
      <c r="O34" s="22">
        <f t="shared" si="65"/>
        <v>-5.0000000000000044E-2</v>
      </c>
      <c r="P34" s="22">
        <f t="shared" si="65"/>
        <v>-5.0000000000000044E-2</v>
      </c>
      <c r="Q34" s="22">
        <f t="shared" si="65"/>
        <v>-5.0000000000000044E-2</v>
      </c>
      <c r="R34" s="22">
        <f t="shared" si="65"/>
        <v>-4.9999999999999933E-2</v>
      </c>
      <c r="S34" s="22">
        <f t="shared" si="65"/>
        <v>-4.9999999999999933E-2</v>
      </c>
      <c r="T34" s="22"/>
    </row>
    <row r="35" spans="1:120" x14ac:dyDescent="0.15">
      <c r="A35" s="3" t="s">
        <v>32</v>
      </c>
      <c r="B35" s="22"/>
      <c r="C35" s="22">
        <f t="shared" ref="C35:S35" si="66">C18/B18-1</f>
        <v>0.2145608903474352</v>
      </c>
      <c r="D35" s="22">
        <f t="shared" si="66"/>
        <v>0.40794149607918007</v>
      </c>
      <c r="E35" s="22">
        <f t="shared" si="66"/>
        <v>0.50190867560858599</v>
      </c>
      <c r="F35" s="22">
        <f t="shared" si="66"/>
        <v>0.19999999999999996</v>
      </c>
      <c r="G35" s="22">
        <f t="shared" si="66"/>
        <v>0.19999999999999996</v>
      </c>
      <c r="H35" s="22">
        <f t="shared" si="66"/>
        <v>0.19999999999999996</v>
      </c>
      <c r="I35" s="22">
        <f t="shared" si="66"/>
        <v>0.19999999999999996</v>
      </c>
      <c r="J35" s="22">
        <f t="shared" si="66"/>
        <v>5.0000000000000044E-2</v>
      </c>
      <c r="K35" s="22">
        <f t="shared" si="66"/>
        <v>5.0000000000000044E-2</v>
      </c>
      <c r="L35" s="22">
        <f t="shared" si="66"/>
        <v>5.0000000000000044E-2</v>
      </c>
      <c r="M35" s="22">
        <f t="shared" si="66"/>
        <v>5.0000000000000044E-2</v>
      </c>
      <c r="N35" s="22">
        <f t="shared" si="66"/>
        <v>5.0000000000000044E-2</v>
      </c>
      <c r="O35" s="22">
        <f t="shared" si="66"/>
        <v>-5.0000000000000044E-2</v>
      </c>
      <c r="P35" s="22">
        <f t="shared" si="66"/>
        <v>-5.0000000000000044E-2</v>
      </c>
      <c r="Q35" s="22">
        <f t="shared" si="66"/>
        <v>-5.0000000000000044E-2</v>
      </c>
      <c r="R35" s="22">
        <f t="shared" si="66"/>
        <v>-5.0000000000000044E-2</v>
      </c>
      <c r="S35" s="22">
        <f t="shared" si="66"/>
        <v>-5.0000000000000044E-2</v>
      </c>
      <c r="T35" s="22"/>
    </row>
    <row r="36" spans="1:120" s="5" customFormat="1" x14ac:dyDescent="0.15">
      <c r="A36" s="5" t="s">
        <v>80</v>
      </c>
      <c r="B36" s="57"/>
      <c r="C36" s="57">
        <f>C19/B19-1</f>
        <v>0.4359942259112235</v>
      </c>
      <c r="D36" s="57">
        <f t="shared" ref="D36:S36" si="67">D19/C19-1</f>
        <v>0.59124836019843485</v>
      </c>
      <c r="E36" s="57">
        <f t="shared" si="67"/>
        <v>0.31716099687292698</v>
      </c>
      <c r="F36" s="57">
        <f t="shared" si="67"/>
        <v>0.22721822541966419</v>
      </c>
      <c r="G36" s="57">
        <f t="shared" si="67"/>
        <v>0.22772349780166068</v>
      </c>
      <c r="H36" s="57">
        <f t="shared" si="67"/>
        <v>0.22822652846029889</v>
      </c>
      <c r="I36" s="57">
        <f t="shared" si="67"/>
        <v>0.22872691621439278</v>
      </c>
      <c r="J36" s="57">
        <f t="shared" si="67"/>
        <v>0.10502991395090011</v>
      </c>
      <c r="K36" s="57">
        <f t="shared" si="67"/>
        <v>0.10594707151348515</v>
      </c>
      <c r="L36" s="57">
        <f t="shared" si="67"/>
        <v>0.10686037934330628</v>
      </c>
      <c r="M36" s="57">
        <f t="shared" si="67"/>
        <v>0.10776943227609914</v>
      </c>
      <c r="N36" s="57">
        <f t="shared" si="67"/>
        <v>0.1086738283951616</v>
      </c>
      <c r="O36" s="57">
        <f t="shared" si="67"/>
        <v>-1.8757229683509569E-2</v>
      </c>
      <c r="P36" s="57">
        <f t="shared" si="67"/>
        <v>-1.656799945467724E-2</v>
      </c>
      <c r="Q36" s="57">
        <f t="shared" si="67"/>
        <v>-1.4305004765836848E-2</v>
      </c>
      <c r="R36" s="57">
        <f t="shared" si="67"/>
        <v>-1.1976326168757989E-2</v>
      </c>
      <c r="S36" s="57">
        <f t="shared" si="67"/>
        <v>-9.5911934296186718E-3</v>
      </c>
      <c r="T36" s="14"/>
    </row>
    <row r="37" spans="1:120" x14ac:dyDescent="0.15"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6"/>
    </row>
    <row r="38" spans="1:120" x14ac:dyDescent="0.15">
      <c r="A38" s="2" t="s">
        <v>18</v>
      </c>
      <c r="B38" s="17">
        <f>B39-B40</f>
        <v>56.886000000000003</v>
      </c>
      <c r="C38" s="17">
        <f>C39-C40</f>
        <v>213.08500000000001</v>
      </c>
      <c r="D38" s="17">
        <f>D39-D40</f>
        <v>563</v>
      </c>
      <c r="E38" s="47">
        <f>D38+E24</f>
        <v>461.09807258314629</v>
      </c>
      <c r="F38" s="47">
        <f t="shared" ref="F38:S38" si="68">E38+F24</f>
        <v>396.87937987034974</v>
      </c>
      <c r="G38" s="47">
        <f t="shared" si="68"/>
        <v>356.56418563970675</v>
      </c>
      <c r="H38" s="47">
        <f t="shared" si="68"/>
        <v>340.23043736618132</v>
      </c>
      <c r="I38" s="47">
        <f t="shared" si="68"/>
        <v>327.2789315199185</v>
      </c>
      <c r="J38" s="47">
        <f t="shared" si="68"/>
        <v>345.90919055691563</v>
      </c>
      <c r="K38" s="47">
        <f t="shared" si="68"/>
        <v>405.27313834665767</v>
      </c>
      <c r="L38" s="47">
        <f t="shared" si="68"/>
        <v>516.35037110034341</v>
      </c>
      <c r="M38" s="47">
        <f t="shared" si="68"/>
        <v>692.26678055279422</v>
      </c>
      <c r="N38" s="47">
        <f t="shared" si="68"/>
        <v>948.66529535758173</v>
      </c>
      <c r="O38" s="47">
        <f t="shared" si="68"/>
        <v>1397.6689052844074</v>
      </c>
      <c r="P38" s="47">
        <f t="shared" si="68"/>
        <v>2059.7752519286523</v>
      </c>
      <c r="Q38" s="47">
        <f t="shared" si="68"/>
        <v>2957.9818452602203</v>
      </c>
      <c r="R38" s="47">
        <f t="shared" si="68"/>
        <v>4118.0405326631972</v>
      </c>
      <c r="S38" s="47">
        <f t="shared" si="68"/>
        <v>5568.7385991883239</v>
      </c>
      <c r="T38" s="18"/>
    </row>
    <row r="39" spans="1:120" x14ac:dyDescent="0.15">
      <c r="A39" s="3" t="s">
        <v>19</v>
      </c>
      <c r="B39" s="49">
        <f>Reports!E32</f>
        <v>58.158000000000001</v>
      </c>
      <c r="C39" s="49">
        <f>Reports!I32</f>
        <v>213.08500000000001</v>
      </c>
      <c r="D39" s="49">
        <f>Reports!M32</f>
        <v>563</v>
      </c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8"/>
    </row>
    <row r="40" spans="1:120" x14ac:dyDescent="0.15">
      <c r="A40" s="3" t="s">
        <v>20</v>
      </c>
      <c r="B40" s="49">
        <f>Reports!E33</f>
        <v>1.272</v>
      </c>
      <c r="C40" s="49">
        <f>Reports!I33</f>
        <v>0</v>
      </c>
      <c r="D40" s="49">
        <f>Reports!M33</f>
        <v>0</v>
      </c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8"/>
    </row>
    <row r="41" spans="1:120" x14ac:dyDescent="0.15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5"/>
    </row>
    <row r="42" spans="1:120" x14ac:dyDescent="0.15">
      <c r="A42" s="3" t="s">
        <v>44</v>
      </c>
      <c r="B42" s="48">
        <f>Reports!E35</f>
        <v>1.992</v>
      </c>
      <c r="C42" s="49">
        <f>Reports!I35</f>
        <v>7.3230000000000004</v>
      </c>
      <c r="D42" s="49">
        <f>Reports!J35</f>
        <v>7.1150000000000002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16"/>
      <c r="DM42" s="16"/>
      <c r="DN42" s="16"/>
      <c r="DO42" s="16"/>
      <c r="DP42" s="16"/>
    </row>
    <row r="43" spans="1:120" x14ac:dyDescent="0.15">
      <c r="A43" s="3" t="s">
        <v>45</v>
      </c>
      <c r="B43" s="48">
        <f>Reports!E36</f>
        <v>116.604</v>
      </c>
      <c r="C43" s="49">
        <f>Reports!I36</f>
        <v>308.74400000000003</v>
      </c>
      <c r="D43" s="49">
        <f>Reports!J36</f>
        <v>363.23700000000002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16"/>
      <c r="DM43" s="16"/>
      <c r="DN43" s="16"/>
      <c r="DO43" s="16"/>
      <c r="DP43" s="16"/>
    </row>
    <row r="44" spans="1:120" x14ac:dyDescent="0.15">
      <c r="A44" s="3" t="s">
        <v>46</v>
      </c>
      <c r="B44" s="48">
        <f>Reports!E37</f>
        <v>84.658000000000001</v>
      </c>
      <c r="C44" s="49">
        <f>Reports!I37</f>
        <v>141.75200000000001</v>
      </c>
      <c r="D44" s="49">
        <f>Reports!J37</f>
        <v>200.44200000000001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16"/>
      <c r="DM44" s="16"/>
      <c r="DN44" s="16"/>
      <c r="DO44" s="16"/>
      <c r="DP44" s="16"/>
    </row>
    <row r="46" spans="1:120" x14ac:dyDescent="0.15">
      <c r="A46" s="3" t="s">
        <v>47</v>
      </c>
      <c r="B46" s="50">
        <f>B43-B42-B39</f>
        <v>56.453999999999994</v>
      </c>
      <c r="C46" s="50">
        <f>C43-C42-C39</f>
        <v>88.336000000000041</v>
      </c>
      <c r="D46" s="50">
        <f>D43-D42-D39</f>
        <v>-206.87799999999999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16"/>
      <c r="DM46" s="16"/>
      <c r="DN46" s="16"/>
      <c r="DO46" s="16"/>
      <c r="DP46" s="16"/>
    </row>
    <row r="47" spans="1:120" x14ac:dyDescent="0.15">
      <c r="A47" s="3" t="s">
        <v>48</v>
      </c>
      <c r="B47" s="50">
        <f>B43-B44</f>
        <v>31.945999999999998</v>
      </c>
      <c r="C47" s="50">
        <f>C43-C44</f>
        <v>166.99200000000002</v>
      </c>
      <c r="D47" s="50">
        <f>D43-D44</f>
        <v>162.79500000000002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16"/>
      <c r="DM47" s="16"/>
      <c r="DN47" s="16"/>
      <c r="DO47" s="16"/>
      <c r="DP47" s="16"/>
    </row>
    <row r="49" spans="1:9" x14ac:dyDescent="0.15">
      <c r="A49" s="26" t="s">
        <v>50</v>
      </c>
      <c r="B49" s="27">
        <f>B24/B47</f>
        <v>-1.5371564515119271</v>
      </c>
      <c r="C49" s="27">
        <f>C24/C47</f>
        <v>-0.32268012838938409</v>
      </c>
      <c r="D49" s="27">
        <f>D24/D47</f>
        <v>-0.54843514849964692</v>
      </c>
    </row>
    <row r="50" spans="1:9" x14ac:dyDescent="0.15">
      <c r="A50" s="26" t="s">
        <v>51</v>
      </c>
      <c r="B50" s="27">
        <f>B24/B43</f>
        <v>-0.42113478096806306</v>
      </c>
      <c r="C50" s="27">
        <f>C24/C43</f>
        <v>-0.17452970745990215</v>
      </c>
      <c r="D50" s="27">
        <f>D24/D43</f>
        <v>-0.24579682135905764</v>
      </c>
    </row>
    <row r="51" spans="1:9" x14ac:dyDescent="0.15">
      <c r="A51" s="26" t="s">
        <v>52</v>
      </c>
      <c r="B51" s="27">
        <f>B24/(B47-B42)</f>
        <v>-1.6393803832543241</v>
      </c>
      <c r="C51" s="27">
        <f>C24/(C47-C42)</f>
        <v>-0.33747941053053521</v>
      </c>
      <c r="D51" s="27">
        <f>D24/(D47-D42)</f>
        <v>-0.57350012846865384</v>
      </c>
    </row>
    <row r="52" spans="1:9" x14ac:dyDescent="0.15">
      <c r="A52" s="26" t="s">
        <v>53</v>
      </c>
      <c r="B52" s="27">
        <f>B24/B46</f>
        <v>-0.86984093244057159</v>
      </c>
      <c r="C52" s="27">
        <f>C24/C46</f>
        <v>-0.61000045281651882</v>
      </c>
      <c r="D52" s="27">
        <f>D24/D46</f>
        <v>0.43157078084668277</v>
      </c>
    </row>
    <row r="54" spans="1:9" x14ac:dyDescent="0.15">
      <c r="A54" s="8" t="s">
        <v>61</v>
      </c>
      <c r="B54" s="27"/>
      <c r="C54" s="27">
        <f t="shared" ref="C54:I55" si="69">C10/B10-1</f>
        <v>0.5695141877889367</v>
      </c>
      <c r="D54" s="27">
        <f>D10/C10-1</f>
        <v>0.53840880091919585</v>
      </c>
      <c r="E54" s="27">
        <f t="shared" si="69"/>
        <v>0.42690163569141393</v>
      </c>
      <c r="F54" s="27">
        <f t="shared" si="69"/>
        <v>0.39999999999999991</v>
      </c>
      <c r="G54" s="27">
        <f t="shared" si="69"/>
        <v>0.35000000000000009</v>
      </c>
      <c r="H54" s="27">
        <f t="shared" si="69"/>
        <v>0.30000000000000004</v>
      </c>
      <c r="I54" s="27">
        <f t="shared" si="69"/>
        <v>0.25</v>
      </c>
    </row>
    <row r="55" spans="1:9" x14ac:dyDescent="0.15">
      <c r="A55" s="8" t="s">
        <v>62</v>
      </c>
      <c r="B55" s="27"/>
      <c r="C55" s="27">
        <f t="shared" si="69"/>
        <v>0.85495131361381582</v>
      </c>
      <c r="D55" s="27">
        <f t="shared" si="69"/>
        <v>0.35574208884266834</v>
      </c>
      <c r="E55" s="27">
        <f t="shared" si="69"/>
        <v>0.23266396361843178</v>
      </c>
      <c r="F55" s="27">
        <f t="shared" si="69"/>
        <v>0.19999999999999996</v>
      </c>
      <c r="G55" s="27">
        <f t="shared" si="69"/>
        <v>0.19999999999999996</v>
      </c>
      <c r="H55" s="27">
        <f t="shared" si="69"/>
        <v>0.19999999999999996</v>
      </c>
      <c r="I55" s="27">
        <f t="shared" si="69"/>
        <v>0.19999999999999996</v>
      </c>
    </row>
    <row r="57" spans="1:9" s="27" customFormat="1" x14ac:dyDescent="0.15">
      <c r="A57" s="27" t="s">
        <v>56</v>
      </c>
    </row>
    <row r="58" spans="1:9" s="27" customFormat="1" x14ac:dyDescent="0.15">
      <c r="A58" s="27" t="s">
        <v>57</v>
      </c>
    </row>
  </sheetData>
  <hyperlinks>
    <hyperlink ref="A1" r:id="rId1" xr:uid="{00000000-0004-0000-0000-000000000000}"/>
    <hyperlink ref="A4" r:id="rId2" xr:uid="{C766E87E-0171-F84A-9262-AA77D34E3F54}"/>
    <hyperlink ref="A7" r:id="rId3" xr:uid="{ED6076E8-1405-4549-8158-CE244FC5B07A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7"/>
  <sheetViews>
    <sheetView zoomScale="130" zoomScaleNormal="13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S29" sqref="S29"/>
    </sheetView>
  </sheetViews>
  <sheetFormatPr baseColWidth="10" defaultRowHeight="13" x14ac:dyDescent="0.15"/>
  <cols>
    <col min="1" max="1" width="19.5" style="62" bestFit="1" customWidth="1"/>
    <col min="2" max="2" width="10.83203125" style="29"/>
    <col min="3" max="5" width="10.83203125" style="28"/>
    <col min="6" max="6" width="10.83203125" style="29"/>
    <col min="7" max="9" width="10.83203125" style="28"/>
    <col min="10" max="10" width="10.83203125" style="29"/>
    <col min="11" max="13" width="10.83203125" style="28"/>
    <col min="14" max="14" width="10.83203125" style="73"/>
    <col min="15" max="16384" width="10.83203125" style="6"/>
  </cols>
  <sheetData>
    <row r="1" spans="1:17" s="28" customFormat="1" x14ac:dyDescent="0.15">
      <c r="A1" s="60" t="s">
        <v>33</v>
      </c>
      <c r="B1" s="30" t="s">
        <v>26</v>
      </c>
      <c r="C1" s="31" t="s">
        <v>27</v>
      </c>
      <c r="D1" s="31" t="s">
        <v>28</v>
      </c>
      <c r="E1" s="31" t="s">
        <v>29</v>
      </c>
      <c r="F1" s="30" t="s">
        <v>40</v>
      </c>
      <c r="G1" s="31" t="s">
        <v>41</v>
      </c>
      <c r="H1" s="31" t="s">
        <v>42</v>
      </c>
      <c r="I1" s="31" t="s">
        <v>43</v>
      </c>
      <c r="J1" s="29" t="s">
        <v>63</v>
      </c>
      <c r="K1" s="28" t="s">
        <v>74</v>
      </c>
      <c r="L1" s="28" t="s">
        <v>78</v>
      </c>
      <c r="M1" s="28" t="s">
        <v>79</v>
      </c>
      <c r="N1" s="29" t="s">
        <v>83</v>
      </c>
      <c r="O1" s="28" t="s">
        <v>84</v>
      </c>
      <c r="P1" s="28" t="s">
        <v>85</v>
      </c>
      <c r="Q1" s="28" t="s">
        <v>86</v>
      </c>
    </row>
    <row r="2" spans="1:17" s="28" customFormat="1" x14ac:dyDescent="0.15">
      <c r="A2" s="60"/>
      <c r="B2" s="29" t="s">
        <v>73</v>
      </c>
      <c r="C2" s="28" t="s">
        <v>72</v>
      </c>
      <c r="D2" s="28" t="s">
        <v>69</v>
      </c>
      <c r="E2" s="28" t="s">
        <v>67</v>
      </c>
      <c r="F2" s="29" t="s">
        <v>66</v>
      </c>
      <c r="G2" s="28" t="s">
        <v>71</v>
      </c>
      <c r="H2" s="28" t="s">
        <v>68</v>
      </c>
      <c r="I2" s="28" t="s">
        <v>65</v>
      </c>
      <c r="J2" s="29" t="s">
        <v>64</v>
      </c>
      <c r="K2" s="28" t="s">
        <v>75</v>
      </c>
      <c r="L2" s="28" t="s">
        <v>76</v>
      </c>
      <c r="M2" s="28" t="s">
        <v>77</v>
      </c>
      <c r="N2" s="70">
        <v>43951</v>
      </c>
      <c r="O2" s="59">
        <v>44043</v>
      </c>
      <c r="P2" s="59">
        <v>44135</v>
      </c>
    </row>
    <row r="3" spans="1:17" s="8" customFormat="1" x14ac:dyDescent="0.15">
      <c r="A3" s="61" t="s">
        <v>59</v>
      </c>
      <c r="B3" s="30">
        <v>20.375</v>
      </c>
      <c r="C3" s="31">
        <v>23.795999999999999</v>
      </c>
      <c r="D3" s="31">
        <v>26.440999999999999</v>
      </c>
      <c r="E3" s="31">
        <v>29.756</v>
      </c>
      <c r="F3" s="30">
        <v>32.057000000000002</v>
      </c>
      <c r="G3" s="31">
        <v>37.47</v>
      </c>
      <c r="H3" s="31">
        <v>41.52</v>
      </c>
      <c r="I3" s="31">
        <v>46.481999999999999</v>
      </c>
      <c r="J3" s="30">
        <v>50.320999999999998</v>
      </c>
      <c r="K3" s="31">
        <v>58.3</v>
      </c>
      <c r="L3" s="31">
        <v>64</v>
      </c>
      <c r="M3" s="31">
        <f>I3*1.5</f>
        <v>69.722999999999999</v>
      </c>
      <c r="N3" s="71">
        <v>77.162999999999997</v>
      </c>
      <c r="O3" s="8">
        <v>83.622</v>
      </c>
      <c r="P3" s="8">
        <v>90.89</v>
      </c>
      <c r="Q3" s="8">
        <f>M3*1.35</f>
        <v>94.126050000000006</v>
      </c>
    </row>
    <row r="4" spans="1:17" s="8" customFormat="1" x14ac:dyDescent="0.15">
      <c r="A4" s="61" t="s">
        <v>60</v>
      </c>
      <c r="B4" s="30">
        <v>1.861</v>
      </c>
      <c r="C4" s="31">
        <v>2.871</v>
      </c>
      <c r="D4" s="31">
        <v>2.9470000000000001</v>
      </c>
      <c r="E4" s="31">
        <v>3.2069999999999999</v>
      </c>
      <c r="F4" s="30">
        <v>4.2619999999999996</v>
      </c>
      <c r="G4" s="31">
        <v>4.9139999999999997</v>
      </c>
      <c r="H4" s="31">
        <v>5.3479999999999999</v>
      </c>
      <c r="I4" s="31">
        <v>5.6689999999999996</v>
      </c>
      <c r="J4" s="30">
        <v>5.8730000000000002</v>
      </c>
      <c r="K4" s="31">
        <v>6</v>
      </c>
      <c r="L4" s="31">
        <v>7</v>
      </c>
      <c r="M4" s="31">
        <f>I4*1.5</f>
        <v>8.5034999999999989</v>
      </c>
      <c r="N4" s="71">
        <v>8.3239999999999998</v>
      </c>
      <c r="O4" s="8">
        <v>7.6</v>
      </c>
      <c r="P4" s="8">
        <v>8.0429999999999993</v>
      </c>
      <c r="Q4" s="8">
        <f>M4*1.15</f>
        <v>9.7790249999999972</v>
      </c>
    </row>
    <row r="5" spans="1:17" s="66" customFormat="1" x14ac:dyDescent="0.15">
      <c r="A5" s="65"/>
      <c r="B5" s="52"/>
      <c r="C5" s="51"/>
      <c r="D5" s="51"/>
      <c r="E5" s="51"/>
      <c r="F5" s="52"/>
      <c r="G5" s="51"/>
      <c r="H5" s="51"/>
      <c r="I5" s="51"/>
      <c r="J5" s="52"/>
      <c r="K5" s="51"/>
      <c r="L5" s="51"/>
      <c r="M5" s="51">
        <v>77</v>
      </c>
      <c r="N5" s="72"/>
      <c r="O5" s="66">
        <v>86</v>
      </c>
      <c r="P5" s="66">
        <v>94</v>
      </c>
      <c r="Q5" s="66">
        <v>102</v>
      </c>
    </row>
    <row r="6" spans="1:17" s="18" customFormat="1" x14ac:dyDescent="0.15">
      <c r="A6" s="67" t="s">
        <v>0</v>
      </c>
      <c r="B6" s="33">
        <f>SUM(B3:B4)</f>
        <v>22.236000000000001</v>
      </c>
      <c r="C6" s="32">
        <f>SUM(C3:C4)</f>
        <v>26.666999999999998</v>
      </c>
      <c r="D6" s="32">
        <f>SUM(D3:D4)</f>
        <v>29.387999999999998</v>
      </c>
      <c r="E6" s="32">
        <f>SUM(E3:E4)</f>
        <v>32.963000000000001</v>
      </c>
      <c r="F6" s="33">
        <f>SUM(F3:F4)</f>
        <v>36.319000000000003</v>
      </c>
      <c r="G6" s="32">
        <f>SUM(G3:G4)</f>
        <v>42.384</v>
      </c>
      <c r="H6" s="32">
        <f>SUM(H3:H4)</f>
        <v>46.868000000000002</v>
      </c>
      <c r="I6" s="32">
        <f>SUM(I3:I4)</f>
        <v>52.150999999999996</v>
      </c>
      <c r="J6" s="33">
        <f>SUM(J3:J4)</f>
        <v>56.193999999999996</v>
      </c>
      <c r="K6" s="32">
        <f>SUM(K3:K4)</f>
        <v>64.3</v>
      </c>
      <c r="L6" s="32">
        <f>SUM(L3:L4)</f>
        <v>71</v>
      </c>
      <c r="M6" s="32">
        <f>SUM(M3:M4)</f>
        <v>78.226500000000001</v>
      </c>
      <c r="N6" s="33">
        <f>SUM(N3:N4)</f>
        <v>85.486999999999995</v>
      </c>
      <c r="O6" s="32">
        <f>SUM(O3:O4)</f>
        <v>91.221999999999994</v>
      </c>
      <c r="P6" s="32">
        <f>SUM(P3:P4)</f>
        <v>98.932999999999993</v>
      </c>
      <c r="Q6" s="32">
        <f>SUM(Q3:Q4)</f>
        <v>103.90507500000001</v>
      </c>
    </row>
    <row r="7" spans="1:17" s="8" customFormat="1" x14ac:dyDescent="0.15">
      <c r="A7" s="61" t="s">
        <v>1</v>
      </c>
      <c r="B7" s="30">
        <v>4.4969999999999999</v>
      </c>
      <c r="C7" s="31">
        <v>5.3769999999999998</v>
      </c>
      <c r="D7" s="31">
        <v>5.6630000000000003</v>
      </c>
      <c r="E7" s="31">
        <v>6.1449999999999996</v>
      </c>
      <c r="F7" s="30">
        <v>7.3230000000000004</v>
      </c>
      <c r="G7" s="31">
        <v>8.1549999999999994</v>
      </c>
      <c r="H7" s="31">
        <v>8.7040000000000006</v>
      </c>
      <c r="I7" s="31">
        <v>9.6669999999999998</v>
      </c>
      <c r="J7" s="30">
        <v>10.484999999999999</v>
      </c>
      <c r="K7" s="31">
        <v>13</v>
      </c>
      <c r="L7" s="31">
        <v>14</v>
      </c>
      <c r="M7" s="31">
        <v>14</v>
      </c>
      <c r="N7" s="71">
        <v>18.440999999999999</v>
      </c>
      <c r="O7" s="8">
        <v>19.018000000000001</v>
      </c>
      <c r="P7" s="8">
        <v>23.73</v>
      </c>
      <c r="Q7" s="8">
        <f>Q6-Q8</f>
        <v>24.922598422669893</v>
      </c>
    </row>
    <row r="8" spans="1:17" s="8" customFormat="1" x14ac:dyDescent="0.15">
      <c r="A8" s="61" t="s">
        <v>2</v>
      </c>
      <c r="B8" s="35">
        <f t="shared" ref="B8:D8" si="0">B6-B7</f>
        <v>17.739000000000001</v>
      </c>
      <c r="C8" s="34">
        <f t="shared" si="0"/>
        <v>21.29</v>
      </c>
      <c r="D8" s="34">
        <f t="shared" si="0"/>
        <v>23.724999999999998</v>
      </c>
      <c r="E8" s="34">
        <f t="shared" ref="E8" si="1">E6-E7</f>
        <v>26.818000000000001</v>
      </c>
      <c r="F8" s="35">
        <f>F6-F7</f>
        <v>28.996000000000002</v>
      </c>
      <c r="G8" s="34">
        <f>G6-G7</f>
        <v>34.228999999999999</v>
      </c>
      <c r="H8" s="34">
        <f t="shared" ref="H8:I8" si="2">H6-H7</f>
        <v>38.164000000000001</v>
      </c>
      <c r="I8" s="34">
        <f t="shared" si="2"/>
        <v>42.483999999999995</v>
      </c>
      <c r="J8" s="35">
        <f t="shared" ref="J8:K8" si="3">J6-J7</f>
        <v>45.708999999999996</v>
      </c>
      <c r="K8" s="34">
        <f t="shared" si="3"/>
        <v>51.3</v>
      </c>
      <c r="L8" s="34">
        <f t="shared" ref="L8:M8" si="4">L6-L7</f>
        <v>57</v>
      </c>
      <c r="M8" s="34">
        <f t="shared" si="4"/>
        <v>64.226500000000001</v>
      </c>
      <c r="N8" s="35">
        <f t="shared" ref="N8:P8" si="5">N6-N7</f>
        <v>67.045999999999992</v>
      </c>
      <c r="O8" s="34">
        <f t="shared" si="5"/>
        <v>72.203999999999994</v>
      </c>
      <c r="P8" s="34">
        <f>P6-P7</f>
        <v>75.202999999999989</v>
      </c>
      <c r="Q8" s="8">
        <f>Q6*P21</f>
        <v>78.982476577330118</v>
      </c>
    </row>
    <row r="9" spans="1:17" s="8" customFormat="1" x14ac:dyDescent="0.15">
      <c r="A9" s="61" t="s">
        <v>3</v>
      </c>
      <c r="B9" s="30">
        <v>6.508</v>
      </c>
      <c r="C9" s="31">
        <v>12.587999999999999</v>
      </c>
      <c r="D9" s="31">
        <v>8.9009999999999998</v>
      </c>
      <c r="E9" s="31">
        <v>9.593</v>
      </c>
      <c r="F9" s="30">
        <v>12.843999999999999</v>
      </c>
      <c r="G9" s="31">
        <v>14.412000000000001</v>
      </c>
      <c r="H9" s="31">
        <v>15.599</v>
      </c>
      <c r="I9" s="31">
        <v>15.986000000000001</v>
      </c>
      <c r="J9" s="30">
        <v>20.238</v>
      </c>
      <c r="K9" s="31">
        <v>22</v>
      </c>
      <c r="L9" s="31">
        <v>25</v>
      </c>
      <c r="M9" s="31">
        <v>25</v>
      </c>
      <c r="N9" s="71">
        <v>26</v>
      </c>
      <c r="O9" s="8">
        <v>28</v>
      </c>
      <c r="P9" s="8">
        <v>32</v>
      </c>
      <c r="Q9" s="8">
        <f>M9*(P26+1)</f>
        <v>32</v>
      </c>
    </row>
    <row r="10" spans="1:17" s="8" customFormat="1" x14ac:dyDescent="0.15">
      <c r="A10" s="61" t="s">
        <v>4</v>
      </c>
      <c r="B10" s="30">
        <v>14.749000000000001</v>
      </c>
      <c r="C10" s="31">
        <v>17.367000000000001</v>
      </c>
      <c r="D10" s="31">
        <v>20.725999999999999</v>
      </c>
      <c r="E10" s="31">
        <v>20.084</v>
      </c>
      <c r="F10" s="30">
        <v>22.384</v>
      </c>
      <c r="G10" s="31">
        <v>24.254999999999999</v>
      </c>
      <c r="H10" s="31">
        <v>30.084</v>
      </c>
      <c r="I10" s="31">
        <v>29.344000000000001</v>
      </c>
      <c r="J10" s="30">
        <v>35.412999999999997</v>
      </c>
      <c r="K10" s="31">
        <v>39</v>
      </c>
      <c r="L10" s="31">
        <v>51</v>
      </c>
      <c r="M10" s="31">
        <v>51</v>
      </c>
      <c r="N10" s="71">
        <v>55</v>
      </c>
      <c r="O10" s="8">
        <v>54</v>
      </c>
      <c r="P10" s="8">
        <v>59</v>
      </c>
      <c r="Q10" s="8">
        <f>M10*(P27+1)</f>
        <v>59.000000000000007</v>
      </c>
    </row>
    <row r="11" spans="1:17" s="8" customFormat="1" x14ac:dyDescent="0.15">
      <c r="A11" s="61" t="s">
        <v>5</v>
      </c>
      <c r="B11" s="30">
        <v>3.6789999999999998</v>
      </c>
      <c r="C11" s="31">
        <v>14.045999999999999</v>
      </c>
      <c r="D11" s="31">
        <v>4.5529999999999999</v>
      </c>
      <c r="E11" s="31">
        <v>5.7560000000000002</v>
      </c>
      <c r="F11" s="30">
        <v>6.798</v>
      </c>
      <c r="G11" s="31">
        <v>8.5239999999999991</v>
      </c>
      <c r="H11" s="31">
        <v>8.8879999999999999</v>
      </c>
      <c r="I11" s="31">
        <v>9.8390000000000004</v>
      </c>
      <c r="J11" s="30">
        <v>10.939</v>
      </c>
      <c r="K11" s="31">
        <v>11</v>
      </c>
      <c r="L11" s="31">
        <v>13</v>
      </c>
      <c r="M11" s="31">
        <v>13</v>
      </c>
      <c r="N11" s="71">
        <v>15</v>
      </c>
      <c r="O11" s="8">
        <v>17</v>
      </c>
      <c r="P11" s="8">
        <v>20</v>
      </c>
      <c r="Q11" s="8">
        <f>M11*(P28+1)</f>
        <v>20</v>
      </c>
    </row>
    <row r="12" spans="1:17" s="8" customFormat="1" x14ac:dyDescent="0.15">
      <c r="A12" s="61" t="s">
        <v>6</v>
      </c>
      <c r="B12" s="35">
        <f t="shared" ref="B12:D12" si="6">SUM(B9:B11)</f>
        <v>24.936</v>
      </c>
      <c r="C12" s="34">
        <f t="shared" si="6"/>
        <v>44.000999999999998</v>
      </c>
      <c r="D12" s="34">
        <f t="shared" si="6"/>
        <v>34.18</v>
      </c>
      <c r="E12" s="34">
        <f t="shared" ref="E12:F12" si="7">SUM(E9:E11)</f>
        <v>35.433</v>
      </c>
      <c r="F12" s="35">
        <f t="shared" si="7"/>
        <v>42.026000000000003</v>
      </c>
      <c r="G12" s="34">
        <f t="shared" ref="G12:H12" si="8">SUM(G9:G11)</f>
        <v>47.191000000000003</v>
      </c>
      <c r="H12" s="34">
        <f t="shared" si="8"/>
        <v>54.570999999999998</v>
      </c>
      <c r="I12" s="34">
        <f t="shared" ref="I12:K12" si="9">SUM(I9:I11)</f>
        <v>55.168999999999997</v>
      </c>
      <c r="J12" s="35">
        <f t="shared" si="9"/>
        <v>66.59</v>
      </c>
      <c r="K12" s="34">
        <f t="shared" si="9"/>
        <v>72</v>
      </c>
      <c r="L12" s="34">
        <f t="shared" ref="L12:N12" si="10">SUM(L9:L11)</f>
        <v>89</v>
      </c>
      <c r="M12" s="34">
        <f t="shared" si="10"/>
        <v>89</v>
      </c>
      <c r="N12" s="35">
        <f t="shared" si="10"/>
        <v>96</v>
      </c>
      <c r="O12" s="34">
        <f t="shared" ref="O12:P12" si="11">SUM(O9:O11)</f>
        <v>99</v>
      </c>
      <c r="P12" s="34">
        <f t="shared" si="11"/>
        <v>111</v>
      </c>
      <c r="Q12" s="34">
        <f t="shared" ref="Q12" si="12">SUM(Q9:Q11)</f>
        <v>111</v>
      </c>
    </row>
    <row r="13" spans="1:17" s="8" customFormat="1" x14ac:dyDescent="0.15">
      <c r="A13" s="61" t="s">
        <v>7</v>
      </c>
      <c r="B13" s="35">
        <f t="shared" ref="B13:H13" si="13">B8-B12</f>
        <v>-7.1969999999999992</v>
      </c>
      <c r="C13" s="34">
        <f t="shared" si="13"/>
        <v>-22.710999999999999</v>
      </c>
      <c r="D13" s="34">
        <f t="shared" si="13"/>
        <v>-10.455000000000002</v>
      </c>
      <c r="E13" s="34">
        <f t="shared" si="13"/>
        <v>-8.6149999999999984</v>
      </c>
      <c r="F13" s="35">
        <f t="shared" si="13"/>
        <v>-13.030000000000001</v>
      </c>
      <c r="G13" s="34">
        <f t="shared" si="13"/>
        <v>-12.962000000000003</v>
      </c>
      <c r="H13" s="34">
        <f t="shared" si="13"/>
        <v>-16.406999999999996</v>
      </c>
      <c r="I13" s="34">
        <f t="shared" ref="I13:K13" si="14">I8-I12</f>
        <v>-12.685000000000002</v>
      </c>
      <c r="J13" s="35">
        <f t="shared" si="14"/>
        <v>-20.881000000000007</v>
      </c>
      <c r="K13" s="34">
        <f t="shared" si="14"/>
        <v>-20.700000000000003</v>
      </c>
      <c r="L13" s="34">
        <f t="shared" ref="L13:N13" si="15">L8-L12</f>
        <v>-32</v>
      </c>
      <c r="M13" s="34">
        <f t="shared" si="15"/>
        <v>-24.773499999999999</v>
      </c>
      <c r="N13" s="35">
        <f t="shared" si="15"/>
        <v>-28.954000000000008</v>
      </c>
      <c r="O13" s="34">
        <f t="shared" ref="O13:P13" si="16">O8-O12</f>
        <v>-26.796000000000006</v>
      </c>
      <c r="P13" s="34">
        <f t="shared" si="16"/>
        <v>-35.797000000000011</v>
      </c>
      <c r="Q13" s="34">
        <f t="shared" ref="Q13" si="17">Q8-Q12</f>
        <v>-32.017523422669882</v>
      </c>
    </row>
    <row r="14" spans="1:17" s="8" customFormat="1" x14ac:dyDescent="0.15">
      <c r="A14" s="61" t="s">
        <v>8</v>
      </c>
      <c r="B14" s="30">
        <v>1.2999999999999999E-2</v>
      </c>
      <c r="C14" s="31">
        <v>-0.13900000000000001</v>
      </c>
      <c r="D14" s="31">
        <v>9.7000000000000003E-2</v>
      </c>
      <c r="E14" s="31">
        <v>-0.40600000000000003</v>
      </c>
      <c r="F14" s="30">
        <v>-1.3</v>
      </c>
      <c r="G14" s="31">
        <v>0.749</v>
      </c>
      <c r="H14" s="31">
        <v>0.86</v>
      </c>
      <c r="I14" s="31">
        <v>1.1830000000000001</v>
      </c>
      <c r="J14" s="30">
        <v>1.0369999999999999</v>
      </c>
      <c r="K14" s="31">
        <v>2</v>
      </c>
      <c r="L14" s="31">
        <v>3</v>
      </c>
      <c r="M14" s="31">
        <v>3</v>
      </c>
      <c r="N14" s="71">
        <f>1-0</f>
        <v>1</v>
      </c>
      <c r="O14" s="8">
        <f>0+0</f>
        <v>0</v>
      </c>
      <c r="P14" s="8">
        <f>0-0</f>
        <v>0</v>
      </c>
      <c r="Q14" s="8">
        <f>M14</f>
        <v>3</v>
      </c>
    </row>
    <row r="15" spans="1:17" s="8" customFormat="1" x14ac:dyDescent="0.15">
      <c r="A15" s="61" t="s">
        <v>9</v>
      </c>
      <c r="B15" s="35">
        <f t="shared" ref="B15:C15" si="18">B13+B14</f>
        <v>-7.1839999999999993</v>
      </c>
      <c r="C15" s="34">
        <f t="shared" si="18"/>
        <v>-22.849999999999998</v>
      </c>
      <c r="D15" s="34">
        <f t="shared" ref="D15:F15" si="19">D13+D14</f>
        <v>-10.358000000000002</v>
      </c>
      <c r="E15" s="34">
        <f>E13+E14</f>
        <v>-9.020999999999999</v>
      </c>
      <c r="F15" s="35">
        <f t="shared" si="19"/>
        <v>-14.330000000000002</v>
      </c>
      <c r="G15" s="34">
        <f t="shared" ref="G15" si="20">G13+G14</f>
        <v>-12.213000000000003</v>
      </c>
      <c r="H15" s="34">
        <f t="shared" ref="H15:M15" si="21">H13+H14</f>
        <v>-15.546999999999997</v>
      </c>
      <c r="I15" s="34">
        <f t="shared" si="21"/>
        <v>-11.502000000000002</v>
      </c>
      <c r="J15" s="35">
        <f t="shared" si="21"/>
        <v>-19.844000000000008</v>
      </c>
      <c r="K15" s="34">
        <f t="shared" si="21"/>
        <v>-18.700000000000003</v>
      </c>
      <c r="L15" s="34">
        <f t="shared" si="21"/>
        <v>-29</v>
      </c>
      <c r="M15" s="34">
        <f t="shared" si="21"/>
        <v>-21.773499999999999</v>
      </c>
      <c r="N15" s="35">
        <f t="shared" ref="N15:Q15" si="22">N13+N14</f>
        <v>-27.954000000000008</v>
      </c>
      <c r="O15" s="34">
        <f t="shared" si="22"/>
        <v>-26.796000000000006</v>
      </c>
      <c r="P15" s="34">
        <f t="shared" si="22"/>
        <v>-35.797000000000011</v>
      </c>
      <c r="Q15" s="34">
        <f t="shared" si="22"/>
        <v>-29.017523422669882</v>
      </c>
    </row>
    <row r="16" spans="1:17" s="8" customFormat="1" x14ac:dyDescent="0.15">
      <c r="A16" s="61" t="s">
        <v>10</v>
      </c>
      <c r="B16" s="30">
        <v>0</v>
      </c>
      <c r="C16" s="31">
        <v>0</v>
      </c>
      <c r="D16" s="31">
        <v>0</v>
      </c>
      <c r="E16" s="31">
        <v>-0.307</v>
      </c>
      <c r="F16" s="30">
        <v>0</v>
      </c>
      <c r="G16" s="31">
        <v>8.7999999999999995E-2</v>
      </c>
      <c r="H16" s="31">
        <v>2.1999999999999999E-2</v>
      </c>
      <c r="I16" s="31">
        <v>0.183</v>
      </c>
      <c r="J16" s="30">
        <v>-3.5000000000000003E-2</v>
      </c>
      <c r="K16" s="31">
        <v>0</v>
      </c>
      <c r="L16" s="31">
        <v>0</v>
      </c>
      <c r="M16" s="31">
        <v>0</v>
      </c>
      <c r="N16" s="71">
        <v>0</v>
      </c>
      <c r="O16" s="8">
        <v>0</v>
      </c>
      <c r="P16" s="8">
        <v>-4</v>
      </c>
      <c r="Q16" s="8">
        <f>M16</f>
        <v>0</v>
      </c>
    </row>
    <row r="17" spans="1:17" s="18" customFormat="1" x14ac:dyDescent="0.15">
      <c r="A17" s="67" t="s">
        <v>11</v>
      </c>
      <c r="B17" s="33">
        <f>B15-B16</f>
        <v>-7.1839999999999993</v>
      </c>
      <c r="C17" s="32">
        <f>C15-C16</f>
        <v>-22.849999999999998</v>
      </c>
      <c r="D17" s="32">
        <f>D15-D16</f>
        <v>-10.358000000000002</v>
      </c>
      <c r="E17" s="32">
        <f>E15-E16</f>
        <v>-8.7139999999999986</v>
      </c>
      <c r="F17" s="33">
        <f>F15-F16</f>
        <v>-14.330000000000002</v>
      </c>
      <c r="G17" s="32">
        <f>G15-G16</f>
        <v>-12.301000000000002</v>
      </c>
      <c r="H17" s="32">
        <f>H15-H16</f>
        <v>-15.568999999999997</v>
      </c>
      <c r="I17" s="32">
        <f>I15-I16</f>
        <v>-11.685000000000002</v>
      </c>
      <c r="J17" s="33">
        <f>J15-J16</f>
        <v>-19.809000000000008</v>
      </c>
      <c r="K17" s="32">
        <f>K15-K16</f>
        <v>-18.700000000000003</v>
      </c>
      <c r="L17" s="32">
        <f>L15-L16</f>
        <v>-29</v>
      </c>
      <c r="M17" s="32">
        <f>M15-M16</f>
        <v>-21.773499999999999</v>
      </c>
      <c r="N17" s="33">
        <f>N15-N16</f>
        <v>-27.954000000000008</v>
      </c>
      <c r="O17" s="32">
        <f>O15-O16</f>
        <v>-26.796000000000006</v>
      </c>
      <c r="P17" s="32">
        <f>P15-P16</f>
        <v>-31.797000000000011</v>
      </c>
      <c r="Q17" s="32">
        <f>Q15-Q16</f>
        <v>-29.017523422669882</v>
      </c>
    </row>
    <row r="18" spans="1:17" x14ac:dyDescent="0.15">
      <c r="A18" s="62" t="s">
        <v>12</v>
      </c>
      <c r="B18" s="37">
        <f t="shared" ref="B18:D18" si="23">IFERROR(B17/B19,0)</f>
        <v>-0.43597523971355739</v>
      </c>
      <c r="C18" s="36">
        <f t="shared" si="23"/>
        <v>-1.2685282851274078</v>
      </c>
      <c r="D18" s="36">
        <f t="shared" si="23"/>
        <v>-0.54227527354588778</v>
      </c>
      <c r="E18" s="36">
        <f t="shared" ref="E18" si="24">IFERROR(E17/E19,0)</f>
        <v>-0.44818186493853818</v>
      </c>
      <c r="F18" s="37">
        <f t="shared" ref="F18:N18" si="25">IFERROR(F17/F19,0)</f>
        <v>-0.68212109672505727</v>
      </c>
      <c r="G18" s="36">
        <f t="shared" si="25"/>
        <v>-0.11992902338913318</v>
      </c>
      <c r="H18" s="36">
        <f t="shared" si="25"/>
        <v>-0.15141701192351828</v>
      </c>
      <c r="I18" s="36">
        <f t="shared" si="25"/>
        <v>-0.11220472440944884</v>
      </c>
      <c r="J18" s="37">
        <f t="shared" si="25"/>
        <v>-0.18759410956958197</v>
      </c>
      <c r="K18" s="36">
        <f t="shared" si="25"/>
        <v>-0.16696428571428573</v>
      </c>
      <c r="L18" s="36">
        <f t="shared" si="25"/>
        <v>-0.24786324786324787</v>
      </c>
      <c r="M18" s="36">
        <f t="shared" si="25"/>
        <v>-0.18609829059829058</v>
      </c>
      <c r="N18" s="37">
        <f t="shared" si="25"/>
        <v>-0.23516842211528763</v>
      </c>
      <c r="O18" s="36">
        <f t="shared" ref="O18:P18" si="26">IFERROR(O17/O19,0)</f>
        <v>-0.22344710267592835</v>
      </c>
      <c r="P18" s="36">
        <f t="shared" si="26"/>
        <v>-0.26234499146060752</v>
      </c>
      <c r="Q18" s="36">
        <f t="shared" ref="Q18" si="27">IFERROR(Q17/Q19,0)</f>
        <v>-0.23941258403397508</v>
      </c>
    </row>
    <row r="19" spans="1:17" s="8" customFormat="1" x14ac:dyDescent="0.15">
      <c r="A19" s="61" t="s">
        <v>13</v>
      </c>
      <c r="B19" s="30">
        <v>16.478000000000002</v>
      </c>
      <c r="C19" s="31">
        <v>18.013000000000002</v>
      </c>
      <c r="D19" s="31">
        <v>19.100999999999999</v>
      </c>
      <c r="E19" s="31">
        <v>19.443000000000001</v>
      </c>
      <c r="F19" s="30">
        <v>21.007999999999999</v>
      </c>
      <c r="G19" s="31">
        <v>102.569</v>
      </c>
      <c r="H19" s="31">
        <v>102.822</v>
      </c>
      <c r="I19" s="31">
        <v>104.14</v>
      </c>
      <c r="J19" s="30">
        <v>105.595</v>
      </c>
      <c r="K19" s="31">
        <v>112</v>
      </c>
      <c r="L19" s="31">
        <v>117</v>
      </c>
      <c r="M19" s="31">
        <v>117</v>
      </c>
      <c r="N19" s="71">
        <v>118.86799999999999</v>
      </c>
      <c r="O19" s="8">
        <v>119.92100000000001</v>
      </c>
      <c r="P19" s="8">
        <v>121.203</v>
      </c>
      <c r="Q19" s="8">
        <f>P19</f>
        <v>121.203</v>
      </c>
    </row>
    <row r="20" spans="1:17" x14ac:dyDescent="0.15">
      <c r="B20" s="30"/>
      <c r="C20" s="31"/>
      <c r="D20" s="31"/>
      <c r="E20" s="31"/>
      <c r="I20" s="31"/>
    </row>
    <row r="21" spans="1:17" x14ac:dyDescent="0.15">
      <c r="A21" s="62" t="s">
        <v>15</v>
      </c>
      <c r="B21" s="43">
        <f>IFERROR(B8/B6,0)</f>
        <v>0.79776038855909337</v>
      </c>
      <c r="C21" s="42">
        <f>IFERROR(C8/C6,0)</f>
        <v>0.79836502043724455</v>
      </c>
      <c r="D21" s="42">
        <f>IFERROR(D8/D6,0)</f>
        <v>0.80730230025860894</v>
      </c>
      <c r="E21" s="42">
        <f>IFERROR(E8/E6,0)</f>
        <v>0.81357886114734701</v>
      </c>
      <c r="F21" s="43">
        <f>IFERROR(F8/F6,0)</f>
        <v>0.7983699991739861</v>
      </c>
      <c r="G21" s="42">
        <f>IFERROR(G8/G6,0)</f>
        <v>0.80759248773121928</v>
      </c>
      <c r="H21" s="42">
        <f>IFERROR(H8/H6,0)</f>
        <v>0.81428693351540493</v>
      </c>
      <c r="I21" s="42">
        <f>IFERROR(I8/I6,0)</f>
        <v>0.81463442695250321</v>
      </c>
      <c r="J21" s="43">
        <f>IFERROR(J8/J6,0)</f>
        <v>0.81341424351354241</v>
      </c>
      <c r="K21" s="42">
        <f>IFERROR(K8/K6,0)</f>
        <v>0.7978227060653188</v>
      </c>
      <c r="L21" s="42">
        <f>IFERROR(L8/L6,0)</f>
        <v>0.80281690140845074</v>
      </c>
      <c r="M21" s="42">
        <f>IFERROR(M8/M6,0)</f>
        <v>0.82103251455708748</v>
      </c>
      <c r="N21" s="43">
        <f>IFERROR(N8/N6,0)</f>
        <v>0.78428299039620053</v>
      </c>
      <c r="O21" s="42">
        <f>IFERROR(O8/O6,0)</f>
        <v>0.79151958957269075</v>
      </c>
      <c r="P21" s="42">
        <f>IFERROR(P8/P6,0)</f>
        <v>0.76014070128268618</v>
      </c>
      <c r="Q21" s="42">
        <f>IFERROR(Q8/Q6,0)</f>
        <v>0.76014070128268629</v>
      </c>
    </row>
    <row r="22" spans="1:17" x14ac:dyDescent="0.15">
      <c r="A22" s="62" t="s">
        <v>16</v>
      </c>
      <c r="B22" s="45">
        <f>IFERROR(B13/B6,0)</f>
        <v>-0.3236643281165677</v>
      </c>
      <c r="C22" s="44">
        <f>IFERROR(C13/C6,0)</f>
        <v>-0.85165185435182056</v>
      </c>
      <c r="D22" s="44">
        <f>IFERROR(D13/D6,0)</f>
        <v>-0.35575745202123327</v>
      </c>
      <c r="E22" s="44">
        <f>IFERROR(E13/E6,0)</f>
        <v>-0.26135363892849556</v>
      </c>
      <c r="F22" s="45">
        <f>IFERROR(F13/F6,0)</f>
        <v>-0.35876538450948542</v>
      </c>
      <c r="G22" s="44">
        <f>IFERROR(G13/G6,0)</f>
        <v>-0.30582295205738019</v>
      </c>
      <c r="H22" s="44">
        <f>IFERROR(H13/H6,0)</f>
        <v>-0.35006827686267805</v>
      </c>
      <c r="I22" s="44">
        <f>IFERROR(I13/I6,0)</f>
        <v>-0.24323598780464425</v>
      </c>
      <c r="J22" s="45">
        <f>IFERROR(J13/J6,0)</f>
        <v>-0.37158771399081769</v>
      </c>
      <c r="K22" s="44">
        <f>IFERROR(K13/K6,0)</f>
        <v>-0.32192846034214623</v>
      </c>
      <c r="L22" s="44">
        <f>IFERROR(L13/L6,0)</f>
        <v>-0.45070422535211269</v>
      </c>
      <c r="M22" s="44">
        <f>IFERROR(M13/M6,0)</f>
        <v>-0.31668935718714242</v>
      </c>
      <c r="N22" s="45">
        <f>IFERROR(N13/N6,0)</f>
        <v>-0.33869477230456102</v>
      </c>
      <c r="O22" s="44">
        <f>IFERROR(O13/O6,0)</f>
        <v>-0.2937449299511084</v>
      </c>
      <c r="P22" s="44">
        <f>IFERROR(P13/P6,0)</f>
        <v>-0.36183073393104437</v>
      </c>
      <c r="Q22" s="44">
        <f>IFERROR(Q13/Q6,0)</f>
        <v>-0.30814205583961973</v>
      </c>
    </row>
    <row r="23" spans="1:17" x14ac:dyDescent="0.15">
      <c r="A23" s="62" t="s">
        <v>17</v>
      </c>
      <c r="B23" s="45">
        <f>IFERROR(B16/B15,0)</f>
        <v>0</v>
      </c>
      <c r="C23" s="44">
        <f>IFERROR(C16/C15,0)</f>
        <v>0</v>
      </c>
      <c r="D23" s="44">
        <f>IFERROR(D16/D15,0)</f>
        <v>0</v>
      </c>
      <c r="E23" s="44">
        <f>IFERROR(E16/E15,0)</f>
        <v>3.4031703802239223E-2</v>
      </c>
      <c r="F23" s="45">
        <f>IFERROR(F16/F15,0)</f>
        <v>0</v>
      </c>
      <c r="G23" s="44">
        <f>IFERROR(G16/G15,0)</f>
        <v>-7.205436829607793E-3</v>
      </c>
      <c r="H23" s="44">
        <f>IFERROR(H16/H15,0)</f>
        <v>-1.4150639994854315E-3</v>
      </c>
      <c r="I23" s="44">
        <f>IFERROR(I16/I15,0)</f>
        <v>-1.591027647365675E-2</v>
      </c>
      <c r="J23" s="45">
        <f>IFERROR(J16/J15,0)</f>
        <v>1.7637573069945571E-3</v>
      </c>
      <c r="K23" s="44">
        <f>IFERROR(K16/K15,0)</f>
        <v>0</v>
      </c>
      <c r="L23" s="44">
        <f>IFERROR(L16/L15,0)</f>
        <v>0</v>
      </c>
      <c r="M23" s="44">
        <f>IFERROR(M16/M15,0)</f>
        <v>0</v>
      </c>
      <c r="N23" s="45">
        <f>IFERROR(N16/N15,0)</f>
        <v>0</v>
      </c>
      <c r="O23" s="44">
        <f>IFERROR(O16/O15,0)</f>
        <v>0</v>
      </c>
      <c r="P23" s="44">
        <f>IFERROR(P16/P15,0)</f>
        <v>0.11174120736374553</v>
      </c>
      <c r="Q23" s="44">
        <f>IFERROR(Q16/Q15,0)</f>
        <v>0</v>
      </c>
    </row>
    <row r="24" spans="1:17" x14ac:dyDescent="0.15">
      <c r="B24" s="30"/>
      <c r="C24" s="31"/>
      <c r="D24" s="31"/>
      <c r="E24" s="31"/>
      <c r="I24" s="31"/>
      <c r="N24" s="29"/>
      <c r="O24" s="28"/>
      <c r="P24" s="28"/>
    </row>
    <row r="25" spans="1:17" s="12" customFormat="1" x14ac:dyDescent="0.15">
      <c r="A25" s="63" t="s">
        <v>14</v>
      </c>
      <c r="B25" s="30"/>
      <c r="C25" s="31"/>
      <c r="D25" s="31"/>
      <c r="E25" s="31"/>
      <c r="F25" s="39">
        <f>IFERROR((F6/B6)-1,0)</f>
        <v>0.63334232775679089</v>
      </c>
      <c r="G25" s="38">
        <f>IFERROR((G6/C6)-1,0)</f>
        <v>0.58938013274834078</v>
      </c>
      <c r="H25" s="38">
        <f>IFERROR((H6/D6)-1,0)</f>
        <v>0.59480059888389847</v>
      </c>
      <c r="I25" s="38">
        <f>IFERROR((I6/E6)-1,0)</f>
        <v>0.58210721111549302</v>
      </c>
      <c r="J25" s="39">
        <f>IFERROR((J6/F6)-1,0)</f>
        <v>0.54723423001734606</v>
      </c>
      <c r="K25" s="38">
        <f>IFERROR((K6/G6)-1,0)</f>
        <v>0.51708191770479428</v>
      </c>
      <c r="L25" s="38">
        <f>IFERROR((L6/H6)-1,0)</f>
        <v>0.51489289067167365</v>
      </c>
      <c r="M25" s="38">
        <f>IFERROR((M6/I6)-1,0)</f>
        <v>0.50000000000000022</v>
      </c>
      <c r="N25" s="39">
        <f>IFERROR((N6/J6)-1,0)</f>
        <v>0.52128341104032461</v>
      </c>
      <c r="O25" s="38">
        <f>IFERROR((O6/K6)-1,0)</f>
        <v>0.41869362363919116</v>
      </c>
      <c r="P25" s="38">
        <f>IFERROR((P6/L6)-1,0)</f>
        <v>0.39342253521126747</v>
      </c>
      <c r="Q25" s="38">
        <f>IFERROR((Q6/M6)-1,0)</f>
        <v>0.3282592855362314</v>
      </c>
    </row>
    <row r="26" spans="1:17" s="12" customFormat="1" x14ac:dyDescent="0.15">
      <c r="A26" s="62" t="s">
        <v>30</v>
      </c>
      <c r="B26" s="30"/>
      <c r="C26" s="31"/>
      <c r="D26" s="31"/>
      <c r="E26" s="31"/>
      <c r="F26" s="41">
        <f>F9/B9-1</f>
        <v>0.97357098955132138</v>
      </c>
      <c r="G26" s="40">
        <f>G9/C9-1</f>
        <v>0.14489990467111546</v>
      </c>
      <c r="H26" s="40">
        <f>H9/D9-1</f>
        <v>0.75249971913268188</v>
      </c>
      <c r="I26" s="40">
        <f>I9/E9-1</f>
        <v>0.66642343375377888</v>
      </c>
      <c r="J26" s="41">
        <f>J9/F9-1</f>
        <v>0.57567735907816875</v>
      </c>
      <c r="K26" s="40">
        <f>K9/G9-1</f>
        <v>0.52650568970302514</v>
      </c>
      <c r="L26" s="40">
        <f>L9/H9-1</f>
        <v>0.60266683761779594</v>
      </c>
      <c r="M26" s="40">
        <f>M9/I9-1</f>
        <v>0.56386838483673207</v>
      </c>
      <c r="N26" s="41">
        <f>N9/J9-1</f>
        <v>0.2847119280561321</v>
      </c>
      <c r="O26" s="40">
        <f>O9/K9-1</f>
        <v>0.27272727272727271</v>
      </c>
      <c r="P26" s="40">
        <f>P9/L9-1</f>
        <v>0.28000000000000003</v>
      </c>
      <c r="Q26" s="40">
        <f>Q9/M9-1</f>
        <v>0.28000000000000003</v>
      </c>
    </row>
    <row r="27" spans="1:17" s="12" customFormat="1" x14ac:dyDescent="0.15">
      <c r="A27" s="62" t="s">
        <v>31</v>
      </c>
      <c r="B27" s="30"/>
      <c r="C27" s="31"/>
      <c r="D27" s="31"/>
      <c r="E27" s="31"/>
      <c r="F27" s="41">
        <f>F10/B10-1</f>
        <v>0.51766221438741611</v>
      </c>
      <c r="G27" s="40">
        <f>G10/C10-1</f>
        <v>0.39661426844014502</v>
      </c>
      <c r="H27" s="40">
        <f>H10/D10-1</f>
        <v>0.45151018044967683</v>
      </c>
      <c r="I27" s="40">
        <f>I10/E10-1</f>
        <v>0.46106353316072513</v>
      </c>
      <c r="J27" s="41">
        <f>J10/F10-1</f>
        <v>0.58206754824874896</v>
      </c>
      <c r="K27" s="40">
        <f>K10/G10-1</f>
        <v>0.60791589363017939</v>
      </c>
      <c r="L27" s="40">
        <f>L10/H10-1</f>
        <v>0.69525329078579978</v>
      </c>
      <c r="M27" s="40">
        <f>M10/I10-1</f>
        <v>0.73800436205016351</v>
      </c>
      <c r="N27" s="41">
        <f>N10/J10-1</f>
        <v>0.55310196820376722</v>
      </c>
      <c r="O27" s="40">
        <f>O10/K10-1</f>
        <v>0.38461538461538458</v>
      </c>
      <c r="P27" s="40">
        <f>P10/L10-1</f>
        <v>0.15686274509803932</v>
      </c>
      <c r="Q27" s="40">
        <f>Q10/M10-1</f>
        <v>0.15686274509803932</v>
      </c>
    </row>
    <row r="28" spans="1:17" s="12" customFormat="1" x14ac:dyDescent="0.15">
      <c r="A28" s="62" t="s">
        <v>32</v>
      </c>
      <c r="B28" s="30"/>
      <c r="C28" s="31"/>
      <c r="D28" s="31"/>
      <c r="E28" s="31"/>
      <c r="F28" s="41">
        <f>F11/B11-1</f>
        <v>0.84778472410981265</v>
      </c>
      <c r="G28" s="40">
        <f>G11/C11-1</f>
        <v>-0.39313683610992456</v>
      </c>
      <c r="H28" s="40">
        <f>H11/D11-1</f>
        <v>0.95211948166044369</v>
      </c>
      <c r="I28" s="40">
        <f>I11/E11-1</f>
        <v>0.70934676858929824</v>
      </c>
      <c r="J28" s="41">
        <f>J11/F11-1</f>
        <v>0.60914974992644888</v>
      </c>
      <c r="K28" s="40">
        <f>K11/G11-1</f>
        <v>0.29047395588925395</v>
      </c>
      <c r="L28" s="40">
        <f>L11/H11-1</f>
        <v>0.46264626462646263</v>
      </c>
      <c r="M28" s="40">
        <f>M11/I11-1</f>
        <v>0.32127248704136591</v>
      </c>
      <c r="N28" s="41">
        <f>N11/J11-1</f>
        <v>0.37124051558643378</v>
      </c>
      <c r="O28" s="40">
        <f>O11/K11-1</f>
        <v>0.54545454545454541</v>
      </c>
      <c r="P28" s="40">
        <f>P11/L11-1</f>
        <v>0.53846153846153855</v>
      </c>
      <c r="Q28" s="40">
        <f>Q11/M11-1</f>
        <v>0.53846153846153855</v>
      </c>
    </row>
    <row r="29" spans="1:17" x14ac:dyDescent="0.15">
      <c r="A29" s="62" t="s">
        <v>70</v>
      </c>
      <c r="B29" s="30"/>
      <c r="C29" s="31"/>
      <c r="D29" s="31"/>
      <c r="E29" s="31"/>
      <c r="F29" s="43">
        <f>F12/B12-1</f>
        <v>0.68535450753930083</v>
      </c>
      <c r="G29" s="42">
        <f>G12/C12-1</f>
        <v>7.2498352310174985E-2</v>
      </c>
      <c r="H29" s="42">
        <f>H12/D12-1</f>
        <v>0.59657694558221186</v>
      </c>
      <c r="I29" s="42">
        <f>I12/E12-1</f>
        <v>0.55699489176756134</v>
      </c>
      <c r="J29" s="43">
        <f>J12/F12-1</f>
        <v>0.58449531242564112</v>
      </c>
      <c r="K29" s="42">
        <f>K12/G12-1</f>
        <v>0.52571464897967823</v>
      </c>
      <c r="L29" s="42">
        <f>L12/H12-1</f>
        <v>0.63090286049366884</v>
      </c>
      <c r="M29" s="42">
        <f>M12/I12-1</f>
        <v>0.61322481828563147</v>
      </c>
      <c r="N29" s="43">
        <f>N12/J12-1</f>
        <v>0.44165790659258142</v>
      </c>
      <c r="O29" s="42">
        <f>O12/K12-1</f>
        <v>0.375</v>
      </c>
      <c r="P29" s="42">
        <f>P12/L12-1</f>
        <v>0.24719101123595499</v>
      </c>
      <c r="Q29" s="42">
        <f>Q12/M12-1</f>
        <v>0.24719101123595499</v>
      </c>
    </row>
    <row r="30" spans="1:17" x14ac:dyDescent="0.15">
      <c r="B30" s="56"/>
      <c r="C30" s="55"/>
      <c r="D30" s="55"/>
      <c r="E30" s="55"/>
      <c r="H30" s="55"/>
      <c r="I30" s="55"/>
      <c r="J30" s="56"/>
      <c r="K30" s="55"/>
      <c r="L30" s="55"/>
      <c r="M30" s="55"/>
    </row>
    <row r="31" spans="1:17" s="18" customFormat="1" x14ac:dyDescent="0.15">
      <c r="A31" s="67" t="s">
        <v>18</v>
      </c>
      <c r="B31" s="52"/>
      <c r="C31" s="51"/>
      <c r="D31" s="51"/>
      <c r="E31" s="32">
        <f t="shared" ref="E31" si="28">E32-E33</f>
        <v>56.886000000000003</v>
      </c>
      <c r="F31" s="30"/>
      <c r="G31" s="31"/>
      <c r="H31" s="32">
        <f t="shared" ref="H31" si="29">H32-H33</f>
        <v>212.02799999999999</v>
      </c>
      <c r="I31" s="32">
        <f t="shared" ref="I31:K31" si="30">I32-I33</f>
        <v>213.08500000000001</v>
      </c>
      <c r="J31" s="33">
        <f t="shared" si="30"/>
        <v>208.79900000000001</v>
      </c>
      <c r="K31" s="32">
        <f t="shared" si="30"/>
        <v>561</v>
      </c>
      <c r="L31" s="32">
        <f t="shared" ref="L31:M31" si="31">L32-L33</f>
        <v>563</v>
      </c>
      <c r="M31" s="32">
        <f t="shared" si="31"/>
        <v>563</v>
      </c>
      <c r="N31" s="33">
        <f t="shared" ref="N31:P31" si="32">N32-N33</f>
        <v>544</v>
      </c>
      <c r="O31" s="32">
        <f t="shared" si="32"/>
        <v>546</v>
      </c>
      <c r="P31" s="32">
        <f t="shared" si="32"/>
        <v>420</v>
      </c>
    </row>
    <row r="32" spans="1:17" s="8" customFormat="1" x14ac:dyDescent="0.15">
      <c r="A32" s="61" t="s">
        <v>19</v>
      </c>
      <c r="B32" s="52"/>
      <c r="C32" s="51"/>
      <c r="D32" s="51"/>
      <c r="E32" s="31">
        <v>58.158000000000001</v>
      </c>
      <c r="F32" s="30"/>
      <c r="G32" s="31"/>
      <c r="H32" s="31">
        <v>212.02799999999999</v>
      </c>
      <c r="I32" s="31">
        <v>213.08500000000001</v>
      </c>
      <c r="J32" s="30">
        <v>208.79900000000001</v>
      </c>
      <c r="K32" s="31">
        <f>511+50</f>
        <v>561</v>
      </c>
      <c r="L32" s="31">
        <f>513+50</f>
        <v>563</v>
      </c>
      <c r="M32" s="31">
        <f>513+50</f>
        <v>563</v>
      </c>
      <c r="N32" s="71">
        <v>544</v>
      </c>
      <c r="O32" s="8">
        <v>546</v>
      </c>
      <c r="P32" s="8">
        <v>420</v>
      </c>
    </row>
    <row r="33" spans="1:16" s="8" customFormat="1" x14ac:dyDescent="0.15">
      <c r="A33" s="61" t="s">
        <v>20</v>
      </c>
      <c r="B33" s="52"/>
      <c r="C33" s="51"/>
      <c r="D33" s="51"/>
      <c r="E33" s="31">
        <v>1.272</v>
      </c>
      <c r="F33" s="30"/>
      <c r="G33" s="31"/>
      <c r="H33" s="31">
        <v>0</v>
      </c>
      <c r="I33" s="31">
        <v>0</v>
      </c>
      <c r="J33" s="30">
        <v>0</v>
      </c>
      <c r="K33" s="31">
        <v>0</v>
      </c>
      <c r="L33" s="31">
        <v>0</v>
      </c>
      <c r="M33" s="31">
        <v>0</v>
      </c>
      <c r="N33" s="71">
        <v>0</v>
      </c>
      <c r="O33" s="8">
        <v>0</v>
      </c>
      <c r="P33" s="8">
        <v>0</v>
      </c>
    </row>
    <row r="34" spans="1:16" s="8" customFormat="1" x14ac:dyDescent="0.15">
      <c r="A34" s="61"/>
      <c r="B34" s="52"/>
      <c r="C34" s="51"/>
      <c r="D34" s="51"/>
      <c r="E34" s="31"/>
      <c r="F34" s="30"/>
      <c r="G34" s="31"/>
      <c r="H34" s="31"/>
      <c r="I34" s="31"/>
      <c r="J34" s="30"/>
      <c r="K34" s="31"/>
      <c r="L34" s="31"/>
      <c r="M34" s="31"/>
      <c r="N34" s="71"/>
    </row>
    <row r="35" spans="1:16" s="8" customFormat="1" x14ac:dyDescent="0.15">
      <c r="A35" s="68" t="s">
        <v>44</v>
      </c>
      <c r="B35" s="52"/>
      <c r="C35" s="51"/>
      <c r="D35" s="51"/>
      <c r="E35" s="46">
        <f>1.547+0.445</f>
        <v>1.992</v>
      </c>
      <c r="F35" s="30"/>
      <c r="G35" s="31"/>
      <c r="H35" s="31">
        <f>1.165+0.532</f>
        <v>1.6970000000000001</v>
      </c>
      <c r="I35" s="31">
        <f>1.827+5.496</f>
        <v>7.3230000000000004</v>
      </c>
      <c r="J35" s="30">
        <f>1.619+5.496</f>
        <v>7.1150000000000002</v>
      </c>
      <c r="K35" s="31">
        <f>17+17</f>
        <v>34</v>
      </c>
      <c r="L35" s="31">
        <f>16+16</f>
        <v>32</v>
      </c>
      <c r="M35" s="31">
        <f>16+16</f>
        <v>32</v>
      </c>
      <c r="N35" s="71">
        <f>14+16</f>
        <v>30</v>
      </c>
      <c r="O35" s="8">
        <f>13+16</f>
        <v>29</v>
      </c>
      <c r="P35" s="8">
        <f>57+126</f>
        <v>183</v>
      </c>
    </row>
    <row r="36" spans="1:16" s="8" customFormat="1" x14ac:dyDescent="0.15">
      <c r="A36" s="68" t="s">
        <v>45</v>
      </c>
      <c r="B36" s="52"/>
      <c r="C36" s="51"/>
      <c r="D36" s="51"/>
      <c r="E36" s="46">
        <v>116.604</v>
      </c>
      <c r="F36" s="30"/>
      <c r="G36" s="31"/>
      <c r="H36" s="31">
        <v>291.80900000000003</v>
      </c>
      <c r="I36" s="31">
        <v>308.74400000000003</v>
      </c>
      <c r="J36" s="30">
        <v>363.23700000000002</v>
      </c>
      <c r="K36" s="31">
        <v>757</v>
      </c>
      <c r="L36" s="31">
        <v>775</v>
      </c>
      <c r="M36" s="31">
        <v>775</v>
      </c>
      <c r="N36" s="71">
        <v>783</v>
      </c>
      <c r="O36" s="8">
        <v>789</v>
      </c>
      <c r="P36" s="8">
        <v>832</v>
      </c>
    </row>
    <row r="37" spans="1:16" s="8" customFormat="1" x14ac:dyDescent="0.15">
      <c r="A37" s="68" t="s">
        <v>46</v>
      </c>
      <c r="B37" s="52"/>
      <c r="C37" s="51"/>
      <c r="D37" s="51"/>
      <c r="E37" s="46">
        <v>84.658000000000001</v>
      </c>
      <c r="F37" s="30"/>
      <c r="G37" s="31"/>
      <c r="H37" s="31">
        <v>120.19499999999999</v>
      </c>
      <c r="I37" s="31">
        <v>141.75200000000001</v>
      </c>
      <c r="J37" s="30">
        <v>200.44200000000001</v>
      </c>
      <c r="K37" s="31">
        <v>220</v>
      </c>
      <c r="L37" s="31">
        <v>248</v>
      </c>
      <c r="M37" s="31">
        <v>248</v>
      </c>
      <c r="N37" s="71">
        <v>272</v>
      </c>
      <c r="O37" s="8">
        <v>283</v>
      </c>
      <c r="P37" s="8">
        <v>303</v>
      </c>
    </row>
    <row r="38" spans="1:16" s="8" customFormat="1" x14ac:dyDescent="0.15">
      <c r="A38" s="61"/>
      <c r="B38" s="52"/>
      <c r="C38" s="51"/>
      <c r="D38" s="51"/>
      <c r="E38" s="46"/>
      <c r="F38" s="30"/>
      <c r="G38" s="31"/>
      <c r="H38" s="31"/>
      <c r="I38" s="31"/>
      <c r="J38" s="30"/>
      <c r="K38" s="31"/>
      <c r="L38" s="31"/>
      <c r="M38" s="31"/>
      <c r="N38" s="71"/>
    </row>
    <row r="39" spans="1:16" s="8" customFormat="1" x14ac:dyDescent="0.15">
      <c r="A39" s="68" t="s">
        <v>47</v>
      </c>
      <c r="B39" s="52"/>
      <c r="C39" s="51"/>
      <c r="D39" s="51"/>
      <c r="E39" s="34">
        <f t="shared" ref="E39" si="33">E36-E32-E35</f>
        <v>56.454000000000001</v>
      </c>
      <c r="F39" s="30"/>
      <c r="G39" s="31"/>
      <c r="H39" s="34">
        <f t="shared" ref="H39:N39" si="34">H36-H32-H35</f>
        <v>78.084000000000032</v>
      </c>
      <c r="I39" s="34">
        <f t="shared" si="34"/>
        <v>88.336000000000013</v>
      </c>
      <c r="J39" s="35">
        <f t="shared" si="34"/>
        <v>147.32300000000001</v>
      </c>
      <c r="K39" s="34">
        <f t="shared" si="34"/>
        <v>162</v>
      </c>
      <c r="L39" s="34">
        <f t="shared" si="34"/>
        <v>180</v>
      </c>
      <c r="M39" s="34">
        <f t="shared" si="34"/>
        <v>180</v>
      </c>
      <c r="N39" s="35">
        <f t="shared" si="34"/>
        <v>209</v>
      </c>
      <c r="O39" s="34">
        <f t="shared" ref="O39:P39" si="35">O36-O32-O35</f>
        <v>214</v>
      </c>
      <c r="P39" s="34">
        <f t="shared" si="35"/>
        <v>229</v>
      </c>
    </row>
    <row r="40" spans="1:16" s="8" customFormat="1" x14ac:dyDescent="0.15">
      <c r="A40" s="68" t="s">
        <v>48</v>
      </c>
      <c r="B40" s="52"/>
      <c r="C40" s="51"/>
      <c r="D40" s="51"/>
      <c r="E40" s="34">
        <f t="shared" ref="E40" si="36">E36-E37</f>
        <v>31.945999999999998</v>
      </c>
      <c r="F40" s="30"/>
      <c r="G40" s="31"/>
      <c r="H40" s="34">
        <f t="shared" ref="H40" si="37">H36-H37</f>
        <v>171.61400000000003</v>
      </c>
      <c r="I40" s="34">
        <f t="shared" ref="I40:K40" si="38">I36-I37</f>
        <v>166.99200000000002</v>
      </c>
      <c r="J40" s="35">
        <f t="shared" si="38"/>
        <v>162.79500000000002</v>
      </c>
      <c r="K40" s="34">
        <f t="shared" si="38"/>
        <v>537</v>
      </c>
      <c r="L40" s="34">
        <f t="shared" ref="L40:N40" si="39">L36-L37</f>
        <v>527</v>
      </c>
      <c r="M40" s="34">
        <f t="shared" si="39"/>
        <v>527</v>
      </c>
      <c r="N40" s="35">
        <f t="shared" si="39"/>
        <v>511</v>
      </c>
      <c r="O40" s="34">
        <f t="shared" ref="O40:P40" si="40">O36-O37</f>
        <v>506</v>
      </c>
      <c r="P40" s="34">
        <f t="shared" si="40"/>
        <v>529</v>
      </c>
    </row>
    <row r="41" spans="1:16" s="8" customFormat="1" x14ac:dyDescent="0.15">
      <c r="A41" s="61"/>
      <c r="B41" s="52"/>
      <c r="C41" s="51"/>
      <c r="D41" s="51"/>
      <c r="E41" s="46"/>
      <c r="F41" s="30"/>
      <c r="G41" s="31"/>
      <c r="H41" s="31"/>
      <c r="I41" s="31"/>
      <c r="J41" s="30"/>
      <c r="K41" s="31"/>
      <c r="L41" s="31"/>
      <c r="M41" s="31"/>
      <c r="N41" s="30"/>
      <c r="O41" s="31"/>
      <c r="P41" s="31"/>
    </row>
    <row r="42" spans="1:16" s="18" customFormat="1" x14ac:dyDescent="0.15">
      <c r="A42" s="69" t="s">
        <v>49</v>
      </c>
      <c r="B42" s="52"/>
      <c r="C42" s="51"/>
      <c r="D42" s="51"/>
      <c r="E42" s="32">
        <f>SUM(B17:E17)</f>
        <v>-49.106000000000002</v>
      </c>
      <c r="F42" s="30"/>
      <c r="G42" s="31"/>
      <c r="H42" s="32">
        <f t="shared" ref="H42:M42" si="41">SUM(E17:H17)</f>
        <v>-50.913999999999994</v>
      </c>
      <c r="I42" s="32">
        <f t="shared" si="41"/>
        <v>-53.885000000000005</v>
      </c>
      <c r="J42" s="33">
        <f t="shared" si="41"/>
        <v>-59.364000000000004</v>
      </c>
      <c r="K42" s="32">
        <f t="shared" si="41"/>
        <v>-65.763000000000005</v>
      </c>
      <c r="L42" s="32">
        <f t="shared" si="41"/>
        <v>-79.194000000000017</v>
      </c>
      <c r="M42" s="32">
        <f t="shared" si="41"/>
        <v>-89.282500000000013</v>
      </c>
      <c r="N42" s="33">
        <f t="shared" ref="N42:P42" si="42">SUM(K17:N17)</f>
        <v>-97.427500000000009</v>
      </c>
      <c r="O42" s="32">
        <f t="shared" si="42"/>
        <v>-105.52350000000001</v>
      </c>
      <c r="P42" s="32">
        <f t="shared" si="42"/>
        <v>-108.32050000000002</v>
      </c>
    </row>
    <row r="43" spans="1:16" x14ac:dyDescent="0.15">
      <c r="A43" s="64" t="s">
        <v>50</v>
      </c>
      <c r="B43" s="56"/>
      <c r="C43" s="55"/>
      <c r="D43" s="55"/>
      <c r="E43" s="42">
        <f t="shared" ref="E43" si="43">E42/E40</f>
        <v>-1.5371564515119265</v>
      </c>
      <c r="H43" s="42">
        <f t="shared" ref="H43:N43" si="44">H42/H40</f>
        <v>-0.29667742724952501</v>
      </c>
      <c r="I43" s="42">
        <f t="shared" si="44"/>
        <v>-0.32268012838938392</v>
      </c>
      <c r="J43" s="43">
        <f t="shared" si="44"/>
        <v>-0.36465493411959826</v>
      </c>
      <c r="K43" s="42">
        <f t="shared" si="44"/>
        <v>-0.122463687150838</v>
      </c>
      <c r="L43" s="42">
        <f t="shared" si="44"/>
        <v>-0.15027324478178372</v>
      </c>
      <c r="M43" s="42">
        <f t="shared" si="44"/>
        <v>-0.16941650853889945</v>
      </c>
      <c r="N43" s="43">
        <f t="shared" si="44"/>
        <v>-0.190660469667319</v>
      </c>
      <c r="O43" s="42">
        <f t="shared" ref="O43:P43" si="45">O42/O40</f>
        <v>-0.20854446640316207</v>
      </c>
      <c r="P43" s="42">
        <f t="shared" si="45"/>
        <v>-0.20476465028355392</v>
      </c>
    </row>
    <row r="44" spans="1:16" x14ac:dyDescent="0.15">
      <c r="A44" s="64" t="s">
        <v>51</v>
      </c>
      <c r="B44" s="56"/>
      <c r="C44" s="55"/>
      <c r="D44" s="55"/>
      <c r="E44" s="42">
        <f t="shared" ref="E44" si="46">E42/E36</f>
        <v>-0.42113478096806284</v>
      </c>
      <c r="H44" s="42">
        <f t="shared" ref="H44:N44" si="47">H42/H36</f>
        <v>-0.17447714086954133</v>
      </c>
      <c r="I44" s="42">
        <f t="shared" si="47"/>
        <v>-0.17452970745990207</v>
      </c>
      <c r="J44" s="43">
        <f t="shared" si="47"/>
        <v>-0.16343048753293304</v>
      </c>
      <c r="K44" s="42">
        <f t="shared" si="47"/>
        <v>-8.6873183619550862E-2</v>
      </c>
      <c r="L44" s="42">
        <f t="shared" si="47"/>
        <v>-0.10218580645161293</v>
      </c>
      <c r="M44" s="42">
        <f t="shared" si="47"/>
        <v>-0.11520322580645163</v>
      </c>
      <c r="N44" s="43">
        <f t="shared" si="47"/>
        <v>-0.12442848020434229</v>
      </c>
      <c r="O44" s="42">
        <f t="shared" ref="O44:P44" si="48">O42/O36</f>
        <v>-0.13374334600760457</v>
      </c>
      <c r="P44" s="42">
        <f t="shared" si="48"/>
        <v>-0.1301929086538462</v>
      </c>
    </row>
    <row r="45" spans="1:16" x14ac:dyDescent="0.15">
      <c r="A45" s="64" t="s">
        <v>52</v>
      </c>
      <c r="B45" s="56"/>
      <c r="C45" s="55"/>
      <c r="D45" s="55"/>
      <c r="E45" s="42">
        <f t="shared" ref="E45" si="49">E42/(E40-E35)</f>
        <v>-1.6393803832543234</v>
      </c>
      <c r="H45" s="42">
        <f t="shared" ref="H45:N45" si="50">H42/(H40-H35)</f>
        <v>-0.2996404126720692</v>
      </c>
      <c r="I45" s="42">
        <f t="shared" si="50"/>
        <v>-0.33747941053053504</v>
      </c>
      <c r="J45" s="43">
        <f t="shared" si="50"/>
        <v>-0.38132065775950669</v>
      </c>
      <c r="K45" s="42">
        <f t="shared" si="50"/>
        <v>-0.13074155069582505</v>
      </c>
      <c r="L45" s="42">
        <f t="shared" si="50"/>
        <v>-0.15998787878787882</v>
      </c>
      <c r="M45" s="42">
        <f t="shared" si="50"/>
        <v>-0.1803686868686869</v>
      </c>
      <c r="N45" s="43">
        <f t="shared" si="50"/>
        <v>-0.20255197505197506</v>
      </c>
      <c r="O45" s="42">
        <f t="shared" ref="O45:P45" si="51">O42/(O40-O35)</f>
        <v>-0.22122327044025161</v>
      </c>
      <c r="P45" s="42">
        <f t="shared" si="51"/>
        <v>-0.31306502890173415</v>
      </c>
    </row>
    <row r="46" spans="1:16" x14ac:dyDescent="0.15">
      <c r="A46" s="64" t="s">
        <v>53</v>
      </c>
      <c r="B46" s="56"/>
      <c r="C46" s="55"/>
      <c r="D46" s="55"/>
      <c r="E46" s="42">
        <f t="shared" ref="E46" si="52">E42/E39</f>
        <v>-0.86984093244057115</v>
      </c>
      <c r="H46" s="42">
        <f t="shared" ref="H46:N46" si="53">H42/H39</f>
        <v>-0.65204139132216554</v>
      </c>
      <c r="I46" s="42">
        <f t="shared" si="53"/>
        <v>-0.61000045281651871</v>
      </c>
      <c r="J46" s="43">
        <f t="shared" si="53"/>
        <v>-0.40295133821602874</v>
      </c>
      <c r="K46" s="42">
        <f t="shared" si="53"/>
        <v>-0.4059444444444445</v>
      </c>
      <c r="L46" s="42">
        <f t="shared" si="53"/>
        <v>-0.43996666666666678</v>
      </c>
      <c r="M46" s="42">
        <f t="shared" si="53"/>
        <v>-0.49601388888888898</v>
      </c>
      <c r="N46" s="43">
        <f t="shared" si="53"/>
        <v>-0.46616028708133977</v>
      </c>
      <c r="O46" s="42">
        <f t="shared" ref="O46:P46" si="54">O42/O39</f>
        <v>-0.49310046728971968</v>
      </c>
      <c r="P46" s="42">
        <f t="shared" si="54"/>
        <v>-0.47301528384279484</v>
      </c>
    </row>
    <row r="47" spans="1:16" x14ac:dyDescent="0.15">
      <c r="N47" s="29"/>
      <c r="O47" s="28"/>
      <c r="P47" s="28"/>
    </row>
    <row r="48" spans="1:16" x14ac:dyDescent="0.15">
      <c r="A48" s="61" t="s">
        <v>61</v>
      </c>
      <c r="F48" s="43">
        <f t="shared" ref="F48:M49" si="55">F3/B3-1</f>
        <v>0.57334969325153384</v>
      </c>
      <c r="G48" s="42">
        <f t="shared" si="55"/>
        <v>0.57463439233484626</v>
      </c>
      <c r="H48" s="42">
        <f t="shared" si="55"/>
        <v>0.57028856699822272</v>
      </c>
      <c r="I48" s="42">
        <f t="shared" si="55"/>
        <v>0.56210512165613657</v>
      </c>
      <c r="J48" s="43">
        <f t="shared" si="55"/>
        <v>0.56973515924759011</v>
      </c>
      <c r="K48" s="42">
        <f t="shared" si="55"/>
        <v>0.55591139578329329</v>
      </c>
      <c r="L48" s="42">
        <f t="shared" si="55"/>
        <v>0.5414258188824661</v>
      </c>
      <c r="M48" s="42">
        <f t="shared" si="55"/>
        <v>0.5</v>
      </c>
      <c r="N48" s="43">
        <f t="shared" ref="N48:P49" si="56">N3/J3-1</f>
        <v>0.53341547266548761</v>
      </c>
      <c r="O48" s="42">
        <f t="shared" si="56"/>
        <v>0.43433962264150949</v>
      </c>
      <c r="P48" s="42">
        <f t="shared" si="56"/>
        <v>0.42015625000000001</v>
      </c>
    </row>
    <row r="49" spans="1:16" x14ac:dyDescent="0.15">
      <c r="A49" s="61" t="s">
        <v>62</v>
      </c>
      <c r="F49" s="43">
        <f t="shared" si="55"/>
        <v>1.2901665771090811</v>
      </c>
      <c r="G49" s="42">
        <f t="shared" si="55"/>
        <v>0.71159874608150453</v>
      </c>
      <c r="H49" s="42">
        <f t="shared" si="55"/>
        <v>0.81472684085510672</v>
      </c>
      <c r="I49" s="42">
        <f t="shared" si="55"/>
        <v>0.76769566573121284</v>
      </c>
      <c r="J49" s="43">
        <f t="shared" si="55"/>
        <v>0.37799155326137979</v>
      </c>
      <c r="K49" s="42">
        <f t="shared" si="55"/>
        <v>0.2210012210012211</v>
      </c>
      <c r="L49" s="42">
        <f t="shared" si="55"/>
        <v>0.30890052356020936</v>
      </c>
      <c r="M49" s="42">
        <f t="shared" si="55"/>
        <v>0.5</v>
      </c>
      <c r="N49" s="43">
        <f t="shared" si="56"/>
        <v>0.4173335603609738</v>
      </c>
      <c r="O49" s="42">
        <f t="shared" si="56"/>
        <v>0.26666666666666661</v>
      </c>
      <c r="P49" s="42">
        <f t="shared" si="56"/>
        <v>0.1489999999999998</v>
      </c>
    </row>
    <row r="51" spans="1:16" s="8" customFormat="1" x14ac:dyDescent="0.15">
      <c r="A51" s="61" t="s">
        <v>89</v>
      </c>
      <c r="B51" s="30"/>
      <c r="C51" s="31"/>
      <c r="D51" s="31"/>
      <c r="E51" s="31"/>
      <c r="F51" s="30"/>
      <c r="G51" s="31"/>
      <c r="H51" s="31"/>
      <c r="I51" s="31"/>
      <c r="J51" s="30"/>
      <c r="K51" s="31"/>
      <c r="L51" s="31"/>
      <c r="M51" s="31"/>
      <c r="N51" s="71">
        <v>9576</v>
      </c>
      <c r="O51" s="8">
        <v>10049</v>
      </c>
      <c r="P51" s="8">
        <v>11172</v>
      </c>
    </row>
    <row r="52" spans="1:16" s="8" customFormat="1" x14ac:dyDescent="0.15">
      <c r="A52" s="61" t="s">
        <v>90</v>
      </c>
      <c r="B52" s="30"/>
      <c r="C52" s="31"/>
      <c r="D52" s="31"/>
      <c r="E52" s="31"/>
      <c r="F52" s="30"/>
      <c r="G52" s="31"/>
      <c r="H52" s="31"/>
      <c r="I52" s="31"/>
      <c r="J52" s="30"/>
      <c r="K52" s="31"/>
      <c r="L52" s="31"/>
      <c r="M52" s="31"/>
      <c r="N52" s="71">
        <v>1040</v>
      </c>
      <c r="O52" s="8">
        <v>1131</v>
      </c>
      <c r="P52" s="8">
        <v>1331</v>
      </c>
    </row>
    <row r="53" spans="1:16" s="8" customFormat="1" x14ac:dyDescent="0.15">
      <c r="A53" s="61" t="s">
        <v>91</v>
      </c>
      <c r="B53" s="30"/>
      <c r="C53" s="31"/>
      <c r="D53" s="31"/>
      <c r="E53" s="31"/>
      <c r="F53" s="30"/>
      <c r="G53" s="31"/>
      <c r="H53" s="31"/>
      <c r="I53" s="31"/>
      <c r="J53" s="30"/>
      <c r="K53" s="31"/>
      <c r="L53" s="31"/>
      <c r="M53" s="31"/>
      <c r="N53" s="71">
        <v>391</v>
      </c>
      <c r="O53" s="8">
        <v>433</v>
      </c>
      <c r="P53" s="8">
        <v>504</v>
      </c>
    </row>
    <row r="55" spans="1:16" x14ac:dyDescent="0.15">
      <c r="A55" s="61" t="s">
        <v>92</v>
      </c>
    </row>
    <row r="56" spans="1:16" x14ac:dyDescent="0.15">
      <c r="A56" s="61" t="s">
        <v>93</v>
      </c>
    </row>
    <row r="57" spans="1:16" x14ac:dyDescent="0.15">
      <c r="A57" s="61" t="s">
        <v>94</v>
      </c>
    </row>
  </sheetData>
  <hyperlinks>
    <hyperlink ref="A1" r:id="rId1" xr:uid="{00000000-0004-0000-02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2021-02-13T23:25:32Z</dcterms:modified>
</cp:coreProperties>
</file>