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5EF62246-4289-7540-8ACB-812462446BF9}" xr6:coauthVersionLast="46" xr6:coauthVersionMax="46" xr10:uidLastSave="{00000000-0000-0000-0000-000000000000}"/>
  <bookViews>
    <workbookView xWindow="-52260" yWindow="-5940" windowWidth="26120" windowHeight="2690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8" i="2" l="1"/>
  <c r="C5" i="2"/>
  <c r="D15" i="2"/>
  <c r="D14" i="2"/>
  <c r="E14" i="2" s="1"/>
  <c r="F14" i="2" s="1"/>
  <c r="G14" i="2" s="1"/>
  <c r="H14" i="2" s="1"/>
  <c r="E15" i="2"/>
  <c r="F15" i="2" s="1"/>
  <c r="G15" i="2" s="1"/>
  <c r="H15" i="2" s="1"/>
  <c r="D63" i="2"/>
  <c r="D62" i="2"/>
  <c r="D17" i="2"/>
  <c r="D19" i="2" s="1"/>
  <c r="R38" i="2"/>
  <c r="R37" i="2"/>
  <c r="R30" i="2"/>
  <c r="R23" i="2"/>
  <c r="R40" i="2" s="1"/>
  <c r="R22" i="2"/>
  <c r="R39" i="2" s="1"/>
  <c r="R21" i="2"/>
  <c r="R20" i="2"/>
  <c r="R9" i="2"/>
  <c r="J22" i="2"/>
  <c r="K22" i="2" s="1"/>
  <c r="L22" i="2" s="1"/>
  <c r="M22" i="2" s="1"/>
  <c r="I22" i="2"/>
  <c r="J21" i="2"/>
  <c r="K21" i="2" s="1"/>
  <c r="L21" i="2" s="1"/>
  <c r="M21" i="2" s="1"/>
  <c r="I21" i="2"/>
  <c r="J20" i="2"/>
  <c r="K20" i="2" s="1"/>
  <c r="L20" i="2" s="1"/>
  <c r="M20" i="2" s="1"/>
  <c r="I20" i="2"/>
  <c r="D25" i="2"/>
  <c r="E22" i="2"/>
  <c r="F22" i="2" s="1"/>
  <c r="G22" i="2" s="1"/>
  <c r="H22" i="2" s="1"/>
  <c r="D22" i="2"/>
  <c r="E21" i="2"/>
  <c r="F21" i="2" s="1"/>
  <c r="G21" i="2" s="1"/>
  <c r="H21" i="2" s="1"/>
  <c r="D21" i="2"/>
  <c r="E20" i="2"/>
  <c r="F20" i="2" s="1"/>
  <c r="G20" i="2" s="1"/>
  <c r="H20" i="2" s="1"/>
  <c r="D20" i="2"/>
  <c r="C63" i="2"/>
  <c r="C62" i="2"/>
  <c r="C60" i="2"/>
  <c r="C59" i="2"/>
  <c r="C58" i="2"/>
  <c r="C48" i="2"/>
  <c r="C47" i="2"/>
  <c r="C46" i="2"/>
  <c r="C44" i="2"/>
  <c r="C43" i="2"/>
  <c r="C27" i="2"/>
  <c r="C25" i="2"/>
  <c r="C22" i="2"/>
  <c r="C21" i="2"/>
  <c r="C20" i="2"/>
  <c r="C18" i="2"/>
  <c r="C12" i="2"/>
  <c r="C14" i="2"/>
  <c r="C15" i="2"/>
  <c r="C11" i="2"/>
  <c r="C10" i="2"/>
  <c r="B48" i="2"/>
  <c r="B47" i="2"/>
  <c r="B46" i="2"/>
  <c r="B44" i="2"/>
  <c r="B43" i="2"/>
  <c r="B15" i="2"/>
  <c r="B14" i="2"/>
  <c r="B27" i="2"/>
  <c r="B25" i="2"/>
  <c r="B22" i="2"/>
  <c r="B21" i="2"/>
  <c r="B20" i="2"/>
  <c r="B18" i="2"/>
  <c r="B12" i="2"/>
  <c r="B11" i="2"/>
  <c r="B10" i="2"/>
  <c r="E41" i="1"/>
  <c r="E39" i="1"/>
  <c r="I39" i="1"/>
  <c r="E36" i="1"/>
  <c r="I41" i="1"/>
  <c r="I36" i="1"/>
  <c r="I35" i="1" s="1"/>
  <c r="I57" i="1"/>
  <c r="I56" i="1"/>
  <c r="H56" i="1"/>
  <c r="G56" i="1"/>
  <c r="F56" i="1"/>
  <c r="I54" i="1"/>
  <c r="H54" i="1"/>
  <c r="G54" i="1"/>
  <c r="F54" i="1"/>
  <c r="G53" i="1"/>
  <c r="F53" i="1"/>
  <c r="I53" i="1"/>
  <c r="H53" i="1"/>
  <c r="I52" i="1"/>
  <c r="B15" i="1"/>
  <c r="C15" i="1"/>
  <c r="D15" i="1"/>
  <c r="E15" i="1"/>
  <c r="F15" i="1"/>
  <c r="G15" i="1"/>
  <c r="G16" i="1" s="1"/>
  <c r="H15" i="1"/>
  <c r="I15" i="1"/>
  <c r="B8" i="1"/>
  <c r="B10" i="1" s="1"/>
  <c r="C8" i="1"/>
  <c r="C10" i="1" s="1"/>
  <c r="D8" i="1"/>
  <c r="D10" i="1" s="1"/>
  <c r="E8" i="1"/>
  <c r="E10" i="1" s="1"/>
  <c r="F8" i="1"/>
  <c r="F57" i="1" s="1"/>
  <c r="G8" i="1"/>
  <c r="G57" i="1" s="1"/>
  <c r="H8" i="1"/>
  <c r="H10" i="1" s="1"/>
  <c r="H12" i="1" s="1"/>
  <c r="I8" i="1"/>
  <c r="I10" i="1" s="1"/>
  <c r="C30" i="2"/>
  <c r="I44" i="1"/>
  <c r="I31" i="1"/>
  <c r="I30" i="1"/>
  <c r="G52" i="1"/>
  <c r="G31" i="1"/>
  <c r="G30" i="1"/>
  <c r="H52" i="1"/>
  <c r="H31" i="1"/>
  <c r="H30" i="1"/>
  <c r="H63" i="2" l="1"/>
  <c r="E63" i="2"/>
  <c r="E62" i="2"/>
  <c r="E17" i="2"/>
  <c r="C42" i="2"/>
  <c r="F10" i="1"/>
  <c r="G10" i="1"/>
  <c r="G12" i="1" s="1"/>
  <c r="G25" i="1" s="1"/>
  <c r="H57" i="1"/>
  <c r="I43" i="1"/>
  <c r="C50" i="2"/>
  <c r="C51" i="2"/>
  <c r="C17" i="2"/>
  <c r="C19" i="2" s="1"/>
  <c r="C24" i="2" s="1"/>
  <c r="H16" i="1"/>
  <c r="H17" i="1" s="1"/>
  <c r="H25" i="1"/>
  <c r="F52" i="1"/>
  <c r="F31" i="1"/>
  <c r="F30" i="1"/>
  <c r="I32" i="1"/>
  <c r="G63" i="2" l="1"/>
  <c r="F63" i="2"/>
  <c r="G17" i="2"/>
  <c r="F62" i="2"/>
  <c r="F17" i="2"/>
  <c r="F16" i="1"/>
  <c r="I29" i="1"/>
  <c r="C32" i="2"/>
  <c r="E16" i="1"/>
  <c r="F12" i="1"/>
  <c r="F25" i="1" s="1"/>
  <c r="I16" i="1"/>
  <c r="E12" i="1"/>
  <c r="H19" i="1"/>
  <c r="H26" i="1"/>
  <c r="G17" i="1"/>
  <c r="B30" i="2"/>
  <c r="E44" i="1"/>
  <c r="E35" i="1"/>
  <c r="G62" i="2" l="1"/>
  <c r="I33" i="1"/>
  <c r="E17" i="1"/>
  <c r="E19" i="1" s="1"/>
  <c r="C23" i="2"/>
  <c r="C33" i="2" s="1"/>
  <c r="H38" i="2"/>
  <c r="F17" i="1"/>
  <c r="G26" i="1"/>
  <c r="G19" i="1"/>
  <c r="H27" i="1"/>
  <c r="H21" i="1"/>
  <c r="H22" i="1" s="1"/>
  <c r="B17" i="2"/>
  <c r="B51" i="2"/>
  <c r="E43" i="1"/>
  <c r="B42" i="2"/>
  <c r="F32" i="1"/>
  <c r="H62" i="2" l="1"/>
  <c r="H17" i="2"/>
  <c r="I17" i="2" s="1"/>
  <c r="J17" i="2" s="1"/>
  <c r="K17" i="2" s="1"/>
  <c r="L17" i="2" s="1"/>
  <c r="M17" i="2" s="1"/>
  <c r="C26" i="2"/>
  <c r="C28" i="2" s="1"/>
  <c r="D23" i="2"/>
  <c r="N21" i="2"/>
  <c r="N38" i="2" s="1"/>
  <c r="H32" i="1"/>
  <c r="F26" i="1"/>
  <c r="F19" i="1"/>
  <c r="F29" i="1"/>
  <c r="H29" i="1"/>
  <c r="G32" i="1"/>
  <c r="C12" i="1"/>
  <c r="C25" i="1" s="1"/>
  <c r="G29" i="1"/>
  <c r="G21" i="1"/>
  <c r="G27" i="1"/>
  <c r="B50" i="2"/>
  <c r="B16" i="1"/>
  <c r="D16" i="1"/>
  <c r="C16" i="1"/>
  <c r="B12" i="1"/>
  <c r="D30" i="2"/>
  <c r="E30" i="2" s="1"/>
  <c r="F30" i="2" s="1"/>
  <c r="G30" i="2" s="1"/>
  <c r="C4" i="2"/>
  <c r="C9" i="2"/>
  <c r="D9" i="2" s="1"/>
  <c r="E9" i="2" s="1"/>
  <c r="F9" i="2" s="1"/>
  <c r="G9" i="2" s="1"/>
  <c r="C54" i="2" l="1"/>
  <c r="C29" i="2"/>
  <c r="C55" i="2"/>
  <c r="C56" i="2"/>
  <c r="C53" i="2"/>
  <c r="H30" i="2"/>
  <c r="I30" i="2" s="1"/>
  <c r="J30" i="2" s="1"/>
  <c r="K30" i="2" s="1"/>
  <c r="L30" i="2" s="1"/>
  <c r="M30" i="2" s="1"/>
  <c r="N30" i="2" s="1"/>
  <c r="O30" i="2" s="1"/>
  <c r="P30" i="2" s="1"/>
  <c r="Q30" i="2" s="1"/>
  <c r="H9" i="2"/>
  <c r="I9" i="2" s="1"/>
  <c r="J9" i="2" s="1"/>
  <c r="K9" i="2" s="1"/>
  <c r="L9" i="2" s="1"/>
  <c r="M9" i="2" s="1"/>
  <c r="N9" i="2" s="1"/>
  <c r="O9" i="2" s="1"/>
  <c r="P9" i="2" s="1"/>
  <c r="O21" i="2"/>
  <c r="P21" i="2" s="1"/>
  <c r="P38" i="2" s="1"/>
  <c r="H37" i="2"/>
  <c r="C36" i="2"/>
  <c r="H33" i="1"/>
  <c r="F33" i="1"/>
  <c r="F27" i="1"/>
  <c r="F21" i="1"/>
  <c r="C17" i="1"/>
  <c r="C26" i="1" s="1"/>
  <c r="G33" i="1"/>
  <c r="G22" i="1"/>
  <c r="D36" i="2"/>
  <c r="B23" i="2"/>
  <c r="B25" i="1"/>
  <c r="B17" i="1"/>
  <c r="D12" i="1"/>
  <c r="C6" i="2"/>
  <c r="C7" i="2" s="1"/>
  <c r="Q21" i="2" l="1"/>
  <c r="Q38" i="2" s="1"/>
  <c r="O38" i="2"/>
  <c r="F22" i="1"/>
  <c r="Q9" i="2"/>
  <c r="N20" i="2"/>
  <c r="C19" i="1"/>
  <c r="C21" i="1" s="1"/>
  <c r="G23" i="2"/>
  <c r="B26" i="1"/>
  <c r="B19" i="1"/>
  <c r="D25" i="1"/>
  <c r="D17" i="1"/>
  <c r="C39" i="2"/>
  <c r="C38" i="2"/>
  <c r="C40" i="2"/>
  <c r="C37" i="2"/>
  <c r="C27" i="1" l="1"/>
  <c r="O20" i="2"/>
  <c r="N37" i="2"/>
  <c r="H39" i="2"/>
  <c r="H23" i="2"/>
  <c r="H40" i="2" s="1"/>
  <c r="N22" i="2"/>
  <c r="O22" i="2" s="1"/>
  <c r="P22" i="2" s="1"/>
  <c r="Q22" i="2" s="1"/>
  <c r="B19" i="2"/>
  <c r="E25" i="1"/>
  <c r="B21" i="1"/>
  <c r="B27" i="1"/>
  <c r="C22" i="1"/>
  <c r="D26" i="1"/>
  <c r="D19" i="1"/>
  <c r="D39" i="2"/>
  <c r="D38" i="2"/>
  <c r="D37" i="2"/>
  <c r="D40" i="2"/>
  <c r="B24" i="2" l="1"/>
  <c r="B26" i="2" s="1"/>
  <c r="B32" i="2"/>
  <c r="N23" i="2"/>
  <c r="P20" i="2"/>
  <c r="O37" i="2"/>
  <c r="N39" i="2"/>
  <c r="Q39" i="2"/>
  <c r="H36" i="2"/>
  <c r="O39" i="2"/>
  <c r="O23" i="2"/>
  <c r="E26" i="1"/>
  <c r="B22" i="1"/>
  <c r="D27" i="1"/>
  <c r="D21" i="1"/>
  <c r="E23" i="2"/>
  <c r="E40" i="2" s="1"/>
  <c r="E37" i="2"/>
  <c r="E38" i="2"/>
  <c r="E39" i="2"/>
  <c r="O40" i="2" l="1"/>
  <c r="Q20" i="2"/>
  <c r="P37" i="2"/>
  <c r="N17" i="2"/>
  <c r="O17" i="2" s="1"/>
  <c r="P39" i="2"/>
  <c r="P23" i="2"/>
  <c r="P40" i="2" s="1"/>
  <c r="E27" i="1"/>
  <c r="E21" i="1"/>
  <c r="D22" i="1"/>
  <c r="F23" i="2"/>
  <c r="F40" i="2" s="1"/>
  <c r="F37" i="2"/>
  <c r="F39" i="2"/>
  <c r="F38" i="2"/>
  <c r="Q37" i="2" l="1"/>
  <c r="Q23" i="2"/>
  <c r="Q40" i="2" s="1"/>
  <c r="N36" i="2"/>
  <c r="E22" i="1"/>
  <c r="P17" i="2"/>
  <c r="Q17" i="2" s="1"/>
  <c r="R17" i="2" s="1"/>
  <c r="O36" i="2"/>
  <c r="E46" i="1"/>
  <c r="G38" i="2"/>
  <c r="G39" i="2"/>
  <c r="G37" i="2"/>
  <c r="G40" i="2"/>
  <c r="B33" i="2"/>
  <c r="R36" i="2" l="1"/>
  <c r="Q36" i="2"/>
  <c r="P36" i="2"/>
  <c r="E49" i="1"/>
  <c r="E48" i="1"/>
  <c r="E50" i="1"/>
  <c r="E47" i="1"/>
  <c r="B34" i="2"/>
  <c r="E36" i="2"/>
  <c r="D18" i="2" l="1"/>
  <c r="B28" i="2"/>
  <c r="B29" i="2" s="1"/>
  <c r="I38" i="2"/>
  <c r="I39" i="2"/>
  <c r="F36" i="2"/>
  <c r="I37" i="2"/>
  <c r="I23" i="2"/>
  <c r="I40" i="2" s="1"/>
  <c r="D24" i="2" l="1"/>
  <c r="D33" i="2" s="1"/>
  <c r="D32" i="2"/>
  <c r="E19" i="2" s="1"/>
  <c r="E24" i="2" s="1"/>
  <c r="E33" i="2" s="1"/>
  <c r="B54" i="2"/>
  <c r="B55" i="2"/>
  <c r="B56" i="2"/>
  <c r="B53" i="2"/>
  <c r="J39" i="2"/>
  <c r="J23" i="2"/>
  <c r="J40" i="2" s="1"/>
  <c r="J37" i="2"/>
  <c r="G36" i="2"/>
  <c r="J38" i="2"/>
  <c r="E18" i="2" l="1"/>
  <c r="E32" i="2"/>
  <c r="F19" i="2" s="1"/>
  <c r="F18" i="2" s="1"/>
  <c r="C34" i="2"/>
  <c r="K37" i="2"/>
  <c r="K23" i="2"/>
  <c r="K40" i="2" s="1"/>
  <c r="K38" i="2"/>
  <c r="K39" i="2"/>
  <c r="F32" i="2" l="1"/>
  <c r="G19" i="2" s="1"/>
  <c r="G24" i="2" s="1"/>
  <c r="G33" i="2" s="1"/>
  <c r="F24" i="2"/>
  <c r="F33" i="2" s="1"/>
  <c r="L38" i="2"/>
  <c r="M38" i="2"/>
  <c r="L37" i="2"/>
  <c r="L23" i="2"/>
  <c r="L40" i="2" s="1"/>
  <c r="I36" i="2"/>
  <c r="L39" i="2"/>
  <c r="M39" i="2"/>
  <c r="G32" i="2" l="1"/>
  <c r="H19" i="2" s="1"/>
  <c r="G18" i="2"/>
  <c r="D26" i="2"/>
  <c r="D27" i="2" s="1"/>
  <c r="J36" i="2"/>
  <c r="M37" i="2"/>
  <c r="M23" i="2"/>
  <c r="H32" i="2" l="1"/>
  <c r="I19" i="2" s="1"/>
  <c r="H24" i="2"/>
  <c r="H33" i="2" s="1"/>
  <c r="H18" i="2"/>
  <c r="M40" i="2"/>
  <c r="N40" i="2"/>
  <c r="K36" i="2"/>
  <c r="D34" i="2"/>
  <c r="I18" i="2" l="1"/>
  <c r="I24" i="2"/>
  <c r="I33" i="2" s="1"/>
  <c r="I32" i="2"/>
  <c r="J19" i="2" s="1"/>
  <c r="D28" i="2"/>
  <c r="L36" i="2"/>
  <c r="J18" i="2" l="1"/>
  <c r="J32" i="2"/>
  <c r="K19" i="2" s="1"/>
  <c r="J24" i="2"/>
  <c r="J33" i="2" s="1"/>
  <c r="D29" i="2"/>
  <c r="D42" i="2"/>
  <c r="E25" i="2" s="1"/>
  <c r="E26" i="2" s="1"/>
  <c r="E27" i="2" s="1"/>
  <c r="M36" i="2"/>
  <c r="K32" i="2" l="1"/>
  <c r="L19" i="2" s="1"/>
  <c r="K24" i="2"/>
  <c r="K33" i="2" s="1"/>
  <c r="K18" i="2"/>
  <c r="E34" i="2"/>
  <c r="L18" i="2" l="1"/>
  <c r="L24" i="2"/>
  <c r="L33" i="2" s="1"/>
  <c r="L32" i="2"/>
  <c r="M19" i="2" s="1"/>
  <c r="E28" i="2"/>
  <c r="M18" i="2" l="1"/>
  <c r="M32" i="2"/>
  <c r="N19" i="2" s="1"/>
  <c r="M24" i="2"/>
  <c r="M33" i="2" s="1"/>
  <c r="E29" i="2"/>
  <c r="E42" i="2"/>
  <c r="F25" i="2" s="1"/>
  <c r="F26" i="2" s="1"/>
  <c r="F27" i="2" s="1"/>
  <c r="N24" i="2" l="1"/>
  <c r="N32" i="2"/>
  <c r="O19" i="2" s="1"/>
  <c r="N18" i="2"/>
  <c r="F34" i="2"/>
  <c r="O24" i="2" l="1"/>
  <c r="O32" i="2"/>
  <c r="P19" i="2" s="1"/>
  <c r="O18" i="2"/>
  <c r="N33" i="2"/>
  <c r="F28" i="2"/>
  <c r="P32" i="2" l="1"/>
  <c r="Q19" i="2" s="1"/>
  <c r="P24" i="2"/>
  <c r="P18" i="2"/>
  <c r="O33" i="2"/>
  <c r="F29" i="2"/>
  <c r="F42" i="2"/>
  <c r="G25" i="2" s="1"/>
  <c r="G26" i="2" s="1"/>
  <c r="G27" i="2" s="1"/>
  <c r="Q24" i="2" l="1"/>
  <c r="Q33" i="2" s="1"/>
  <c r="Q32" i="2"/>
  <c r="R19" i="2" s="1"/>
  <c r="Q18" i="2"/>
  <c r="P33" i="2"/>
  <c r="G34" i="2"/>
  <c r="R32" i="2" l="1"/>
  <c r="R24" i="2"/>
  <c r="R18" i="2"/>
  <c r="G28" i="2"/>
  <c r="R33" i="2" l="1"/>
  <c r="G29" i="2"/>
  <c r="G42" i="2"/>
  <c r="H25" i="2" l="1"/>
  <c r="H26" i="2" s="1"/>
  <c r="H27" i="2" s="1"/>
  <c r="H34" i="2" l="1"/>
  <c r="H28" i="2" l="1"/>
  <c r="H29" i="2" s="1"/>
  <c r="H42" i="2" l="1"/>
  <c r="I25" i="2" s="1"/>
  <c r="I26" i="2" s="1"/>
  <c r="I27" i="2" l="1"/>
  <c r="I34" i="2" s="1"/>
  <c r="I28" i="2" l="1"/>
  <c r="I29" i="2" l="1"/>
  <c r="I42" i="2"/>
  <c r="J25" i="2" s="1"/>
  <c r="J26" i="2" s="1"/>
  <c r="J27" i="2" l="1"/>
  <c r="J34" i="2" s="1"/>
  <c r="J28" i="2"/>
  <c r="J29" i="2" l="1"/>
  <c r="J42" i="2"/>
  <c r="K25" i="2" s="1"/>
  <c r="K26" i="2" s="1"/>
  <c r="K27" i="2" s="1"/>
  <c r="K34" i="2" s="1"/>
  <c r="K28" i="2" l="1"/>
  <c r="K29" i="2" s="1"/>
  <c r="K42" i="2"/>
  <c r="L25" i="2" s="1"/>
  <c r="L26" i="2" s="1"/>
  <c r="L27" i="2" s="1"/>
  <c r="L34" i="2" l="1"/>
  <c r="L28" i="2" l="1"/>
  <c r="L29" i="2" s="1"/>
  <c r="L42" i="2" l="1"/>
  <c r="M25" i="2" s="1"/>
  <c r="M26" i="2" s="1"/>
  <c r="M27" i="2" s="1"/>
  <c r="M34" i="2" l="1"/>
  <c r="M28" i="2"/>
  <c r="M29" i="2" l="1"/>
  <c r="M42" i="2"/>
  <c r="N25" i="2" l="1"/>
  <c r="N26" i="2" s="1"/>
  <c r="N27" i="2" s="1"/>
  <c r="N34" i="2" l="1"/>
  <c r="N28" i="2" l="1"/>
  <c r="N29" i="2" s="1"/>
  <c r="N42" i="2"/>
  <c r="O25" i="2" l="1"/>
  <c r="O26" i="2" s="1"/>
  <c r="O27" i="2" s="1"/>
  <c r="O34" i="2" l="1"/>
  <c r="O28" i="2" l="1"/>
  <c r="O29" i="2" s="1"/>
  <c r="O42" i="2" l="1"/>
  <c r="P25" i="2"/>
  <c r="P26" i="2" s="1"/>
  <c r="P27" i="2" s="1"/>
  <c r="P34" i="2" l="1"/>
  <c r="P28" i="2" l="1"/>
  <c r="P29" i="2" s="1"/>
  <c r="P42" i="2"/>
  <c r="Q25" i="2" l="1"/>
  <c r="Q26" i="2" s="1"/>
  <c r="Q27" i="2" s="1"/>
  <c r="Q34" i="2" l="1"/>
  <c r="Q28" i="2"/>
  <c r="Q29" i="2" l="1"/>
  <c r="Q42" i="2"/>
  <c r="R25" i="2" l="1"/>
  <c r="R26" i="2" s="1"/>
  <c r="R27" i="2" l="1"/>
  <c r="R34" i="2" s="1"/>
  <c r="I12" i="1"/>
  <c r="R28" i="2" l="1"/>
  <c r="R29" i="2"/>
  <c r="T28" i="2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CG28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X28" i="2" s="1"/>
  <c r="CY28" i="2" s="1"/>
  <c r="CZ28" i="2" s="1"/>
  <c r="DA28" i="2" s="1"/>
  <c r="DB28" i="2" s="1"/>
  <c r="DC28" i="2" s="1"/>
  <c r="DD28" i="2" s="1"/>
  <c r="DE28" i="2" s="1"/>
  <c r="DF28" i="2" s="1"/>
  <c r="DG28" i="2" s="1"/>
  <c r="DH28" i="2" s="1"/>
  <c r="DI28" i="2" s="1"/>
  <c r="DJ28" i="2" s="1"/>
  <c r="DK28" i="2" s="1"/>
  <c r="DL28" i="2" s="1"/>
  <c r="DM28" i="2" s="1"/>
  <c r="DN28" i="2" s="1"/>
  <c r="DO28" i="2" s="1"/>
  <c r="DP28" i="2" s="1"/>
  <c r="DQ28" i="2" s="1"/>
  <c r="DR28" i="2" s="1"/>
  <c r="DS28" i="2" s="1"/>
  <c r="DT28" i="2" s="1"/>
  <c r="DU28" i="2" s="1"/>
  <c r="DV28" i="2" s="1"/>
  <c r="DW28" i="2" s="1"/>
  <c r="DX28" i="2" s="1"/>
  <c r="DY28" i="2" s="1"/>
  <c r="DZ28" i="2" s="1"/>
  <c r="EA28" i="2" s="1"/>
  <c r="EB28" i="2" s="1"/>
  <c r="EC28" i="2" s="1"/>
  <c r="ED28" i="2" s="1"/>
  <c r="EE28" i="2" s="1"/>
  <c r="EF28" i="2" s="1"/>
  <c r="EG28" i="2" s="1"/>
  <c r="EH28" i="2" s="1"/>
  <c r="EI28" i="2" s="1"/>
  <c r="EJ28" i="2" s="1"/>
  <c r="EK28" i="2" s="1"/>
  <c r="EL28" i="2" s="1"/>
  <c r="EM28" i="2" s="1"/>
  <c r="EN28" i="2" s="1"/>
  <c r="EO28" i="2" s="1"/>
  <c r="EP28" i="2" s="1"/>
  <c r="EQ28" i="2" s="1"/>
  <c r="ER28" i="2" s="1"/>
  <c r="ES28" i="2" s="1"/>
  <c r="ET28" i="2" s="1"/>
  <c r="EU28" i="2" s="1"/>
  <c r="EV28" i="2" s="1"/>
  <c r="EW28" i="2" s="1"/>
  <c r="EX28" i="2" s="1"/>
  <c r="EY28" i="2" s="1"/>
  <c r="EZ28" i="2" s="1"/>
  <c r="FA28" i="2" s="1"/>
  <c r="FB28" i="2" s="1"/>
  <c r="FC28" i="2" s="1"/>
  <c r="FD28" i="2" s="1"/>
  <c r="FE28" i="2" s="1"/>
  <c r="FF28" i="2" s="1"/>
  <c r="FG28" i="2" s="1"/>
  <c r="FH28" i="2" s="1"/>
  <c r="FI28" i="2" s="1"/>
  <c r="FJ28" i="2" s="1"/>
  <c r="FK28" i="2" s="1"/>
  <c r="FL28" i="2" s="1"/>
  <c r="FM28" i="2" s="1"/>
  <c r="FN28" i="2" s="1"/>
  <c r="FO28" i="2" s="1"/>
  <c r="FP28" i="2" s="1"/>
  <c r="FQ28" i="2" s="1"/>
  <c r="FR28" i="2" s="1"/>
  <c r="FS28" i="2" s="1"/>
  <c r="FT28" i="2" s="1"/>
  <c r="FU28" i="2" s="1"/>
  <c r="FV28" i="2" s="1"/>
  <c r="FW28" i="2" s="1"/>
  <c r="FX28" i="2" s="1"/>
  <c r="FY28" i="2" s="1"/>
  <c r="FZ28" i="2" s="1"/>
  <c r="GA28" i="2" s="1"/>
  <c r="GB28" i="2" s="1"/>
  <c r="GC28" i="2" s="1"/>
  <c r="GD28" i="2" s="1"/>
  <c r="GE28" i="2" s="1"/>
  <c r="GF28" i="2" s="1"/>
  <c r="GG28" i="2" s="1"/>
  <c r="GH28" i="2" s="1"/>
  <c r="GI28" i="2" s="1"/>
  <c r="GJ28" i="2" s="1"/>
  <c r="GK28" i="2" s="1"/>
  <c r="GL28" i="2" s="1"/>
  <c r="GM28" i="2" s="1"/>
  <c r="GN28" i="2" s="1"/>
  <c r="GO28" i="2" s="1"/>
  <c r="GP28" i="2" s="1"/>
  <c r="GQ28" i="2" s="1"/>
  <c r="GR28" i="2" s="1"/>
  <c r="GS28" i="2" s="1"/>
  <c r="GT28" i="2" s="1"/>
  <c r="GU28" i="2" s="1"/>
  <c r="GV28" i="2" s="1"/>
  <c r="GW28" i="2" s="1"/>
  <c r="GX28" i="2" s="1"/>
  <c r="GY28" i="2" s="1"/>
  <c r="GZ28" i="2" s="1"/>
  <c r="HA28" i="2" s="1"/>
  <c r="HB28" i="2" s="1"/>
  <c r="HC28" i="2" s="1"/>
  <c r="HD28" i="2" s="1"/>
  <c r="HE28" i="2" s="1"/>
  <c r="HF28" i="2" s="1"/>
  <c r="HG28" i="2" s="1"/>
  <c r="HH28" i="2" s="1"/>
  <c r="HI28" i="2" s="1"/>
  <c r="HJ28" i="2" s="1"/>
  <c r="HK28" i="2" s="1"/>
  <c r="HL28" i="2" s="1"/>
  <c r="HM28" i="2" s="1"/>
  <c r="HN28" i="2" s="1"/>
  <c r="HO28" i="2" s="1"/>
  <c r="HP28" i="2" s="1"/>
  <c r="HQ28" i="2" s="1"/>
  <c r="HR28" i="2" s="1"/>
  <c r="HS28" i="2" s="1"/>
  <c r="HT28" i="2" s="1"/>
  <c r="HU28" i="2" s="1"/>
  <c r="HV28" i="2" s="1"/>
  <c r="HW28" i="2" s="1"/>
  <c r="HX28" i="2" s="1"/>
  <c r="HY28" i="2" s="1"/>
  <c r="HZ28" i="2" s="1"/>
  <c r="IA28" i="2" s="1"/>
  <c r="IB28" i="2" s="1"/>
  <c r="IC28" i="2" s="1"/>
  <c r="ID28" i="2" s="1"/>
  <c r="IE28" i="2" s="1"/>
  <c r="IF28" i="2" s="1"/>
  <c r="IG28" i="2" s="1"/>
  <c r="R42" i="2"/>
  <c r="I17" i="1"/>
  <c r="I25" i="1"/>
  <c r="F5" i="2" l="1"/>
  <c r="F6" i="2" s="1"/>
  <c r="F7" i="2" s="1"/>
  <c r="G7" i="2" s="1"/>
  <c r="I26" i="1"/>
  <c r="I19" i="1"/>
  <c r="I27" i="1" l="1"/>
  <c r="I21" i="1"/>
  <c r="I22" i="1" l="1"/>
  <c r="I46" i="1"/>
  <c r="I50" i="1" l="1"/>
  <c r="I47" i="1"/>
  <c r="I48" i="1"/>
  <c r="I49" i="1"/>
</calcChain>
</file>

<file path=xl/sharedStrings.xml><?xml version="1.0" encoding="utf-8"?>
<sst xmlns="http://schemas.openxmlformats.org/spreadsheetml/2006/main" count="127" uniqueCount="78">
  <si>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</si>
  <si>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</si>
  <si>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</si>
  <si>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</si>
  <si>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</si>
  <si>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</si>
  <si>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</si>
  <si>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</si>
  <si>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</si>
  <si>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</si>
  <si>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</si>
  <si>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</si>
  <si>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</si>
  <si>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</si>
  <si>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</si>
  <si>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</si>
  <si>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</si>
  <si>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</si>
  <si>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</si>
  <si>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</si>
  <si>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</si>
  <si>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</si>
  <si>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</si>
  <si>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</si>
  <si>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</si>
  <si>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</si>
  <si>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</si>
  <si>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</si>
  <si>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</si>
  <si>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</si>
  <si>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</si>
  <si>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</si>
  <si>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</si>
  <si>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</si>
  <si>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</si>
  <si>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</si>
  <si>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</si>
  <si>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</si>
  <si>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</si>
  <si>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</si>
  <si>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</si>
  <si>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</si>
  <si>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</si>
  <si>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</si>
  <si>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</si>
  <si>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NI 12M</t>
  </si>
  <si>
    <t>Q119</t>
  </si>
  <si>
    <t>Q219</t>
  </si>
  <si>
    <t>Q319</t>
  </si>
  <si>
    <t>Q419</t>
  </si>
  <si>
    <t>Transactions</t>
  </si>
  <si>
    <t>Transactions y/y</t>
  </si>
  <si>
    <t>OE y/y</t>
  </si>
  <si>
    <t>Q120</t>
  </si>
  <si>
    <t>Q220</t>
  </si>
  <si>
    <t>Q320</t>
  </si>
  <si>
    <t>Q420</t>
  </si>
  <si>
    <t>PRODUCTS</t>
  </si>
  <si>
    <t>Coinbase Global (COIN)</t>
  </si>
  <si>
    <t>Users</t>
  </si>
  <si>
    <t>ARPU</t>
  </si>
  <si>
    <t>Coinbase</t>
  </si>
  <si>
    <t>Coinbase Pro</t>
  </si>
  <si>
    <t>Subscription</t>
  </si>
  <si>
    <t>Subscription y/y</t>
  </si>
  <si>
    <t>Users y/y</t>
  </si>
  <si>
    <t>ARPU y/y</t>
  </si>
  <si>
    <t>Other</t>
  </si>
  <si>
    <t>Other y/y</t>
  </si>
  <si>
    <t>Brian Armstrong</t>
  </si>
  <si>
    <t>Fred Ehrsam</t>
  </si>
  <si>
    <t>App for buying crypto</t>
  </si>
  <si>
    <t>Crypto trading platform</t>
  </si>
  <si>
    <t>Q121</t>
  </si>
  <si>
    <t>Q221</t>
  </si>
  <si>
    <t>Q321</t>
  </si>
  <si>
    <t>Q421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</si>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</sst>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4" fontId="4" fillId="0" borderId="0" xfId="0" applyNumberFormat="1" applyFont="1" applyBorder="1"/>
    <xf numFmtId="0" fontId="4" fillId="0" borderId="0" xfId="0" applyFont="1" applyBorder="1"/>
    <xf numFmtId="10" fontId="4" fillId="0" borderId="0" xfId="0" applyNumberFormat="1" applyFont="1"/>
    <xf numFmtId="3" fontId="4" fillId="0" borderId="0" xfId="0" applyNumberFormat="1" applyFont="1" applyBorder="1"/>
    <xf numFmtId="0" fontId="5" fillId="0" borderId="0" xfId="0" applyFont="1"/>
    <xf numFmtId="3" fontId="4" fillId="2" borderId="0" xfId="0" applyNumberFormat="1" applyFont="1" applyFill="1" applyBorder="1"/>
    <xf numFmtId="164" fontId="4" fillId="2" borderId="0" xfId="0" applyNumberFormat="1" applyFont="1" applyFill="1"/>
    <xf numFmtId="0" fontId="6" fillId="0" borderId="0" xfId="0" applyFont="1" applyBorder="1"/>
    <xf numFmtId="164" fontId="6" fillId="2" borderId="0" xfId="0" applyNumberFormat="1" applyFont="1" applyFill="1"/>
    <xf numFmtId="0" fontId="5" fillId="0" borderId="0" xfId="0" applyFont="1" applyBorder="1"/>
    <xf numFmtId="4" fontId="4" fillId="2" borderId="0" xfId="0" applyNumberFormat="1" applyFont="1" applyFill="1"/>
    <xf numFmtId="9" fontId="4" fillId="0" borderId="0" xfId="0" applyNumberFormat="1" applyFont="1"/>
    <xf numFmtId="0" fontId="6" fillId="0" borderId="0" xfId="0" applyFont="1"/>
    <xf numFmtId="3" fontId="4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8" fillId="0" borderId="1" xfId="0" applyFont="1" applyBorder="1"/>
    <xf numFmtId="0" fontId="8" fillId="0" borderId="0" xfId="0" applyFont="1"/>
    <xf numFmtId="0" fontId="9" fillId="0" borderId="0" xfId="4" applyFont="1"/>
    <xf numFmtId="3" fontId="8" fillId="0" borderId="0" xfId="0" applyNumberFormat="1" applyFont="1"/>
    <xf numFmtId="3" fontId="8" fillId="0" borderId="0" xfId="0" applyNumberFormat="1" applyFont="1" applyBorder="1" applyAlignment="1">
      <alignment horizontal="right"/>
    </xf>
    <xf numFmtId="3" fontId="10" fillId="0" borderId="0" xfId="0" applyNumberFormat="1" applyFont="1"/>
    <xf numFmtId="3" fontId="10" fillId="2" borderId="0" xfId="0" applyNumberFormat="1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/>
    </xf>
    <xf numFmtId="2" fontId="8" fillId="2" borderId="1" xfId="0" applyNumberFormat="1" applyFont="1" applyFill="1" applyBorder="1" applyAlignment="1">
      <alignment horizontal="right"/>
    </xf>
    <xf numFmtId="9" fontId="8" fillId="0" borderId="0" xfId="0" applyNumberFormat="1" applyFont="1" applyBorder="1" applyAlignment="1">
      <alignment horizontal="right"/>
    </xf>
    <xf numFmtId="9" fontId="8" fillId="0" borderId="1" xfId="0" applyNumberFormat="1" applyFont="1" applyBorder="1" applyAlignment="1">
      <alignment horizontal="right"/>
    </xf>
    <xf numFmtId="9" fontId="8" fillId="0" borderId="0" xfId="1" applyFont="1" applyBorder="1" applyAlignment="1">
      <alignment horizontal="right"/>
    </xf>
    <xf numFmtId="9" fontId="8" fillId="0" borderId="1" xfId="1" applyFont="1" applyBorder="1" applyAlignment="1">
      <alignment horizontal="right"/>
    </xf>
    <xf numFmtId="0" fontId="10" fillId="0" borderId="0" xfId="0" applyFont="1"/>
    <xf numFmtId="9" fontId="10" fillId="0" borderId="0" xfId="1" applyNumberFormat="1" applyFont="1" applyBorder="1" applyAlignment="1">
      <alignment horizontal="right"/>
    </xf>
    <xf numFmtId="9" fontId="10" fillId="0" borderId="1" xfId="1" applyNumberFormat="1" applyFont="1" applyBorder="1" applyAlignment="1">
      <alignment horizontal="right"/>
    </xf>
    <xf numFmtId="9" fontId="8" fillId="0" borderId="0" xfId="1" applyNumberFormat="1" applyFont="1" applyBorder="1" applyAlignment="1">
      <alignment horizontal="right"/>
    </xf>
    <xf numFmtId="9" fontId="8" fillId="0" borderId="1" xfId="1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9" fontId="8" fillId="0" borderId="0" xfId="0" applyNumberFormat="1" applyFont="1" applyFill="1" applyBorder="1"/>
    <xf numFmtId="9" fontId="8" fillId="0" borderId="0" xfId="0" applyNumberFormat="1" applyFont="1"/>
    <xf numFmtId="0" fontId="0" fillId="0" borderId="0" xfId="0" applyFont="1"/>
    <xf numFmtId="3" fontId="0" fillId="0" borderId="1" xfId="0" applyNumberFormat="1" applyFont="1" applyFill="1" applyBorder="1" applyAlignment="1">
      <alignment horizontal="right"/>
    </xf>
    <xf numFmtId="14" fontId="8" fillId="0" borderId="1" xfId="0" applyNumberFormat="1" applyFont="1" applyBorder="1"/>
    <xf numFmtId="3" fontId="8" fillId="0" borderId="1" xfId="0" applyNumberFormat="1" applyFont="1" applyBorder="1"/>
    <xf numFmtId="3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/>
    <xf numFmtId="3" fontId="0" fillId="0" borderId="0" xfId="0" applyNumberFormat="1" applyFont="1" applyBorder="1" applyAlignment="1">
      <alignment horizontal="right"/>
    </xf>
    <xf numFmtId="3" fontId="0" fillId="0" borderId="1" xfId="0" applyNumberFormat="1" applyFont="1" applyBorder="1"/>
    <xf numFmtId="14" fontId="8" fillId="0" borderId="0" xfId="0" applyNumberFormat="1" applyFont="1"/>
    <xf numFmtId="0" fontId="11" fillId="0" borderId="0" xfId="0" applyFont="1"/>
    <xf numFmtId="3" fontId="6" fillId="0" borderId="0" xfId="0" applyNumberFormat="1" applyFont="1"/>
    <xf numFmtId="3" fontId="6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0" fontId="7" fillId="0" borderId="0" xfId="4"/>
    <xf numFmtId="3" fontId="8" fillId="2" borderId="0" xfId="0" applyNumberFormat="1" applyFont="1" applyFill="1"/>
    <xf numFmtId="3" fontId="8" fillId="2" borderId="1" xfId="0" applyNumberFormat="1" applyFont="1" applyFill="1" applyBorder="1"/>
    <xf numFmtId="14" fontId="8" fillId="0" borderId="0" xfId="0" applyNumberFormat="1" applyFont="1" applyFill="1" applyAlignment="1">
      <alignment horizontal="right"/>
    </xf>
    <xf numFmtId="14" fontId="8" fillId="0" borderId="0" xfId="0" applyNumberFormat="1" applyFont="1" applyAlignment="1">
      <alignment horizontal="right"/>
    </xf>
    <xf numFmtId="14" fontId="8" fillId="0" borderId="1" xfId="0" applyNumberFormat="1" applyFont="1" applyBorder="1" applyAlignment="1">
      <alignment horizontal="right"/>
    </xf>
    <xf numFmtId="4" fontId="4" fillId="2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2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2" fontId="4" fillId="2" borderId="0" xfId="0" applyNumberFormat="1" applyFont="1" applyFill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9" fontId="4" fillId="0" borderId="0" xfId="0" applyNumberFormat="1" applyFont="1" applyBorder="1" applyAlignment="1">
      <alignment horizontal="right"/>
    </xf>
    <xf numFmtId="9" fontId="4" fillId="0" borderId="0" xfId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3" fontId="4" fillId="2" borderId="0" xfId="0" applyNumberFormat="1" applyFont="1" applyFill="1" applyAlignment="1">
      <alignment horizontal="right"/>
    </xf>
    <xf numFmtId="9" fontId="4" fillId="0" borderId="0" xfId="0" applyNumberFormat="1" applyFont="1" applyAlignment="1">
      <alignment horizontal="right"/>
    </xf>
    <xf numFmtId="0" fontId="7" fillId="0" borderId="0" xfId="4" applyAlignment="1">
      <alignment horizontal="lef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167055</xdr:colOff>
      <xdr:row>8</xdr:row>
      <xdr:rowOff>0</xdr:rowOff>
    </xdr:from>
    <xdr:to>
      <xdr:col>3</xdr:col>
      <xdr:colOff>167055</xdr:colOff>
      <xdr:row>64</xdr:row>
      <xdr:rowOff>19539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478824" y="1328615"/>
          <a:ext cx="0" cy="9319847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167054</xdr:colOff>
      <xdr:row>1</xdr:row>
      <xdr:rowOff>12700</xdr:rowOff>
    </xdr:from>
    <xdr:to>
      <xdr:col>9</xdr:col>
      <xdr:colOff>167054</xdr:colOff>
      <xdr:row>58</xdr:row>
      <xdr:rowOff>156308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5319131" y="178777"/>
          <a:ext cx="0" cy="96099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fehrsam" TargetMode="External"/><Relationship Id="rId2" Type="http://schemas.openxmlformats.org/officeDocument/2006/relationships/hyperlink" Target="https://twitter.com/brian_armstrong/" TargetMode="External"/><Relationship Id="rId1" Type="http://schemas.openxmlformats.org/officeDocument/2006/relationships/hyperlink" Target="https://twitter.com/brian_armstrong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coindesk.com/coinbase-valuation-nasdaq-private-mark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679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63"/>
  <sheetViews>
    <sheetView tabSelected="1" zoomScale="130" zoomScaleNormal="13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E10" sqref="E10"/>
    </sheetView>
  </sheetViews>
  <sheetFormatPr baseColWidth="10" defaultRowHeight="13" x14ac:dyDescent="0.15"/>
  <cols>
    <col min="1" max="1" width="21.6640625" style="1" customWidth="1"/>
    <col min="2" max="16384" width="10.83203125" style="1"/>
  </cols>
  <sheetData>
    <row r="1" spans="1:18" x14ac:dyDescent="0.15">
      <c r="A1" s="22"/>
      <c r="B1" s="14" t="s">
        <v>58</v>
      </c>
    </row>
    <row r="2" spans="1:18" x14ac:dyDescent="0.15">
      <c r="B2" s="1" t="s">
        <v>32</v>
      </c>
      <c r="C2" s="2">
        <v>303</v>
      </c>
      <c r="D2" s="83" t="s">
        <v>77</v>
      </c>
      <c r="E2" s="3" t="s">
        <v>21</v>
      </c>
      <c r="F2" s="4">
        <v>5.0000000000000001E-3</v>
      </c>
      <c r="H2" s="15"/>
    </row>
    <row r="3" spans="1:18" x14ac:dyDescent="0.15">
      <c r="A3" s="14" t="s">
        <v>30</v>
      </c>
      <c r="B3" s="1" t="s">
        <v>13</v>
      </c>
      <c r="C3" s="5">
        <v>254</v>
      </c>
      <c r="D3" s="48"/>
      <c r="E3" s="3" t="s">
        <v>22</v>
      </c>
      <c r="F3" s="4">
        <v>0.02</v>
      </c>
      <c r="G3" s="6"/>
      <c r="H3" s="15"/>
    </row>
    <row r="4" spans="1:18" x14ac:dyDescent="0.15">
      <c r="A4" s="61" t="s">
        <v>69</v>
      </c>
      <c r="B4" s="1" t="s">
        <v>33</v>
      </c>
      <c r="C4" s="7">
        <f>C2*C3</f>
        <v>76962</v>
      </c>
      <c r="D4" s="83"/>
      <c r="E4" s="3" t="s">
        <v>23</v>
      </c>
      <c r="F4" s="4">
        <v>7.0000000000000007E-2</v>
      </c>
      <c r="G4" s="6"/>
      <c r="H4" s="13"/>
    </row>
    <row r="5" spans="1:18" x14ac:dyDescent="0.15">
      <c r="B5" s="1" t="s">
        <v>18</v>
      </c>
      <c r="C5" s="5">
        <f>Reports!I35</f>
        <v>1156</v>
      </c>
      <c r="D5" s="48" t="s">
        <v>56</v>
      </c>
      <c r="E5" s="3" t="s">
        <v>24</v>
      </c>
      <c r="F5" s="8">
        <f>NPV(F4,D28:DN28)</f>
        <v>168210.52756551284</v>
      </c>
      <c r="G5" s="6"/>
      <c r="H5" s="13"/>
    </row>
    <row r="6" spans="1:18" x14ac:dyDescent="0.15">
      <c r="A6" s="14" t="s">
        <v>31</v>
      </c>
      <c r="B6" s="1" t="s">
        <v>34</v>
      </c>
      <c r="C6" s="7">
        <f>C4-C5</f>
        <v>75806</v>
      </c>
      <c r="D6" s="49"/>
      <c r="E6" s="9" t="s">
        <v>25</v>
      </c>
      <c r="F6" s="10">
        <f>F5+C5</f>
        <v>169366.52756551284</v>
      </c>
      <c r="H6" s="13"/>
    </row>
    <row r="7" spans="1:18" x14ac:dyDescent="0.15">
      <c r="A7" s="61" t="s">
        <v>69</v>
      </c>
      <c r="B7" s="6" t="s">
        <v>35</v>
      </c>
      <c r="C7" s="67">
        <f>C6/C3</f>
        <v>298.44881889763781</v>
      </c>
      <c r="D7" s="49"/>
      <c r="E7" s="11" t="s">
        <v>35</v>
      </c>
      <c r="F7" s="12">
        <f>F6/C3</f>
        <v>666.79735262012923</v>
      </c>
      <c r="G7" s="13">
        <f>F7/C2-1</f>
        <v>1.2006513287793044</v>
      </c>
    </row>
    <row r="8" spans="1:18" x14ac:dyDescent="0.15">
      <c r="A8" s="61" t="s">
        <v>70</v>
      </c>
    </row>
    <row r="9" spans="1:18" s="68" customFormat="1" x14ac:dyDescent="0.15">
      <c r="A9" s="1"/>
      <c r="B9" s="68">
        <v>2019</v>
      </c>
      <c r="C9" s="68">
        <f t="shared" ref="C9:R9" si="0">B9+1</f>
        <v>2020</v>
      </c>
      <c r="D9" s="68">
        <f t="shared" si="0"/>
        <v>2021</v>
      </c>
      <c r="E9" s="68">
        <f t="shared" si="0"/>
        <v>2022</v>
      </c>
      <c r="F9" s="68">
        <f t="shared" si="0"/>
        <v>2023</v>
      </c>
      <c r="G9" s="68">
        <f t="shared" si="0"/>
        <v>2024</v>
      </c>
      <c r="H9" s="68">
        <f t="shared" si="0"/>
        <v>2025</v>
      </c>
      <c r="I9" s="68">
        <f t="shared" si="0"/>
        <v>2026</v>
      </c>
      <c r="J9" s="68">
        <f t="shared" si="0"/>
        <v>2027</v>
      </c>
      <c r="K9" s="68">
        <f t="shared" si="0"/>
        <v>2028</v>
      </c>
      <c r="L9" s="68">
        <f t="shared" si="0"/>
        <v>2029</v>
      </c>
      <c r="M9" s="68">
        <f t="shared" si="0"/>
        <v>2030</v>
      </c>
      <c r="N9" s="68">
        <f t="shared" si="0"/>
        <v>2031</v>
      </c>
      <c r="O9" s="68">
        <f t="shared" si="0"/>
        <v>2032</v>
      </c>
      <c r="P9" s="68">
        <f t="shared" si="0"/>
        <v>2033</v>
      </c>
      <c r="Q9" s="68">
        <f t="shared" si="0"/>
        <v>2034</v>
      </c>
      <c r="R9" s="68">
        <f t="shared" si="0"/>
        <v>2035</v>
      </c>
    </row>
    <row r="10" spans="1:18" s="68" customFormat="1" x14ac:dyDescent="0.15">
      <c r="A10" s="51" t="s">
        <v>50</v>
      </c>
      <c r="B10" s="69">
        <f>SUM(Reports!B3:E3)</f>
        <v>463.005</v>
      </c>
      <c r="C10" s="69">
        <f>SUM(Reports!F3:I3)</f>
        <v>1096.174</v>
      </c>
      <c r="D10" s="69"/>
      <c r="E10" s="69"/>
      <c r="F10" s="69"/>
      <c r="G10" s="69"/>
      <c r="H10" s="69"/>
    </row>
    <row r="11" spans="1:18" s="68" customFormat="1" x14ac:dyDescent="0.15">
      <c r="A11" s="51" t="s">
        <v>63</v>
      </c>
      <c r="B11" s="69">
        <f>SUM(Reports!B4:E4)</f>
        <v>19.944000000000003</v>
      </c>
      <c r="C11" s="69">
        <f>SUM(Reports!F4:I4)</f>
        <v>44.992999999999995</v>
      </c>
      <c r="D11" s="69"/>
      <c r="E11" s="69"/>
      <c r="F11" s="69"/>
      <c r="G11" s="69"/>
      <c r="H11" s="69"/>
    </row>
    <row r="12" spans="1:18" s="68" customFormat="1" x14ac:dyDescent="0.15">
      <c r="A12" s="51" t="s">
        <v>67</v>
      </c>
      <c r="B12" s="69">
        <f>SUM(Reports!B5:E5)</f>
        <v>50.786000000000001</v>
      </c>
      <c r="C12" s="69">
        <f>SUM(Reports!F5:I5)</f>
        <v>136.31399999999999</v>
      </c>
      <c r="D12" s="69"/>
      <c r="E12" s="69"/>
      <c r="F12" s="69"/>
      <c r="G12" s="69"/>
      <c r="H12" s="69"/>
    </row>
    <row r="13" spans="1:18" s="68" customFormat="1" x14ac:dyDescent="0.15">
      <c r="A13" s="23"/>
      <c r="B13" s="69"/>
      <c r="C13" s="69"/>
      <c r="D13" s="69"/>
      <c r="E13" s="69"/>
      <c r="F13" s="69"/>
      <c r="G13" s="69"/>
      <c r="H13" s="69"/>
    </row>
    <row r="14" spans="1:18" s="68" customFormat="1" x14ac:dyDescent="0.15">
      <c r="A14" s="51" t="s">
        <v>59</v>
      </c>
      <c r="B14" s="69">
        <f>Reports!E7</f>
        <v>32</v>
      </c>
      <c r="C14" s="69">
        <f>Reports!I7</f>
        <v>43</v>
      </c>
      <c r="D14" s="69">
        <f>C14*1.3</f>
        <v>55.9</v>
      </c>
      <c r="E14" s="69">
        <f t="shared" ref="E14:H14" si="1">D14*1.25</f>
        <v>69.875</v>
      </c>
      <c r="F14" s="69">
        <f t="shared" si="1"/>
        <v>87.34375</v>
      </c>
      <c r="G14" s="69">
        <f t="shared" si="1"/>
        <v>109.1796875</v>
      </c>
      <c r="H14" s="69">
        <f t="shared" si="1"/>
        <v>136.474609375</v>
      </c>
    </row>
    <row r="15" spans="1:18" s="68" customFormat="1" x14ac:dyDescent="0.15">
      <c r="A15" s="51" t="s">
        <v>60</v>
      </c>
      <c r="B15" s="81">
        <f>SUM(B10:B12)/B14</f>
        <v>16.67921875</v>
      </c>
      <c r="C15" s="81">
        <f>SUM(C10:C12)/C14</f>
        <v>29.708860465116278</v>
      </c>
      <c r="D15" s="69">
        <f>C15*1.2</f>
        <v>35.650632558139534</v>
      </c>
      <c r="E15" s="69">
        <f t="shared" ref="E15:H15" si="2">D15*1.15</f>
        <v>40.998227441860465</v>
      </c>
      <c r="F15" s="69">
        <f t="shared" si="2"/>
        <v>47.147961558139528</v>
      </c>
      <c r="G15" s="69">
        <f t="shared" si="2"/>
        <v>54.220155791860456</v>
      </c>
      <c r="H15" s="69">
        <f t="shared" si="2"/>
        <v>62.35317916063952</v>
      </c>
    </row>
    <row r="16" spans="1:18" s="68" customFormat="1" x14ac:dyDescent="0.15">
      <c r="A16" s="1"/>
      <c r="B16" s="69"/>
      <c r="C16" s="69"/>
      <c r="D16" s="69"/>
      <c r="E16" s="69"/>
    </row>
    <row r="17" spans="1:241" s="68" customFormat="1" x14ac:dyDescent="0.15">
      <c r="A17" s="14" t="s">
        <v>0</v>
      </c>
      <c r="B17" s="58">
        <f>SUM(B10:B15)</f>
        <v>582.41421875000003</v>
      </c>
      <c r="C17" s="58">
        <f>SUM(C10:C15)</f>
        <v>1350.1898604651162</v>
      </c>
      <c r="D17" s="70">
        <f>D14*D15</f>
        <v>1992.8703599999999</v>
      </c>
      <c r="E17" s="70">
        <f t="shared" ref="E17:H17" si="3">E14*E15</f>
        <v>2864.7511424999998</v>
      </c>
      <c r="F17" s="70">
        <f t="shared" si="3"/>
        <v>4118.0797673437492</v>
      </c>
      <c r="G17" s="70">
        <f t="shared" si="3"/>
        <v>5919.7396655566399</v>
      </c>
      <c r="H17" s="70">
        <f t="shared" si="3"/>
        <v>8509.6257692376694</v>
      </c>
      <c r="I17" s="70">
        <f>H17*1.2</f>
        <v>10211.550923085202</v>
      </c>
      <c r="J17" s="70">
        <f t="shared" ref="J17:M17" si="4">I17*1.2</f>
        <v>12253.861107702241</v>
      </c>
      <c r="K17" s="70">
        <f t="shared" si="4"/>
        <v>14704.63332924269</v>
      </c>
      <c r="L17" s="70">
        <f t="shared" si="4"/>
        <v>17645.559995091226</v>
      </c>
      <c r="M17" s="70">
        <f t="shared" si="4"/>
        <v>21174.671994109471</v>
      </c>
      <c r="N17" s="70">
        <f t="shared" ref="I17:R17" si="5">M17*1.1</f>
        <v>23292.139193520419</v>
      </c>
      <c r="O17" s="70">
        <f t="shared" si="5"/>
        <v>25621.353112872464</v>
      </c>
      <c r="P17" s="70">
        <f t="shared" si="5"/>
        <v>28183.488424159714</v>
      </c>
      <c r="Q17" s="70">
        <f t="shared" si="5"/>
        <v>31001.837266575687</v>
      </c>
      <c r="R17" s="70">
        <f t="shared" si="5"/>
        <v>34102.020993233258</v>
      </c>
    </row>
    <row r="18" spans="1:241" s="68" customFormat="1" x14ac:dyDescent="0.15">
      <c r="A18" s="1" t="s">
        <v>1</v>
      </c>
      <c r="B18" s="69">
        <f>SUM(Reports!B11:E11)</f>
        <v>82.055000000000007</v>
      </c>
      <c r="C18" s="69">
        <f>SUM(Reports!F11:I11)</f>
        <v>135.51400000000001</v>
      </c>
      <c r="D18" s="71">
        <f t="shared" ref="D18" si="6">D17-D19</f>
        <v>200.01767297527203</v>
      </c>
      <c r="E18" s="71">
        <f t="shared" ref="E18:M18" si="7">E17-E19</f>
        <v>287.52540490195361</v>
      </c>
      <c r="F18" s="71">
        <f t="shared" si="7"/>
        <v>413.31776954655834</v>
      </c>
      <c r="G18" s="71">
        <f t="shared" si="7"/>
        <v>594.14429372317773</v>
      </c>
      <c r="H18" s="71">
        <f t="shared" ref="H18" si="8">H17-H19</f>
        <v>854.08242222706849</v>
      </c>
      <c r="I18" s="71">
        <f t="shared" si="7"/>
        <v>1024.8989066724807</v>
      </c>
      <c r="J18" s="71">
        <f t="shared" si="7"/>
        <v>1229.8786880069765</v>
      </c>
      <c r="K18" s="71">
        <f t="shared" si="7"/>
        <v>1475.8544256083715</v>
      </c>
      <c r="L18" s="71">
        <f t="shared" si="7"/>
        <v>1771.025310730045</v>
      </c>
      <c r="M18" s="71">
        <f t="shared" si="7"/>
        <v>2125.2303728760562</v>
      </c>
      <c r="N18" s="71">
        <f t="shared" ref="N18:P18" si="9">N17-N19</f>
        <v>2337.7534101636629</v>
      </c>
      <c r="O18" s="71">
        <f t="shared" si="9"/>
        <v>2571.5287511800307</v>
      </c>
      <c r="P18" s="71">
        <f t="shared" si="9"/>
        <v>2828.6816262980319</v>
      </c>
      <c r="Q18" s="71">
        <f t="shared" ref="Q18:R18" si="10">Q17-Q19</f>
        <v>3111.5497889278377</v>
      </c>
      <c r="R18" s="71">
        <f t="shared" si="10"/>
        <v>3422.7047678206218</v>
      </c>
    </row>
    <row r="19" spans="1:241" s="68" customFormat="1" x14ac:dyDescent="0.15">
      <c r="A19" s="1" t="s">
        <v>2</v>
      </c>
      <c r="B19" s="72">
        <f>B17-B18</f>
        <v>500.35921875000003</v>
      </c>
      <c r="C19" s="72">
        <f>C17-C18</f>
        <v>1214.6758604651163</v>
      </c>
      <c r="D19" s="71">
        <f>D17*C32</f>
        <v>1792.8526870247279</v>
      </c>
      <c r="E19" s="71">
        <f t="shared" ref="D19:R19" si="11">E17*D32</f>
        <v>2577.2257375980462</v>
      </c>
      <c r="F19" s="71">
        <f t="shared" si="11"/>
        <v>3704.7619977971908</v>
      </c>
      <c r="G19" s="71">
        <f t="shared" si="11"/>
        <v>5325.5953718334622</v>
      </c>
      <c r="H19" s="71">
        <f t="shared" si="11"/>
        <v>7655.5433470106009</v>
      </c>
      <c r="I19" s="71">
        <f t="shared" si="11"/>
        <v>9186.6520164127214</v>
      </c>
      <c r="J19" s="71">
        <f t="shared" si="11"/>
        <v>11023.982419695265</v>
      </c>
      <c r="K19" s="71">
        <f t="shared" si="11"/>
        <v>13228.778903634318</v>
      </c>
      <c r="L19" s="71">
        <f t="shared" si="11"/>
        <v>15874.534684361181</v>
      </c>
      <c r="M19" s="71">
        <f t="shared" si="11"/>
        <v>19049.441621233414</v>
      </c>
      <c r="N19" s="71">
        <f t="shared" si="11"/>
        <v>20954.385783356756</v>
      </c>
      <c r="O19" s="71">
        <f t="shared" si="11"/>
        <v>23049.824361692434</v>
      </c>
      <c r="P19" s="71">
        <f t="shared" si="11"/>
        <v>25354.806797861682</v>
      </c>
      <c r="Q19" s="71">
        <f t="shared" si="11"/>
        <v>27890.287477647849</v>
      </c>
      <c r="R19" s="71">
        <f t="shared" si="11"/>
        <v>30679.316225412636</v>
      </c>
    </row>
    <row r="20" spans="1:241" s="68" customFormat="1" x14ac:dyDescent="0.15">
      <c r="A20" s="1" t="s">
        <v>3</v>
      </c>
      <c r="B20" s="69">
        <f>SUM(Reports!B13:E13)</f>
        <v>185</v>
      </c>
      <c r="C20" s="69">
        <f>SUM(Reports!F13:I13)</f>
        <v>271</v>
      </c>
      <c r="D20" s="71">
        <f>C20*1.4</f>
        <v>379.4</v>
      </c>
      <c r="E20" s="71">
        <f t="shared" ref="E20:H20" si="12">D20*1.4</f>
        <v>531.16</v>
      </c>
      <c r="F20" s="71">
        <f t="shared" si="12"/>
        <v>743.62399999999991</v>
      </c>
      <c r="G20" s="71">
        <f t="shared" si="12"/>
        <v>1041.0735999999997</v>
      </c>
      <c r="H20" s="71">
        <f t="shared" si="12"/>
        <v>1457.5030399999996</v>
      </c>
      <c r="I20" s="71">
        <f>H20*1.2</f>
        <v>1749.0036479999994</v>
      </c>
      <c r="J20" s="71">
        <f t="shared" ref="J20:M20" si="13">I20*1.2</f>
        <v>2098.804377599999</v>
      </c>
      <c r="K20" s="71">
        <f t="shared" si="13"/>
        <v>2518.5652531199989</v>
      </c>
      <c r="L20" s="71">
        <f t="shared" si="13"/>
        <v>3022.2783037439985</v>
      </c>
      <c r="M20" s="71">
        <f t="shared" si="13"/>
        <v>3626.7339644927983</v>
      </c>
      <c r="N20" s="71">
        <f t="shared" ref="J20:R20" si="14">M20*1.1</f>
        <v>3989.4073609420784</v>
      </c>
      <c r="O20" s="71">
        <f t="shared" si="14"/>
        <v>4388.3480970362862</v>
      </c>
      <c r="P20" s="71">
        <f t="shared" si="14"/>
        <v>4827.1829067399149</v>
      </c>
      <c r="Q20" s="71">
        <f t="shared" si="14"/>
        <v>5309.9011974139066</v>
      </c>
      <c r="R20" s="71">
        <f t="shared" si="14"/>
        <v>5840.8913171552977</v>
      </c>
    </row>
    <row r="21" spans="1:241" s="68" customFormat="1" x14ac:dyDescent="0.15">
      <c r="A21" s="1" t="s">
        <v>4</v>
      </c>
      <c r="B21" s="69">
        <f>SUM(Reports!B14:E14)</f>
        <v>25</v>
      </c>
      <c r="C21" s="69">
        <f>SUM(Reports!F14:I14)</f>
        <v>57</v>
      </c>
      <c r="D21" s="71">
        <f>C21*1.5</f>
        <v>85.5</v>
      </c>
      <c r="E21" s="71">
        <f t="shared" ref="E21:H21" si="15">D21*1.5</f>
        <v>128.25</v>
      </c>
      <c r="F21" s="71">
        <f t="shared" si="15"/>
        <v>192.375</v>
      </c>
      <c r="G21" s="71">
        <f t="shared" si="15"/>
        <v>288.5625</v>
      </c>
      <c r="H21" s="71">
        <f t="shared" si="15"/>
        <v>432.84375</v>
      </c>
      <c r="I21" s="71">
        <f>H21*1.25</f>
        <v>541.0546875</v>
      </c>
      <c r="J21" s="71">
        <f t="shared" ref="J21:M21" si="16">I21*1.25</f>
        <v>676.318359375</v>
      </c>
      <c r="K21" s="71">
        <f t="shared" si="16"/>
        <v>845.39794921875</v>
      </c>
      <c r="L21" s="71">
        <f t="shared" si="16"/>
        <v>1056.7474365234375</v>
      </c>
      <c r="M21" s="71">
        <f t="shared" si="16"/>
        <v>1320.9342956542969</v>
      </c>
      <c r="N21" s="71">
        <f t="shared" ref="J21:R21" si="17">M21*1.02</f>
        <v>1347.3529815673828</v>
      </c>
      <c r="O21" s="71">
        <f t="shared" si="17"/>
        <v>1374.3000411987305</v>
      </c>
      <c r="P21" s="71">
        <f t="shared" si="17"/>
        <v>1401.786042022705</v>
      </c>
      <c r="Q21" s="71">
        <f t="shared" si="17"/>
        <v>1429.8217628631592</v>
      </c>
      <c r="R21" s="71">
        <f t="shared" si="17"/>
        <v>1458.4181981204224</v>
      </c>
    </row>
    <row r="22" spans="1:241" s="68" customFormat="1" x14ac:dyDescent="0.15">
      <c r="A22" s="1" t="s">
        <v>5</v>
      </c>
      <c r="B22" s="69">
        <f>SUM(Reports!B15:E15)</f>
        <v>288</v>
      </c>
      <c r="C22" s="69">
        <f>SUM(Reports!F15:I15)</f>
        <v>404</v>
      </c>
      <c r="D22" s="71">
        <f>C22*1.2</f>
        <v>484.79999999999995</v>
      </c>
      <c r="E22" s="71">
        <f t="shared" ref="E22:H22" si="18">D22*1.2</f>
        <v>581.75999999999988</v>
      </c>
      <c r="F22" s="71">
        <f t="shared" si="18"/>
        <v>698.11199999999985</v>
      </c>
      <c r="G22" s="71">
        <f t="shared" si="18"/>
        <v>837.73439999999982</v>
      </c>
      <c r="H22" s="71">
        <f t="shared" si="18"/>
        <v>1005.2812799999997</v>
      </c>
      <c r="I22" s="71">
        <f>H22*1.1</f>
        <v>1105.8094079999998</v>
      </c>
      <c r="J22" s="71">
        <f t="shared" ref="J22:M22" si="19">I22*1.1</f>
        <v>1216.3903487999999</v>
      </c>
      <c r="K22" s="71">
        <f t="shared" si="19"/>
        <v>1338.0293836799999</v>
      </c>
      <c r="L22" s="71">
        <f t="shared" si="19"/>
        <v>1471.8323220479999</v>
      </c>
      <c r="M22" s="71">
        <f t="shared" si="19"/>
        <v>1619.0155542528</v>
      </c>
      <c r="N22" s="71">
        <f t="shared" ref="J22:R22" si="20">M22*0.98</f>
        <v>1586.635243167744</v>
      </c>
      <c r="O22" s="71">
        <f t="shared" si="20"/>
        <v>1554.9025383043891</v>
      </c>
      <c r="P22" s="71">
        <f t="shared" si="20"/>
        <v>1523.8044875383011</v>
      </c>
      <c r="Q22" s="71">
        <f t="shared" si="20"/>
        <v>1493.3283977875351</v>
      </c>
      <c r="R22" s="71">
        <f t="shared" si="20"/>
        <v>1463.4618298317844</v>
      </c>
    </row>
    <row r="23" spans="1:241" s="68" customFormat="1" x14ac:dyDescent="0.15">
      <c r="A23" s="1" t="s">
        <v>6</v>
      </c>
      <c r="B23" s="72">
        <f>SUM(B20:B22)</f>
        <v>498</v>
      </c>
      <c r="C23" s="72">
        <f>SUM(C20:C22)</f>
        <v>732</v>
      </c>
      <c r="D23" s="71">
        <f>SUM(D20:D22)</f>
        <v>949.69999999999993</v>
      </c>
      <c r="E23" s="71">
        <f t="shared" ref="E23:M23" si="21">SUM(E20:E22)</f>
        <v>1241.1699999999998</v>
      </c>
      <c r="F23" s="71">
        <f t="shared" si="21"/>
        <v>1634.1109999999999</v>
      </c>
      <c r="G23" s="71">
        <f>SUM(G20:G22)</f>
        <v>2167.3704999999995</v>
      </c>
      <c r="H23" s="71">
        <f>SUM(H20:H22)</f>
        <v>2895.6280699999993</v>
      </c>
      <c r="I23" s="71">
        <f t="shared" si="21"/>
        <v>3395.8677434999991</v>
      </c>
      <c r="J23" s="71">
        <f t="shared" si="21"/>
        <v>3991.5130857749991</v>
      </c>
      <c r="K23" s="71">
        <f t="shared" si="21"/>
        <v>4701.9925860187486</v>
      </c>
      <c r="L23" s="71">
        <f t="shared" si="21"/>
        <v>5550.8580623154357</v>
      </c>
      <c r="M23" s="71">
        <f t="shared" si="21"/>
        <v>6566.6838143998948</v>
      </c>
      <c r="N23" s="71">
        <f t="shared" ref="N23:P23" si="22">SUM(N20:N22)</f>
        <v>6923.3955856772054</v>
      </c>
      <c r="O23" s="71">
        <f t="shared" si="22"/>
        <v>7317.5506765394057</v>
      </c>
      <c r="P23" s="71">
        <f t="shared" si="22"/>
        <v>7752.7734363009213</v>
      </c>
      <c r="Q23" s="71">
        <f t="shared" ref="Q23:R23" si="23">SUM(Q20:Q22)</f>
        <v>8233.0513580646002</v>
      </c>
      <c r="R23" s="71">
        <f t="shared" si="23"/>
        <v>8762.7713451075033</v>
      </c>
    </row>
    <row r="24" spans="1:241" s="68" customFormat="1" x14ac:dyDescent="0.15">
      <c r="A24" s="1" t="s">
        <v>7</v>
      </c>
      <c r="B24" s="72">
        <f>B19-B23</f>
        <v>2.359218750000025</v>
      </c>
      <c r="C24" s="72">
        <f>C19-C23</f>
        <v>482.67586046511633</v>
      </c>
      <c r="D24" s="71">
        <f t="shared" ref="D24" si="24">D19-D23</f>
        <v>843.15268702472792</v>
      </c>
      <c r="E24" s="71">
        <f t="shared" ref="E24:M24" si="25">E19-E23</f>
        <v>1336.0557375980463</v>
      </c>
      <c r="F24" s="71">
        <f t="shared" si="25"/>
        <v>2070.6509977971909</v>
      </c>
      <c r="G24" s="71">
        <f>G19-G23</f>
        <v>3158.2248718334627</v>
      </c>
      <c r="H24" s="71">
        <f>H19-H23</f>
        <v>4759.9152770106011</v>
      </c>
      <c r="I24" s="71">
        <f t="shared" si="25"/>
        <v>5790.7842729127224</v>
      </c>
      <c r="J24" s="71">
        <f t="shared" si="25"/>
        <v>7032.4693339202659</v>
      </c>
      <c r="K24" s="71">
        <f t="shared" si="25"/>
        <v>8526.7863176155697</v>
      </c>
      <c r="L24" s="71">
        <f t="shared" si="25"/>
        <v>10323.676622045745</v>
      </c>
      <c r="M24" s="71">
        <f t="shared" si="25"/>
        <v>12482.757806833521</v>
      </c>
      <c r="N24" s="71">
        <f t="shared" ref="N24:P24" si="26">N19-N23</f>
        <v>14030.990197679552</v>
      </c>
      <c r="O24" s="71">
        <f t="shared" si="26"/>
        <v>15732.273685153028</v>
      </c>
      <c r="P24" s="71">
        <f t="shared" si="26"/>
        <v>17602.03336156076</v>
      </c>
      <c r="Q24" s="71">
        <f t="shared" ref="Q24:R24" si="27">Q19-Q23</f>
        <v>19657.236119583249</v>
      </c>
      <c r="R24" s="71">
        <f t="shared" si="27"/>
        <v>21916.544880305133</v>
      </c>
    </row>
    <row r="25" spans="1:241" s="68" customFormat="1" x14ac:dyDescent="0.15">
      <c r="A25" s="1" t="s">
        <v>8</v>
      </c>
      <c r="B25" s="69">
        <f>SUM(Reports!B18:E18)</f>
        <v>-2</v>
      </c>
      <c r="C25" s="69">
        <f>SUM(Reports!F18:I18)</f>
        <v>0</v>
      </c>
      <c r="D25" s="71">
        <f>C42*$F$3</f>
        <v>23.12</v>
      </c>
      <c r="E25" s="71">
        <f>D42*$F$3</f>
        <v>36.980362992395648</v>
      </c>
      <c r="F25" s="71">
        <f>E42*$F$3</f>
        <v>58.948940601842715</v>
      </c>
      <c r="G25" s="71">
        <f>F42*$F$3</f>
        <v>93.022539616227263</v>
      </c>
      <c r="H25" s="71">
        <f>G42*$F$3</f>
        <v>145.04249819942231</v>
      </c>
      <c r="I25" s="71">
        <f>H42*$F$3</f>
        <v>223.52182260278266</v>
      </c>
      <c r="J25" s="71">
        <f>I42*$F$3</f>
        <v>319.75072013103079</v>
      </c>
      <c r="K25" s="71">
        <f>J42*$F$3</f>
        <v>437.38624099585155</v>
      </c>
      <c r="L25" s="71">
        <f>K42*$F$3</f>
        <v>580.81300193363427</v>
      </c>
      <c r="M25" s="71">
        <f>L42*$F$3</f>
        <v>755.28483591730446</v>
      </c>
      <c r="N25" s="71">
        <f>M42*$F$3</f>
        <v>967.09351820131769</v>
      </c>
      <c r="O25" s="71">
        <f>N42*$F$3</f>
        <v>1207.0628576554116</v>
      </c>
      <c r="P25" s="71">
        <f>O42*$F$3</f>
        <v>1478.0922423403465</v>
      </c>
      <c r="Q25" s="71">
        <f>P42*$F$3</f>
        <v>1783.3742520027643</v>
      </c>
      <c r="R25" s="71">
        <f>Q42*$F$3</f>
        <v>2126.4240179481403</v>
      </c>
    </row>
    <row r="26" spans="1:241" s="68" customFormat="1" x14ac:dyDescent="0.15">
      <c r="A26" s="1" t="s">
        <v>9</v>
      </c>
      <c r="B26" s="72">
        <f>B24+B25</f>
        <v>0.35921875000002501</v>
      </c>
      <c r="C26" s="72">
        <f>C24+C25</f>
        <v>482.67586046511633</v>
      </c>
      <c r="D26" s="71">
        <f t="shared" ref="D26" si="28">D24+D25</f>
        <v>866.27268702472793</v>
      </c>
      <c r="E26" s="71">
        <f t="shared" ref="E26:M26" si="29">E24+E25</f>
        <v>1373.0361005904419</v>
      </c>
      <c r="F26" s="71">
        <f t="shared" si="29"/>
        <v>2129.5999383990338</v>
      </c>
      <c r="G26" s="71">
        <f t="shared" si="29"/>
        <v>3251.2474114496899</v>
      </c>
      <c r="H26" s="71">
        <f t="shared" ref="H26" si="30">H24+H25</f>
        <v>4904.9577752100231</v>
      </c>
      <c r="I26" s="71">
        <f t="shared" si="29"/>
        <v>6014.3060955155051</v>
      </c>
      <c r="J26" s="71">
        <f t="shared" si="29"/>
        <v>7352.2200540512968</v>
      </c>
      <c r="K26" s="71">
        <f t="shared" si="29"/>
        <v>8964.1725586114208</v>
      </c>
      <c r="L26" s="71">
        <f t="shared" si="29"/>
        <v>10904.48962397938</v>
      </c>
      <c r="M26" s="71">
        <f t="shared" si="29"/>
        <v>13238.042642750825</v>
      </c>
      <c r="N26" s="71">
        <f t="shared" ref="N26:P26" si="31">N24+N25</f>
        <v>14998.08371588087</v>
      </c>
      <c r="O26" s="71">
        <f t="shared" si="31"/>
        <v>16939.33654280844</v>
      </c>
      <c r="P26" s="71">
        <f t="shared" si="31"/>
        <v>19080.125603901106</v>
      </c>
      <c r="Q26" s="71">
        <f t="shared" ref="Q26:R26" si="32">Q24+Q25</f>
        <v>21440.610371586012</v>
      </c>
      <c r="R26" s="71">
        <f t="shared" si="32"/>
        <v>24042.968898253275</v>
      </c>
    </row>
    <row r="27" spans="1:241" s="68" customFormat="1" x14ac:dyDescent="0.15">
      <c r="A27" s="1" t="s">
        <v>10</v>
      </c>
      <c r="B27" s="69">
        <f>SUM(Reports!B20:E20)</f>
        <v>-15</v>
      </c>
      <c r="C27" s="69">
        <f>SUM(Reports!F20:I20)</f>
        <v>87</v>
      </c>
      <c r="D27" s="71">
        <f>D26*0.2</f>
        <v>173.25453740494561</v>
      </c>
      <c r="E27" s="71">
        <f t="shared" ref="E27:R27" si="33">E26*0.2</f>
        <v>274.60722011808838</v>
      </c>
      <c r="F27" s="71">
        <f t="shared" si="33"/>
        <v>425.91998767980681</v>
      </c>
      <c r="G27" s="71">
        <f t="shared" si="33"/>
        <v>650.24948228993799</v>
      </c>
      <c r="H27" s="71">
        <f t="shared" si="33"/>
        <v>980.99155504200462</v>
      </c>
      <c r="I27" s="71">
        <f t="shared" si="33"/>
        <v>1202.8612191031011</v>
      </c>
      <c r="J27" s="71">
        <f t="shared" si="33"/>
        <v>1470.4440108102594</v>
      </c>
      <c r="K27" s="71">
        <f t="shared" si="33"/>
        <v>1792.8345117222843</v>
      </c>
      <c r="L27" s="71">
        <f t="shared" si="33"/>
        <v>2180.897924795876</v>
      </c>
      <c r="M27" s="71">
        <f t="shared" si="33"/>
        <v>2647.6085285501649</v>
      </c>
      <c r="N27" s="71">
        <f t="shared" si="33"/>
        <v>2999.6167431761742</v>
      </c>
      <c r="O27" s="71">
        <f t="shared" si="33"/>
        <v>3387.8673085616883</v>
      </c>
      <c r="P27" s="71">
        <f t="shared" si="33"/>
        <v>3816.0251207802212</v>
      </c>
      <c r="Q27" s="71">
        <f t="shared" si="33"/>
        <v>4288.1220743172025</v>
      </c>
      <c r="R27" s="71">
        <f t="shared" si="33"/>
        <v>4808.5937796506551</v>
      </c>
    </row>
    <row r="28" spans="1:241" s="73" customFormat="1" x14ac:dyDescent="0.15">
      <c r="A28" s="14" t="s">
        <v>11</v>
      </c>
      <c r="B28" s="58">
        <f t="shared" ref="B28:D28" si="34">B26-B27</f>
        <v>15.359218750000025</v>
      </c>
      <c r="C28" s="58">
        <f t="shared" ref="C28" si="35">C26-C27</f>
        <v>395.67586046511633</v>
      </c>
      <c r="D28" s="58">
        <f t="shared" si="34"/>
        <v>693.01814961978232</v>
      </c>
      <c r="E28" s="58">
        <f t="shared" ref="E28" si="36">E26-E27</f>
        <v>1098.4288804723535</v>
      </c>
      <c r="F28" s="58">
        <f t="shared" ref="F28" si="37">F26-F27</f>
        <v>1703.679950719227</v>
      </c>
      <c r="G28" s="58">
        <f t="shared" ref="G28:H28" si="38">G26-G27</f>
        <v>2600.9979291597519</v>
      </c>
      <c r="H28" s="58">
        <f t="shared" si="38"/>
        <v>3923.9662201680185</v>
      </c>
      <c r="I28" s="58">
        <f t="shared" ref="I28" si="39">I26-I27</f>
        <v>4811.4448764124045</v>
      </c>
      <c r="J28" s="58">
        <f t="shared" ref="J28" si="40">J26-J27</f>
        <v>5881.7760432410378</v>
      </c>
      <c r="K28" s="58">
        <f t="shared" ref="K28" si="41">K26-K27</f>
        <v>7171.3380468891364</v>
      </c>
      <c r="L28" s="58">
        <f t="shared" ref="L28" si="42">L26-L27</f>
        <v>8723.5916991835038</v>
      </c>
      <c r="M28" s="58">
        <f t="shared" ref="M28:N28" si="43">M26-M27</f>
        <v>10590.43411420066</v>
      </c>
      <c r="N28" s="58">
        <f t="shared" si="43"/>
        <v>11998.466972704697</v>
      </c>
      <c r="O28" s="58">
        <f t="shared" ref="O28:P28" si="44">O26-O27</f>
        <v>13551.469234246752</v>
      </c>
      <c r="P28" s="58">
        <f t="shared" si="44"/>
        <v>15264.100483120885</v>
      </c>
      <c r="Q28" s="58">
        <f t="shared" ref="Q28:R28" si="45">Q26-Q27</f>
        <v>17152.48829726881</v>
      </c>
      <c r="R28" s="58">
        <f t="shared" si="45"/>
        <v>19234.37511860262</v>
      </c>
      <c r="S28" s="58">
        <f>R28*($F$2+1)</f>
        <v>19330.546994195633</v>
      </c>
      <c r="T28" s="58">
        <f>S28*($F$2+1)</f>
        <v>19427.199729166608</v>
      </c>
      <c r="U28" s="58">
        <f>T28*($F$2+1)</f>
        <v>19524.335727812439</v>
      </c>
      <c r="V28" s="58">
        <f>U28*($F$2+1)</f>
        <v>19621.9574064515</v>
      </c>
      <c r="W28" s="58">
        <f>V28*($F$2+1)</f>
        <v>19720.067193483756</v>
      </c>
      <c r="X28" s="58">
        <f>W28*($F$2+1)</f>
        <v>19818.667529451173</v>
      </c>
      <c r="Y28" s="58">
        <f>X28*($F$2+1)</f>
        <v>19917.760867098426</v>
      </c>
      <c r="Z28" s="58">
        <f>Y28*($F$2+1)</f>
        <v>20017.349671433916</v>
      </c>
      <c r="AA28" s="58">
        <f>Z28*($F$2+1)</f>
        <v>20117.436419791084</v>
      </c>
      <c r="AB28" s="58">
        <f>AA28*($F$2+1)</f>
        <v>20218.023601890036</v>
      </c>
      <c r="AC28" s="58">
        <f>AB28*($F$2+1)</f>
        <v>20319.113719899484</v>
      </c>
      <c r="AD28" s="58">
        <f>AC28*($F$2+1)</f>
        <v>20420.70928849898</v>
      </c>
      <c r="AE28" s="58">
        <f>AD28*($F$2+1)</f>
        <v>20522.812834941473</v>
      </c>
      <c r="AF28" s="58">
        <f>AE28*($F$2+1)</f>
        <v>20625.426899116177</v>
      </c>
      <c r="AG28" s="58">
        <f>AF28*($F$2+1)</f>
        <v>20728.554033611756</v>
      </c>
      <c r="AH28" s="58">
        <f>AG28*($F$2+1)</f>
        <v>20832.196803779811</v>
      </c>
      <c r="AI28" s="58">
        <f>AH28*($F$2+1)</f>
        <v>20936.357787798708</v>
      </c>
      <c r="AJ28" s="58">
        <f>AI28*($F$2+1)</f>
        <v>21041.039576737701</v>
      </c>
      <c r="AK28" s="58">
        <f>AJ28*($F$2+1)</f>
        <v>21146.244774621387</v>
      </c>
      <c r="AL28" s="58">
        <f>AK28*($F$2+1)</f>
        <v>21251.975998494494</v>
      </c>
      <c r="AM28" s="58">
        <f>AL28*($F$2+1)</f>
        <v>21358.235878486965</v>
      </c>
      <c r="AN28" s="58">
        <f>AM28*($F$2+1)</f>
        <v>21465.027057879397</v>
      </c>
      <c r="AO28" s="58">
        <f>AN28*($F$2+1)</f>
        <v>21572.35219316879</v>
      </c>
      <c r="AP28" s="58">
        <f>AO28*($F$2+1)</f>
        <v>21680.213954134633</v>
      </c>
      <c r="AQ28" s="58">
        <f>AP28*($F$2+1)</f>
        <v>21788.615023905306</v>
      </c>
      <c r="AR28" s="58">
        <f>AQ28*($F$2+1)</f>
        <v>21897.558099024831</v>
      </c>
      <c r="AS28" s="58">
        <f>AR28*($F$2+1)</f>
        <v>22007.045889519952</v>
      </c>
      <c r="AT28" s="58">
        <f>AS28*($F$2+1)</f>
        <v>22117.081118967548</v>
      </c>
      <c r="AU28" s="58">
        <f>AT28*($F$2+1)</f>
        <v>22227.666524562384</v>
      </c>
      <c r="AV28" s="58">
        <f>AU28*($F$2+1)</f>
        <v>22338.804857185194</v>
      </c>
      <c r="AW28" s="58">
        <f>AV28*($F$2+1)</f>
        <v>22450.498881471118</v>
      </c>
      <c r="AX28" s="58">
        <f>AW28*($F$2+1)</f>
        <v>22562.75137587847</v>
      </c>
      <c r="AY28" s="58">
        <f>AX28*($F$2+1)</f>
        <v>22675.56513275786</v>
      </c>
      <c r="AZ28" s="58">
        <f>AY28*($F$2+1)</f>
        <v>22788.942958421645</v>
      </c>
      <c r="BA28" s="58">
        <f>AZ28*($F$2+1)</f>
        <v>22902.887673213751</v>
      </c>
      <c r="BB28" s="58">
        <f>BA28*($F$2+1)</f>
        <v>23017.402111579817</v>
      </c>
      <c r="BC28" s="58">
        <f>BB28*($F$2+1)</f>
        <v>23132.489122137715</v>
      </c>
      <c r="BD28" s="58">
        <f>BC28*($F$2+1)</f>
        <v>23248.151567748402</v>
      </c>
      <c r="BE28" s="58">
        <f>BD28*($F$2+1)</f>
        <v>23364.392325587141</v>
      </c>
      <c r="BF28" s="58">
        <f>BE28*($F$2+1)</f>
        <v>23481.214287215076</v>
      </c>
      <c r="BG28" s="58">
        <f>BF28*($F$2+1)</f>
        <v>23598.620358651147</v>
      </c>
      <c r="BH28" s="58">
        <f>BG28*($F$2+1)</f>
        <v>23716.613460444401</v>
      </c>
      <c r="BI28" s="58">
        <f>BH28*($F$2+1)</f>
        <v>23835.196527746622</v>
      </c>
      <c r="BJ28" s="58">
        <f>BI28*($F$2+1)</f>
        <v>23954.372510385354</v>
      </c>
      <c r="BK28" s="58">
        <f>BJ28*($F$2+1)</f>
        <v>24074.144372937277</v>
      </c>
      <c r="BL28" s="58">
        <f>BK28*($F$2+1)</f>
        <v>24194.515094801962</v>
      </c>
      <c r="BM28" s="58">
        <f>BL28*($F$2+1)</f>
        <v>24315.487670275968</v>
      </c>
      <c r="BN28" s="58">
        <f>BM28*($F$2+1)</f>
        <v>24437.065108627346</v>
      </c>
      <c r="BO28" s="58">
        <f>BN28*($F$2+1)</f>
        <v>24559.250434170481</v>
      </c>
      <c r="BP28" s="58">
        <f>BO28*($F$2+1)</f>
        <v>24682.046686341331</v>
      </c>
      <c r="BQ28" s="58">
        <f>BP28*($F$2+1)</f>
        <v>24805.456919773034</v>
      </c>
      <c r="BR28" s="58">
        <f>BQ28*($F$2+1)</f>
        <v>24929.484204371896</v>
      </c>
      <c r="BS28" s="58">
        <f>BR28*($F$2+1)</f>
        <v>25054.131625393755</v>
      </c>
      <c r="BT28" s="58">
        <f>BS28*($F$2+1)</f>
        <v>25179.402283520722</v>
      </c>
      <c r="BU28" s="58">
        <f>BT28*($F$2+1)</f>
        <v>25305.299294938322</v>
      </c>
      <c r="BV28" s="58">
        <f>BU28*($F$2+1)</f>
        <v>25431.825791413012</v>
      </c>
      <c r="BW28" s="58">
        <f>BV28*($F$2+1)</f>
        <v>25558.984920370072</v>
      </c>
      <c r="BX28" s="58">
        <f>BW28*($F$2+1)</f>
        <v>25686.779844971919</v>
      </c>
      <c r="BY28" s="58">
        <f>BX28*($F$2+1)</f>
        <v>25815.213744196775</v>
      </c>
      <c r="BZ28" s="58">
        <f>BY28*($F$2+1)</f>
        <v>25944.289812917756</v>
      </c>
      <c r="CA28" s="58">
        <f>BZ28*($F$2+1)</f>
        <v>26074.011261982341</v>
      </c>
      <c r="CB28" s="58">
        <f>CA28*($F$2+1)</f>
        <v>26204.381318292249</v>
      </c>
      <c r="CC28" s="58">
        <f>CB28*($F$2+1)</f>
        <v>26335.403224883707</v>
      </c>
      <c r="CD28" s="58">
        <f>CC28*($F$2+1)</f>
        <v>26467.080241008123</v>
      </c>
      <c r="CE28" s="58">
        <f>CD28*($F$2+1)</f>
        <v>26599.41564221316</v>
      </c>
      <c r="CF28" s="58">
        <f>CE28*($F$2+1)</f>
        <v>26732.412720424221</v>
      </c>
      <c r="CG28" s="58">
        <f>CF28*($F$2+1)</f>
        <v>26866.074784026339</v>
      </c>
      <c r="CH28" s="58">
        <f>CG28*($F$2+1)</f>
        <v>27000.405157946469</v>
      </c>
      <c r="CI28" s="58">
        <f>CH28*($F$2+1)</f>
        <v>27135.407183736199</v>
      </c>
      <c r="CJ28" s="58">
        <f>CI28*($F$2+1)</f>
        <v>27271.084219654877</v>
      </c>
      <c r="CK28" s="58">
        <f>CJ28*($F$2+1)</f>
        <v>27407.439640753149</v>
      </c>
      <c r="CL28" s="58">
        <f>CK28*($F$2+1)</f>
        <v>27544.476838956911</v>
      </c>
      <c r="CM28" s="58">
        <f>CL28*($F$2+1)</f>
        <v>27682.199223151692</v>
      </c>
      <c r="CN28" s="58">
        <f>CM28*($F$2+1)</f>
        <v>27820.610219267448</v>
      </c>
      <c r="CO28" s="58">
        <f>CN28*($F$2+1)</f>
        <v>27959.713270363784</v>
      </c>
      <c r="CP28" s="58">
        <f>CO28*($F$2+1)</f>
        <v>28099.511836715599</v>
      </c>
      <c r="CQ28" s="58">
        <f>CP28*($F$2+1)</f>
        <v>28240.009395899175</v>
      </c>
      <c r="CR28" s="58">
        <f>CQ28*($F$2+1)</f>
        <v>28381.209442878666</v>
      </c>
      <c r="CS28" s="58">
        <f>CR28*($F$2+1)</f>
        <v>28523.115490093056</v>
      </c>
      <c r="CT28" s="58">
        <f>CS28*($F$2+1)</f>
        <v>28665.731067543518</v>
      </c>
      <c r="CU28" s="58">
        <f>CT28*($F$2+1)</f>
        <v>28809.059722881233</v>
      </c>
      <c r="CV28" s="58">
        <f>CU28*($F$2+1)</f>
        <v>28953.105021495638</v>
      </c>
      <c r="CW28" s="58">
        <f>CV28*($F$2+1)</f>
        <v>29097.870546603113</v>
      </c>
      <c r="CX28" s="58">
        <f>CW28*($F$2+1)</f>
        <v>29243.359899336127</v>
      </c>
      <c r="CY28" s="58">
        <f>CX28*($F$2+1)</f>
        <v>29389.576698832803</v>
      </c>
      <c r="CZ28" s="58">
        <f>CY28*($F$2+1)</f>
        <v>29536.524582326965</v>
      </c>
      <c r="DA28" s="58">
        <f>CZ28*($F$2+1)</f>
        <v>29684.207205238596</v>
      </c>
      <c r="DB28" s="58">
        <f>DA28*($F$2+1)</f>
        <v>29832.628241264785</v>
      </c>
      <c r="DC28" s="58">
        <f>DB28*($F$2+1)</f>
        <v>29981.791382471107</v>
      </c>
      <c r="DD28" s="58">
        <f>DC28*($F$2+1)</f>
        <v>30131.70033938346</v>
      </c>
      <c r="DE28" s="58">
        <f>DD28*($F$2+1)</f>
        <v>30282.358841080375</v>
      </c>
      <c r="DF28" s="58">
        <f>DE28*($F$2+1)</f>
        <v>30433.770635285775</v>
      </c>
      <c r="DG28" s="58">
        <f>DF28*($F$2+1)</f>
        <v>30585.939488462202</v>
      </c>
      <c r="DH28" s="58">
        <f>DG28*($F$2+1)</f>
        <v>30738.86918590451</v>
      </c>
      <c r="DI28" s="58">
        <f>DH28*($F$2+1)</f>
        <v>30892.563531834028</v>
      </c>
      <c r="DJ28" s="58">
        <f>DI28*($F$2+1)</f>
        <v>31047.026349493197</v>
      </c>
      <c r="DK28" s="58">
        <f>DJ28*($F$2+1)</f>
        <v>31202.261481240661</v>
      </c>
      <c r="DL28" s="58">
        <f>DK28*($F$2+1)</f>
        <v>31358.27278864686</v>
      </c>
      <c r="DM28" s="58">
        <f>DL28*($F$2+1)</f>
        <v>31515.06415259009</v>
      </c>
      <c r="DN28" s="58">
        <f>DM28*($F$2+1)</f>
        <v>31672.639473353036</v>
      </c>
      <c r="DO28" s="58">
        <f>DN28*($F$2+1)</f>
        <v>31831.002670719798</v>
      </c>
      <c r="DP28" s="58">
        <f>DO28*($F$2+1)</f>
        <v>31990.157684073394</v>
      </c>
      <c r="DQ28" s="58">
        <f>DP28*($F$2+1)</f>
        <v>32150.108472493757</v>
      </c>
      <c r="DR28" s="58">
        <f>DQ28*($F$2+1)</f>
        <v>32310.859014856222</v>
      </c>
      <c r="DS28" s="58">
        <f>DR28*($F$2+1)</f>
        <v>32472.4133099305</v>
      </c>
      <c r="DT28" s="58">
        <f>DS28*($F$2+1)</f>
        <v>32634.775376480149</v>
      </c>
      <c r="DU28" s="58">
        <f>DT28*($F$2+1)</f>
        <v>32797.949253362545</v>
      </c>
      <c r="DV28" s="58">
        <f>DU28*($F$2+1)</f>
        <v>32961.938999629354</v>
      </c>
      <c r="DW28" s="58">
        <f>DV28*($F$2+1)</f>
        <v>33126.748694627495</v>
      </c>
      <c r="DX28" s="58">
        <f>DW28*($F$2+1)</f>
        <v>33292.382438100627</v>
      </c>
      <c r="DY28" s="58">
        <f>DX28*($F$2+1)</f>
        <v>33458.844350291125</v>
      </c>
      <c r="DZ28" s="58">
        <f>DY28*($F$2+1)</f>
        <v>33626.138572042575</v>
      </c>
      <c r="EA28" s="58">
        <f>DZ28*($F$2+1)</f>
        <v>33794.269264902781</v>
      </c>
      <c r="EB28" s="58">
        <f>EA28*($F$2+1)</f>
        <v>33963.240611227295</v>
      </c>
      <c r="EC28" s="58">
        <f>EB28*($F$2+1)</f>
        <v>34133.056814283431</v>
      </c>
      <c r="ED28" s="58">
        <f>EC28*($F$2+1)</f>
        <v>34303.722098354847</v>
      </c>
      <c r="EE28" s="58">
        <f>ED28*($F$2+1)</f>
        <v>34475.240708846621</v>
      </c>
      <c r="EF28" s="58">
        <f>EE28*($F$2+1)</f>
        <v>34647.616912390848</v>
      </c>
      <c r="EG28" s="58">
        <f>EF28*($F$2+1)</f>
        <v>34820.854996952796</v>
      </c>
      <c r="EH28" s="58">
        <f>EG28*($F$2+1)</f>
        <v>34994.959271937558</v>
      </c>
      <c r="EI28" s="58">
        <f>EH28*($F$2+1)</f>
        <v>35169.93406829724</v>
      </c>
      <c r="EJ28" s="58">
        <f>EI28*($F$2+1)</f>
        <v>35345.783738638725</v>
      </c>
      <c r="EK28" s="58">
        <f>EJ28*($F$2+1)</f>
        <v>35522.512657331914</v>
      </c>
      <c r="EL28" s="58">
        <f>EK28*($F$2+1)</f>
        <v>35700.125220618567</v>
      </c>
      <c r="EM28" s="58">
        <f>EL28*($F$2+1)</f>
        <v>35878.625846721654</v>
      </c>
      <c r="EN28" s="58">
        <f>EM28*($F$2+1)</f>
        <v>36058.01897595526</v>
      </c>
      <c r="EO28" s="58">
        <f>EN28*($F$2+1)</f>
        <v>36238.309070835036</v>
      </c>
      <c r="EP28" s="58">
        <f>EO28*($F$2+1)</f>
        <v>36419.500616189209</v>
      </c>
      <c r="EQ28" s="58">
        <f>EP28*($F$2+1)</f>
        <v>36601.598119270151</v>
      </c>
      <c r="ER28" s="58">
        <f>EQ28*($F$2+1)</f>
        <v>36784.606109866501</v>
      </c>
      <c r="ES28" s="58">
        <f>ER28*($F$2+1)</f>
        <v>36968.529140415827</v>
      </c>
      <c r="ET28" s="58">
        <f>ES28*($F$2+1)</f>
        <v>37153.371786117903</v>
      </c>
      <c r="EU28" s="58">
        <f>ET28*($F$2+1)</f>
        <v>37339.138645048486</v>
      </c>
      <c r="EV28" s="58">
        <f>EU28*($F$2+1)</f>
        <v>37525.834338273722</v>
      </c>
      <c r="EW28" s="58">
        <f>EV28*($F$2+1)</f>
        <v>37713.463509965084</v>
      </c>
      <c r="EX28" s="58">
        <f>EW28*($F$2+1)</f>
        <v>37902.030827514907</v>
      </c>
      <c r="EY28" s="58">
        <f>EX28*($F$2+1)</f>
        <v>38091.540981652477</v>
      </c>
      <c r="EZ28" s="58">
        <f>EY28*($F$2+1)</f>
        <v>38281.998686560735</v>
      </c>
      <c r="FA28" s="58">
        <f>EZ28*($F$2+1)</f>
        <v>38473.408679993532</v>
      </c>
      <c r="FB28" s="58">
        <f>FA28*($F$2+1)</f>
        <v>38665.775723393497</v>
      </c>
      <c r="FC28" s="58">
        <f>FB28*($F$2+1)</f>
        <v>38859.104602010462</v>
      </c>
      <c r="FD28" s="58">
        <f>FC28*($F$2+1)</f>
        <v>39053.400125020511</v>
      </c>
      <c r="FE28" s="58">
        <f>FD28*($F$2+1)</f>
        <v>39248.66712564561</v>
      </c>
      <c r="FF28" s="58">
        <f>FE28*($F$2+1)</f>
        <v>39444.910461273837</v>
      </c>
      <c r="FG28" s="58">
        <f>FF28*($F$2+1)</f>
        <v>39642.135013580206</v>
      </c>
      <c r="FH28" s="58">
        <f>FG28*($F$2+1)</f>
        <v>39840.3456886481</v>
      </c>
      <c r="FI28" s="58">
        <f>FH28*($F$2+1)</f>
        <v>40039.547417091337</v>
      </c>
      <c r="FJ28" s="58">
        <f>FI28*($F$2+1)</f>
        <v>40239.745154176788</v>
      </c>
      <c r="FK28" s="58">
        <f>FJ28*($F$2+1)</f>
        <v>40440.94387994767</v>
      </c>
      <c r="FL28" s="58">
        <f>FK28*($F$2+1)</f>
        <v>40643.148599347405</v>
      </c>
      <c r="FM28" s="58">
        <f>FL28*($F$2+1)</f>
        <v>40846.364342344139</v>
      </c>
      <c r="FN28" s="58">
        <f>FM28*($F$2+1)</f>
        <v>41050.596164055853</v>
      </c>
      <c r="FO28" s="58">
        <f>FN28*($F$2+1)</f>
        <v>41255.849144876127</v>
      </c>
      <c r="FP28" s="58">
        <f>FO28*($F$2+1)</f>
        <v>41462.128390600505</v>
      </c>
      <c r="FQ28" s="58">
        <f>FP28*($F$2+1)</f>
        <v>41669.439032553506</v>
      </c>
      <c r="FR28" s="58">
        <f>FQ28*($F$2+1)</f>
        <v>41877.786227716271</v>
      </c>
      <c r="FS28" s="58">
        <f>FR28*($F$2+1)</f>
        <v>42087.17515885485</v>
      </c>
      <c r="FT28" s="58">
        <f>FS28*($F$2+1)</f>
        <v>42297.611034649119</v>
      </c>
      <c r="FU28" s="58">
        <f>FT28*($F$2+1)</f>
        <v>42509.099089822361</v>
      </c>
      <c r="FV28" s="58">
        <f>FU28*($F$2+1)</f>
        <v>42721.644585271468</v>
      </c>
      <c r="FW28" s="58">
        <f>FV28*($F$2+1)</f>
        <v>42935.252808197823</v>
      </c>
      <c r="FX28" s="58">
        <f>FW28*($F$2+1)</f>
        <v>43149.92907223881</v>
      </c>
      <c r="FY28" s="58">
        <f>FX28*($F$2+1)</f>
        <v>43365.6787176</v>
      </c>
      <c r="FZ28" s="58">
        <f>FY28*($F$2+1)</f>
        <v>43582.507111187995</v>
      </c>
      <c r="GA28" s="58">
        <f>FZ28*($F$2+1)</f>
        <v>43800.419646743932</v>
      </c>
      <c r="GB28" s="58">
        <f>GA28*($F$2+1)</f>
        <v>44019.421744977648</v>
      </c>
      <c r="GC28" s="58">
        <f>GB28*($F$2+1)</f>
        <v>44239.518853702531</v>
      </c>
      <c r="GD28" s="58">
        <f>GC28*($F$2+1)</f>
        <v>44460.716447971041</v>
      </c>
      <c r="GE28" s="58">
        <f>GD28*($F$2+1)</f>
        <v>44683.020030210893</v>
      </c>
      <c r="GF28" s="58">
        <f>GE28*($F$2+1)</f>
        <v>44906.435130361941</v>
      </c>
      <c r="GG28" s="58">
        <f>GF28*($F$2+1)</f>
        <v>45130.967306013743</v>
      </c>
      <c r="GH28" s="58">
        <f>GG28*($F$2+1)</f>
        <v>45356.622142543805</v>
      </c>
      <c r="GI28" s="58">
        <f>GH28*($F$2+1)</f>
        <v>45583.405253256518</v>
      </c>
      <c r="GJ28" s="58">
        <f>GI28*($F$2+1)</f>
        <v>45811.322279522799</v>
      </c>
      <c r="GK28" s="58">
        <f>GJ28*($F$2+1)</f>
        <v>46040.378890920409</v>
      </c>
      <c r="GL28" s="58">
        <f>GK28*($F$2+1)</f>
        <v>46270.580785375008</v>
      </c>
      <c r="GM28" s="58">
        <f>GL28*($F$2+1)</f>
        <v>46501.933689301877</v>
      </c>
      <c r="GN28" s="58">
        <f>GM28*($F$2+1)</f>
        <v>46734.44335774838</v>
      </c>
      <c r="GO28" s="58">
        <f>GN28*($F$2+1)</f>
        <v>46968.115574537114</v>
      </c>
      <c r="GP28" s="58">
        <f>GO28*($F$2+1)</f>
        <v>47202.956152409795</v>
      </c>
      <c r="GQ28" s="58">
        <f>GP28*($F$2+1)</f>
        <v>47438.97093317184</v>
      </c>
      <c r="GR28" s="58">
        <f>GQ28*($F$2+1)</f>
        <v>47676.165787837694</v>
      </c>
      <c r="GS28" s="58">
        <f>GR28*($F$2+1)</f>
        <v>47914.546616776875</v>
      </c>
      <c r="GT28" s="58">
        <f>GS28*($F$2+1)</f>
        <v>48154.119349860754</v>
      </c>
      <c r="GU28" s="58">
        <f>GT28*($F$2+1)</f>
        <v>48394.889946610056</v>
      </c>
      <c r="GV28" s="58">
        <f>GU28*($F$2+1)</f>
        <v>48636.864396343102</v>
      </c>
      <c r="GW28" s="58">
        <f>GV28*($F$2+1)</f>
        <v>48880.048718324811</v>
      </c>
      <c r="GX28" s="58">
        <f>GW28*($F$2+1)</f>
        <v>49124.448961916431</v>
      </c>
      <c r="GY28" s="58">
        <f>GX28*($F$2+1)</f>
        <v>49370.07120672601</v>
      </c>
      <c r="GZ28" s="58">
        <f>GY28*($F$2+1)</f>
        <v>49616.921562759635</v>
      </c>
      <c r="HA28" s="58">
        <f>GZ28*($F$2+1)</f>
        <v>49865.006170573426</v>
      </c>
      <c r="HB28" s="58">
        <f>HA28*($F$2+1)</f>
        <v>50114.331201426285</v>
      </c>
      <c r="HC28" s="58">
        <f>HB28*($F$2+1)</f>
        <v>50364.902857433408</v>
      </c>
      <c r="HD28" s="58">
        <f>HC28*($F$2+1)</f>
        <v>50616.727371720568</v>
      </c>
      <c r="HE28" s="58">
        <f>HD28*($F$2+1)</f>
        <v>50869.811008579163</v>
      </c>
      <c r="HF28" s="58">
        <f>HE28*($F$2+1)</f>
        <v>51124.160063622054</v>
      </c>
      <c r="HG28" s="58">
        <f>HF28*($F$2+1)</f>
        <v>51379.780863940156</v>
      </c>
      <c r="HH28" s="58">
        <f>HG28*($F$2+1)</f>
        <v>51636.679768259848</v>
      </c>
      <c r="HI28" s="58">
        <f>HH28*($F$2+1)</f>
        <v>51894.863167101139</v>
      </c>
      <c r="HJ28" s="58">
        <f>HI28*($F$2+1)</f>
        <v>52154.337482936637</v>
      </c>
      <c r="HK28" s="58">
        <f>HJ28*($F$2+1)</f>
        <v>52415.109170351316</v>
      </c>
      <c r="HL28" s="58">
        <f>HK28*($F$2+1)</f>
        <v>52677.184716203068</v>
      </c>
      <c r="HM28" s="58">
        <f>HL28*($F$2+1)</f>
        <v>52940.570639784077</v>
      </c>
      <c r="HN28" s="58">
        <f>HM28*($F$2+1)</f>
        <v>53205.273492982989</v>
      </c>
      <c r="HO28" s="58">
        <f>HN28*($F$2+1)</f>
        <v>53471.2998604479</v>
      </c>
      <c r="HP28" s="58">
        <f>HO28*($F$2+1)</f>
        <v>53738.656359750137</v>
      </c>
      <c r="HQ28" s="58">
        <f>HP28*($F$2+1)</f>
        <v>54007.349641548884</v>
      </c>
      <c r="HR28" s="58">
        <f>HQ28*($F$2+1)</f>
        <v>54277.386389756626</v>
      </c>
      <c r="HS28" s="58">
        <f>HR28*($F$2+1)</f>
        <v>54548.773321705405</v>
      </c>
      <c r="HT28" s="58">
        <f>HS28*($F$2+1)</f>
        <v>54821.517188313926</v>
      </c>
      <c r="HU28" s="58">
        <f>HT28*($F$2+1)</f>
        <v>55095.624774255492</v>
      </c>
      <c r="HV28" s="58">
        <f>HU28*($F$2+1)</f>
        <v>55371.102898126766</v>
      </c>
      <c r="HW28" s="58">
        <f>HV28*($F$2+1)</f>
        <v>55647.958412617394</v>
      </c>
      <c r="HX28" s="58">
        <f>HW28*($F$2+1)</f>
        <v>55926.198204680477</v>
      </c>
      <c r="HY28" s="58">
        <f>HX28*($F$2+1)</f>
        <v>56205.829195703875</v>
      </c>
      <c r="HZ28" s="58">
        <f>HY28*($F$2+1)</f>
        <v>56486.858341682389</v>
      </c>
      <c r="IA28" s="58">
        <f>HZ28*($F$2+1)</f>
        <v>56769.292633390796</v>
      </c>
      <c r="IB28" s="58">
        <f>IA28*($F$2+1)</f>
        <v>57053.139096557745</v>
      </c>
      <c r="IC28" s="58">
        <f>IB28*($F$2+1)</f>
        <v>57338.404792040528</v>
      </c>
      <c r="ID28" s="58">
        <f>IC28*($F$2+1)</f>
        <v>57625.096816000725</v>
      </c>
      <c r="IE28" s="58">
        <f>ID28*($F$2+1)</f>
        <v>57913.222300080721</v>
      </c>
      <c r="IF28" s="58">
        <f>IE28*($F$2+1)</f>
        <v>58202.788411581118</v>
      </c>
      <c r="IG28" s="58">
        <f>IF28*($F$2+1)</f>
        <v>58493.802353639017</v>
      </c>
    </row>
    <row r="29" spans="1:241" s="68" customFormat="1" x14ac:dyDescent="0.15">
      <c r="A29" s="1" t="s">
        <v>12</v>
      </c>
      <c r="B29" s="74">
        <f>IFERROR(B28/B30,0)</f>
        <v>0</v>
      </c>
      <c r="C29" s="74">
        <f>IFERROR(C28/C30,0)</f>
        <v>0</v>
      </c>
      <c r="D29" s="75" t="e">
        <f t="shared" ref="D29" si="46">D28/D30</f>
        <v>#DIV/0!</v>
      </c>
      <c r="E29" s="75" t="e">
        <f t="shared" ref="E29:M29" si="47">E28/E30</f>
        <v>#DIV/0!</v>
      </c>
      <c r="F29" s="75" t="e">
        <f t="shared" si="47"/>
        <v>#DIV/0!</v>
      </c>
      <c r="G29" s="75" t="e">
        <f t="shared" si="47"/>
        <v>#DIV/0!</v>
      </c>
      <c r="H29" s="75" t="e">
        <f t="shared" ref="H29" si="48">H28/H30</f>
        <v>#DIV/0!</v>
      </c>
      <c r="I29" s="75" t="e">
        <f t="shared" si="47"/>
        <v>#DIV/0!</v>
      </c>
      <c r="J29" s="75" t="e">
        <f t="shared" si="47"/>
        <v>#DIV/0!</v>
      </c>
      <c r="K29" s="75" t="e">
        <f t="shared" si="47"/>
        <v>#DIV/0!</v>
      </c>
      <c r="L29" s="75" t="e">
        <f t="shared" si="47"/>
        <v>#DIV/0!</v>
      </c>
      <c r="M29" s="75" t="e">
        <f t="shared" si="47"/>
        <v>#DIV/0!</v>
      </c>
      <c r="N29" s="75" t="e">
        <f t="shared" ref="N29:P29" si="49">N28/N30</f>
        <v>#DIV/0!</v>
      </c>
      <c r="O29" s="75" t="e">
        <f t="shared" si="49"/>
        <v>#DIV/0!</v>
      </c>
      <c r="P29" s="75" t="e">
        <f t="shared" si="49"/>
        <v>#DIV/0!</v>
      </c>
      <c r="Q29" s="75" t="e">
        <f t="shared" ref="Q29:R29" si="50">Q28/Q30</f>
        <v>#DIV/0!</v>
      </c>
      <c r="R29" s="75" t="e">
        <f t="shared" si="50"/>
        <v>#DIV/0!</v>
      </c>
    </row>
    <row r="30" spans="1:241" s="68" customFormat="1" x14ac:dyDescent="0.15">
      <c r="A30" s="1" t="s">
        <v>13</v>
      </c>
      <c r="B30" s="71">
        <f>Reports!E23</f>
        <v>0</v>
      </c>
      <c r="C30" s="71">
        <f>Reports!I23</f>
        <v>0</v>
      </c>
      <c r="D30" s="71">
        <f t="shared" ref="D30" si="51">C30</f>
        <v>0</v>
      </c>
      <c r="E30" s="71">
        <f t="shared" ref="E30" si="52">D30</f>
        <v>0</v>
      </c>
      <c r="F30" s="71">
        <f t="shared" ref="F30" si="53">E30</f>
        <v>0</v>
      </c>
      <c r="G30" s="71">
        <f t="shared" ref="G30:H30" si="54">F30</f>
        <v>0</v>
      </c>
      <c r="H30" s="71">
        <f t="shared" si="54"/>
        <v>0</v>
      </c>
      <c r="I30" s="71">
        <f t="shared" ref="I30" si="55">H30</f>
        <v>0</v>
      </c>
      <c r="J30" s="71">
        <f t="shared" ref="J30" si="56">I30</f>
        <v>0</v>
      </c>
      <c r="K30" s="71">
        <f t="shared" ref="K30" si="57">J30</f>
        <v>0</v>
      </c>
      <c r="L30" s="71">
        <f t="shared" ref="L30" si="58">K30</f>
        <v>0</v>
      </c>
      <c r="M30" s="71">
        <f t="shared" ref="M30:R30" si="59">L30</f>
        <v>0</v>
      </c>
      <c r="N30" s="71">
        <f t="shared" si="59"/>
        <v>0</v>
      </c>
      <c r="O30" s="71">
        <f t="shared" si="59"/>
        <v>0</v>
      </c>
      <c r="P30" s="71">
        <f t="shared" si="59"/>
        <v>0</v>
      </c>
      <c r="Q30" s="71">
        <f t="shared" si="59"/>
        <v>0</v>
      </c>
      <c r="R30" s="71">
        <f t="shared" si="59"/>
        <v>0</v>
      </c>
    </row>
    <row r="31" spans="1:241" s="68" customFormat="1" x14ac:dyDescent="0.15">
      <c r="A31" s="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</row>
    <row r="32" spans="1:241" s="68" customFormat="1" x14ac:dyDescent="0.15">
      <c r="A32" s="1" t="s">
        <v>15</v>
      </c>
      <c r="B32" s="76">
        <f>IFERROR(B19/B17,0)</f>
        <v>0.85911229953123458</v>
      </c>
      <c r="C32" s="76">
        <f>IFERROR(C19/C17,0)</f>
        <v>0.89963337455865822</v>
      </c>
      <c r="D32" s="76">
        <f t="shared" ref="D32:M32" si="60">IFERROR(D19/D17,0)</f>
        <v>0.89963337455865822</v>
      </c>
      <c r="E32" s="76">
        <f t="shared" si="60"/>
        <v>0.89963337455865811</v>
      </c>
      <c r="F32" s="76">
        <f t="shared" si="60"/>
        <v>0.89963337455865811</v>
      </c>
      <c r="G32" s="76">
        <f t="shared" si="60"/>
        <v>0.89963337455865811</v>
      </c>
      <c r="H32" s="76">
        <f t="shared" ref="H32" si="61">IFERROR(H19/H17,0)</f>
        <v>0.89963337455865811</v>
      </c>
      <c r="I32" s="76">
        <f t="shared" si="60"/>
        <v>0.89963337455865822</v>
      </c>
      <c r="J32" s="76">
        <f t="shared" si="60"/>
        <v>0.89963337455865822</v>
      </c>
      <c r="K32" s="76">
        <f t="shared" si="60"/>
        <v>0.89963337455865822</v>
      </c>
      <c r="L32" s="76">
        <f t="shared" si="60"/>
        <v>0.89963337455865822</v>
      </c>
      <c r="M32" s="76">
        <f t="shared" si="60"/>
        <v>0.89963337455865811</v>
      </c>
      <c r="N32" s="76">
        <f t="shared" ref="N32:P32" si="62">IFERROR(N19/N17,0)</f>
        <v>0.89963337455865811</v>
      </c>
      <c r="O32" s="76">
        <f t="shared" si="62"/>
        <v>0.89963337455865811</v>
      </c>
      <c r="P32" s="76">
        <f t="shared" si="62"/>
        <v>0.89963337455865811</v>
      </c>
      <c r="Q32" s="76">
        <f t="shared" ref="Q32:R32" si="63">IFERROR(Q19/Q17,0)</f>
        <v>0.89963337455865811</v>
      </c>
      <c r="R32" s="76">
        <f t="shared" si="63"/>
        <v>0.89963337455865811</v>
      </c>
    </row>
    <row r="33" spans="1:18" s="68" customFormat="1" x14ac:dyDescent="0.15">
      <c r="A33" s="1" t="s">
        <v>16</v>
      </c>
      <c r="B33" s="77">
        <f t="shared" ref="B33:M33" si="64">IFERROR(B24/B17,0)</f>
        <v>4.0507574747461897E-3</v>
      </c>
      <c r="C33" s="77">
        <f>IFERROR(C24/C17,0)</f>
        <v>0.35748739832696058</v>
      </c>
      <c r="D33" s="77">
        <f t="shared" si="64"/>
        <v>0.4230845638271864</v>
      </c>
      <c r="E33" s="77">
        <f t="shared" si="64"/>
        <v>0.46637759132966167</v>
      </c>
      <c r="F33" s="77">
        <f t="shared" si="64"/>
        <v>0.50281954570608178</v>
      </c>
      <c r="G33" s="77">
        <f t="shared" si="64"/>
        <v>0.53350739226071886</v>
      </c>
      <c r="H33" s="77">
        <f t="shared" ref="H33" si="65">IFERROR(H24/H17,0)</f>
        <v>0.55935659288540207</v>
      </c>
      <c r="I33" s="77">
        <f t="shared" si="64"/>
        <v>0.56708176030553059</v>
      </c>
      <c r="J33" s="77">
        <f t="shared" si="64"/>
        <v>0.57389824089812502</v>
      </c>
      <c r="K33" s="77">
        <f t="shared" si="64"/>
        <v>0.57987072011231933</v>
      </c>
      <c r="L33" s="77">
        <f t="shared" si="64"/>
        <v>0.58505803300760428</v>
      </c>
      <c r="M33" s="77">
        <f t="shared" si="64"/>
        <v>0.58951363262231726</v>
      </c>
      <c r="N33" s="77">
        <f t="shared" ref="N33:P33" si="66">IFERROR(N24/N17,0)</f>
        <v>0.60239165158272789</v>
      </c>
      <c r="O33" s="77">
        <f t="shared" si="66"/>
        <v>0.61402977492429744</v>
      </c>
      <c r="P33" s="77">
        <f t="shared" si="66"/>
        <v>0.62455126550167506</v>
      </c>
      <c r="Q33" s="77">
        <f t="shared" ref="Q33:R33" si="67">IFERROR(Q24/Q17,0)</f>
        <v>0.63406681192977221</v>
      </c>
      <c r="R33" s="77">
        <f t="shared" si="67"/>
        <v>0.64267583685594332</v>
      </c>
    </row>
    <row r="34" spans="1:18" s="68" customFormat="1" x14ac:dyDescent="0.15">
      <c r="A34" s="1" t="s">
        <v>17</v>
      </c>
      <c r="B34" s="77">
        <f t="shared" ref="B34:M34" si="68">IFERROR(B27/B26,0)</f>
        <v>-41.757285776421625</v>
      </c>
      <c r="C34" s="77">
        <f t="shared" si="68"/>
        <v>0.18024518548776194</v>
      </c>
      <c r="D34" s="77">
        <f t="shared" si="68"/>
        <v>0.20000000000000004</v>
      </c>
      <c r="E34" s="77">
        <f t="shared" si="68"/>
        <v>0.19999999999999998</v>
      </c>
      <c r="F34" s="77">
        <f t="shared" si="68"/>
        <v>0.2</v>
      </c>
      <c r="G34" s="77">
        <f t="shared" si="68"/>
        <v>0.2</v>
      </c>
      <c r="H34" s="77">
        <f t="shared" ref="H34" si="69">IFERROR(H27/H26,0)</f>
        <v>0.2</v>
      </c>
      <c r="I34" s="77">
        <f t="shared" si="68"/>
        <v>0.2</v>
      </c>
      <c r="J34" s="77">
        <f t="shared" si="68"/>
        <v>0.2</v>
      </c>
      <c r="K34" s="77">
        <f t="shared" si="68"/>
        <v>0.2</v>
      </c>
      <c r="L34" s="77">
        <f t="shared" si="68"/>
        <v>0.2</v>
      </c>
      <c r="M34" s="77">
        <f t="shared" si="68"/>
        <v>0.2</v>
      </c>
      <c r="N34" s="77">
        <f t="shared" ref="N34:P34" si="70">IFERROR(N27/N26,0)</f>
        <v>0.2</v>
      </c>
      <c r="O34" s="77">
        <f t="shared" si="70"/>
        <v>0.2</v>
      </c>
      <c r="P34" s="77">
        <f t="shared" si="70"/>
        <v>0.2</v>
      </c>
      <c r="Q34" s="77">
        <f t="shared" ref="Q34:R34" si="71">IFERROR(Q27/Q26,0)</f>
        <v>0.2</v>
      </c>
      <c r="R34" s="77">
        <f t="shared" si="71"/>
        <v>0.2</v>
      </c>
    </row>
    <row r="35" spans="1:18" s="68" customFormat="1" x14ac:dyDescent="0.15">
      <c r="A35" s="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</row>
    <row r="36" spans="1:18" s="68" customFormat="1" x14ac:dyDescent="0.15">
      <c r="A36" s="14" t="s">
        <v>14</v>
      </c>
      <c r="B36" s="78"/>
      <c r="C36" s="78">
        <f>C17/B17-1</f>
        <v>1.318263903932404</v>
      </c>
      <c r="D36" s="78">
        <f>D17/C17-1</f>
        <v>0.47599268691996532</v>
      </c>
      <c r="E36" s="78">
        <f t="shared" ref="E36:R36" si="72">E17/D17-1</f>
        <v>0.4375</v>
      </c>
      <c r="F36" s="78">
        <f t="shared" si="72"/>
        <v>0.43749999999999978</v>
      </c>
      <c r="G36" s="78">
        <f t="shared" si="72"/>
        <v>0.43750000000000022</v>
      </c>
      <c r="H36" s="78">
        <f t="shared" si="72"/>
        <v>0.4375</v>
      </c>
      <c r="I36" s="78">
        <f t="shared" si="72"/>
        <v>0.19999999999999996</v>
      </c>
      <c r="J36" s="78">
        <f t="shared" si="72"/>
        <v>0.19999999999999996</v>
      </c>
      <c r="K36" s="78">
        <f t="shared" si="72"/>
        <v>0.19999999999999996</v>
      </c>
      <c r="L36" s="78">
        <f t="shared" si="72"/>
        <v>0.19999999999999996</v>
      </c>
      <c r="M36" s="78">
        <f t="shared" si="72"/>
        <v>0.19999999999999996</v>
      </c>
      <c r="N36" s="78">
        <f t="shared" si="72"/>
        <v>0.10000000000000009</v>
      </c>
      <c r="O36" s="78">
        <f t="shared" si="72"/>
        <v>0.10000000000000009</v>
      </c>
      <c r="P36" s="78">
        <f t="shared" si="72"/>
        <v>0.10000000000000009</v>
      </c>
      <c r="Q36" s="78">
        <f t="shared" si="72"/>
        <v>0.10000000000000009</v>
      </c>
      <c r="R36" s="78">
        <f t="shared" si="72"/>
        <v>0.10000000000000009</v>
      </c>
    </row>
    <row r="37" spans="1:18" s="68" customFormat="1" x14ac:dyDescent="0.15">
      <c r="A37" s="1" t="s">
        <v>26</v>
      </c>
      <c r="B37" s="77"/>
      <c r="C37" s="77">
        <f t="shared" ref="C37:R37" si="73">C20/B20-1</f>
        <v>0.46486486486486478</v>
      </c>
      <c r="D37" s="77">
        <f t="shared" si="73"/>
        <v>0.39999999999999991</v>
      </c>
      <c r="E37" s="77">
        <f t="shared" si="73"/>
        <v>0.39999999999999991</v>
      </c>
      <c r="F37" s="77">
        <f t="shared" si="73"/>
        <v>0.39999999999999991</v>
      </c>
      <c r="G37" s="77">
        <f t="shared" si="73"/>
        <v>0.39999999999999969</v>
      </c>
      <c r="H37" s="77">
        <f t="shared" si="73"/>
        <v>0.39999999999999991</v>
      </c>
      <c r="I37" s="77">
        <f t="shared" si="73"/>
        <v>0.19999999999999996</v>
      </c>
      <c r="J37" s="77">
        <f t="shared" si="73"/>
        <v>0.19999999999999973</v>
      </c>
      <c r="K37" s="77">
        <f t="shared" si="73"/>
        <v>0.19999999999999996</v>
      </c>
      <c r="L37" s="77">
        <f t="shared" si="73"/>
        <v>0.19999999999999996</v>
      </c>
      <c r="M37" s="77">
        <f t="shared" si="73"/>
        <v>0.19999999999999996</v>
      </c>
      <c r="N37" s="77">
        <f t="shared" si="73"/>
        <v>0.10000000000000009</v>
      </c>
      <c r="O37" s="77">
        <f t="shared" si="73"/>
        <v>9.9999999999999867E-2</v>
      </c>
      <c r="P37" s="77">
        <f t="shared" si="73"/>
        <v>0.10000000000000009</v>
      </c>
      <c r="Q37" s="77">
        <f t="shared" si="73"/>
        <v>0.10000000000000009</v>
      </c>
      <c r="R37" s="77">
        <f t="shared" si="73"/>
        <v>0.10000000000000009</v>
      </c>
    </row>
    <row r="38" spans="1:18" s="68" customFormat="1" x14ac:dyDescent="0.15">
      <c r="A38" s="1" t="s">
        <v>27</v>
      </c>
      <c r="B38" s="77"/>
      <c r="C38" s="77">
        <f t="shared" ref="C38:R38" si="74">C21/B21-1</f>
        <v>1.2799999999999998</v>
      </c>
      <c r="D38" s="77">
        <f t="shared" si="74"/>
        <v>0.5</v>
      </c>
      <c r="E38" s="77">
        <f t="shared" si="74"/>
        <v>0.5</v>
      </c>
      <c r="F38" s="77">
        <f t="shared" si="74"/>
        <v>0.5</v>
      </c>
      <c r="G38" s="77">
        <f t="shared" si="74"/>
        <v>0.5</v>
      </c>
      <c r="H38" s="77">
        <f t="shared" si="74"/>
        <v>0.5</v>
      </c>
      <c r="I38" s="77">
        <f t="shared" si="74"/>
        <v>0.25</v>
      </c>
      <c r="J38" s="77">
        <f t="shared" si="74"/>
        <v>0.25</v>
      </c>
      <c r="K38" s="77">
        <f t="shared" si="74"/>
        <v>0.25</v>
      </c>
      <c r="L38" s="77">
        <f t="shared" si="74"/>
        <v>0.25</v>
      </c>
      <c r="M38" s="77">
        <f t="shared" si="74"/>
        <v>0.25</v>
      </c>
      <c r="N38" s="77">
        <f t="shared" si="74"/>
        <v>2.0000000000000018E-2</v>
      </c>
      <c r="O38" s="77">
        <f t="shared" si="74"/>
        <v>2.0000000000000018E-2</v>
      </c>
      <c r="P38" s="77">
        <f t="shared" si="74"/>
        <v>2.0000000000000018E-2</v>
      </c>
      <c r="Q38" s="77">
        <f t="shared" si="74"/>
        <v>2.0000000000000018E-2</v>
      </c>
      <c r="R38" s="77">
        <f t="shared" si="74"/>
        <v>2.0000000000000018E-2</v>
      </c>
    </row>
    <row r="39" spans="1:18" s="68" customFormat="1" x14ac:dyDescent="0.15">
      <c r="A39" s="1" t="s">
        <v>28</v>
      </c>
      <c r="B39" s="77"/>
      <c r="C39" s="77">
        <f t="shared" ref="C39:R39" si="75">C22/B22-1</f>
        <v>0.40277777777777768</v>
      </c>
      <c r="D39" s="77">
        <f t="shared" si="75"/>
        <v>0.19999999999999996</v>
      </c>
      <c r="E39" s="77">
        <f t="shared" si="75"/>
        <v>0.19999999999999996</v>
      </c>
      <c r="F39" s="77">
        <f t="shared" si="75"/>
        <v>0.19999999999999996</v>
      </c>
      <c r="G39" s="77">
        <f t="shared" si="75"/>
        <v>0.19999999999999996</v>
      </c>
      <c r="H39" s="77">
        <f t="shared" si="75"/>
        <v>0.19999999999999996</v>
      </c>
      <c r="I39" s="77">
        <f t="shared" si="75"/>
        <v>0.10000000000000009</v>
      </c>
      <c r="J39" s="77">
        <f t="shared" si="75"/>
        <v>0.10000000000000009</v>
      </c>
      <c r="K39" s="77">
        <f t="shared" si="75"/>
        <v>0.10000000000000009</v>
      </c>
      <c r="L39" s="77">
        <f t="shared" si="75"/>
        <v>0.10000000000000009</v>
      </c>
      <c r="M39" s="77">
        <f t="shared" si="75"/>
        <v>0.10000000000000009</v>
      </c>
      <c r="N39" s="77">
        <f t="shared" si="75"/>
        <v>-2.0000000000000018E-2</v>
      </c>
      <c r="O39" s="77">
        <f t="shared" si="75"/>
        <v>-2.0000000000000018E-2</v>
      </c>
      <c r="P39" s="77">
        <f t="shared" si="75"/>
        <v>-2.0000000000000129E-2</v>
      </c>
      <c r="Q39" s="77">
        <f t="shared" si="75"/>
        <v>-2.0000000000000018E-2</v>
      </c>
      <c r="R39" s="77">
        <f t="shared" si="75"/>
        <v>-2.0000000000000018E-2</v>
      </c>
    </row>
    <row r="40" spans="1:18" s="79" customFormat="1" x14ac:dyDescent="0.15">
      <c r="A40" s="44" t="s">
        <v>52</v>
      </c>
      <c r="B40" s="77"/>
      <c r="C40" s="77">
        <f t="shared" ref="C40:R40" si="76">C23/B23-1</f>
        <v>0.46987951807228923</v>
      </c>
      <c r="D40" s="77">
        <f t="shared" si="76"/>
        <v>0.29740437158469946</v>
      </c>
      <c r="E40" s="77">
        <f t="shared" si="76"/>
        <v>0.30690744445614393</v>
      </c>
      <c r="F40" s="77">
        <f t="shared" si="76"/>
        <v>0.31658918600997454</v>
      </c>
      <c r="G40" s="77">
        <f t="shared" si="76"/>
        <v>0.32633003510777403</v>
      </c>
      <c r="H40" s="77">
        <f t="shared" si="76"/>
        <v>0.33600972699406961</v>
      </c>
      <c r="I40" s="77">
        <f t="shared" si="76"/>
        <v>0.17275688085866636</v>
      </c>
      <c r="J40" s="77">
        <f t="shared" si="76"/>
        <v>0.1754029860011832</v>
      </c>
      <c r="K40" s="77">
        <f t="shared" si="76"/>
        <v>0.17799753751923419</v>
      </c>
      <c r="L40" s="77">
        <f t="shared" si="76"/>
        <v>0.18053313797660309</v>
      </c>
      <c r="M40" s="77">
        <f t="shared" si="76"/>
        <v>0.1830033736551222</v>
      </c>
      <c r="N40" s="77">
        <f t="shared" si="76"/>
        <v>5.4321447683393531E-2</v>
      </c>
      <c r="O40" s="77">
        <f t="shared" si="76"/>
        <v>5.6930892650076226E-2</v>
      </c>
      <c r="P40" s="77">
        <f t="shared" si="76"/>
        <v>5.9476562445528458E-2</v>
      </c>
      <c r="Q40" s="77">
        <f t="shared" si="76"/>
        <v>6.1949175441509352E-2</v>
      </c>
      <c r="R40" s="77">
        <f t="shared" si="76"/>
        <v>6.4340663504305784E-2</v>
      </c>
    </row>
    <row r="41" spans="1:18" s="68" customFormat="1" x14ac:dyDescent="0.15">
      <c r="A41" s="1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</row>
    <row r="42" spans="1:18" s="68" customFormat="1" x14ac:dyDescent="0.15">
      <c r="A42" s="14" t="s">
        <v>18</v>
      </c>
      <c r="B42" s="58">
        <f>B43-B44</f>
        <v>671</v>
      </c>
      <c r="C42" s="58">
        <f>C43-C44</f>
        <v>1156</v>
      </c>
      <c r="D42" s="70">
        <f t="shared" ref="D42:R42" si="77">C42+D28</f>
        <v>1849.0181496197824</v>
      </c>
      <c r="E42" s="70">
        <f t="shared" si="77"/>
        <v>2947.4470300921357</v>
      </c>
      <c r="F42" s="70">
        <f t="shared" si="77"/>
        <v>4651.126980811363</v>
      </c>
      <c r="G42" s="70">
        <f t="shared" si="77"/>
        <v>7252.1249099711149</v>
      </c>
      <c r="H42" s="70">
        <f t="shared" si="77"/>
        <v>11176.091130139133</v>
      </c>
      <c r="I42" s="70">
        <f t="shared" si="77"/>
        <v>15987.536006551538</v>
      </c>
      <c r="J42" s="70">
        <f t="shared" si="77"/>
        <v>21869.312049792577</v>
      </c>
      <c r="K42" s="70">
        <f t="shared" si="77"/>
        <v>29040.650096681715</v>
      </c>
      <c r="L42" s="70">
        <f t="shared" si="77"/>
        <v>37764.241795865222</v>
      </c>
      <c r="M42" s="70">
        <f t="shared" si="77"/>
        <v>48354.675910065882</v>
      </c>
      <c r="N42" s="70">
        <f t="shared" si="77"/>
        <v>60353.142882770582</v>
      </c>
      <c r="O42" s="70">
        <f t="shared" si="77"/>
        <v>73904.612117017328</v>
      </c>
      <c r="P42" s="70">
        <f t="shared" si="77"/>
        <v>89168.712600138213</v>
      </c>
      <c r="Q42" s="70">
        <f t="shared" si="77"/>
        <v>106321.20089740702</v>
      </c>
      <c r="R42" s="70">
        <f t="shared" si="77"/>
        <v>125555.57601600964</v>
      </c>
    </row>
    <row r="43" spans="1:18" s="68" customFormat="1" x14ac:dyDescent="0.15">
      <c r="A43" s="1" t="s">
        <v>19</v>
      </c>
      <c r="B43" s="69">
        <f>Reports!E36</f>
        <v>671</v>
      </c>
      <c r="C43" s="69">
        <f>Reports!I36</f>
        <v>1427</v>
      </c>
    </row>
    <row r="44" spans="1:18" s="68" customFormat="1" x14ac:dyDescent="0.15">
      <c r="A44" s="1" t="s">
        <v>20</v>
      </c>
      <c r="B44" s="69">
        <f>Reports!E37</f>
        <v>0</v>
      </c>
      <c r="C44" s="69">
        <f>Reports!I37</f>
        <v>271</v>
      </c>
    </row>
    <row r="45" spans="1:18" s="68" customFormat="1" x14ac:dyDescent="0.15">
      <c r="A45" s="1"/>
    </row>
    <row r="46" spans="1:18" s="68" customFormat="1" x14ac:dyDescent="0.15">
      <c r="A46" s="1" t="s">
        <v>36</v>
      </c>
      <c r="B46" s="69">
        <f>Reports!E39</f>
        <v>125</v>
      </c>
      <c r="C46" s="69">
        <f>Reports!I39</f>
        <v>138</v>
      </c>
    </row>
    <row r="47" spans="1:18" s="68" customFormat="1" x14ac:dyDescent="0.15">
      <c r="A47" s="1" t="s">
        <v>37</v>
      </c>
      <c r="B47" s="69">
        <f>Reports!E40</f>
        <v>2392</v>
      </c>
      <c r="C47" s="69">
        <f>Reports!I40</f>
        <v>5855</v>
      </c>
    </row>
    <row r="48" spans="1:18" s="68" customFormat="1" x14ac:dyDescent="0.15">
      <c r="A48" s="1" t="s">
        <v>38</v>
      </c>
      <c r="B48" s="69">
        <f>Reports!E41</f>
        <v>1895</v>
      </c>
      <c r="C48" s="69">
        <f>Reports!I41</f>
        <v>4891</v>
      </c>
    </row>
    <row r="49" spans="1:8" s="68" customFormat="1" x14ac:dyDescent="0.15">
      <c r="A49" s="1"/>
    </row>
    <row r="50" spans="1:8" s="68" customFormat="1" x14ac:dyDescent="0.15">
      <c r="A50" s="1" t="s">
        <v>39</v>
      </c>
      <c r="B50" s="81">
        <f>B47-B46-B43</f>
        <v>1596</v>
      </c>
      <c r="C50" s="81">
        <f>C47-C46-C43</f>
        <v>4290</v>
      </c>
    </row>
    <row r="51" spans="1:8" s="68" customFormat="1" x14ac:dyDescent="0.15">
      <c r="A51" s="1" t="s">
        <v>40</v>
      </c>
      <c r="B51" s="81">
        <f>B47-B48</f>
        <v>497</v>
      </c>
      <c r="C51" s="81">
        <f>C47-C48</f>
        <v>964</v>
      </c>
    </row>
    <row r="52" spans="1:8" s="68" customFormat="1" x14ac:dyDescent="0.15">
      <c r="A52" s="1"/>
    </row>
    <row r="53" spans="1:8" s="68" customFormat="1" x14ac:dyDescent="0.15">
      <c r="A53" s="1" t="s">
        <v>41</v>
      </c>
      <c r="B53" s="82">
        <f>B28/B51</f>
        <v>3.0903860663983953E-2</v>
      </c>
      <c r="C53" s="82">
        <f>C28/C51</f>
        <v>0.41045213741194642</v>
      </c>
    </row>
    <row r="54" spans="1:8" s="68" customFormat="1" x14ac:dyDescent="0.15">
      <c r="A54" s="1" t="s">
        <v>42</v>
      </c>
      <c r="B54" s="82">
        <f>B28/B47</f>
        <v>6.421078072742485E-3</v>
      </c>
      <c r="C54" s="82">
        <f>C28/C47</f>
        <v>6.757913927670646E-2</v>
      </c>
    </row>
    <row r="55" spans="1:8" s="68" customFormat="1" x14ac:dyDescent="0.15">
      <c r="A55" s="1" t="s">
        <v>43</v>
      </c>
      <c r="B55" s="82">
        <f>B28/(B51-B46)</f>
        <v>4.1288222446236623E-2</v>
      </c>
      <c r="C55" s="82">
        <f>C28/(C51-C46)</f>
        <v>0.47902646545413602</v>
      </c>
    </row>
    <row r="56" spans="1:8" s="68" customFormat="1" x14ac:dyDescent="0.15">
      <c r="A56" s="1" t="s">
        <v>44</v>
      </c>
      <c r="B56" s="82">
        <f>B28/B50</f>
        <v>9.6235706453634239E-3</v>
      </c>
      <c r="C56" s="82">
        <f>C28/C50</f>
        <v>9.2232135306553928E-2</v>
      </c>
    </row>
    <row r="57" spans="1:8" s="68" customFormat="1" x14ac:dyDescent="0.15">
      <c r="A57" s="1"/>
    </row>
    <row r="58" spans="1:8" s="68" customFormat="1" x14ac:dyDescent="0.15">
      <c r="A58" s="23" t="s">
        <v>51</v>
      </c>
      <c r="B58" s="82"/>
      <c r="C58" s="82">
        <f>C10/B10-1</f>
        <v>1.3675208691050851</v>
      </c>
      <c r="D58" s="82"/>
      <c r="E58" s="82"/>
      <c r="F58" s="82"/>
      <c r="G58" s="82"/>
      <c r="H58" s="82"/>
    </row>
    <row r="59" spans="1:8" s="68" customFormat="1" x14ac:dyDescent="0.15">
      <c r="A59" s="51" t="s">
        <v>64</v>
      </c>
      <c r="B59" s="82"/>
      <c r="C59" s="82">
        <f>C11/B11-1</f>
        <v>1.2559667067789806</v>
      </c>
      <c r="D59" s="82"/>
      <c r="E59" s="82"/>
      <c r="F59" s="82"/>
      <c r="G59" s="82"/>
      <c r="H59" s="82"/>
    </row>
    <row r="60" spans="1:8" s="68" customFormat="1" x14ac:dyDescent="0.15">
      <c r="A60" s="51" t="s">
        <v>68</v>
      </c>
      <c r="B60" s="82"/>
      <c r="C60" s="82">
        <f>C12/B12-1</f>
        <v>1.684086165478675</v>
      </c>
      <c r="D60" s="82"/>
      <c r="E60" s="82"/>
      <c r="F60" s="82"/>
      <c r="G60" s="82"/>
      <c r="H60" s="82"/>
    </row>
    <row r="61" spans="1:8" s="68" customFormat="1" x14ac:dyDescent="0.15">
      <c r="A61" s="1"/>
    </row>
    <row r="62" spans="1:8" s="68" customFormat="1" x14ac:dyDescent="0.15">
      <c r="A62" s="51" t="s">
        <v>65</v>
      </c>
      <c r="C62" s="82">
        <f>C14/B14-1</f>
        <v>0.34375</v>
      </c>
      <c r="D62" s="82">
        <f t="shared" ref="D62:H62" si="78">D14/C14-1</f>
        <v>0.30000000000000004</v>
      </c>
      <c r="E62" s="82">
        <f t="shared" si="78"/>
        <v>0.25</v>
      </c>
      <c r="F62" s="82">
        <f t="shared" si="78"/>
        <v>0.25</v>
      </c>
      <c r="G62" s="82">
        <f t="shared" si="78"/>
        <v>0.25</v>
      </c>
      <c r="H62" s="82">
        <f t="shared" si="78"/>
        <v>0.25</v>
      </c>
    </row>
    <row r="63" spans="1:8" s="68" customFormat="1" x14ac:dyDescent="0.15">
      <c r="A63" s="51" t="s">
        <v>66</v>
      </c>
      <c r="C63" s="82">
        <f>C15/B15-1</f>
        <v>0.78119016906090266</v>
      </c>
      <c r="D63" s="82">
        <f t="shared" ref="D63:H63" si="79">D15/C15-1</f>
        <v>0.19999999999999996</v>
      </c>
      <c r="E63" s="82">
        <f t="shared" si="79"/>
        <v>0.14999999999999991</v>
      </c>
      <c r="F63" s="82">
        <f t="shared" si="79"/>
        <v>0.14999999999999991</v>
      </c>
      <c r="G63" s="82">
        <f t="shared" si="79"/>
        <v>0.14999999999999991</v>
      </c>
      <c r="H63" s="82">
        <f t="shared" si="79"/>
        <v>0.14999999999999991</v>
      </c>
    </row>
  </sheetData>
  <hyperlinks>
    <hyperlink ref="A4" r:id="rId1" xr:uid="{7E48A083-0C59-8148-88CF-33304408D305}"/>
    <hyperlink ref="A7" r:id="rId2" xr:uid="{9B04B48D-2CA2-DE4B-90F6-8DE95634B1E3}"/>
    <hyperlink ref="A8" r:id="rId3" xr:uid="{D14B8F38-9092-0449-84C1-CDA4D9A411E7}"/>
    <hyperlink ref="D2" r:id="rId4" xr:uid="{72FA3DAA-D118-1B4A-AAE5-6F572F61180C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0" sqref="E30"/>
    </sheetView>
  </sheetViews>
  <sheetFormatPr baseColWidth="10" defaultRowHeight="13" x14ac:dyDescent="0.15"/>
  <cols>
    <col min="1" max="1" width="24.5" style="21" customWidth="1"/>
    <col min="2" max="2" width="10.83203125" style="20"/>
    <col min="3" max="5" width="10.83203125" style="21"/>
    <col min="6" max="6" width="10.83203125" style="20"/>
    <col min="7" max="16384" width="10.83203125" style="21"/>
  </cols>
  <sheetData>
    <row r="1" spans="1:13" x14ac:dyDescent="0.15">
      <c r="A1" s="61" t="s">
        <v>29</v>
      </c>
      <c r="B1" s="17" t="s">
        <v>46</v>
      </c>
      <c r="C1" s="18" t="s">
        <v>47</v>
      </c>
      <c r="D1" s="18" t="s">
        <v>48</v>
      </c>
      <c r="E1" s="19" t="s">
        <v>49</v>
      </c>
      <c r="F1" s="45" t="s">
        <v>53</v>
      </c>
      <c r="G1" s="50" t="s">
        <v>54</v>
      </c>
      <c r="H1" s="50" t="s">
        <v>55</v>
      </c>
      <c r="I1" s="50" t="s">
        <v>56</v>
      </c>
      <c r="J1" s="50" t="s">
        <v>73</v>
      </c>
      <c r="K1" s="50" t="s">
        <v>74</v>
      </c>
      <c r="L1" s="50" t="s">
        <v>75</v>
      </c>
      <c r="M1" s="50" t="s">
        <v>76</v>
      </c>
    </row>
    <row r="2" spans="1:13" x14ac:dyDescent="0.15">
      <c r="A2" s="22"/>
      <c r="B2" s="66">
        <v>43555</v>
      </c>
      <c r="C2" s="65">
        <v>43646</v>
      </c>
      <c r="D2" s="65">
        <v>43738</v>
      </c>
      <c r="E2" s="64">
        <v>43830</v>
      </c>
      <c r="F2" s="46">
        <v>43921</v>
      </c>
      <c r="G2" s="54">
        <v>44012</v>
      </c>
      <c r="H2" s="54">
        <v>44104</v>
      </c>
      <c r="I2" s="54">
        <v>44196</v>
      </c>
    </row>
    <row r="3" spans="1:13" s="23" customFormat="1" x14ac:dyDescent="0.15">
      <c r="A3" s="51" t="s">
        <v>50</v>
      </c>
      <c r="B3" s="17">
        <v>56.668999999999997</v>
      </c>
      <c r="C3" s="24">
        <v>178.67500000000001</v>
      </c>
      <c r="D3" s="24">
        <v>138.63200000000001</v>
      </c>
      <c r="E3" s="52">
        <v>89.028999999999996</v>
      </c>
      <c r="F3" s="47">
        <v>171.99100000000001</v>
      </c>
      <c r="G3" s="23">
        <v>171.864</v>
      </c>
      <c r="H3" s="51">
        <v>275.904</v>
      </c>
      <c r="I3" s="23">
        <v>476.41500000000002</v>
      </c>
    </row>
    <row r="4" spans="1:13" s="23" customFormat="1" x14ac:dyDescent="0.15">
      <c r="A4" s="51" t="s">
        <v>63</v>
      </c>
      <c r="B4" s="17">
        <v>4.6470000000000002</v>
      </c>
      <c r="C4" s="24">
        <v>5.2320000000000002</v>
      </c>
      <c r="D4" s="24">
        <v>4.7850000000000001</v>
      </c>
      <c r="E4" s="24">
        <v>5.28</v>
      </c>
      <c r="F4" s="47">
        <v>7.0910000000000002</v>
      </c>
      <c r="G4" s="23">
        <v>6.4669999999999996</v>
      </c>
      <c r="H4" s="51">
        <v>10.759</v>
      </c>
      <c r="I4" s="23">
        <v>20.675999999999998</v>
      </c>
    </row>
    <row r="5" spans="1:13" s="23" customFormat="1" x14ac:dyDescent="0.15">
      <c r="A5" s="51" t="s">
        <v>67</v>
      </c>
      <c r="B5" s="17">
        <v>4.7960000000000003</v>
      </c>
      <c r="C5" s="24">
        <v>26.928000000000001</v>
      </c>
      <c r="D5" s="24">
        <v>15.1</v>
      </c>
      <c r="E5" s="24">
        <v>3.9620000000000002</v>
      </c>
      <c r="F5" s="47">
        <v>11.548</v>
      </c>
      <c r="G5" s="23">
        <v>8.0510000000000002</v>
      </c>
      <c r="H5" s="51">
        <v>28.693999999999999</v>
      </c>
      <c r="I5" s="23">
        <v>88.021000000000001</v>
      </c>
    </row>
    <row r="6" spans="1:13" s="23" customFormat="1" x14ac:dyDescent="0.15">
      <c r="B6" s="17"/>
      <c r="C6" s="24"/>
      <c r="D6" s="24"/>
      <c r="E6" s="24"/>
      <c r="F6" s="47"/>
    </row>
    <row r="7" spans="1:13" s="23" customFormat="1" x14ac:dyDescent="0.15">
      <c r="A7" s="51" t="s">
        <v>59</v>
      </c>
      <c r="B7" s="17">
        <v>27</v>
      </c>
      <c r="C7" s="24">
        <v>29</v>
      </c>
      <c r="D7" s="24">
        <v>31</v>
      </c>
      <c r="E7" s="24">
        <v>32</v>
      </c>
      <c r="F7" s="47">
        <v>34</v>
      </c>
      <c r="G7" s="23">
        <v>37</v>
      </c>
      <c r="H7" s="23">
        <v>39</v>
      </c>
      <c r="I7" s="23">
        <v>43</v>
      </c>
    </row>
    <row r="8" spans="1:13" s="23" customFormat="1" x14ac:dyDescent="0.15">
      <c r="A8" s="51" t="s">
        <v>60</v>
      </c>
      <c r="B8" s="63">
        <f>SUM(B3:B5)/B7</f>
        <v>2.4485925925925924</v>
      </c>
      <c r="C8" s="62">
        <f>SUM(C3:C5)/C7</f>
        <v>7.2701724137931034</v>
      </c>
      <c r="D8" s="62">
        <f>SUM(D3:D5)/D7</f>
        <v>5.1134516129032255</v>
      </c>
      <c r="E8" s="62">
        <f>SUM(E3:E5)/E7</f>
        <v>3.07096875</v>
      </c>
      <c r="F8" s="63">
        <f>SUM(F3:F5)/F7</f>
        <v>5.6067647058823535</v>
      </c>
      <c r="G8" s="62">
        <f>SUM(G3:G5)/G7</f>
        <v>5.0373513513513517</v>
      </c>
      <c r="H8" s="62">
        <f>SUM(H3:H5)/H7</f>
        <v>8.0860769230769236</v>
      </c>
      <c r="I8" s="62">
        <f>SUM(I3:I5)/I7</f>
        <v>13.607255813953488</v>
      </c>
    </row>
    <row r="9" spans="1:13" s="51" customFormat="1" x14ac:dyDescent="0.15">
      <c r="B9" s="53"/>
      <c r="E9" s="52"/>
      <c r="F9" s="53"/>
    </row>
    <row r="10" spans="1:13" s="56" customFormat="1" x14ac:dyDescent="0.15">
      <c r="A10" s="56" t="s">
        <v>0</v>
      </c>
      <c r="B10" s="57">
        <f>B7*B8</f>
        <v>66.111999999999995</v>
      </c>
      <c r="C10" s="58">
        <f>C7*C8</f>
        <v>210.83500000000001</v>
      </c>
      <c r="D10" s="58">
        <f>D7*D8</f>
        <v>158.517</v>
      </c>
      <c r="E10" s="58">
        <f>E7*E8</f>
        <v>98.271000000000001</v>
      </c>
      <c r="F10" s="57">
        <f>F7*F8</f>
        <v>190.63000000000002</v>
      </c>
      <c r="G10" s="58">
        <f>G7*G8</f>
        <v>186.38200000000001</v>
      </c>
      <c r="H10" s="58">
        <f>H7*H8</f>
        <v>315.35700000000003</v>
      </c>
      <c r="I10" s="58">
        <f>I7*I8</f>
        <v>585.11199999999997</v>
      </c>
    </row>
    <row r="11" spans="1:13" s="23" customFormat="1" x14ac:dyDescent="0.15">
      <c r="A11" s="23" t="s">
        <v>1</v>
      </c>
      <c r="B11" s="17">
        <v>15.618</v>
      </c>
      <c r="C11" s="24">
        <v>29.158999999999999</v>
      </c>
      <c r="D11" s="24">
        <v>23.050999999999998</v>
      </c>
      <c r="E11" s="24">
        <v>14.227</v>
      </c>
      <c r="F11" s="47">
        <v>25.407</v>
      </c>
      <c r="G11" s="23">
        <v>23.395</v>
      </c>
      <c r="H11" s="23">
        <v>36.765999999999998</v>
      </c>
      <c r="I11" s="23">
        <v>49.945999999999998</v>
      </c>
    </row>
    <row r="12" spans="1:13" s="23" customFormat="1" x14ac:dyDescent="0.15">
      <c r="A12" s="23" t="s">
        <v>2</v>
      </c>
      <c r="B12" s="29">
        <f t="shared" ref="B12:I12" si="0">B10-B11</f>
        <v>50.493999999999993</v>
      </c>
      <c r="C12" s="28">
        <f t="shared" si="0"/>
        <v>181.67600000000002</v>
      </c>
      <c r="D12" s="28">
        <f t="shared" si="0"/>
        <v>135.46600000000001</v>
      </c>
      <c r="E12" s="28">
        <f t="shared" si="0"/>
        <v>84.043999999999997</v>
      </c>
      <c r="F12" s="29">
        <f t="shared" si="0"/>
        <v>165.22300000000001</v>
      </c>
      <c r="G12" s="28">
        <f t="shared" si="0"/>
        <v>162.98699999999999</v>
      </c>
      <c r="H12" s="28">
        <f t="shared" si="0"/>
        <v>278.59100000000001</v>
      </c>
      <c r="I12" s="28">
        <f t="shared" si="0"/>
        <v>535.16599999999994</v>
      </c>
    </row>
    <row r="13" spans="1:13" s="23" customFormat="1" x14ac:dyDescent="0.15">
      <c r="A13" s="23" t="s">
        <v>3</v>
      </c>
      <c r="B13" s="17">
        <v>53</v>
      </c>
      <c r="C13" s="24">
        <v>44</v>
      </c>
      <c r="D13" s="24">
        <v>45</v>
      </c>
      <c r="E13" s="24">
        <v>43</v>
      </c>
      <c r="F13" s="47">
        <v>47</v>
      </c>
      <c r="G13" s="23">
        <v>61</v>
      </c>
      <c r="H13" s="23">
        <v>73</v>
      </c>
      <c r="I13" s="23">
        <v>90</v>
      </c>
    </row>
    <row r="14" spans="1:13" s="23" customFormat="1" x14ac:dyDescent="0.15">
      <c r="A14" s="23" t="s">
        <v>4</v>
      </c>
      <c r="B14" s="17">
        <v>5</v>
      </c>
      <c r="C14" s="24">
        <v>4</v>
      </c>
      <c r="D14" s="24">
        <v>6</v>
      </c>
      <c r="E14" s="24">
        <v>10</v>
      </c>
      <c r="F14" s="47">
        <v>10</v>
      </c>
      <c r="G14" s="23">
        <v>11</v>
      </c>
      <c r="H14" s="23">
        <v>12</v>
      </c>
      <c r="I14" s="23">
        <v>24</v>
      </c>
    </row>
    <row r="15" spans="1:13" s="23" customFormat="1" x14ac:dyDescent="0.15">
      <c r="A15" s="23" t="s">
        <v>5</v>
      </c>
      <c r="B15" s="17">
        <f>62+4</f>
        <v>66</v>
      </c>
      <c r="C15" s="24">
        <f>47+10+21</f>
        <v>78</v>
      </c>
      <c r="D15" s="24">
        <f>53+17</f>
        <v>70</v>
      </c>
      <c r="E15" s="24">
        <f>70+4</f>
        <v>74</v>
      </c>
      <c r="F15" s="47">
        <f>59+10</f>
        <v>69</v>
      </c>
      <c r="G15" s="23">
        <f>52-3</f>
        <v>49</v>
      </c>
      <c r="H15" s="23">
        <f>71+20</f>
        <v>91</v>
      </c>
      <c r="I15" s="23">
        <f>98+97</f>
        <v>195</v>
      </c>
    </row>
    <row r="16" spans="1:13" s="23" customFormat="1" x14ac:dyDescent="0.15">
      <c r="A16" s="23" t="s">
        <v>6</v>
      </c>
      <c r="B16" s="29">
        <f t="shared" ref="B16:D16" si="1">SUM(B13:B15)</f>
        <v>124</v>
      </c>
      <c r="C16" s="28">
        <f t="shared" si="1"/>
        <v>126</v>
      </c>
      <c r="D16" s="28">
        <f t="shared" si="1"/>
        <v>121</v>
      </c>
      <c r="E16" s="28">
        <f t="shared" ref="E16:F16" si="2">SUM(E13:E15)</f>
        <v>127</v>
      </c>
      <c r="F16" s="29">
        <f t="shared" si="2"/>
        <v>126</v>
      </c>
      <c r="G16" s="28">
        <f t="shared" ref="G16:H16" si="3">SUM(G13:G15)</f>
        <v>121</v>
      </c>
      <c r="H16" s="28">
        <f t="shared" si="3"/>
        <v>176</v>
      </c>
      <c r="I16" s="28">
        <f t="shared" ref="I16" si="4">SUM(I13:I15)</f>
        <v>309</v>
      </c>
    </row>
    <row r="17" spans="1:9" s="23" customFormat="1" x14ac:dyDescent="0.15">
      <c r="A17" s="23" t="s">
        <v>7</v>
      </c>
      <c r="B17" s="29">
        <f t="shared" ref="B17" si="5">B12-B16</f>
        <v>-73.506</v>
      </c>
      <c r="C17" s="28">
        <f t="shared" ref="C17:D17" si="6">C12-C16</f>
        <v>55.676000000000016</v>
      </c>
      <c r="D17" s="28">
        <f t="shared" si="6"/>
        <v>14.466000000000008</v>
      </c>
      <c r="E17" s="28">
        <f t="shared" ref="E17:F17" si="7">E12-E16</f>
        <v>-42.956000000000003</v>
      </c>
      <c r="F17" s="29">
        <f t="shared" si="7"/>
        <v>39.223000000000013</v>
      </c>
      <c r="G17" s="28">
        <f t="shared" ref="G17:H17" si="8">G12-G16</f>
        <v>41.986999999999995</v>
      </c>
      <c r="H17" s="28">
        <f t="shared" si="8"/>
        <v>102.59100000000001</v>
      </c>
      <c r="I17" s="28">
        <f t="shared" ref="I17" si="9">I12-I16</f>
        <v>226.16599999999994</v>
      </c>
    </row>
    <row r="18" spans="1:9" s="23" customFormat="1" x14ac:dyDescent="0.15">
      <c r="A18" s="23" t="s">
        <v>8</v>
      </c>
      <c r="B18" s="17">
        <v>0</v>
      </c>
      <c r="C18" s="24">
        <v>-1</v>
      </c>
      <c r="D18" s="24">
        <v>-3</v>
      </c>
      <c r="E18" s="24">
        <v>2</v>
      </c>
      <c r="F18" s="47">
        <v>-4</v>
      </c>
      <c r="G18" s="23">
        <v>-3</v>
      </c>
      <c r="H18" s="23">
        <v>1</v>
      </c>
      <c r="I18" s="23">
        <v>6</v>
      </c>
    </row>
    <row r="19" spans="1:9" s="23" customFormat="1" x14ac:dyDescent="0.15">
      <c r="A19" s="23" t="s">
        <v>9</v>
      </c>
      <c r="B19" s="29">
        <f t="shared" ref="B19" si="10">B17+B18</f>
        <v>-73.506</v>
      </c>
      <c r="C19" s="28">
        <f t="shared" ref="C19:I19" si="11">C17+C18</f>
        <v>54.676000000000016</v>
      </c>
      <c r="D19" s="28">
        <f t="shared" si="11"/>
        <v>11.466000000000008</v>
      </c>
      <c r="E19" s="28">
        <f t="shared" si="11"/>
        <v>-40.956000000000003</v>
      </c>
      <c r="F19" s="29">
        <f t="shared" si="11"/>
        <v>35.223000000000013</v>
      </c>
      <c r="G19" s="28">
        <f t="shared" si="11"/>
        <v>38.986999999999995</v>
      </c>
      <c r="H19" s="28">
        <f t="shared" si="11"/>
        <v>103.59100000000001</v>
      </c>
      <c r="I19" s="28">
        <f t="shared" si="11"/>
        <v>232.16599999999994</v>
      </c>
    </row>
    <row r="20" spans="1:9" s="23" customFormat="1" x14ac:dyDescent="0.15">
      <c r="A20" s="23" t="s">
        <v>10</v>
      </c>
      <c r="B20" s="17">
        <v>-24</v>
      </c>
      <c r="C20" s="24">
        <v>19</v>
      </c>
      <c r="D20" s="24">
        <v>4</v>
      </c>
      <c r="E20" s="24">
        <v>-14</v>
      </c>
      <c r="F20" s="47">
        <v>3</v>
      </c>
      <c r="G20" s="23">
        <v>7</v>
      </c>
      <c r="H20" s="23">
        <v>21</v>
      </c>
      <c r="I20" s="23">
        <v>56</v>
      </c>
    </row>
    <row r="21" spans="1:9" s="25" customFormat="1" x14ac:dyDescent="0.15">
      <c r="A21" s="25" t="s">
        <v>11</v>
      </c>
      <c r="B21" s="27">
        <f t="shared" ref="B21" si="12">B19-B20</f>
        <v>-49.506</v>
      </c>
      <c r="C21" s="26">
        <f t="shared" ref="C21:D21" si="13">C19-C20</f>
        <v>35.676000000000016</v>
      </c>
      <c r="D21" s="26">
        <f t="shared" si="13"/>
        <v>7.4660000000000082</v>
      </c>
      <c r="E21" s="26">
        <f t="shared" ref="E21:F21" si="14">E19-E20</f>
        <v>-26.956000000000003</v>
      </c>
      <c r="F21" s="27">
        <f t="shared" si="14"/>
        <v>32.223000000000013</v>
      </c>
      <c r="G21" s="26">
        <f t="shared" ref="G21:H21" si="15">G19-G20</f>
        <v>31.986999999999995</v>
      </c>
      <c r="H21" s="26">
        <f t="shared" si="15"/>
        <v>82.591000000000008</v>
      </c>
      <c r="I21" s="26">
        <f t="shared" ref="I21" si="16">I19-I20</f>
        <v>176.16599999999994</v>
      </c>
    </row>
    <row r="22" spans="1:9" x14ac:dyDescent="0.15">
      <c r="A22" s="21" t="s">
        <v>12</v>
      </c>
      <c r="B22" s="31">
        <f t="shared" ref="B22" si="17">IFERROR(B21/B23,0)</f>
        <v>0</v>
      </c>
      <c r="C22" s="30">
        <f t="shared" ref="C22:D22" si="18">IFERROR(C21/C23,0)</f>
        <v>0</v>
      </c>
      <c r="D22" s="30">
        <f t="shared" si="18"/>
        <v>0</v>
      </c>
      <c r="E22" s="30">
        <f t="shared" ref="E22:F22" si="19">IFERROR(E21/E23,0)</f>
        <v>0</v>
      </c>
      <c r="F22" s="31">
        <f t="shared" si="19"/>
        <v>0</v>
      </c>
      <c r="G22" s="30">
        <f t="shared" ref="G22:H22" si="20">IFERROR(G21/G23,0)</f>
        <v>0</v>
      </c>
      <c r="H22" s="30">
        <f t="shared" si="20"/>
        <v>0</v>
      </c>
      <c r="I22" s="30">
        <f t="shared" ref="I22" si="21">IFERROR(I21/I23,0)</f>
        <v>0</v>
      </c>
    </row>
    <row r="23" spans="1:9" x14ac:dyDescent="0.15">
      <c r="A23" s="21" t="s">
        <v>13</v>
      </c>
      <c r="B23" s="17"/>
      <c r="C23" s="24"/>
      <c r="D23" s="24"/>
      <c r="E23" s="24"/>
      <c r="F23" s="45"/>
      <c r="G23" s="50"/>
      <c r="H23" s="24"/>
      <c r="I23" s="50"/>
    </row>
    <row r="24" spans="1:9" x14ac:dyDescent="0.15">
      <c r="B24" s="17"/>
      <c r="C24" s="24"/>
      <c r="D24" s="24"/>
      <c r="E24" s="24"/>
    </row>
    <row r="25" spans="1:9" x14ac:dyDescent="0.15">
      <c r="A25" s="21" t="s">
        <v>15</v>
      </c>
      <c r="B25" s="33">
        <f t="shared" ref="B25" si="22">IFERROR(B12/B10,0)</f>
        <v>0.76376452081316548</v>
      </c>
      <c r="C25" s="32">
        <f t="shared" ref="C25:D25" si="23">IFERROR(C12/C10,0)</f>
        <v>0.86169753598785781</v>
      </c>
      <c r="D25" s="32">
        <f t="shared" si="23"/>
        <v>0.85458342007481858</v>
      </c>
      <c r="E25" s="32">
        <f t="shared" ref="E25:F25" si="24">IFERROR(E12/E10,0)</f>
        <v>0.85522687262773345</v>
      </c>
      <c r="F25" s="33">
        <f t="shared" si="24"/>
        <v>0.86672087289513711</v>
      </c>
      <c r="G25" s="32">
        <f t="shared" ref="G25:H25" si="25">IFERROR(G12/G10,0)</f>
        <v>0.87447822214591531</v>
      </c>
      <c r="H25" s="32">
        <f t="shared" si="25"/>
        <v>0.88341466972351967</v>
      </c>
      <c r="I25" s="32">
        <f t="shared" ref="I25" si="26">IFERROR(I12/I10,0)</f>
        <v>0.91463856492432216</v>
      </c>
    </row>
    <row r="26" spans="1:9" x14ac:dyDescent="0.15">
      <c r="A26" s="21" t="s">
        <v>16</v>
      </c>
      <c r="B26" s="35">
        <f t="shared" ref="B26" si="27">IFERROR(B17/B10,0)</f>
        <v>-1.1118405130687319</v>
      </c>
      <c r="C26" s="34">
        <f t="shared" ref="C26:D26" si="28">IFERROR(C17/C10,0)</f>
        <v>0.26407380178812823</v>
      </c>
      <c r="D26" s="34">
        <f t="shared" si="28"/>
        <v>9.1258350839342209E-2</v>
      </c>
      <c r="E26" s="34">
        <f t="shared" ref="E26:F26" si="29">IFERROR(E17/E10,0)</f>
        <v>-0.43711776617720388</v>
      </c>
      <c r="F26" s="35">
        <f t="shared" si="29"/>
        <v>0.20575460315794999</v>
      </c>
      <c r="G26" s="34">
        <f t="shared" ref="G26:H26" si="30">IFERROR(G17/G10,0)</f>
        <v>0.22527389984011328</v>
      </c>
      <c r="H26" s="34">
        <f t="shared" si="30"/>
        <v>0.32531702166116494</v>
      </c>
      <c r="I26" s="34">
        <f t="shared" ref="I26" si="31">IFERROR(I17/I10,0)</f>
        <v>0.38653454381383384</v>
      </c>
    </row>
    <row r="27" spans="1:9" x14ac:dyDescent="0.15">
      <c r="A27" s="21" t="s">
        <v>17</v>
      </c>
      <c r="B27" s="35">
        <f t="shared" ref="B27" si="32">IFERROR(B20/B19,0)</f>
        <v>0.32650395886050121</v>
      </c>
      <c r="C27" s="34">
        <f t="shared" ref="C27:D27" si="33">IFERROR(C20/C19,0)</f>
        <v>0.3475016460604286</v>
      </c>
      <c r="D27" s="34">
        <f t="shared" si="33"/>
        <v>0.34885749171463432</v>
      </c>
      <c r="E27" s="34">
        <f t="shared" ref="E27:F27" si="34">IFERROR(E20/E19,0)</f>
        <v>0.34183025686102153</v>
      </c>
      <c r="F27" s="35">
        <f t="shared" si="34"/>
        <v>8.5171620815944094E-2</v>
      </c>
      <c r="G27" s="34">
        <f t="shared" ref="G27:H27" si="35">IFERROR(G20/G19,0)</f>
        <v>0.17954702849667839</v>
      </c>
      <c r="H27" s="34">
        <f t="shared" si="35"/>
        <v>0.2027203135407516</v>
      </c>
      <c r="I27" s="34">
        <f t="shared" ref="I27" si="36">IFERROR(I20/I19,0)</f>
        <v>0.24120672277594485</v>
      </c>
    </row>
    <row r="28" spans="1:9" s="6" customFormat="1" x14ac:dyDescent="0.15">
      <c r="B28" s="59"/>
      <c r="C28" s="60"/>
      <c r="D28" s="60"/>
      <c r="E28" s="60"/>
      <c r="F28" s="59"/>
      <c r="G28" s="60"/>
      <c r="H28" s="60"/>
    </row>
    <row r="29" spans="1:9" s="36" customFormat="1" x14ac:dyDescent="0.15">
      <c r="A29" s="36" t="s">
        <v>14</v>
      </c>
      <c r="B29" s="38"/>
      <c r="C29" s="37"/>
      <c r="D29" s="37"/>
      <c r="E29" s="37"/>
      <c r="F29" s="38">
        <f>IFERROR((F10/B10)-1,0)</f>
        <v>1.8834402226524691</v>
      </c>
      <c r="G29" s="37">
        <f t="shared" ref="G29:I29" si="37">IFERROR((G10/C10)-1,0)</f>
        <v>-0.11598169184433327</v>
      </c>
      <c r="H29" s="37">
        <f t="shared" si="37"/>
        <v>0.98942069304869529</v>
      </c>
      <c r="I29" s="37">
        <f t="shared" si="37"/>
        <v>4.9540657976412161</v>
      </c>
    </row>
    <row r="30" spans="1:9" x14ac:dyDescent="0.15">
      <c r="A30" s="21" t="s">
        <v>26</v>
      </c>
      <c r="B30" s="40"/>
      <c r="C30" s="39"/>
      <c r="D30" s="39"/>
      <c r="E30" s="39"/>
      <c r="F30" s="40">
        <f t="shared" ref="F30:I32" si="38">F13/B13-1</f>
        <v>-0.1132075471698113</v>
      </c>
      <c r="G30" s="39">
        <f t="shared" si="38"/>
        <v>0.38636363636363646</v>
      </c>
      <c r="H30" s="39">
        <f t="shared" si="38"/>
        <v>0.62222222222222223</v>
      </c>
      <c r="I30" s="39">
        <f t="shared" si="38"/>
        <v>1.0930232558139537</v>
      </c>
    </row>
    <row r="31" spans="1:9" x14ac:dyDescent="0.15">
      <c r="A31" s="21" t="s">
        <v>27</v>
      </c>
      <c r="B31" s="40"/>
      <c r="C31" s="39"/>
      <c r="D31" s="39"/>
      <c r="E31" s="39"/>
      <c r="F31" s="40">
        <f t="shared" si="38"/>
        <v>1</v>
      </c>
      <c r="G31" s="39">
        <f t="shared" si="38"/>
        <v>1.75</v>
      </c>
      <c r="H31" s="39">
        <f t="shared" si="38"/>
        <v>1</v>
      </c>
      <c r="I31" s="39">
        <f t="shared" si="38"/>
        <v>1.4</v>
      </c>
    </row>
    <row r="32" spans="1:9" x14ac:dyDescent="0.15">
      <c r="A32" s="21" t="s">
        <v>28</v>
      </c>
      <c r="B32" s="40"/>
      <c r="C32" s="39"/>
      <c r="D32" s="39"/>
      <c r="E32" s="39"/>
      <c r="F32" s="40">
        <f t="shared" si="38"/>
        <v>4.5454545454545414E-2</v>
      </c>
      <c r="G32" s="39">
        <f t="shared" si="38"/>
        <v>-0.37179487179487181</v>
      </c>
      <c r="H32" s="39">
        <f t="shared" si="38"/>
        <v>0.30000000000000004</v>
      </c>
      <c r="I32" s="39">
        <f t="shared" si="38"/>
        <v>1.6351351351351351</v>
      </c>
    </row>
    <row r="33" spans="1:9" x14ac:dyDescent="0.15">
      <c r="A33" s="44" t="s">
        <v>52</v>
      </c>
      <c r="B33" s="40"/>
      <c r="C33" s="39"/>
      <c r="D33" s="39"/>
      <c r="E33" s="39"/>
      <c r="F33" s="40">
        <f t="shared" ref="F33:I33" si="39">F16/B16-1</f>
        <v>1.6129032258064502E-2</v>
      </c>
      <c r="G33" s="39">
        <f t="shared" si="39"/>
        <v>-3.9682539682539653E-2</v>
      </c>
      <c r="H33" s="39">
        <f t="shared" si="39"/>
        <v>0.45454545454545459</v>
      </c>
      <c r="I33" s="39">
        <f t="shared" si="39"/>
        <v>1.4330708661417324</v>
      </c>
    </row>
    <row r="34" spans="1:9" x14ac:dyDescent="0.15">
      <c r="B34" s="16"/>
      <c r="C34" s="41"/>
      <c r="D34" s="41"/>
      <c r="E34" s="41"/>
      <c r="F34" s="16"/>
      <c r="H34" s="41"/>
    </row>
    <row r="35" spans="1:9" s="25" customFormat="1" x14ac:dyDescent="0.15">
      <c r="A35" s="25" t="s">
        <v>18</v>
      </c>
      <c r="B35" s="16"/>
      <c r="C35" s="41"/>
      <c r="D35" s="41"/>
      <c r="E35" s="26">
        <f t="shared" ref="E35" si="40">E36-E37</f>
        <v>671</v>
      </c>
      <c r="F35" s="16"/>
      <c r="G35" s="41"/>
      <c r="H35" s="41"/>
      <c r="I35" s="26">
        <f t="shared" ref="I35" si="41">I36-I37</f>
        <v>1156</v>
      </c>
    </row>
    <row r="36" spans="1:9" s="23" customFormat="1" x14ac:dyDescent="0.15">
      <c r="A36" s="23" t="s">
        <v>19</v>
      </c>
      <c r="B36" s="16"/>
      <c r="C36" s="41"/>
      <c r="D36" s="41"/>
      <c r="E36" s="24">
        <f>549+88+34</f>
        <v>671</v>
      </c>
      <c r="F36" s="16"/>
      <c r="G36" s="41"/>
      <c r="H36" s="41"/>
      <c r="I36" s="23">
        <f>1062+49+316</f>
        <v>1427</v>
      </c>
    </row>
    <row r="37" spans="1:9" s="23" customFormat="1" x14ac:dyDescent="0.15">
      <c r="A37" s="23" t="s">
        <v>20</v>
      </c>
      <c r="B37" s="16"/>
      <c r="C37" s="41"/>
      <c r="D37" s="41"/>
      <c r="E37" s="24">
        <v>0</v>
      </c>
      <c r="F37" s="16"/>
      <c r="G37" s="41"/>
      <c r="H37" s="41"/>
      <c r="I37" s="23">
        <v>271</v>
      </c>
    </row>
    <row r="38" spans="1:9" s="23" customFormat="1" x14ac:dyDescent="0.15">
      <c r="B38" s="16"/>
      <c r="C38" s="41"/>
      <c r="D38" s="41"/>
      <c r="E38" s="24"/>
      <c r="F38" s="16"/>
      <c r="G38" s="41"/>
      <c r="H38" s="41"/>
    </row>
    <row r="39" spans="1:9" s="23" customFormat="1" x14ac:dyDescent="0.15">
      <c r="A39" s="23" t="s">
        <v>36</v>
      </c>
      <c r="B39" s="16"/>
      <c r="C39" s="41"/>
      <c r="D39" s="41"/>
      <c r="E39" s="24">
        <f>55+70</f>
        <v>125</v>
      </c>
      <c r="F39" s="16"/>
      <c r="G39" s="41"/>
      <c r="H39" s="41"/>
      <c r="I39" s="23">
        <f>77+61</f>
        <v>138</v>
      </c>
    </row>
    <row r="40" spans="1:9" s="23" customFormat="1" x14ac:dyDescent="0.15">
      <c r="A40" s="23" t="s">
        <v>37</v>
      </c>
      <c r="B40" s="16"/>
      <c r="C40" s="41"/>
      <c r="D40" s="41"/>
      <c r="E40" s="24">
        <v>2392</v>
      </c>
      <c r="F40" s="16"/>
      <c r="G40" s="41"/>
      <c r="H40" s="41"/>
      <c r="I40" s="23">
        <v>5855</v>
      </c>
    </row>
    <row r="41" spans="1:9" s="23" customFormat="1" x14ac:dyDescent="0.15">
      <c r="A41" s="23" t="s">
        <v>38</v>
      </c>
      <c r="B41" s="16"/>
      <c r="C41" s="41"/>
      <c r="D41" s="41"/>
      <c r="E41" s="24">
        <f>1330+565</f>
        <v>1895</v>
      </c>
      <c r="F41" s="16"/>
      <c r="G41" s="41"/>
      <c r="H41" s="41"/>
      <c r="I41" s="23">
        <f>4329+562</f>
        <v>4891</v>
      </c>
    </row>
    <row r="42" spans="1:9" s="23" customFormat="1" x14ac:dyDescent="0.15">
      <c r="B42" s="16"/>
      <c r="C42" s="41"/>
      <c r="D42" s="41"/>
      <c r="E42" s="24"/>
      <c r="F42" s="16"/>
      <c r="G42" s="41"/>
      <c r="H42" s="41"/>
    </row>
    <row r="43" spans="1:9" s="23" customFormat="1" x14ac:dyDescent="0.15">
      <c r="A43" s="23" t="s">
        <v>39</v>
      </c>
      <c r="B43" s="16"/>
      <c r="C43" s="41"/>
      <c r="D43" s="41"/>
      <c r="E43" s="28">
        <f t="shared" ref="E43" si="42">E40-E39-E36</f>
        <v>1596</v>
      </c>
      <c r="F43" s="16"/>
      <c r="G43" s="41"/>
      <c r="H43" s="41"/>
      <c r="I43" s="28">
        <f t="shared" ref="I43" si="43">I40-I39-I36</f>
        <v>4290</v>
      </c>
    </row>
    <row r="44" spans="1:9" s="23" customFormat="1" x14ac:dyDescent="0.15">
      <c r="A44" s="23" t="s">
        <v>40</v>
      </c>
      <c r="B44" s="16"/>
      <c r="C44" s="41"/>
      <c r="D44" s="41"/>
      <c r="E44" s="28">
        <f t="shared" ref="E44" si="44">E40-E41</f>
        <v>497</v>
      </c>
      <c r="F44" s="16"/>
      <c r="G44" s="41"/>
      <c r="H44" s="41"/>
      <c r="I44" s="28">
        <f t="shared" ref="I44" si="45">I40-I41</f>
        <v>964</v>
      </c>
    </row>
    <row r="45" spans="1:9" s="23" customFormat="1" x14ac:dyDescent="0.15">
      <c r="B45" s="16"/>
      <c r="C45" s="41"/>
      <c r="D45" s="41"/>
      <c r="E45" s="24"/>
      <c r="F45" s="16"/>
      <c r="G45" s="41"/>
      <c r="H45" s="41"/>
      <c r="I45" s="24"/>
    </row>
    <row r="46" spans="1:9" s="25" customFormat="1" x14ac:dyDescent="0.15">
      <c r="A46" s="25" t="s">
        <v>45</v>
      </c>
      <c r="B46" s="16"/>
      <c r="C46" s="41"/>
      <c r="D46" s="41"/>
      <c r="E46" s="26">
        <f t="shared" ref="E46" si="46">SUM(B21:E21)</f>
        <v>-33.319999999999979</v>
      </c>
      <c r="F46" s="16"/>
      <c r="G46" s="41"/>
      <c r="H46" s="41"/>
      <c r="I46" s="26">
        <f>SUM(F21:I21)</f>
        <v>322.96699999999998</v>
      </c>
    </row>
    <row r="47" spans="1:9" s="43" customFormat="1" x14ac:dyDescent="0.15">
      <c r="A47" s="42" t="s">
        <v>41</v>
      </c>
      <c r="B47" s="16"/>
      <c r="C47" s="41"/>
      <c r="D47" s="41"/>
      <c r="E47" s="32">
        <f t="shared" ref="E47" si="47">E46/E44</f>
        <v>-6.7042253521126721E-2</v>
      </c>
      <c r="F47" s="16"/>
      <c r="G47" s="41"/>
      <c r="H47" s="41"/>
      <c r="I47" s="32">
        <f t="shared" ref="I47" si="48">I46/I44</f>
        <v>0.33502800829875518</v>
      </c>
    </row>
    <row r="48" spans="1:9" s="43" customFormat="1" x14ac:dyDescent="0.15">
      <c r="A48" s="42" t="s">
        <v>42</v>
      </c>
      <c r="B48" s="16"/>
      <c r="C48" s="41"/>
      <c r="D48" s="41"/>
      <c r="E48" s="32">
        <f t="shared" ref="E48" si="49">E46/E40</f>
        <v>-1.3929765886287616E-2</v>
      </c>
      <c r="F48" s="16"/>
      <c r="G48" s="41"/>
      <c r="H48" s="41"/>
      <c r="I48" s="32">
        <f t="shared" ref="I48" si="50">I46/I40</f>
        <v>5.5160888129803583E-2</v>
      </c>
    </row>
    <row r="49" spans="1:9" s="43" customFormat="1" x14ac:dyDescent="0.15">
      <c r="A49" s="42" t="s">
        <v>43</v>
      </c>
      <c r="B49" s="16"/>
      <c r="C49" s="41"/>
      <c r="D49" s="41"/>
      <c r="E49" s="32">
        <f t="shared" ref="E49" si="51">E46/(E44-E39)</f>
        <v>-8.9569892473118223E-2</v>
      </c>
      <c r="F49" s="16"/>
      <c r="G49" s="41"/>
      <c r="H49" s="41"/>
      <c r="I49" s="32">
        <f t="shared" ref="I49" si="52">I46/(I44-I39)</f>
        <v>0.39100121065375298</v>
      </c>
    </row>
    <row r="50" spans="1:9" s="43" customFormat="1" x14ac:dyDescent="0.15">
      <c r="A50" s="42" t="s">
        <v>44</v>
      </c>
      <c r="B50" s="16"/>
      <c r="C50" s="41"/>
      <c r="D50" s="41"/>
      <c r="E50" s="32">
        <f t="shared" ref="E50" si="53">E46/E43</f>
        <v>-2.0877192982456126E-2</v>
      </c>
      <c r="F50" s="16"/>
      <c r="G50" s="41"/>
      <c r="H50" s="41"/>
      <c r="I50" s="32">
        <f t="shared" ref="I50" si="54">I46/I43</f>
        <v>7.5283682983682987E-2</v>
      </c>
    </row>
    <row r="51" spans="1:9" x14ac:dyDescent="0.15">
      <c r="B51" s="17"/>
      <c r="C51" s="24"/>
      <c r="D51" s="24"/>
      <c r="E51" s="24"/>
      <c r="F51" s="17"/>
      <c r="G51" s="24"/>
      <c r="H51" s="24"/>
      <c r="I51" s="24"/>
    </row>
    <row r="52" spans="1:9" x14ac:dyDescent="0.15">
      <c r="A52" s="23" t="s">
        <v>51</v>
      </c>
      <c r="B52" s="33"/>
      <c r="C52" s="32"/>
      <c r="D52" s="32"/>
      <c r="E52" s="32"/>
      <c r="F52" s="33">
        <f>F3/B3-1</f>
        <v>2.035010323104343</v>
      </c>
      <c r="G52" s="32">
        <f>G3/C3-1</f>
        <v>-3.8119490695396663E-2</v>
      </c>
      <c r="H52" s="32">
        <f>H3/D3-1</f>
        <v>0.99018985515609659</v>
      </c>
      <c r="I52" s="32">
        <f>I3/E3-1</f>
        <v>4.3512338676161706</v>
      </c>
    </row>
    <row r="53" spans="1:9" x14ac:dyDescent="0.15">
      <c r="A53" s="51" t="s">
        <v>64</v>
      </c>
      <c r="B53" s="33"/>
      <c r="C53" s="32"/>
      <c r="D53" s="32"/>
      <c r="E53" s="32"/>
      <c r="F53" s="33">
        <f>F4/B4-1</f>
        <v>0.52593070798364527</v>
      </c>
      <c r="G53" s="32">
        <f>G4/C4-1</f>
        <v>0.23604740061162066</v>
      </c>
      <c r="H53" s="32">
        <f>H4/D4-1</f>
        <v>1.2484848484848485</v>
      </c>
      <c r="I53" s="32">
        <f>I4/E4-1</f>
        <v>2.9159090909090906</v>
      </c>
    </row>
    <row r="54" spans="1:9" x14ac:dyDescent="0.15">
      <c r="A54" s="51" t="s">
        <v>68</v>
      </c>
      <c r="B54" s="33"/>
      <c r="C54" s="32"/>
      <c r="D54" s="32"/>
      <c r="E54" s="32"/>
      <c r="F54" s="33">
        <f>F5/B5-1</f>
        <v>1.4078398665554626</v>
      </c>
      <c r="G54" s="32">
        <f>G5/C5-1</f>
        <v>-0.70101752822341057</v>
      </c>
      <c r="H54" s="32">
        <f>H5/D5-1</f>
        <v>0.90026490066225162</v>
      </c>
      <c r="I54" s="32">
        <f>I5/E5-1</f>
        <v>21.21630489651691</v>
      </c>
    </row>
    <row r="55" spans="1:9" x14ac:dyDescent="0.15">
      <c r="A55" s="51"/>
      <c r="B55" s="33"/>
      <c r="C55" s="32"/>
      <c r="D55" s="32"/>
      <c r="E55" s="32"/>
      <c r="F55" s="33"/>
      <c r="G55" s="32"/>
      <c r="H55" s="32"/>
      <c r="I55" s="32"/>
    </row>
    <row r="56" spans="1:9" x14ac:dyDescent="0.15">
      <c r="A56" s="51" t="s">
        <v>65</v>
      </c>
      <c r="B56" s="33"/>
      <c r="C56" s="32"/>
      <c r="D56" s="32"/>
      <c r="E56" s="32"/>
      <c r="F56" s="33">
        <f>F7/B7-1</f>
        <v>0.2592592592592593</v>
      </c>
      <c r="G56" s="32">
        <f>G7/C7-1</f>
        <v>0.27586206896551735</v>
      </c>
      <c r="H56" s="32">
        <f>H7/D7-1</f>
        <v>0.25806451612903225</v>
      </c>
      <c r="I56" s="32">
        <f>I7/E7-1</f>
        <v>0.34375</v>
      </c>
    </row>
    <row r="57" spans="1:9" x14ac:dyDescent="0.15">
      <c r="A57" s="51" t="s">
        <v>66</v>
      </c>
      <c r="B57" s="33"/>
      <c r="C57" s="32"/>
      <c r="D57" s="32"/>
      <c r="E57" s="32"/>
      <c r="F57" s="33">
        <f>F8/B8-1</f>
        <v>1.2897907650475489</v>
      </c>
      <c r="G57" s="32">
        <f>G8/C8-1</f>
        <v>-0.30712078549961253</v>
      </c>
      <c r="H57" s="32">
        <f>H8/D8-1</f>
        <v>0.5813343970387066</v>
      </c>
      <c r="I57" s="32">
        <f>I8/E8-1</f>
        <v>3.4309326866167194</v>
      </c>
    </row>
    <row r="58" spans="1:9" x14ac:dyDescent="0.15">
      <c r="B58" s="17"/>
      <c r="C58" s="24"/>
      <c r="D58" s="24"/>
      <c r="E58" s="24"/>
      <c r="H58" s="24"/>
    </row>
  </sheetData>
  <hyperlinks>
    <hyperlink ref="A1" r:id="rId1" xr:uid="{EDCBF689-DFA5-934C-B6FC-5D6E9835B6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7EBE-1DCF-814D-89D9-C0446CB926E5}">
  <dimension ref="B4:C9"/>
  <sheetViews>
    <sheetView zoomScale="130" zoomScaleNormal="130" workbookViewId="0">
      <selection activeCell="C16" sqref="C16"/>
    </sheetView>
  </sheetViews>
  <sheetFormatPr baseColWidth="10" defaultRowHeight="13" x14ac:dyDescent="0.15"/>
  <cols>
    <col min="1" max="1" width="10.83203125" style="1"/>
    <col min="2" max="2" width="13" style="1" bestFit="1" customWidth="1"/>
    <col min="3" max="3" width="49.6640625" style="1" bestFit="1" customWidth="1"/>
    <col min="4" max="16384" width="10.83203125" style="1"/>
  </cols>
  <sheetData>
    <row r="4" spans="2:3" x14ac:dyDescent="0.15">
      <c r="B4" s="55" t="s">
        <v>57</v>
      </c>
    </row>
    <row r="6" spans="2:3" x14ac:dyDescent="0.15">
      <c r="B6" s="44" t="s">
        <v>61</v>
      </c>
      <c r="C6" s="44" t="s">
        <v>71</v>
      </c>
    </row>
    <row r="7" spans="2:3" x14ac:dyDescent="0.15">
      <c r="B7" s="44" t="s">
        <v>62</v>
      </c>
      <c r="C7" s="44" t="s">
        <v>72</v>
      </c>
    </row>
    <row r="8" spans="2:3" s="44" customFormat="1" x14ac:dyDescent="0.15"/>
    <row r="9" spans="2:3" x14ac:dyDescent="0.15">
      <c r="B9" s="44"/>
      <c r="C9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2021-02-25T15:40:22Z</dcterms:modified>
</cp:coreProperties>
</file>