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7DC0D54F-876D-CA46-9BD4-EDAC42FE6696}" xr6:coauthVersionLast="46" xr6:coauthVersionMax="46" xr10:uidLastSave="{00000000-0000-0000-0000-000000000000}"/>
  <bookViews>
    <workbookView xWindow="0" yWindow="460" windowWidth="1896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3" i="2"/>
  <c r="F12" i="2"/>
  <c r="S8" i="1"/>
  <c r="Q53" i="1"/>
  <c r="P53" i="1"/>
  <c r="P37" i="1"/>
  <c r="P34" i="1"/>
  <c r="P50" i="1"/>
  <c r="P44" i="1"/>
  <c r="P42" i="1"/>
  <c r="P41" i="1"/>
  <c r="P33" i="1"/>
  <c r="P31" i="1"/>
  <c r="P30" i="1"/>
  <c r="P29" i="1"/>
  <c r="P28" i="1"/>
  <c r="P27" i="1"/>
  <c r="P25" i="1"/>
  <c r="P24" i="1"/>
  <c r="P23" i="1"/>
  <c r="P19" i="1"/>
  <c r="P20" i="1" s="1"/>
  <c r="P17" i="1"/>
  <c r="P15" i="1"/>
  <c r="P14" i="1"/>
  <c r="P10" i="1"/>
  <c r="P8" i="1"/>
  <c r="P6" i="1"/>
  <c r="Q6" i="1" s="1"/>
  <c r="O52" i="1"/>
  <c r="O53" i="1"/>
  <c r="O37" i="1"/>
  <c r="O34" i="1"/>
  <c r="O50" i="1"/>
  <c r="O44" i="1"/>
  <c r="O42" i="1"/>
  <c r="O41" i="1"/>
  <c r="O33" i="1"/>
  <c r="O31" i="1"/>
  <c r="O30" i="1"/>
  <c r="O29" i="1"/>
  <c r="O28" i="1"/>
  <c r="O27" i="1"/>
  <c r="O25" i="1"/>
  <c r="O24" i="1"/>
  <c r="O23" i="1"/>
  <c r="O19" i="1"/>
  <c r="O20" i="1" s="1"/>
  <c r="O17" i="1"/>
  <c r="O14" i="1"/>
  <c r="O15" i="1" s="1"/>
  <c r="O10" i="1"/>
  <c r="O8" i="1"/>
  <c r="O6" i="1"/>
  <c r="Q5" i="1"/>
  <c r="Q52" i="1" s="1"/>
  <c r="E28" i="2"/>
  <c r="E25" i="2"/>
  <c r="E23" i="2"/>
  <c r="E20" i="2"/>
  <c r="E19" i="2"/>
  <c r="E18" i="2"/>
  <c r="F18" i="2" s="1"/>
  <c r="G18" i="2" s="1"/>
  <c r="H18" i="2" s="1"/>
  <c r="I18" i="2" s="1"/>
  <c r="J18" i="2" s="1"/>
  <c r="E16" i="2"/>
  <c r="E12" i="2"/>
  <c r="E10" i="2"/>
  <c r="E13" i="2" s="1"/>
  <c r="D46" i="2"/>
  <c r="D45" i="2"/>
  <c r="D44" i="2"/>
  <c r="D42" i="2"/>
  <c r="D41" i="2"/>
  <c r="D28" i="2"/>
  <c r="D12" i="2"/>
  <c r="D25" i="2"/>
  <c r="D23" i="2"/>
  <c r="D20" i="2"/>
  <c r="D19" i="2"/>
  <c r="D18" i="2"/>
  <c r="D16" i="2"/>
  <c r="D10" i="2"/>
  <c r="C28" i="2"/>
  <c r="C25" i="2"/>
  <c r="C23" i="2"/>
  <c r="C20" i="2"/>
  <c r="C19" i="2"/>
  <c r="C18" i="2"/>
  <c r="C16" i="2"/>
  <c r="D8" i="1"/>
  <c r="B8" i="1"/>
  <c r="C8" i="1"/>
  <c r="C10" i="2"/>
  <c r="C12" i="2"/>
  <c r="N53" i="1"/>
  <c r="M53" i="1"/>
  <c r="L53" i="1"/>
  <c r="K53" i="1"/>
  <c r="N52" i="1"/>
  <c r="M52" i="1"/>
  <c r="L52" i="1"/>
  <c r="K52" i="1"/>
  <c r="J53" i="1"/>
  <c r="J52" i="1"/>
  <c r="I53" i="1"/>
  <c r="H53" i="1"/>
  <c r="G53" i="1"/>
  <c r="F53" i="1"/>
  <c r="I52" i="1"/>
  <c r="H52" i="1"/>
  <c r="G52" i="1"/>
  <c r="F52" i="1"/>
  <c r="B6" i="1"/>
  <c r="C6" i="1"/>
  <c r="F6" i="1"/>
  <c r="F8" i="1" s="1"/>
  <c r="E8" i="1"/>
  <c r="D6" i="1"/>
  <c r="E6" i="1"/>
  <c r="E37" i="1"/>
  <c r="E34" i="1"/>
  <c r="E42" i="1"/>
  <c r="E13" i="1"/>
  <c r="J37" i="1"/>
  <c r="J41" i="1" s="1"/>
  <c r="J35" i="1"/>
  <c r="J34" i="1"/>
  <c r="J42" i="1"/>
  <c r="J33" i="1"/>
  <c r="K37" i="1"/>
  <c r="K35" i="1"/>
  <c r="K34" i="1"/>
  <c r="K44" i="1"/>
  <c r="K42" i="1"/>
  <c r="K41" i="1"/>
  <c r="K14" i="1"/>
  <c r="G8" i="1"/>
  <c r="K8" i="1"/>
  <c r="I8" i="1"/>
  <c r="I6" i="1"/>
  <c r="G6" i="1"/>
  <c r="K6" i="1"/>
  <c r="L37" i="1"/>
  <c r="L34" i="1"/>
  <c r="H8" i="1"/>
  <c r="H6" i="1"/>
  <c r="J8" i="1"/>
  <c r="L8" i="1"/>
  <c r="M8" i="1"/>
  <c r="N8" i="1"/>
  <c r="N6" i="1"/>
  <c r="L6" i="1"/>
  <c r="M6" i="1"/>
  <c r="I37" i="1"/>
  <c r="I34" i="1"/>
  <c r="M37" i="1"/>
  <c r="M34" i="1"/>
  <c r="N37" i="1"/>
  <c r="N34" i="1"/>
  <c r="J6" i="1"/>
  <c r="D58" i="2" l="1"/>
  <c r="C13" i="2"/>
  <c r="C15" i="2" s="1"/>
  <c r="E15" i="2"/>
  <c r="E58" i="2"/>
  <c r="D13" i="2"/>
  <c r="F58" i="2"/>
  <c r="P48" i="1"/>
  <c r="P45" i="1"/>
  <c r="P46" i="1"/>
  <c r="P47" i="1"/>
  <c r="Q8" i="1"/>
  <c r="Q27" i="1" s="1"/>
  <c r="O48" i="1"/>
  <c r="O45" i="1"/>
  <c r="O46" i="1"/>
  <c r="O47" i="1"/>
  <c r="F13" i="2"/>
  <c r="F15" i="2" s="1"/>
  <c r="G12" i="2"/>
  <c r="H12" i="2" s="1"/>
  <c r="I12" i="2" s="1"/>
  <c r="J12" i="2" s="1"/>
  <c r="G58" i="2"/>
  <c r="P52" i="1"/>
  <c r="H58" i="2"/>
  <c r="E41" i="1"/>
  <c r="E33" i="1"/>
  <c r="K48" i="1"/>
  <c r="K33" i="1"/>
  <c r="K45" i="1"/>
  <c r="K46" i="1"/>
  <c r="K47" i="1"/>
  <c r="F4" i="2"/>
  <c r="F20" i="2"/>
  <c r="G20" i="2" s="1"/>
  <c r="H20" i="2" s="1"/>
  <c r="I20" i="2" s="1"/>
  <c r="J20" i="2" s="1"/>
  <c r="F19" i="2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K18" i="2"/>
  <c r="L18" i="2" s="1"/>
  <c r="M18" i="2" s="1"/>
  <c r="N18" i="2" s="1"/>
  <c r="O18" i="2" s="1"/>
  <c r="P18" i="2" s="1"/>
  <c r="Q18" i="2" s="1"/>
  <c r="R18" i="2" s="1"/>
  <c r="S18" i="2" s="1"/>
  <c r="T18" i="2" s="1"/>
  <c r="D15" i="2" l="1"/>
  <c r="D59" i="2"/>
  <c r="E59" i="2"/>
  <c r="F59" i="2"/>
  <c r="G13" i="2"/>
  <c r="J58" i="2"/>
  <c r="I58" i="2"/>
  <c r="E46" i="2"/>
  <c r="E45" i="2"/>
  <c r="N41" i="1"/>
  <c r="E44" i="2"/>
  <c r="E42" i="2"/>
  <c r="E41" i="2"/>
  <c r="M50" i="1"/>
  <c r="M42" i="1"/>
  <c r="M29" i="1"/>
  <c r="M28" i="1"/>
  <c r="M10" i="1"/>
  <c r="M23" i="1" s="1"/>
  <c r="H13" i="2" l="1"/>
  <c r="G59" i="2"/>
  <c r="G15" i="2"/>
  <c r="E49" i="2"/>
  <c r="M41" i="1"/>
  <c r="M33" i="1"/>
  <c r="M14" i="1"/>
  <c r="M15" i="1" s="1"/>
  <c r="F35" i="2"/>
  <c r="E40" i="2"/>
  <c r="E48" i="2"/>
  <c r="I13" i="2" l="1"/>
  <c r="H59" i="2"/>
  <c r="H15" i="2"/>
  <c r="M24" i="1"/>
  <c r="M17" i="1"/>
  <c r="M25" i="1" s="1"/>
  <c r="E17" i="2"/>
  <c r="J13" i="2" l="1"/>
  <c r="I15" i="2"/>
  <c r="I59" i="2"/>
  <c r="M19" i="1"/>
  <c r="M20" i="1" s="1"/>
  <c r="J15" i="2" l="1"/>
  <c r="J59" i="2"/>
  <c r="L42" i="1"/>
  <c r="L50" i="1"/>
  <c r="L14" i="1"/>
  <c r="L10" i="1"/>
  <c r="N50" i="1"/>
  <c r="N42" i="1"/>
  <c r="N29" i="1"/>
  <c r="N28" i="1"/>
  <c r="N14" i="1"/>
  <c r="L41" i="1" l="1"/>
  <c r="L33" i="1"/>
  <c r="L15" i="1"/>
  <c r="L17" i="1" s="1"/>
  <c r="L19" i="1" s="1"/>
  <c r="L20" i="1" s="1"/>
  <c r="N10" i="1"/>
  <c r="N30" i="1"/>
  <c r="N33" i="1"/>
  <c r="C4" i="2"/>
  <c r="L28" i="1"/>
  <c r="L29" i="1"/>
  <c r="K50" i="1"/>
  <c r="K29" i="1"/>
  <c r="K28" i="1"/>
  <c r="E56" i="2"/>
  <c r="B14" i="1"/>
  <c r="G14" i="1"/>
  <c r="D14" i="1"/>
  <c r="H14" i="1"/>
  <c r="M30" i="1"/>
  <c r="J50" i="1"/>
  <c r="H10" i="1"/>
  <c r="H23" i="1" s="1"/>
  <c r="G10" i="1"/>
  <c r="F14" i="1"/>
  <c r="J29" i="1"/>
  <c r="J28" i="1"/>
  <c r="F10" i="1"/>
  <c r="F23" i="1" s="1"/>
  <c r="E14" i="1"/>
  <c r="J10" i="1"/>
  <c r="I42" i="1"/>
  <c r="E10" i="1"/>
  <c r="E23" i="1" s="1"/>
  <c r="I50" i="1"/>
  <c r="H50" i="1"/>
  <c r="G50" i="1"/>
  <c r="F50" i="1"/>
  <c r="B10" i="1"/>
  <c r="I29" i="1"/>
  <c r="I28" i="1"/>
  <c r="F29" i="1"/>
  <c r="F28" i="1"/>
  <c r="G29" i="1"/>
  <c r="G28" i="1"/>
  <c r="H29" i="1"/>
  <c r="H28" i="1"/>
  <c r="F28" i="2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K10" i="1" l="1"/>
  <c r="C17" i="2"/>
  <c r="C30" i="2" s="1"/>
  <c r="I30" i="1"/>
  <c r="I41" i="1"/>
  <c r="F30" i="1"/>
  <c r="C21" i="2"/>
  <c r="B15" i="1"/>
  <c r="B24" i="1" s="1"/>
  <c r="J14" i="1"/>
  <c r="N31" i="1" s="1"/>
  <c r="I14" i="1"/>
  <c r="H30" i="1"/>
  <c r="I10" i="1"/>
  <c r="I23" i="1" s="1"/>
  <c r="M27" i="1"/>
  <c r="H27" i="1"/>
  <c r="J27" i="1"/>
  <c r="N27" i="1"/>
  <c r="D35" i="2"/>
  <c r="D40" i="2"/>
  <c r="D36" i="2"/>
  <c r="N15" i="1"/>
  <c r="N23" i="1"/>
  <c r="G15" i="1"/>
  <c r="G17" i="1" s="1"/>
  <c r="G23" i="1"/>
  <c r="D56" i="2"/>
  <c r="G30" i="1"/>
  <c r="D49" i="2"/>
  <c r="D48" i="2"/>
  <c r="E15" i="1"/>
  <c r="E24" i="1" s="1"/>
  <c r="B23" i="1"/>
  <c r="F27" i="1"/>
  <c r="I33" i="1"/>
  <c r="H31" i="1"/>
  <c r="F31" i="1"/>
  <c r="L30" i="1"/>
  <c r="K23" i="1"/>
  <c r="H15" i="1"/>
  <c r="I27" i="1"/>
  <c r="D10" i="1"/>
  <c r="F15" i="1"/>
  <c r="C14" i="1"/>
  <c r="K27" i="1"/>
  <c r="K31" i="1"/>
  <c r="J30" i="1"/>
  <c r="C6" i="2"/>
  <c r="C7" i="2" s="1"/>
  <c r="C10" i="1"/>
  <c r="J23" i="1"/>
  <c r="K30" i="1"/>
  <c r="G27" i="1"/>
  <c r="L31" i="1"/>
  <c r="J15" i="1" l="1"/>
  <c r="J17" i="1" s="1"/>
  <c r="J25" i="1" s="1"/>
  <c r="D37" i="2"/>
  <c r="B17" i="1"/>
  <c r="B25" i="1" s="1"/>
  <c r="G24" i="1"/>
  <c r="J31" i="1"/>
  <c r="I15" i="1"/>
  <c r="I24" i="1" s="1"/>
  <c r="E21" i="2"/>
  <c r="E22" i="2" s="1"/>
  <c r="E24" i="2" s="1"/>
  <c r="M31" i="1"/>
  <c r="I31" i="1"/>
  <c r="N24" i="1"/>
  <c r="N17" i="1"/>
  <c r="G31" i="1"/>
  <c r="E17" i="1"/>
  <c r="E25" i="1" s="1"/>
  <c r="G19" i="1"/>
  <c r="J44" i="1" s="1"/>
  <c r="G25" i="1"/>
  <c r="L27" i="1"/>
  <c r="C15" i="1"/>
  <c r="C23" i="1"/>
  <c r="C22" i="2"/>
  <c r="F24" i="1"/>
  <c r="F17" i="1"/>
  <c r="D23" i="1"/>
  <c r="D15" i="1"/>
  <c r="E36" i="2"/>
  <c r="H17" i="1"/>
  <c r="H24" i="1"/>
  <c r="D34" i="2"/>
  <c r="D17" i="2"/>
  <c r="K15" i="1"/>
  <c r="D21" i="2"/>
  <c r="D38" i="2" s="1"/>
  <c r="J48" i="1" l="1"/>
  <c r="J45" i="1"/>
  <c r="J46" i="1"/>
  <c r="J47" i="1"/>
  <c r="J24" i="1"/>
  <c r="J19" i="1"/>
  <c r="J20" i="1" s="1"/>
  <c r="B19" i="1"/>
  <c r="B20" i="1" s="1"/>
  <c r="I17" i="1"/>
  <c r="I19" i="1" s="1"/>
  <c r="E19" i="1"/>
  <c r="N19" i="1"/>
  <c r="N25" i="1"/>
  <c r="E35" i="2"/>
  <c r="K17" i="1"/>
  <c r="K24" i="1"/>
  <c r="F36" i="2"/>
  <c r="C31" i="2"/>
  <c r="C24" i="2"/>
  <c r="H19" i="1"/>
  <c r="H25" i="1"/>
  <c r="L23" i="1"/>
  <c r="D24" i="1"/>
  <c r="D17" i="1"/>
  <c r="E37" i="2"/>
  <c r="D22" i="2"/>
  <c r="D30" i="2"/>
  <c r="F25" i="1"/>
  <c r="F19" i="1"/>
  <c r="C24" i="1"/>
  <c r="C17" i="1"/>
  <c r="G20" i="1"/>
  <c r="E38" i="2"/>
  <c r="E20" i="1" l="1"/>
  <c r="I25" i="1"/>
  <c r="I20" i="1"/>
  <c r="N20" i="1"/>
  <c r="L24" i="1"/>
  <c r="F37" i="2"/>
  <c r="G21" i="2"/>
  <c r="K25" i="1"/>
  <c r="K19" i="1"/>
  <c r="C26" i="2"/>
  <c r="C32" i="2"/>
  <c r="G36" i="2"/>
  <c r="E34" i="2"/>
  <c r="H20" i="1"/>
  <c r="C19" i="1"/>
  <c r="C25" i="1"/>
  <c r="D25" i="1"/>
  <c r="D19" i="1"/>
  <c r="F20" i="1"/>
  <c r="I44" i="1"/>
  <c r="D31" i="2"/>
  <c r="D24" i="2"/>
  <c r="F21" i="2"/>
  <c r="F38" i="2" s="1"/>
  <c r="C27" i="2" l="1"/>
  <c r="E44" i="1"/>
  <c r="E45" i="1" s="1"/>
  <c r="K20" i="1"/>
  <c r="M44" i="1"/>
  <c r="L44" i="1"/>
  <c r="G38" i="2"/>
  <c r="G35" i="2"/>
  <c r="E30" i="2"/>
  <c r="G37" i="2"/>
  <c r="H36" i="2"/>
  <c r="F34" i="2"/>
  <c r="D32" i="2"/>
  <c r="D26" i="2"/>
  <c r="I48" i="1"/>
  <c r="I47" i="1"/>
  <c r="I46" i="1"/>
  <c r="I45" i="1"/>
  <c r="D20" i="1"/>
  <c r="C20" i="1"/>
  <c r="E46" i="1" l="1"/>
  <c r="E47" i="1"/>
  <c r="E48" i="1"/>
  <c r="L47" i="1"/>
  <c r="L45" i="1"/>
  <c r="L48" i="1"/>
  <c r="L46" i="1"/>
  <c r="M48" i="1"/>
  <c r="M47" i="1"/>
  <c r="M45" i="1"/>
  <c r="M46" i="1"/>
  <c r="F17" i="2"/>
  <c r="F16" i="2" s="1"/>
  <c r="H21" i="2"/>
  <c r="H38" i="2" s="1"/>
  <c r="D54" i="2"/>
  <c r="D53" i="2"/>
  <c r="D51" i="2"/>
  <c r="H35" i="2"/>
  <c r="G34" i="2"/>
  <c r="L25" i="1"/>
  <c r="D27" i="2"/>
  <c r="D52" i="2"/>
  <c r="I36" i="2"/>
  <c r="E31" i="2"/>
  <c r="H37" i="2"/>
  <c r="P35" i="2" l="1"/>
  <c r="F22" i="2"/>
  <c r="F31" i="2" s="1"/>
  <c r="F30" i="2"/>
  <c r="G17" i="2" s="1"/>
  <c r="G22" i="2" s="1"/>
  <c r="I21" i="2"/>
  <c r="I38" i="2" s="1"/>
  <c r="I35" i="2"/>
  <c r="E32" i="2"/>
  <c r="H34" i="2"/>
  <c r="J36" i="2"/>
  <c r="I37" i="2"/>
  <c r="Q35" i="2" l="1"/>
  <c r="G16" i="2"/>
  <c r="G30" i="2"/>
  <c r="H17" i="2" s="1"/>
  <c r="H16" i="2" s="1"/>
  <c r="E26" i="2"/>
  <c r="N44" i="1"/>
  <c r="J35" i="2"/>
  <c r="I34" i="2"/>
  <c r="J37" i="2"/>
  <c r="K20" i="2"/>
  <c r="J21" i="2"/>
  <c r="J38" i="2" s="1"/>
  <c r="K36" i="2"/>
  <c r="G31" i="2"/>
  <c r="R35" i="2" l="1"/>
  <c r="H30" i="2"/>
  <c r="I17" i="2" s="1"/>
  <c r="I16" i="2" s="1"/>
  <c r="H22" i="2"/>
  <c r="H31" i="2" s="1"/>
  <c r="N48" i="1"/>
  <c r="N47" i="1"/>
  <c r="E27" i="2"/>
  <c r="E51" i="2"/>
  <c r="E53" i="2"/>
  <c r="E52" i="2"/>
  <c r="E54" i="2"/>
  <c r="F23" i="2"/>
  <c r="F24" i="2" s="1"/>
  <c r="F25" i="2" s="1"/>
  <c r="N46" i="1"/>
  <c r="N45" i="1"/>
  <c r="K35" i="2"/>
  <c r="L20" i="2"/>
  <c r="L21" i="2" s="1"/>
  <c r="K37" i="2"/>
  <c r="K15" i="2"/>
  <c r="J34" i="2"/>
  <c r="K21" i="2"/>
  <c r="K38" i="2" s="1"/>
  <c r="L36" i="2"/>
  <c r="S35" i="2" l="1"/>
  <c r="I30" i="2"/>
  <c r="J17" i="2" s="1"/>
  <c r="J16" i="2" s="1"/>
  <c r="I22" i="2"/>
  <c r="I31" i="2" s="1"/>
  <c r="L35" i="2"/>
  <c r="F32" i="2"/>
  <c r="L15" i="2"/>
  <c r="K34" i="2"/>
  <c r="L38" i="2"/>
  <c r="M36" i="2"/>
  <c r="M20" i="2"/>
  <c r="L37" i="2"/>
  <c r="T35" i="2" l="1"/>
  <c r="J30" i="2"/>
  <c r="K17" i="2" s="1"/>
  <c r="J22" i="2"/>
  <c r="J31" i="2" s="1"/>
  <c r="F26" i="2"/>
  <c r="M35" i="2"/>
  <c r="M15" i="2"/>
  <c r="L34" i="2"/>
  <c r="N36" i="2"/>
  <c r="K22" i="2"/>
  <c r="K30" i="2"/>
  <c r="L17" i="2" s="1"/>
  <c r="K16" i="2"/>
  <c r="N20" i="2"/>
  <c r="M37" i="2"/>
  <c r="M21" i="2"/>
  <c r="M38" i="2" s="1"/>
  <c r="F40" i="2" l="1"/>
  <c r="P36" i="2"/>
  <c r="F27" i="2"/>
  <c r="N35" i="2"/>
  <c r="L22" i="2"/>
  <c r="L30" i="2"/>
  <c r="M17" i="2" s="1"/>
  <c r="L16" i="2"/>
  <c r="N37" i="2"/>
  <c r="O20" i="2"/>
  <c r="K31" i="2"/>
  <c r="N21" i="2"/>
  <c r="N38" i="2" s="1"/>
  <c r="O36" i="2"/>
  <c r="N15" i="2"/>
  <c r="M34" i="2"/>
  <c r="O21" i="2" l="1"/>
  <c r="P20" i="2"/>
  <c r="Q36" i="2"/>
  <c r="O35" i="2"/>
  <c r="M30" i="2"/>
  <c r="N17" i="2" s="1"/>
  <c r="N16" i="2" s="1"/>
  <c r="M22" i="2"/>
  <c r="M16" i="2"/>
  <c r="N34" i="2"/>
  <c r="O15" i="2"/>
  <c r="P15" i="2" s="1"/>
  <c r="O38" i="2"/>
  <c r="G23" i="2"/>
  <c r="G24" i="2" s="1"/>
  <c r="G25" i="2" s="1"/>
  <c r="O37" i="2"/>
  <c r="L31" i="2"/>
  <c r="Q15" i="2" l="1"/>
  <c r="P34" i="2"/>
  <c r="P37" i="2"/>
  <c r="Q20" i="2"/>
  <c r="P21" i="2"/>
  <c r="P38" i="2" s="1"/>
  <c r="R36" i="2"/>
  <c r="G32" i="2"/>
  <c r="M31" i="2"/>
  <c r="O34" i="2"/>
  <c r="N22" i="2"/>
  <c r="N30" i="2"/>
  <c r="O17" i="2" s="1"/>
  <c r="Q34" i="2" l="1"/>
  <c r="R15" i="2"/>
  <c r="Q37" i="2"/>
  <c r="R20" i="2"/>
  <c r="Q21" i="2"/>
  <c r="S36" i="2"/>
  <c r="G26" i="2"/>
  <c r="O22" i="2"/>
  <c r="O30" i="2"/>
  <c r="P17" i="2" s="1"/>
  <c r="O16" i="2"/>
  <c r="N31" i="2"/>
  <c r="P30" i="2" l="1"/>
  <c r="Q17" i="2" s="1"/>
  <c r="P16" i="2"/>
  <c r="S15" i="2"/>
  <c r="R34" i="2"/>
  <c r="P22" i="2"/>
  <c r="P31" i="2" s="1"/>
  <c r="Q38" i="2"/>
  <c r="Q22" i="2"/>
  <c r="Q31" i="2" s="1"/>
  <c r="R37" i="2"/>
  <c r="S20" i="2"/>
  <c r="R21" i="2"/>
  <c r="T36" i="2"/>
  <c r="G27" i="2"/>
  <c r="G40" i="2"/>
  <c r="H23" i="2" s="1"/>
  <c r="H24" i="2" s="1"/>
  <c r="H25" i="2" s="1"/>
  <c r="O31" i="2"/>
  <c r="S34" i="2" l="1"/>
  <c r="T15" i="2"/>
  <c r="Q30" i="2"/>
  <c r="R17" i="2" s="1"/>
  <c r="R22" i="2" s="1"/>
  <c r="R31" i="2" s="1"/>
  <c r="Q16" i="2"/>
  <c r="R38" i="2"/>
  <c r="T20" i="2"/>
  <c r="S37" i="2"/>
  <c r="S21" i="2"/>
  <c r="H32" i="2"/>
  <c r="R30" i="2" l="1"/>
  <c r="S17" i="2" s="1"/>
  <c r="S22" i="2" s="1"/>
  <c r="S31" i="2" s="1"/>
  <c r="R16" i="2"/>
  <c r="T34" i="2"/>
  <c r="S38" i="2"/>
  <c r="T37" i="2"/>
  <c r="T21" i="2"/>
  <c r="H26" i="2"/>
  <c r="S30" i="2" l="1"/>
  <c r="T17" i="2" s="1"/>
  <c r="T22" i="2" s="1"/>
  <c r="T31" i="2" s="1"/>
  <c r="S16" i="2"/>
  <c r="T38" i="2"/>
  <c r="H40" i="2"/>
  <c r="I23" i="2" s="1"/>
  <c r="I24" i="2" s="1"/>
  <c r="I25" i="2" s="1"/>
  <c r="H27" i="2"/>
  <c r="T30" i="2" l="1"/>
  <c r="T16" i="2"/>
  <c r="I32" i="2"/>
  <c r="I26" i="2" l="1"/>
  <c r="I27" i="2" l="1"/>
  <c r="I40" i="2"/>
  <c r="J23" i="2" s="1"/>
  <c r="J24" i="2" s="1"/>
  <c r="J25" i="2" s="1"/>
  <c r="J32" i="2" l="1"/>
  <c r="J26" i="2" l="1"/>
  <c r="J40" i="2" l="1"/>
  <c r="J27" i="2"/>
  <c r="K23" i="2"/>
  <c r="K24" i="2" s="1"/>
  <c r="K25" i="2" s="1"/>
  <c r="K32" i="2" l="1"/>
  <c r="K26" i="2" l="1"/>
  <c r="K27" i="2" s="1"/>
  <c r="K40" i="2" l="1"/>
  <c r="L23" i="2" s="1"/>
  <c r="L24" i="2" s="1"/>
  <c r="L25" i="2" s="1"/>
  <c r="L32" i="2" l="1"/>
  <c r="L26" i="2" l="1"/>
  <c r="L27" i="2" l="1"/>
  <c r="L40" i="2"/>
  <c r="M23" i="2" l="1"/>
  <c r="M24" i="2" s="1"/>
  <c r="M25" i="2" s="1"/>
  <c r="M32" i="2" l="1"/>
  <c r="M26" i="2" l="1"/>
  <c r="M27" i="2" s="1"/>
  <c r="M40" i="2"/>
  <c r="N23" i="2" l="1"/>
  <c r="N24" i="2" s="1"/>
  <c r="N25" i="2" s="1"/>
  <c r="N32" i="2" l="1"/>
  <c r="N26" i="2" l="1"/>
  <c r="N27" i="2" s="1"/>
  <c r="N40" i="2" l="1"/>
  <c r="O23" i="2"/>
  <c r="O24" i="2" s="1"/>
  <c r="O25" i="2" s="1"/>
  <c r="O32" i="2" l="1"/>
  <c r="O26" i="2" l="1"/>
  <c r="O27" i="2" l="1"/>
  <c r="O40" i="2"/>
  <c r="P23" i="2" l="1"/>
  <c r="P24" i="2" s="1"/>
  <c r="P25" i="2" s="1"/>
  <c r="P32" i="2" l="1"/>
  <c r="P26" i="2" l="1"/>
  <c r="P27" i="2" s="1"/>
  <c r="P40" i="2"/>
  <c r="Q23" i="2" l="1"/>
  <c r="Q24" i="2" s="1"/>
  <c r="Q25" i="2" s="1"/>
  <c r="Q32" i="2" l="1"/>
  <c r="Q26" i="2" l="1"/>
  <c r="Q27" i="2" l="1"/>
  <c r="Q40" i="2"/>
  <c r="R23" i="2" l="1"/>
  <c r="R24" i="2" s="1"/>
  <c r="R25" i="2" s="1"/>
  <c r="R32" i="2" l="1"/>
  <c r="R26" i="2"/>
  <c r="R27" i="2" l="1"/>
  <c r="R40" i="2"/>
  <c r="S23" i="2" l="1"/>
  <c r="S24" i="2" s="1"/>
  <c r="S25" i="2" s="1"/>
  <c r="S32" i="2" l="1"/>
  <c r="S26" i="2"/>
  <c r="S27" i="2" l="1"/>
  <c r="S40" i="2"/>
  <c r="T23" i="2" l="1"/>
  <c r="T24" i="2" s="1"/>
  <c r="T25" i="2" s="1"/>
  <c r="T32" i="2" l="1"/>
  <c r="T26" i="2" l="1"/>
  <c r="T27" i="2"/>
  <c r="U26" i="2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F5" i="2" s="1"/>
  <c r="T40" i="2"/>
  <c r="F6" i="2" l="1"/>
  <c r="F7" i="2" s="1"/>
  <c r="G7" i="2" s="1"/>
</calcChain>
</file>

<file path=xl/sharedStrings.xml><?xml version="1.0" encoding="utf-8"?>
<sst xmlns="http://schemas.openxmlformats.org/spreadsheetml/2006/main" count="143" uniqueCount="98">
  <si>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</si>
  <si>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</si>
  <si>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</si>
  <si>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</si>
  <si>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</si>
  <si>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</si>
  <si>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</si>
  <si>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</si>
  <si>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</si>
  <si>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</si>
  <si>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</si>
  <si>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</si>
  <si>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</si>
  <si>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</si>
  <si>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</si>
  <si>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</si>
  <si>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</si>
  <si>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</si>
  <si>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</si>
  <si>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</si>
  <si>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</si>
  <si>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</si>
  <si>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</si>
  <si>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</si>
  <si>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</si>
  <si>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</si>
  <si>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</si>
  <si>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</si>
  <si>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</si>
  <si>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</si>
  <si>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</si>
  <si>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</si>
  <si>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</si>
  <si>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</si>
  <si>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</si>
  <si>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</si>
  <si>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</si>
  <si>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</si>
  <si>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</si>
  <si>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</si>
  <si>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</si>
  <si>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</si>
  <si>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</si>
  <si>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</si>
  <si>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</si>
  <si>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</si>
  <si>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</si>
  <si>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</si>
  <si>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</si>
  <si>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</si>
  <si>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</si>
  <si>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</si>
  <si>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</si>
  <si>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</si>
  <si>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</si>
  <si>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</si>
  <si>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</si>
  <si>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</si>
  <si>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</si>
  <si>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</si>
  <si>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ARPU</t>
  </si>
  <si>
    <t>ARPU y/y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</si>
  <si>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</si>
  <si>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</si>
  <si>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</si>
  <si>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</si>
  <si>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</si>
  <si>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</si>
  <si>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Products</t>
  </si>
  <si>
    <t>Jeff Lawson</t>
  </si>
  <si>
    <t>Evan Cooke</t>
  </si>
  <si>
    <t>Twilio Inc (TWLO)</t>
  </si>
  <si>
    <t>Active customers</t>
  </si>
  <si>
    <t>Active customers y/y</t>
  </si>
  <si>
    <t>Aquired</t>
  </si>
  <si>
    <t>SendGrid</t>
  </si>
  <si>
    <t>Shipping notification service</t>
  </si>
  <si>
    <t>https://sendgrid.com/</t>
  </si>
  <si>
    <t>Twilio Flex</t>
  </si>
  <si>
    <t>Twilio Studio</t>
  </si>
  <si>
    <t>Autopilot</t>
  </si>
  <si>
    <t>Authy</t>
  </si>
  <si>
    <t>Verify</t>
  </si>
  <si>
    <t>https://www.twilio.com/flex</t>
  </si>
  <si>
    <t>https://www.twilio.com/autopilot</t>
  </si>
  <si>
    <t>https://www.twilio.com/studio</t>
  </si>
  <si>
    <t>https://www.twilio.com/authy</t>
  </si>
  <si>
    <t>https://www.twilio.com/verify</t>
  </si>
  <si>
    <t>Cloud contact center platform</t>
  </si>
  <si>
    <t>No-code application builder</t>
  </si>
  <si>
    <t>Chat bot builder</t>
  </si>
  <si>
    <t>Authentication service</t>
  </si>
  <si>
    <t>Contact information validation</t>
  </si>
  <si>
    <t>Communication services</t>
  </si>
  <si>
    <t>Communication services y/y</t>
  </si>
  <si>
    <t>Q220</t>
  </si>
  <si>
    <t>Q320</t>
  </si>
  <si>
    <t>OE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</si>
</sst>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8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9" fontId="6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4" fillId="0" borderId="0" xfId="4" applyBorder="1"/>
    <xf numFmtId="14" fontId="6" fillId="0" borderId="1" xfId="0" applyNumberFormat="1" applyFont="1" applyBorder="1" applyAlignment="1">
      <alignment horizontal="right"/>
    </xf>
    <xf numFmtId="3" fontId="0" fillId="0" borderId="0" xfId="0" applyNumberFormat="1" applyFont="1" applyBorder="1"/>
    <xf numFmtId="14" fontId="6" fillId="0" borderId="0" xfId="0" applyNumberFormat="1" applyFont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/>
    <xf numFmtId="0" fontId="0" fillId="0" borderId="0" xfId="0" applyFont="1"/>
    <xf numFmtId="14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7</xdr:row>
      <xdr:rowOff>152400</xdr:rowOff>
    </xdr:from>
    <xdr:to>
      <xdr:col>5</xdr:col>
      <xdr:colOff>165100</xdr:colOff>
      <xdr:row>60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016500" y="1308100"/>
          <a:ext cx="0" cy="94361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0</xdr:row>
      <xdr:rowOff>152400</xdr:rowOff>
    </xdr:from>
    <xdr:to>
      <xdr:col>16</xdr:col>
      <xdr:colOff>190500</xdr:colOff>
      <xdr:row>53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325600" y="152400"/>
          <a:ext cx="0" cy="87503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jeffiel/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twilio.com/home/default.asp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linkedin.com/in/emcooke/" TargetMode="External"/><Relationship Id="rId4" Type="http://schemas.openxmlformats.org/officeDocument/2006/relationships/hyperlink" Target="https://www.linkedin.com/in/jeffie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twilio&amp;owner=exclude&amp;action=getcompan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wilio.com/autopilot" TargetMode="External"/><Relationship Id="rId2" Type="http://schemas.openxmlformats.org/officeDocument/2006/relationships/hyperlink" Target="https://www.twilio.com/flex" TargetMode="External"/><Relationship Id="rId1" Type="http://schemas.openxmlformats.org/officeDocument/2006/relationships/hyperlink" Target="https://sendgrid.com/" TargetMode="External"/><Relationship Id="rId6" Type="http://schemas.openxmlformats.org/officeDocument/2006/relationships/hyperlink" Target="https://www.twilio.com/verify" TargetMode="External"/><Relationship Id="rId5" Type="http://schemas.openxmlformats.org/officeDocument/2006/relationships/hyperlink" Target="https://www.twilio.com/authy" TargetMode="External"/><Relationship Id="rId4" Type="http://schemas.openxmlformats.org/officeDocument/2006/relationships/hyperlink" Target="https://www.twilio.com/stu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61"/>
  <sheetViews>
    <sheetView tabSelected="1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G12" sqref="G12"/>
    </sheetView>
  </sheetViews>
  <sheetFormatPr baseColWidth="10" defaultRowHeight="13" x14ac:dyDescent="0.15"/>
  <cols>
    <col min="1" max="1" width="22.6640625" style="3" bestFit="1" customWidth="1"/>
    <col min="2" max="2" width="10.83203125" style="3"/>
    <col min="3" max="3" width="11.1640625" style="3" bestFit="1" customWidth="1"/>
    <col min="4" max="16384" width="10.83203125" style="3"/>
  </cols>
  <sheetData>
    <row r="1" spans="1:116" x14ac:dyDescent="0.15">
      <c r="A1" s="63" t="s">
        <v>58</v>
      </c>
      <c r="B1" s="2" t="s">
        <v>71</v>
      </c>
    </row>
    <row r="2" spans="1:116" x14ac:dyDescent="0.15">
      <c r="B2" s="3" t="s">
        <v>40</v>
      </c>
      <c r="C2" s="4">
        <v>341.24</v>
      </c>
      <c r="D2" s="67">
        <v>44201</v>
      </c>
      <c r="E2" s="6" t="s">
        <v>25</v>
      </c>
      <c r="F2" s="7">
        <v>-5.0000000000000001E-3</v>
      </c>
      <c r="I2" s="16"/>
      <c r="L2" s="2"/>
    </row>
    <row r="3" spans="1:116" x14ac:dyDescent="0.15">
      <c r="A3" s="2" t="s">
        <v>38</v>
      </c>
      <c r="B3" s="3" t="s">
        <v>17</v>
      </c>
      <c r="C3" s="8">
        <f>Reports!P21</f>
        <v>147.50107499999999</v>
      </c>
      <c r="D3" s="68" t="s">
        <v>96</v>
      </c>
      <c r="E3" s="6" t="s">
        <v>26</v>
      </c>
      <c r="F3" s="7">
        <v>0.02</v>
      </c>
      <c r="G3" s="5" t="s">
        <v>59</v>
      </c>
      <c r="I3" s="16"/>
    </row>
    <row r="4" spans="1:116" x14ac:dyDescent="0.15">
      <c r="A4" s="69" t="s">
        <v>69</v>
      </c>
      <c r="B4" s="3" t="s">
        <v>41</v>
      </c>
      <c r="C4" s="10">
        <f>C2*C3</f>
        <v>50333.266832999994</v>
      </c>
      <c r="D4" s="68"/>
      <c r="E4" s="6" t="s">
        <v>27</v>
      </c>
      <c r="F4" s="7">
        <f>6%</f>
        <v>0.06</v>
      </c>
      <c r="G4" s="5" t="s">
        <v>65</v>
      </c>
      <c r="I4" s="20"/>
      <c r="L4" s="9" t="s">
        <v>66</v>
      </c>
    </row>
    <row r="5" spans="1:116" x14ac:dyDescent="0.15">
      <c r="B5" s="3" t="s">
        <v>22</v>
      </c>
      <c r="C5" s="8">
        <f>Reports!P33</f>
        <v>2866</v>
      </c>
      <c r="D5" s="68" t="s">
        <v>96</v>
      </c>
      <c r="E5" s="6" t="s">
        <v>28</v>
      </c>
      <c r="F5" s="11">
        <f>NPV(F4,F26:GQ26)</f>
        <v>41055.515406309372</v>
      </c>
      <c r="G5" s="5" t="s">
        <v>67</v>
      </c>
      <c r="I5" s="20"/>
    </row>
    <row r="6" spans="1:116" x14ac:dyDescent="0.15">
      <c r="A6" s="2" t="s">
        <v>39</v>
      </c>
      <c r="B6" s="3" t="s">
        <v>42</v>
      </c>
      <c r="C6" s="10">
        <f>C4-C5</f>
        <v>47467.266832999994</v>
      </c>
      <c r="D6" s="68"/>
      <c r="E6" s="12" t="s">
        <v>29</v>
      </c>
      <c r="F6" s="13">
        <f>F5+C5</f>
        <v>43921.515406309372</v>
      </c>
      <c r="I6" s="20"/>
    </row>
    <row r="7" spans="1:116" x14ac:dyDescent="0.15">
      <c r="A7" s="69" t="s">
        <v>69</v>
      </c>
      <c r="B7" s="5" t="s">
        <v>43</v>
      </c>
      <c r="C7" s="47">
        <f>C6/C3</f>
        <v>321.80963313657207</v>
      </c>
      <c r="D7" s="68"/>
      <c r="E7" s="14" t="s">
        <v>43</v>
      </c>
      <c r="F7" s="46">
        <f>F6/C3</f>
        <v>297.77081561140744</v>
      </c>
      <c r="G7" s="20">
        <f>F7/C2-1</f>
        <v>-0.12738595823641008</v>
      </c>
    </row>
    <row r="8" spans="1:116" x14ac:dyDescent="0.15">
      <c r="A8" s="69" t="s">
        <v>70</v>
      </c>
      <c r="D8" s="6"/>
      <c r="E8" s="15"/>
    </row>
    <row r="9" spans="1:116" x14ac:dyDescent="0.15">
      <c r="B9" s="42">
        <v>2016</v>
      </c>
      <c r="C9" s="42">
        <v>2017</v>
      </c>
      <c r="D9" s="42">
        <f>C9+1</f>
        <v>2018</v>
      </c>
      <c r="E9" s="42">
        <f t="shared" ref="E9:T9" si="0">D9+1</f>
        <v>2019</v>
      </c>
      <c r="F9" s="42">
        <f t="shared" si="0"/>
        <v>2020</v>
      </c>
      <c r="G9" s="42">
        <f t="shared" si="0"/>
        <v>2021</v>
      </c>
      <c r="H9" s="42">
        <f t="shared" si="0"/>
        <v>2022</v>
      </c>
      <c r="I9" s="42">
        <f t="shared" si="0"/>
        <v>2023</v>
      </c>
      <c r="J9" s="42">
        <f t="shared" si="0"/>
        <v>2024</v>
      </c>
      <c r="K9" s="42">
        <f t="shared" si="0"/>
        <v>2025</v>
      </c>
      <c r="L9" s="42">
        <f t="shared" si="0"/>
        <v>2026</v>
      </c>
      <c r="M9" s="42">
        <f t="shared" si="0"/>
        <v>2027</v>
      </c>
      <c r="N9" s="42">
        <f t="shared" si="0"/>
        <v>2028</v>
      </c>
      <c r="O9" s="42">
        <f t="shared" si="0"/>
        <v>2029</v>
      </c>
      <c r="P9" s="42">
        <f t="shared" si="0"/>
        <v>2030</v>
      </c>
      <c r="Q9" s="42">
        <f t="shared" si="0"/>
        <v>2031</v>
      </c>
      <c r="R9" s="42">
        <f t="shared" si="0"/>
        <v>2032</v>
      </c>
      <c r="S9" s="42">
        <f t="shared" si="0"/>
        <v>2033</v>
      </c>
      <c r="T9" s="42">
        <f t="shared" si="0"/>
        <v>2034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</row>
    <row r="10" spans="1:116" x14ac:dyDescent="0.15">
      <c r="A10" s="65" t="s">
        <v>93</v>
      </c>
      <c r="B10" s="24"/>
      <c r="C10" s="41">
        <f>SUM(Reports!B3:E3)</f>
        <v>399.02</v>
      </c>
      <c r="D10" s="41">
        <f>SUM(Reports!F3:I3)</f>
        <v>650.06700000000001</v>
      </c>
      <c r="E10" s="41">
        <f>SUM(Reports!J3:M3)</f>
        <v>1134.4679999999998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</row>
    <row r="11" spans="1:116" x14ac:dyDescent="0.15">
      <c r="B11" s="24"/>
      <c r="C11" s="41"/>
      <c r="D11" s="41"/>
      <c r="E11" s="41"/>
      <c r="F11" s="41"/>
      <c r="G11" s="41"/>
      <c r="H11" s="41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</row>
    <row r="12" spans="1:116" s="16" customFormat="1" x14ac:dyDescent="0.15">
      <c r="A12" s="8" t="s">
        <v>72</v>
      </c>
      <c r="C12" s="24">
        <f>AVERAGE(Reports!B5:E5)</f>
        <v>44898.75</v>
      </c>
      <c r="D12" s="41">
        <f>AVERAGE(Reports!F5:I5)</f>
        <v>59196</v>
      </c>
      <c r="E12" s="41">
        <f>AVERAGE(Reports!J5:M5)</f>
        <v>166939.5</v>
      </c>
      <c r="F12" s="41">
        <f>AVERAGE(Reports!N5:Q5)</f>
        <v>204100</v>
      </c>
      <c r="G12" s="41">
        <f>+F12*1.2</f>
        <v>244920</v>
      </c>
      <c r="H12" s="41">
        <f t="shared" ref="H12:J12" si="1">+G12*1.2</f>
        <v>293904</v>
      </c>
      <c r="I12" s="41">
        <f t="shared" si="1"/>
        <v>352684.79999999999</v>
      </c>
      <c r="J12" s="41">
        <f t="shared" si="1"/>
        <v>423221.75999999995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</row>
    <row r="13" spans="1:116" s="16" customFormat="1" x14ac:dyDescent="0.15">
      <c r="A13" s="8" t="s">
        <v>60</v>
      </c>
      <c r="C13" s="24">
        <f>C10/(C12/1000000)</f>
        <v>8887.1071020908148</v>
      </c>
      <c r="D13" s="24">
        <f>D10/(D12/1000000)</f>
        <v>10981.603486722077</v>
      </c>
      <c r="E13" s="24">
        <f>E10/(E12/1000000)</f>
        <v>6795.6834661658859</v>
      </c>
      <c r="F13" s="41">
        <f>SUM(Reports!N6:Q6)</f>
        <v>8339.6819812753038</v>
      </c>
      <c r="G13" s="41">
        <f>F13*1.2</f>
        <v>10007.618377530363</v>
      </c>
      <c r="H13" s="41">
        <f t="shared" ref="H13:J13" si="2">G13*1.2</f>
        <v>12009.142053036436</v>
      </c>
      <c r="I13" s="41">
        <f t="shared" si="2"/>
        <v>14410.970463643722</v>
      </c>
      <c r="J13" s="41">
        <f t="shared" si="2"/>
        <v>17293.164556372467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</row>
    <row r="14" spans="1:116" s="62" customFormat="1" x14ac:dyDescent="0.15">
      <c r="E14" s="51"/>
      <c r="F14" s="51"/>
      <c r="G14" s="51"/>
      <c r="H14" s="51"/>
    </row>
    <row r="15" spans="1:116" x14ac:dyDescent="0.15">
      <c r="A15" s="2" t="s">
        <v>4</v>
      </c>
      <c r="B15" s="62"/>
      <c r="C15" s="26">
        <f t="shared" ref="C15:J15" si="3">C13*(C12/1000000)</f>
        <v>399.02</v>
      </c>
      <c r="D15" s="26">
        <f t="shared" si="3"/>
        <v>650.06700000000001</v>
      </c>
      <c r="E15" s="26">
        <f t="shared" si="3"/>
        <v>1134.4679999999998</v>
      </c>
      <c r="F15" s="50">
        <f t="shared" si="3"/>
        <v>1702.1290923782894</v>
      </c>
      <c r="G15" s="50">
        <f t="shared" si="3"/>
        <v>2451.0658930247364</v>
      </c>
      <c r="H15" s="50">
        <f t="shared" si="3"/>
        <v>3529.5348859556207</v>
      </c>
      <c r="I15" s="50">
        <f t="shared" si="3"/>
        <v>5082.5302357760929</v>
      </c>
      <c r="J15" s="50">
        <f t="shared" si="3"/>
        <v>7318.8435395175738</v>
      </c>
      <c r="K15" s="50">
        <f t="shared" ref="K15:T15" si="4">J15*1.1</f>
        <v>8050.7278934693322</v>
      </c>
      <c r="L15" s="50">
        <f t="shared" si="4"/>
        <v>8855.800682816267</v>
      </c>
      <c r="M15" s="50">
        <f t="shared" si="4"/>
        <v>9741.380751097895</v>
      </c>
      <c r="N15" s="50">
        <f t="shared" si="4"/>
        <v>10715.518826207684</v>
      </c>
      <c r="O15" s="50">
        <f t="shared" si="4"/>
        <v>11787.070708828454</v>
      </c>
      <c r="P15" s="50">
        <f t="shared" si="4"/>
        <v>12965.777779711301</v>
      </c>
      <c r="Q15" s="50">
        <f t="shared" si="4"/>
        <v>14262.355557682433</v>
      </c>
      <c r="R15" s="50">
        <f t="shared" si="4"/>
        <v>15688.591113450677</v>
      </c>
      <c r="S15" s="50">
        <f t="shared" si="4"/>
        <v>17257.450224795746</v>
      </c>
      <c r="T15" s="50">
        <f t="shared" si="4"/>
        <v>18983.195247275322</v>
      </c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</row>
    <row r="16" spans="1:116" x14ac:dyDescent="0.15">
      <c r="A16" s="3" t="s">
        <v>5</v>
      </c>
      <c r="B16" s="62"/>
      <c r="C16" s="41">
        <f>SUM(Reports!B9:E9)</f>
        <v>182.89499999999998</v>
      </c>
      <c r="D16" s="41">
        <f>SUM(Reports!F9:I9)</f>
        <v>300.84100000000001</v>
      </c>
      <c r="E16" s="41">
        <f>SUM(Reports!J9:M9)</f>
        <v>525.55099999999993</v>
      </c>
      <c r="F16" s="24">
        <f>F15-F17</f>
        <v>788.52435381914916</v>
      </c>
      <c r="G16" s="24">
        <f t="shared" ref="G16" si="5">G15-G17</f>
        <v>1135.4750694995746</v>
      </c>
      <c r="H16" s="24">
        <f t="shared" ref="H16:O16" si="6">H15-H17</f>
        <v>1635.0841000793876</v>
      </c>
      <c r="I16" s="24">
        <f t="shared" si="6"/>
        <v>2354.5211041143175</v>
      </c>
      <c r="J16" s="24">
        <f>J15-J17</f>
        <v>3390.5103899246174</v>
      </c>
      <c r="K16" s="24">
        <f t="shared" si="6"/>
        <v>3729.5614289170799</v>
      </c>
      <c r="L16" s="24">
        <f t="shared" si="6"/>
        <v>4102.5175718087885</v>
      </c>
      <c r="M16" s="24">
        <f t="shared" si="6"/>
        <v>4512.7693289896679</v>
      </c>
      <c r="N16" s="24">
        <f t="shared" si="6"/>
        <v>4964.046261888634</v>
      </c>
      <c r="O16" s="24">
        <f t="shared" si="6"/>
        <v>5460.4508880774983</v>
      </c>
      <c r="P16" s="24">
        <f t="shared" ref="P16:T16" si="7">P15-P17</f>
        <v>6006.4959768852486</v>
      </c>
      <c r="Q16" s="24">
        <f t="shared" si="7"/>
        <v>6607.1455745737749</v>
      </c>
      <c r="R16" s="24">
        <f t="shared" si="7"/>
        <v>7267.8601320311518</v>
      </c>
      <c r="S16" s="24">
        <f t="shared" si="7"/>
        <v>7994.6461452342683</v>
      </c>
      <c r="T16" s="24">
        <f t="shared" si="7"/>
        <v>8794.1107597576956</v>
      </c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</row>
    <row r="17" spans="1:199" x14ac:dyDescent="0.15">
      <c r="A17" s="3" t="s">
        <v>6</v>
      </c>
      <c r="B17" s="62"/>
      <c r="C17" s="29">
        <f>C15-C16</f>
        <v>216.125</v>
      </c>
      <c r="D17" s="29">
        <f>D15-D16</f>
        <v>349.226</v>
      </c>
      <c r="E17" s="29">
        <f>E15-E16</f>
        <v>608.91699999999992</v>
      </c>
      <c r="F17" s="24">
        <f>F15*E30</f>
        <v>913.60473855914029</v>
      </c>
      <c r="G17" s="24">
        <f t="shared" ref="G17:T17" si="8">G15*F30</f>
        <v>1315.5908235251618</v>
      </c>
      <c r="H17" s="24">
        <f t="shared" si="8"/>
        <v>1894.4507858762331</v>
      </c>
      <c r="I17" s="24">
        <f t="shared" si="8"/>
        <v>2728.0091316617754</v>
      </c>
      <c r="J17" s="24">
        <f>J15*I30</f>
        <v>3928.3331495929565</v>
      </c>
      <c r="K17" s="24">
        <f t="shared" si="8"/>
        <v>4321.1664645522524</v>
      </c>
      <c r="L17" s="24">
        <f t="shared" si="8"/>
        <v>4753.2831110074785</v>
      </c>
      <c r="M17" s="24">
        <f t="shared" si="8"/>
        <v>5228.6114221082271</v>
      </c>
      <c r="N17" s="24">
        <f t="shared" si="8"/>
        <v>5751.4725643190504</v>
      </c>
      <c r="O17" s="24">
        <f t="shared" si="8"/>
        <v>6326.619820750956</v>
      </c>
      <c r="P17" s="24">
        <f t="shared" si="8"/>
        <v>6959.2818028260526</v>
      </c>
      <c r="Q17" s="24">
        <f t="shared" si="8"/>
        <v>7655.209983108658</v>
      </c>
      <c r="R17" s="24">
        <f t="shared" si="8"/>
        <v>8420.7309814195251</v>
      </c>
      <c r="S17" s="24">
        <f t="shared" si="8"/>
        <v>9262.8040795614779</v>
      </c>
      <c r="T17" s="24">
        <f t="shared" si="8"/>
        <v>10189.084487517626</v>
      </c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</row>
    <row r="18" spans="1:199" x14ac:dyDescent="0.15">
      <c r="A18" s="3" t="s">
        <v>7</v>
      </c>
      <c r="B18" s="62"/>
      <c r="C18" s="41">
        <f>SUM(Reports!B11:E11)</f>
        <v>122</v>
      </c>
      <c r="D18" s="41">
        <f>SUM(Reports!F11:I11)</f>
        <v>172</v>
      </c>
      <c r="E18" s="41">
        <f>SUM(Reports!J11:M11)</f>
        <v>391</v>
      </c>
      <c r="F18" s="24">
        <f>E18*1.3</f>
        <v>508.3</v>
      </c>
      <c r="G18" s="24">
        <f t="shared" ref="G18:J18" si="9">F18*1.3</f>
        <v>660.79000000000008</v>
      </c>
      <c r="H18" s="24">
        <f t="shared" si="9"/>
        <v>859.02700000000016</v>
      </c>
      <c r="I18" s="24">
        <f t="shared" si="9"/>
        <v>1116.7351000000003</v>
      </c>
      <c r="J18" s="24">
        <f t="shared" si="9"/>
        <v>1451.7556300000006</v>
      </c>
      <c r="K18" s="24">
        <f>J18*1.1</f>
        <v>1596.9311930000008</v>
      </c>
      <c r="L18" s="24">
        <f t="shared" ref="L18:T18" si="10">K18*1.1</f>
        <v>1756.6243123000011</v>
      </c>
      <c r="M18" s="24">
        <f t="shared" si="10"/>
        <v>1932.2867435300013</v>
      </c>
      <c r="N18" s="24">
        <f t="shared" si="10"/>
        <v>2125.5154178830016</v>
      </c>
      <c r="O18" s="24">
        <f t="shared" si="10"/>
        <v>2338.0669596713019</v>
      </c>
      <c r="P18" s="24">
        <f t="shared" si="10"/>
        <v>2571.8736556384324</v>
      </c>
      <c r="Q18" s="24">
        <f t="shared" si="10"/>
        <v>2829.0610212022757</v>
      </c>
      <c r="R18" s="24">
        <f t="shared" si="10"/>
        <v>3111.9671233225035</v>
      </c>
      <c r="S18" s="24">
        <f t="shared" si="10"/>
        <v>3423.1638356547542</v>
      </c>
      <c r="T18" s="24">
        <f t="shared" si="10"/>
        <v>3765.4802192202301</v>
      </c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</row>
    <row r="19" spans="1:199" x14ac:dyDescent="0.15">
      <c r="A19" s="3" t="s">
        <v>8</v>
      </c>
      <c r="B19" s="62"/>
      <c r="C19" s="41">
        <f>SUM(Reports!B12:E12)</f>
        <v>101</v>
      </c>
      <c r="D19" s="41">
        <f>SUM(Reports!F12:I12)</f>
        <v>176</v>
      </c>
      <c r="E19" s="41">
        <f>SUM(Reports!J12:M12)</f>
        <v>369</v>
      </c>
      <c r="F19" s="24">
        <f>E19*1.2</f>
        <v>442.8</v>
      </c>
      <c r="G19" s="24">
        <f t="shared" ref="G19:J19" si="11">F19*1.2</f>
        <v>531.36</v>
      </c>
      <c r="H19" s="24">
        <f t="shared" si="11"/>
        <v>637.63199999999995</v>
      </c>
      <c r="I19" s="24">
        <f t="shared" si="11"/>
        <v>765.15839999999992</v>
      </c>
      <c r="J19" s="24">
        <f t="shared" si="11"/>
        <v>918.19007999999985</v>
      </c>
      <c r="K19" s="24">
        <f>J19*1.05</f>
        <v>964.09958399999994</v>
      </c>
      <c r="L19" s="24">
        <f t="shared" ref="L19:T19" si="12">K19*1.05</f>
        <v>1012.3045632</v>
      </c>
      <c r="M19" s="24">
        <f t="shared" si="12"/>
        <v>1062.9197913600001</v>
      </c>
      <c r="N19" s="24">
        <f t="shared" si="12"/>
        <v>1116.0657809280001</v>
      </c>
      <c r="O19" s="24">
        <f t="shared" si="12"/>
        <v>1171.8690699744002</v>
      </c>
      <c r="P19" s="24">
        <f t="shared" si="12"/>
        <v>1230.4625234731202</v>
      </c>
      <c r="Q19" s="24">
        <f t="shared" si="12"/>
        <v>1291.9856496467762</v>
      </c>
      <c r="R19" s="24">
        <f t="shared" si="12"/>
        <v>1356.584932129115</v>
      </c>
      <c r="S19" s="24">
        <f t="shared" si="12"/>
        <v>1424.4141787355709</v>
      </c>
      <c r="T19" s="24">
        <f t="shared" si="12"/>
        <v>1495.6348876723496</v>
      </c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</row>
    <row r="20" spans="1:199" x14ac:dyDescent="0.15">
      <c r="A20" s="3" t="s">
        <v>9</v>
      </c>
      <c r="B20" s="62"/>
      <c r="C20" s="41">
        <f>SUM(Reports!B13:E13)</f>
        <v>61</v>
      </c>
      <c r="D20" s="41">
        <f>SUM(Reports!F13:I13)</f>
        <v>117</v>
      </c>
      <c r="E20" s="41">
        <f>SUM(Reports!J13:M13)</f>
        <v>219</v>
      </c>
      <c r="F20" s="24">
        <f>E20*1.15</f>
        <v>251.85</v>
      </c>
      <c r="G20" s="24">
        <f t="shared" ref="G20:J20" si="13">F20*1.15</f>
        <v>289.6275</v>
      </c>
      <c r="H20" s="24">
        <f t="shared" si="13"/>
        <v>333.07162499999998</v>
      </c>
      <c r="I20" s="24">
        <f t="shared" si="13"/>
        <v>383.03236874999993</v>
      </c>
      <c r="J20" s="24">
        <f t="shared" si="13"/>
        <v>440.48722406249988</v>
      </c>
      <c r="K20" s="24">
        <f t="shared" ref="K20:T20" si="14">J20*0.98</f>
        <v>431.67747958124988</v>
      </c>
      <c r="L20" s="24">
        <f t="shared" si="14"/>
        <v>423.04392998962487</v>
      </c>
      <c r="M20" s="24">
        <f t="shared" si="14"/>
        <v>414.58305138983235</v>
      </c>
      <c r="N20" s="24">
        <f t="shared" si="14"/>
        <v>406.29139036203571</v>
      </c>
      <c r="O20" s="24">
        <f t="shared" si="14"/>
        <v>398.16556255479497</v>
      </c>
      <c r="P20" s="24">
        <f t="shared" si="14"/>
        <v>390.20225130369909</v>
      </c>
      <c r="Q20" s="24">
        <f t="shared" si="14"/>
        <v>382.39820627762509</v>
      </c>
      <c r="R20" s="24">
        <f t="shared" si="14"/>
        <v>374.75024215207259</v>
      </c>
      <c r="S20" s="24">
        <f t="shared" si="14"/>
        <v>367.25523730903114</v>
      </c>
      <c r="T20" s="24">
        <f t="shared" si="14"/>
        <v>359.91013256285049</v>
      </c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</row>
    <row r="21" spans="1:199" x14ac:dyDescent="0.15">
      <c r="A21" s="3" t="s">
        <v>10</v>
      </c>
      <c r="B21" s="62"/>
      <c r="C21" s="29">
        <f>SUM(C18:C20)</f>
        <v>284</v>
      </c>
      <c r="D21" s="29">
        <f>SUM(D18:D20)</f>
        <v>465</v>
      </c>
      <c r="E21" s="29">
        <f>SUM(E18:E20)</f>
        <v>979</v>
      </c>
      <c r="F21" s="24">
        <f t="shared" ref="F21:G21" si="15">SUM(F18:F20)</f>
        <v>1202.95</v>
      </c>
      <c r="G21" s="24">
        <f t="shared" si="15"/>
        <v>1481.7775000000001</v>
      </c>
      <c r="H21" s="24">
        <f t="shared" ref="H21:O21" si="16">SUM(H18:H20)</f>
        <v>1829.7306250000001</v>
      </c>
      <c r="I21" s="24">
        <f t="shared" si="16"/>
        <v>2264.9258687500001</v>
      </c>
      <c r="J21" s="24">
        <f t="shared" si="16"/>
        <v>2810.4329340625004</v>
      </c>
      <c r="K21" s="24">
        <f t="shared" si="16"/>
        <v>2992.7082565812507</v>
      </c>
      <c r="L21" s="24">
        <f t="shared" si="16"/>
        <v>3191.9728054896259</v>
      </c>
      <c r="M21" s="24">
        <f t="shared" si="16"/>
        <v>3409.7895862798337</v>
      </c>
      <c r="N21" s="24">
        <f t="shared" si="16"/>
        <v>3647.8725891730373</v>
      </c>
      <c r="O21" s="24">
        <f t="shared" si="16"/>
        <v>3908.1015922004972</v>
      </c>
      <c r="P21" s="24">
        <f t="shared" ref="P21:T21" si="17">SUM(P18:P20)</f>
        <v>4192.5384304152522</v>
      </c>
      <c r="Q21" s="24">
        <f t="shared" si="17"/>
        <v>4503.4448771266771</v>
      </c>
      <c r="R21" s="24">
        <f t="shared" si="17"/>
        <v>4843.3022976036918</v>
      </c>
      <c r="S21" s="24">
        <f t="shared" si="17"/>
        <v>5214.833251699356</v>
      </c>
      <c r="T21" s="24">
        <f t="shared" si="17"/>
        <v>5621.02523945543</v>
      </c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</row>
    <row r="22" spans="1:199" x14ac:dyDescent="0.15">
      <c r="A22" s="3" t="s">
        <v>11</v>
      </c>
      <c r="B22" s="62"/>
      <c r="C22" s="29">
        <f>C17-C21</f>
        <v>-67.875</v>
      </c>
      <c r="D22" s="29">
        <f>D17-D21</f>
        <v>-115.774</v>
      </c>
      <c r="E22" s="29">
        <f>E17-E21</f>
        <v>-370.08300000000008</v>
      </c>
      <c r="F22" s="24">
        <f t="shared" ref="F22:G22" si="18">F17-F21</f>
        <v>-289.34526144085976</v>
      </c>
      <c r="G22" s="24">
        <f t="shared" si="18"/>
        <v>-166.18667647483835</v>
      </c>
      <c r="H22" s="24">
        <f t="shared" ref="H22:O22" si="19">H17-H21</f>
        <v>64.720160876232967</v>
      </c>
      <c r="I22" s="24">
        <f t="shared" si="19"/>
        <v>463.08326291177536</v>
      </c>
      <c r="J22" s="24">
        <f t="shared" si="19"/>
        <v>1117.9002155304561</v>
      </c>
      <c r="K22" s="24">
        <f t="shared" si="19"/>
        <v>1328.4582079710017</v>
      </c>
      <c r="L22" s="24">
        <f t="shared" si="19"/>
        <v>1561.3103055178526</v>
      </c>
      <c r="M22" s="24">
        <f t="shared" si="19"/>
        <v>1818.8218358283934</v>
      </c>
      <c r="N22" s="24">
        <f t="shared" si="19"/>
        <v>2103.5999751460131</v>
      </c>
      <c r="O22" s="24">
        <f t="shared" si="19"/>
        <v>2418.5182285504588</v>
      </c>
      <c r="P22" s="24">
        <f t="shared" ref="P22:T22" si="20">P17-P21</f>
        <v>2766.7433724108005</v>
      </c>
      <c r="Q22" s="24">
        <f t="shared" si="20"/>
        <v>3151.7651059819809</v>
      </c>
      <c r="R22" s="24">
        <f t="shared" si="20"/>
        <v>3577.4286838158332</v>
      </c>
      <c r="S22" s="24">
        <f t="shared" si="20"/>
        <v>4047.970827862122</v>
      </c>
      <c r="T22" s="24">
        <f t="shared" si="20"/>
        <v>4568.0592480621963</v>
      </c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</row>
    <row r="23" spans="1:199" x14ac:dyDescent="0.15">
      <c r="A23" s="3" t="s">
        <v>12</v>
      </c>
      <c r="B23" s="62"/>
      <c r="C23" s="41">
        <f>SUM(Reports!B16:E16)</f>
        <v>2</v>
      </c>
      <c r="D23" s="41">
        <f>SUM(Reports!F16:I16)</f>
        <v>-6</v>
      </c>
      <c r="E23" s="41">
        <f>SUM(Reports!J16:M16)</f>
        <v>7</v>
      </c>
      <c r="F23" s="24">
        <f t="shared" ref="F23:T23" si="21">E40*$F$3</f>
        <v>27.900000000000002</v>
      </c>
      <c r="G23" s="24">
        <f t="shared" si="21"/>
        <v>23.455430555505384</v>
      </c>
      <c r="H23" s="24">
        <f t="shared" si="21"/>
        <v>21.028999374876722</v>
      </c>
      <c r="I23" s="24">
        <f t="shared" si="21"/>
        <v>22.486735099145587</v>
      </c>
      <c r="J23" s="24">
        <f t="shared" si="21"/>
        <v>30.741425065331242</v>
      </c>
      <c r="K23" s="24">
        <f t="shared" si="21"/>
        <v>50.268332955459627</v>
      </c>
      <c r="L23" s="24">
        <f t="shared" si="21"/>
        <v>73.706684151209473</v>
      </c>
      <c r="M23" s="24">
        <f t="shared" si="21"/>
        <v>101.50197297558353</v>
      </c>
      <c r="N23" s="24">
        <f t="shared" si="21"/>
        <v>134.14747772525115</v>
      </c>
      <c r="O23" s="24">
        <f t="shared" si="21"/>
        <v>172.18918442406263</v>
      </c>
      <c r="P23" s="24">
        <f t="shared" si="21"/>
        <v>216.23121044462948</v>
      </c>
      <c r="Q23" s="24">
        <f t="shared" si="21"/>
        <v>266.94177835317174</v>
      </c>
      <c r="R23" s="24">
        <f t="shared" si="21"/>
        <v>325.05979538686938</v>
      </c>
      <c r="S23" s="24">
        <f t="shared" si="21"/>
        <v>391.40209953331532</v>
      </c>
      <c r="T23" s="24">
        <f t="shared" si="21"/>
        <v>466.87143929903783</v>
      </c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</row>
    <row r="24" spans="1:199" x14ac:dyDescent="0.15">
      <c r="A24" s="3" t="s">
        <v>13</v>
      </c>
      <c r="B24" s="62"/>
      <c r="C24" s="29">
        <f>C22+C23</f>
        <v>-65.875</v>
      </c>
      <c r="D24" s="29">
        <f>D22+D23</f>
        <v>-121.774</v>
      </c>
      <c r="E24" s="29">
        <f>E22+E23</f>
        <v>-363.08300000000008</v>
      </c>
      <c r="F24" s="24">
        <f t="shared" ref="F24:G24" si="22">F22+F23</f>
        <v>-261.44526144085978</v>
      </c>
      <c r="G24" s="24">
        <f t="shared" si="22"/>
        <v>-142.73124591933296</v>
      </c>
      <c r="H24" s="24">
        <f t="shared" ref="H24" si="23">H22+H23</f>
        <v>85.749160251109686</v>
      </c>
      <c r="I24" s="24">
        <f t="shared" ref="I24" si="24">I22+I23</f>
        <v>485.56999801092093</v>
      </c>
      <c r="J24" s="24">
        <f t="shared" ref="J24" si="25">J22+J23</f>
        <v>1148.6416405957873</v>
      </c>
      <c r="K24" s="24">
        <f t="shared" ref="K24" si="26">K22+K23</f>
        <v>1378.7265409264612</v>
      </c>
      <c r="L24" s="24">
        <f t="shared" ref="L24" si="27">L22+L23</f>
        <v>1635.016989669062</v>
      </c>
      <c r="M24" s="24">
        <f t="shared" ref="M24" si="28">M22+M23</f>
        <v>1920.323808803977</v>
      </c>
      <c r="N24" s="24">
        <f t="shared" ref="N24" si="29">N22+N23</f>
        <v>2237.7474528712642</v>
      </c>
      <c r="O24" s="24">
        <f t="shared" ref="O24:P24" si="30">O22+O23</f>
        <v>2590.7074129745215</v>
      </c>
      <c r="P24" s="24">
        <f t="shared" si="30"/>
        <v>2982.9745828554301</v>
      </c>
      <c r="Q24" s="24">
        <f t="shared" ref="Q24:T24" si="31">Q22+Q23</f>
        <v>3418.7068843351526</v>
      </c>
      <c r="R24" s="24">
        <f t="shared" si="31"/>
        <v>3902.4884792027024</v>
      </c>
      <c r="S24" s="24">
        <f t="shared" si="31"/>
        <v>4439.3729273954377</v>
      </c>
      <c r="T24" s="24">
        <f t="shared" si="31"/>
        <v>5034.930687361234</v>
      </c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</row>
    <row r="25" spans="1:199" x14ac:dyDescent="0.15">
      <c r="A25" s="3" t="s">
        <v>14</v>
      </c>
      <c r="B25" s="62"/>
      <c r="C25" s="41">
        <f>SUM(Reports!B18:E18)</f>
        <v>1</v>
      </c>
      <c r="D25" s="41">
        <f>SUM(Reports!F18:I18)</f>
        <v>0</v>
      </c>
      <c r="E25" s="41">
        <f>SUM(Reports!J18:M18)</f>
        <v>-56</v>
      </c>
      <c r="F25" s="24">
        <f>F24*0.15</f>
        <v>-39.216789216128966</v>
      </c>
      <c r="G25" s="24">
        <f t="shared" ref="G25:T25" si="32">G24*0.15</f>
        <v>-21.409686887899944</v>
      </c>
      <c r="H25" s="24">
        <f t="shared" si="32"/>
        <v>12.862374037666452</v>
      </c>
      <c r="I25" s="24">
        <f t="shared" si="32"/>
        <v>72.835499701638142</v>
      </c>
      <c r="J25" s="24">
        <f t="shared" si="32"/>
        <v>172.29624608936808</v>
      </c>
      <c r="K25" s="24">
        <f t="shared" si="32"/>
        <v>206.80898113896919</v>
      </c>
      <c r="L25" s="24">
        <f t="shared" si="32"/>
        <v>245.25254845035928</v>
      </c>
      <c r="M25" s="24">
        <f t="shared" si="32"/>
        <v>288.04857132059652</v>
      </c>
      <c r="N25" s="24">
        <f t="shared" si="32"/>
        <v>335.66211793068959</v>
      </c>
      <c r="O25" s="24">
        <f t="shared" si="32"/>
        <v>388.6061119461782</v>
      </c>
      <c r="P25" s="24">
        <f t="shared" si="32"/>
        <v>447.44618742831449</v>
      </c>
      <c r="Q25" s="24">
        <f t="shared" si="32"/>
        <v>512.80603265027287</v>
      </c>
      <c r="R25" s="24">
        <f t="shared" si="32"/>
        <v>585.37327188040535</v>
      </c>
      <c r="S25" s="24">
        <f t="shared" si="32"/>
        <v>665.90593910931568</v>
      </c>
      <c r="T25" s="24">
        <f t="shared" si="32"/>
        <v>755.23960310418511</v>
      </c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</row>
    <row r="26" spans="1:199" s="2" customFormat="1" x14ac:dyDescent="0.15">
      <c r="A26" s="2" t="s">
        <v>15</v>
      </c>
      <c r="B26" s="62"/>
      <c r="C26" s="26">
        <f>C24-C25</f>
        <v>-66.875</v>
      </c>
      <c r="D26" s="26">
        <f>D24-D25</f>
        <v>-121.774</v>
      </c>
      <c r="E26" s="26">
        <f t="shared" ref="E26:G26" si="33">E24-E25</f>
        <v>-307.08300000000008</v>
      </c>
      <c r="F26" s="26">
        <f>F24-F25</f>
        <v>-222.22847222473081</v>
      </c>
      <c r="G26" s="26">
        <f t="shared" si="33"/>
        <v>-121.32155903143303</v>
      </c>
      <c r="H26" s="26">
        <f t="shared" ref="H26:O26" si="34">H24-H25</f>
        <v>72.88678621344323</v>
      </c>
      <c r="I26" s="26">
        <f t="shared" si="34"/>
        <v>412.7344983092828</v>
      </c>
      <c r="J26" s="26">
        <f t="shared" si="34"/>
        <v>976.34539450641921</v>
      </c>
      <c r="K26" s="26">
        <f t="shared" si="34"/>
        <v>1171.9175597874921</v>
      </c>
      <c r="L26" s="26">
        <f t="shared" si="34"/>
        <v>1389.7644412187028</v>
      </c>
      <c r="M26" s="26">
        <f t="shared" si="34"/>
        <v>1632.2752374833806</v>
      </c>
      <c r="N26" s="26">
        <f t="shared" si="34"/>
        <v>1902.0853349405745</v>
      </c>
      <c r="O26" s="26">
        <f t="shared" si="34"/>
        <v>2202.1013010283432</v>
      </c>
      <c r="P26" s="26">
        <f t="shared" ref="P26:T26" si="35">P24-P25</f>
        <v>2535.5283954271154</v>
      </c>
      <c r="Q26" s="26">
        <f t="shared" si="35"/>
        <v>2905.9008516848799</v>
      </c>
      <c r="R26" s="26">
        <f t="shared" si="35"/>
        <v>3317.115207322297</v>
      </c>
      <c r="S26" s="26">
        <f t="shared" si="35"/>
        <v>3773.4669882861222</v>
      </c>
      <c r="T26" s="26">
        <f t="shared" si="35"/>
        <v>4279.6910842570487</v>
      </c>
      <c r="U26" s="26">
        <f t="shared" ref="U26:AZ26" si="36">T26*($F$2+1)</f>
        <v>4258.292628835763</v>
      </c>
      <c r="V26" s="26">
        <f t="shared" si="36"/>
        <v>4237.001165691584</v>
      </c>
      <c r="W26" s="26">
        <f t="shared" si="36"/>
        <v>4215.8161598631259</v>
      </c>
      <c r="X26" s="26">
        <f t="shared" si="36"/>
        <v>4194.7370790638106</v>
      </c>
      <c r="Y26" s="26">
        <f t="shared" si="36"/>
        <v>4173.7633936684915</v>
      </c>
      <c r="Z26" s="26">
        <f t="shared" si="36"/>
        <v>4152.8945767001487</v>
      </c>
      <c r="AA26" s="26">
        <f t="shared" si="36"/>
        <v>4132.1301038166475</v>
      </c>
      <c r="AB26" s="26">
        <f t="shared" si="36"/>
        <v>4111.4694532975645</v>
      </c>
      <c r="AC26" s="26">
        <f t="shared" si="36"/>
        <v>4090.9121060310767</v>
      </c>
      <c r="AD26" s="26">
        <f t="shared" si="36"/>
        <v>4070.4575455009212</v>
      </c>
      <c r="AE26" s="26">
        <f t="shared" si="36"/>
        <v>4050.1052577734167</v>
      </c>
      <c r="AF26" s="26">
        <f t="shared" si="36"/>
        <v>4029.8547314845496</v>
      </c>
      <c r="AG26" s="26">
        <f t="shared" si="36"/>
        <v>4009.7054578271268</v>
      </c>
      <c r="AH26" s="26">
        <f t="shared" si="36"/>
        <v>3989.6569305379912</v>
      </c>
      <c r="AI26" s="26">
        <f t="shared" si="36"/>
        <v>3969.7086458853014</v>
      </c>
      <c r="AJ26" s="26">
        <f t="shared" si="36"/>
        <v>3949.8601026558749</v>
      </c>
      <c r="AK26" s="26">
        <f t="shared" si="36"/>
        <v>3930.1108021425957</v>
      </c>
      <c r="AL26" s="26">
        <f t="shared" si="36"/>
        <v>3910.4602481318825</v>
      </c>
      <c r="AM26" s="26">
        <f t="shared" si="36"/>
        <v>3890.9079468912232</v>
      </c>
      <c r="AN26" s="26">
        <f t="shared" si="36"/>
        <v>3871.4534071567673</v>
      </c>
      <c r="AO26" s="26">
        <f t="shared" si="36"/>
        <v>3852.0961401209834</v>
      </c>
      <c r="AP26" s="26">
        <f t="shared" si="36"/>
        <v>3832.8356594203783</v>
      </c>
      <c r="AQ26" s="26">
        <f t="shared" si="36"/>
        <v>3813.6714811232764</v>
      </c>
      <c r="AR26" s="26">
        <f t="shared" si="36"/>
        <v>3794.6031237176599</v>
      </c>
      <c r="AS26" s="26">
        <f t="shared" si="36"/>
        <v>3775.6301080990715</v>
      </c>
      <c r="AT26" s="26">
        <f t="shared" si="36"/>
        <v>3756.7519575585761</v>
      </c>
      <c r="AU26" s="26">
        <f t="shared" si="36"/>
        <v>3737.9681977707833</v>
      </c>
      <c r="AV26" s="26">
        <f t="shared" si="36"/>
        <v>3719.2783567819292</v>
      </c>
      <c r="AW26" s="26">
        <f t="shared" si="36"/>
        <v>3700.6819649980198</v>
      </c>
      <c r="AX26" s="26">
        <f t="shared" si="36"/>
        <v>3682.1785551730295</v>
      </c>
      <c r="AY26" s="26">
        <f t="shared" si="36"/>
        <v>3663.7676623971643</v>
      </c>
      <c r="AZ26" s="26">
        <f t="shared" si="36"/>
        <v>3645.4488240851783</v>
      </c>
      <c r="BA26" s="26">
        <f t="shared" ref="BA26:CF26" si="37">AZ26*($F$2+1)</f>
        <v>3627.2215799647524</v>
      </c>
      <c r="BB26" s="26">
        <f t="shared" si="37"/>
        <v>3609.0854720649286</v>
      </c>
      <c r="BC26" s="26">
        <f t="shared" si="37"/>
        <v>3591.040044704604</v>
      </c>
      <c r="BD26" s="26">
        <f t="shared" si="37"/>
        <v>3573.0848444810808</v>
      </c>
      <c r="BE26" s="26">
        <f t="shared" si="37"/>
        <v>3555.2194202586752</v>
      </c>
      <c r="BF26" s="26">
        <f t="shared" si="37"/>
        <v>3537.4433231573817</v>
      </c>
      <c r="BG26" s="26">
        <f t="shared" si="37"/>
        <v>3519.7561065415948</v>
      </c>
      <c r="BH26" s="26">
        <f t="shared" si="37"/>
        <v>3502.1573260088867</v>
      </c>
      <c r="BI26" s="26">
        <f t="shared" si="37"/>
        <v>3484.6465393788421</v>
      </c>
      <c r="BJ26" s="26">
        <f t="shared" si="37"/>
        <v>3467.2233066819481</v>
      </c>
      <c r="BK26" s="26">
        <f t="shared" si="37"/>
        <v>3449.8871901485381</v>
      </c>
      <c r="BL26" s="26">
        <f t="shared" si="37"/>
        <v>3432.6377541977954</v>
      </c>
      <c r="BM26" s="26">
        <f t="shared" si="37"/>
        <v>3415.4745654268063</v>
      </c>
      <c r="BN26" s="26">
        <f t="shared" si="37"/>
        <v>3398.3971925996721</v>
      </c>
      <c r="BO26" s="26">
        <f t="shared" si="37"/>
        <v>3381.4052066366735</v>
      </c>
      <c r="BP26" s="26">
        <f t="shared" si="37"/>
        <v>3364.4981806034903</v>
      </c>
      <c r="BQ26" s="26">
        <f t="shared" si="37"/>
        <v>3347.675689700473</v>
      </c>
      <c r="BR26" s="26">
        <f t="shared" si="37"/>
        <v>3330.9373112519706</v>
      </c>
      <c r="BS26" s="26">
        <f t="shared" si="37"/>
        <v>3314.2826246957106</v>
      </c>
      <c r="BT26" s="26">
        <f t="shared" si="37"/>
        <v>3297.7112115722321</v>
      </c>
      <c r="BU26" s="26">
        <f t="shared" si="37"/>
        <v>3281.2226555143707</v>
      </c>
      <c r="BV26" s="26">
        <f t="shared" si="37"/>
        <v>3264.8165422367988</v>
      </c>
      <c r="BW26" s="26">
        <f t="shared" si="37"/>
        <v>3248.4924595256148</v>
      </c>
      <c r="BX26" s="26">
        <f t="shared" si="37"/>
        <v>3232.2499972279866</v>
      </c>
      <c r="BY26" s="26">
        <f t="shared" si="37"/>
        <v>3216.0887472418467</v>
      </c>
      <c r="BZ26" s="26">
        <f t="shared" si="37"/>
        <v>3200.0083035056373</v>
      </c>
      <c r="CA26" s="26">
        <f t="shared" si="37"/>
        <v>3184.0082619881091</v>
      </c>
      <c r="CB26" s="26">
        <f t="shared" si="37"/>
        <v>3168.0882206781685</v>
      </c>
      <c r="CC26" s="26">
        <f t="shared" si="37"/>
        <v>3152.2477795747777</v>
      </c>
      <c r="CD26" s="26">
        <f t="shared" si="37"/>
        <v>3136.486540676904</v>
      </c>
      <c r="CE26" s="26">
        <f t="shared" si="37"/>
        <v>3120.8041079735194</v>
      </c>
      <c r="CF26" s="26">
        <f t="shared" si="37"/>
        <v>3105.2000874336518</v>
      </c>
      <c r="CG26" s="26">
        <f t="shared" ref="CG26:DL26" si="38">CF26*($F$2+1)</f>
        <v>3089.6740869964833</v>
      </c>
      <c r="CH26" s="26">
        <f t="shared" si="38"/>
        <v>3074.225716561501</v>
      </c>
      <c r="CI26" s="26">
        <f t="shared" si="38"/>
        <v>3058.8545879786934</v>
      </c>
      <c r="CJ26" s="26">
        <f t="shared" si="38"/>
        <v>3043.5603150388001</v>
      </c>
      <c r="CK26" s="26">
        <f t="shared" si="38"/>
        <v>3028.3425134636063</v>
      </c>
      <c r="CL26" s="26">
        <f t="shared" si="38"/>
        <v>3013.2008008962885</v>
      </c>
      <c r="CM26" s="26">
        <f t="shared" si="38"/>
        <v>2998.1347968918071</v>
      </c>
      <c r="CN26" s="26">
        <f t="shared" si="38"/>
        <v>2983.144122907348</v>
      </c>
      <c r="CO26" s="26">
        <f t="shared" si="38"/>
        <v>2968.2284022928111</v>
      </c>
      <c r="CP26" s="26">
        <f t="shared" si="38"/>
        <v>2953.3872602813472</v>
      </c>
      <c r="CQ26" s="26">
        <f t="shared" si="38"/>
        <v>2938.6203239799406</v>
      </c>
      <c r="CR26" s="26">
        <f t="shared" si="38"/>
        <v>2923.927222360041</v>
      </c>
      <c r="CS26" s="26">
        <f t="shared" si="38"/>
        <v>2909.307586248241</v>
      </c>
      <c r="CT26" s="26">
        <f t="shared" si="38"/>
        <v>2894.7610483169997</v>
      </c>
      <c r="CU26" s="26">
        <f t="shared" si="38"/>
        <v>2880.2872430754146</v>
      </c>
      <c r="CV26" s="26">
        <f t="shared" si="38"/>
        <v>2865.8858068600375</v>
      </c>
      <c r="CW26" s="26">
        <f t="shared" si="38"/>
        <v>2851.5563778257374</v>
      </c>
      <c r="CX26" s="26">
        <f t="shared" si="38"/>
        <v>2837.2985959366088</v>
      </c>
      <c r="CY26" s="26">
        <f t="shared" si="38"/>
        <v>2823.1121029569258</v>
      </c>
      <c r="CZ26" s="26">
        <f t="shared" si="38"/>
        <v>2808.9965424421412</v>
      </c>
      <c r="DA26" s="26">
        <f t="shared" si="38"/>
        <v>2794.9515597299305</v>
      </c>
      <c r="DB26" s="26">
        <f t="shared" si="38"/>
        <v>2780.976801931281</v>
      </c>
      <c r="DC26" s="26">
        <f t="shared" si="38"/>
        <v>2767.0719179216244</v>
      </c>
      <c r="DD26" s="26">
        <f t="shared" si="38"/>
        <v>2753.2365583320161</v>
      </c>
      <c r="DE26" s="26">
        <f t="shared" si="38"/>
        <v>2739.4703755403561</v>
      </c>
      <c r="DF26" s="26">
        <f t="shared" si="38"/>
        <v>2725.7730236626544</v>
      </c>
      <c r="DG26" s="26">
        <f t="shared" si="38"/>
        <v>2712.1441585443413</v>
      </c>
      <c r="DH26" s="26">
        <f t="shared" si="38"/>
        <v>2698.5834377516194</v>
      </c>
      <c r="DI26" s="26">
        <f t="shared" si="38"/>
        <v>2685.0905205628615</v>
      </c>
      <c r="DJ26" s="26">
        <f t="shared" si="38"/>
        <v>2671.6650679600471</v>
      </c>
      <c r="DK26" s="26">
        <f t="shared" si="38"/>
        <v>2658.306742620247</v>
      </c>
      <c r="DL26" s="26">
        <f t="shared" si="38"/>
        <v>2645.0152089071457</v>
      </c>
      <c r="DM26" s="26">
        <f t="shared" ref="DM26:ER26" si="39">DL26*($F$2+1)</f>
        <v>2631.7901328626099</v>
      </c>
      <c r="DN26" s="26">
        <f t="shared" si="39"/>
        <v>2618.6311821982968</v>
      </c>
      <c r="DO26" s="26">
        <f t="shared" si="39"/>
        <v>2605.5380262873055</v>
      </c>
      <c r="DP26" s="26">
        <f t="shared" si="39"/>
        <v>2592.510336155869</v>
      </c>
      <c r="DQ26" s="26">
        <f t="shared" si="39"/>
        <v>2579.5477844750899</v>
      </c>
      <c r="DR26" s="26">
        <f t="shared" si="39"/>
        <v>2566.6500455527143</v>
      </c>
      <c r="DS26" s="26">
        <f t="shared" si="39"/>
        <v>2553.8167953249508</v>
      </c>
      <c r="DT26" s="26">
        <f t="shared" si="39"/>
        <v>2541.0477113483262</v>
      </c>
      <c r="DU26" s="26">
        <f t="shared" si="39"/>
        <v>2528.3424727915844</v>
      </c>
      <c r="DV26" s="26">
        <f t="shared" si="39"/>
        <v>2515.7007604276264</v>
      </c>
      <c r="DW26" s="26">
        <f t="shared" si="39"/>
        <v>2503.1222566254883</v>
      </c>
      <c r="DX26" s="26">
        <f t="shared" si="39"/>
        <v>2490.6066453423609</v>
      </c>
      <c r="DY26" s="26">
        <f t="shared" si="39"/>
        <v>2478.1536121156491</v>
      </c>
      <c r="DZ26" s="26">
        <f t="shared" si="39"/>
        <v>2465.7628440550707</v>
      </c>
      <c r="EA26" s="26">
        <f t="shared" si="39"/>
        <v>2453.4340298347952</v>
      </c>
      <c r="EB26" s="26">
        <f t="shared" si="39"/>
        <v>2441.1668596856211</v>
      </c>
      <c r="EC26" s="26">
        <f t="shared" si="39"/>
        <v>2428.9610253871929</v>
      </c>
      <c r="ED26" s="26">
        <f t="shared" si="39"/>
        <v>2416.8162202602571</v>
      </c>
      <c r="EE26" s="26">
        <f t="shared" si="39"/>
        <v>2404.7321391589558</v>
      </c>
      <c r="EF26" s="26">
        <f t="shared" si="39"/>
        <v>2392.7084784631611</v>
      </c>
      <c r="EG26" s="26">
        <f t="shared" si="39"/>
        <v>2380.7449360708451</v>
      </c>
      <c r="EH26" s="26">
        <f t="shared" si="39"/>
        <v>2368.841211390491</v>
      </c>
      <c r="EI26" s="26">
        <f t="shared" si="39"/>
        <v>2356.9970053335387</v>
      </c>
      <c r="EJ26" s="26">
        <f t="shared" si="39"/>
        <v>2345.2120203068712</v>
      </c>
      <c r="EK26" s="26">
        <f t="shared" si="39"/>
        <v>2333.4859602053366</v>
      </c>
      <c r="EL26" s="26">
        <f t="shared" si="39"/>
        <v>2321.81853040431</v>
      </c>
      <c r="EM26" s="26">
        <f t="shared" si="39"/>
        <v>2310.2094377522885</v>
      </c>
      <c r="EN26" s="26">
        <f t="shared" si="39"/>
        <v>2298.6583905635271</v>
      </c>
      <c r="EO26" s="26">
        <f t="shared" si="39"/>
        <v>2287.1650986107093</v>
      </c>
      <c r="EP26" s="26">
        <f t="shared" si="39"/>
        <v>2275.7292731176558</v>
      </c>
      <c r="EQ26" s="26">
        <f t="shared" si="39"/>
        <v>2264.3506267520675</v>
      </c>
      <c r="ER26" s="26">
        <f t="shared" si="39"/>
        <v>2253.028873618307</v>
      </c>
      <c r="ES26" s="26">
        <f t="shared" ref="ES26:FX26" si="40">ER26*($F$2+1)</f>
        <v>2241.7637292502154</v>
      </c>
      <c r="ET26" s="26">
        <f t="shared" si="40"/>
        <v>2230.5549106039643</v>
      </c>
      <c r="EU26" s="26">
        <f t="shared" si="40"/>
        <v>2219.4021360509446</v>
      </c>
      <c r="EV26" s="26">
        <f t="shared" si="40"/>
        <v>2208.3051253706899</v>
      </c>
      <c r="EW26" s="26">
        <f t="shared" si="40"/>
        <v>2197.2635997438365</v>
      </c>
      <c r="EX26" s="26">
        <f t="shared" si="40"/>
        <v>2186.2772817451173</v>
      </c>
      <c r="EY26" s="26">
        <f t="shared" si="40"/>
        <v>2175.3458953363915</v>
      </c>
      <c r="EZ26" s="26">
        <f t="shared" si="40"/>
        <v>2164.4691658597094</v>
      </c>
      <c r="FA26" s="26">
        <f t="shared" si="40"/>
        <v>2153.6468200304107</v>
      </c>
      <c r="FB26" s="26">
        <f t="shared" si="40"/>
        <v>2142.8785859302589</v>
      </c>
      <c r="FC26" s="26">
        <f t="shared" si="40"/>
        <v>2132.1641930006076</v>
      </c>
      <c r="FD26" s="26">
        <f t="shared" si="40"/>
        <v>2121.5033720356046</v>
      </c>
      <c r="FE26" s="26">
        <f t="shared" si="40"/>
        <v>2110.8958551754267</v>
      </c>
      <c r="FF26" s="26">
        <f t="shared" si="40"/>
        <v>2100.3413758995498</v>
      </c>
      <c r="FG26" s="26">
        <f t="shared" si="40"/>
        <v>2089.839669020052</v>
      </c>
      <c r="FH26" s="26">
        <f t="shared" si="40"/>
        <v>2079.3904706749518</v>
      </c>
      <c r="FI26" s="26">
        <f t="shared" si="40"/>
        <v>2068.9935183215771</v>
      </c>
      <c r="FJ26" s="26">
        <f t="shared" si="40"/>
        <v>2058.648550729969</v>
      </c>
      <c r="FK26" s="26">
        <f t="shared" si="40"/>
        <v>2048.3553079763192</v>
      </c>
      <c r="FL26" s="26">
        <f t="shared" si="40"/>
        <v>2038.1135314364376</v>
      </c>
      <c r="FM26" s="26">
        <f t="shared" si="40"/>
        <v>2027.9229637792555</v>
      </c>
      <c r="FN26" s="26">
        <f t="shared" si="40"/>
        <v>2017.7833489603593</v>
      </c>
      <c r="FO26" s="26">
        <f t="shared" si="40"/>
        <v>2007.6944322155575</v>
      </c>
      <c r="FP26" s="26">
        <f t="shared" si="40"/>
        <v>1997.6559600544797</v>
      </c>
      <c r="FQ26" s="26">
        <f t="shared" si="40"/>
        <v>1987.6676802542072</v>
      </c>
      <c r="FR26" s="26">
        <f t="shared" si="40"/>
        <v>1977.7293418529362</v>
      </c>
      <c r="FS26" s="26">
        <f t="shared" si="40"/>
        <v>1967.8406951436714</v>
      </c>
      <c r="FT26" s="26">
        <f t="shared" si="40"/>
        <v>1958.0014916679529</v>
      </c>
      <c r="FU26" s="26">
        <f t="shared" si="40"/>
        <v>1948.2114842096132</v>
      </c>
      <c r="FV26" s="26">
        <f t="shared" si="40"/>
        <v>1938.4704267885652</v>
      </c>
      <c r="FW26" s="26">
        <f t="shared" si="40"/>
        <v>1928.7780746546223</v>
      </c>
      <c r="FX26" s="26">
        <f t="shared" si="40"/>
        <v>1919.1341842813492</v>
      </c>
      <c r="FY26" s="26">
        <f t="shared" ref="FY26:GQ26" si="41">FX26*($F$2+1)</f>
        <v>1909.5385133599425</v>
      </c>
      <c r="FZ26" s="26">
        <f t="shared" si="41"/>
        <v>1899.9908207931428</v>
      </c>
      <c r="GA26" s="26">
        <f t="shared" si="41"/>
        <v>1890.490866689177</v>
      </c>
      <c r="GB26" s="26">
        <f t="shared" si="41"/>
        <v>1881.038412355731</v>
      </c>
      <c r="GC26" s="26">
        <f t="shared" si="41"/>
        <v>1871.6332202939523</v>
      </c>
      <c r="GD26" s="26">
        <f t="shared" si="41"/>
        <v>1862.2750541924825</v>
      </c>
      <c r="GE26" s="26">
        <f t="shared" si="41"/>
        <v>1852.9636789215201</v>
      </c>
      <c r="GF26" s="26">
        <f t="shared" si="41"/>
        <v>1843.6988605269125</v>
      </c>
      <c r="GG26" s="26">
        <f t="shared" si="41"/>
        <v>1834.480366224278</v>
      </c>
      <c r="GH26" s="26">
        <f t="shared" si="41"/>
        <v>1825.3079643931567</v>
      </c>
      <c r="GI26" s="26">
        <f t="shared" si="41"/>
        <v>1816.181424571191</v>
      </c>
      <c r="GJ26" s="26">
        <f t="shared" si="41"/>
        <v>1807.100517448335</v>
      </c>
      <c r="GK26" s="26">
        <f t="shared" si="41"/>
        <v>1798.0650148610935</v>
      </c>
      <c r="GL26" s="26">
        <f t="shared" si="41"/>
        <v>1789.074689786788</v>
      </c>
      <c r="GM26" s="26">
        <f t="shared" si="41"/>
        <v>1780.1293163378541</v>
      </c>
      <c r="GN26" s="26">
        <f t="shared" si="41"/>
        <v>1771.2286697561649</v>
      </c>
      <c r="GO26" s="26">
        <f t="shared" si="41"/>
        <v>1762.3725264073842</v>
      </c>
      <c r="GP26" s="26">
        <f t="shared" si="41"/>
        <v>1753.5606637753472</v>
      </c>
      <c r="GQ26" s="26">
        <f t="shared" si="41"/>
        <v>1744.7928604564704</v>
      </c>
    </row>
    <row r="27" spans="1:199" x14ac:dyDescent="0.15">
      <c r="A27" s="3" t="s">
        <v>16</v>
      </c>
      <c r="B27" s="62"/>
      <c r="C27" s="31">
        <f t="shared" ref="C27:F27" si="42">C26/C28</f>
        <v>-0.73309801152083665</v>
      </c>
      <c r="D27" s="31">
        <f t="shared" si="42"/>
        <v>-1.2539175914781713</v>
      </c>
      <c r="E27" s="31">
        <f t="shared" si="42"/>
        <v>-2.3620385121624925</v>
      </c>
      <c r="F27" s="52">
        <f t="shared" si="42"/>
        <v>-1.7093496217434596</v>
      </c>
      <c r="G27" s="52">
        <f t="shared" ref="G27" si="43">G26/G28</f>
        <v>-0.93318807875343146</v>
      </c>
      <c r="H27" s="52">
        <f t="shared" ref="H27:O27" si="44">H26/H28</f>
        <v>0.56063473413997866</v>
      </c>
      <c r="I27" s="52">
        <f t="shared" si="44"/>
        <v>3.1746947252195366</v>
      </c>
      <c r="J27" s="52">
        <f t="shared" si="44"/>
        <v>7.5099091222784837</v>
      </c>
      <c r="K27" s="52">
        <f t="shared" si="44"/>
        <v>9.0142222438153397</v>
      </c>
      <c r="L27" s="52">
        <f t="shared" si="44"/>
        <v>10.68986929589903</v>
      </c>
      <c r="M27" s="52">
        <f t="shared" si="44"/>
        <v>12.555227653060973</v>
      </c>
      <c r="N27" s="52">
        <f t="shared" si="44"/>
        <v>14.630568330220591</v>
      </c>
      <c r="O27" s="52">
        <f t="shared" si="44"/>
        <v>16.938248228368472</v>
      </c>
      <c r="P27" s="52">
        <f t="shared" ref="P27:T27" si="45">P26/P28</f>
        <v>19.502921746499851</v>
      </c>
      <c r="Q27" s="52">
        <f t="shared" si="45"/>
        <v>22.351773703544225</v>
      </c>
      <c r="R27" s="52">
        <f t="shared" si="45"/>
        <v>25.514775708766471</v>
      </c>
      <c r="S27" s="52">
        <f t="shared" si="45"/>
        <v>29.024968333335391</v>
      </c>
      <c r="T27" s="52">
        <f t="shared" si="45"/>
        <v>32.918771671416529</v>
      </c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</row>
    <row r="28" spans="1:199" s="16" customFormat="1" x14ac:dyDescent="0.15">
      <c r="A28" s="16" t="s">
        <v>17</v>
      </c>
      <c r="B28" s="62"/>
      <c r="C28" s="24">
        <f>AVERAGE(Reports!B21:E21)</f>
        <v>91.222454499999998</v>
      </c>
      <c r="D28" s="24">
        <f>AVERAGE(Reports!F21:I21)</f>
        <v>97.114834999999999</v>
      </c>
      <c r="E28" s="24">
        <f>AVERAGE(Reports!J21:M21)</f>
        <v>130.00761775000001</v>
      </c>
      <c r="F28" s="24">
        <f t="shared" ref="F28" si="46">E28</f>
        <v>130.00761775000001</v>
      </c>
      <c r="G28" s="24">
        <f t="shared" ref="G28" si="47">F28</f>
        <v>130.00761775000001</v>
      </c>
      <c r="H28" s="24">
        <f t="shared" ref="H28" si="48">G28</f>
        <v>130.00761775000001</v>
      </c>
      <c r="I28" s="24">
        <f t="shared" ref="I28" si="49">H28</f>
        <v>130.00761775000001</v>
      </c>
      <c r="J28" s="24">
        <f t="shared" ref="J28" si="50">I28</f>
        <v>130.00761775000001</v>
      </c>
      <c r="K28" s="24">
        <f t="shared" ref="K28" si="51">J28</f>
        <v>130.00761775000001</v>
      </c>
      <c r="L28" s="24">
        <f t="shared" ref="L28" si="52">K28</f>
        <v>130.00761775000001</v>
      </c>
      <c r="M28" s="24">
        <f t="shared" ref="M28" si="53">L28</f>
        <v>130.00761775000001</v>
      </c>
      <c r="N28" s="24">
        <f t="shared" ref="N28" si="54">M28</f>
        <v>130.00761775000001</v>
      </c>
      <c r="O28" s="24">
        <f t="shared" ref="O28:T28" si="55">N28</f>
        <v>130.00761775000001</v>
      </c>
      <c r="P28" s="24">
        <f t="shared" si="55"/>
        <v>130.00761775000001</v>
      </c>
      <c r="Q28" s="24">
        <f t="shared" si="55"/>
        <v>130.00761775000001</v>
      </c>
      <c r="R28" s="24">
        <f t="shared" si="55"/>
        <v>130.00761775000001</v>
      </c>
      <c r="S28" s="24">
        <f t="shared" si="55"/>
        <v>130.00761775000001</v>
      </c>
      <c r="T28" s="24">
        <f t="shared" si="55"/>
        <v>130.00761775000001</v>
      </c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</row>
    <row r="29" spans="1:199" x14ac:dyDescent="0.15">
      <c r="B29" s="62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</row>
    <row r="30" spans="1:199" x14ac:dyDescent="0.15">
      <c r="A30" s="3" t="s">
        <v>19</v>
      </c>
      <c r="B30" s="62"/>
      <c r="C30" s="37">
        <f t="shared" ref="C30:O30" si="56">IFERROR(C17/C15,0)</f>
        <v>0.54163951681619971</v>
      </c>
      <c r="D30" s="37">
        <f>IFERROR(D17/D15,0)</f>
        <v>0.53721539472085189</v>
      </c>
      <c r="E30" s="37">
        <f t="shared" si="56"/>
        <v>0.53674233208869704</v>
      </c>
      <c r="F30" s="37">
        <f t="shared" si="56"/>
        <v>0.53674233208869704</v>
      </c>
      <c r="G30" s="37">
        <f>IFERROR(G17/G15,0)</f>
        <v>0.53674233208869704</v>
      </c>
      <c r="H30" s="37">
        <f t="shared" si="56"/>
        <v>0.53674233208869704</v>
      </c>
      <c r="I30" s="37">
        <f t="shared" si="56"/>
        <v>0.53674233208869704</v>
      </c>
      <c r="J30" s="37">
        <f t="shared" si="56"/>
        <v>0.53674233208869704</v>
      </c>
      <c r="K30" s="37">
        <f t="shared" si="56"/>
        <v>0.53674233208869704</v>
      </c>
      <c r="L30" s="37">
        <f t="shared" si="56"/>
        <v>0.53674233208869704</v>
      </c>
      <c r="M30" s="37">
        <f t="shared" si="56"/>
        <v>0.53674233208869704</v>
      </c>
      <c r="N30" s="37">
        <f t="shared" si="56"/>
        <v>0.53674233208869704</v>
      </c>
      <c r="O30" s="37">
        <f t="shared" si="56"/>
        <v>0.53674233208869704</v>
      </c>
      <c r="P30" s="37">
        <f t="shared" ref="P30:T30" si="57">IFERROR(P17/P15,0)</f>
        <v>0.53674233208869704</v>
      </c>
      <c r="Q30" s="37">
        <f t="shared" si="57"/>
        <v>0.53674233208869704</v>
      </c>
      <c r="R30" s="37">
        <f t="shared" si="57"/>
        <v>0.53674233208869704</v>
      </c>
      <c r="S30" s="37">
        <f t="shared" si="57"/>
        <v>0.53674233208869704</v>
      </c>
      <c r="T30" s="37">
        <f t="shared" si="57"/>
        <v>0.53674233208869704</v>
      </c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</row>
    <row r="31" spans="1:199" x14ac:dyDescent="0.15">
      <c r="A31" s="3" t="s">
        <v>20</v>
      </c>
      <c r="B31" s="62"/>
      <c r="C31" s="39">
        <f t="shared" ref="C31:O31" si="58">IFERROR(C22/C15,0)</f>
        <v>-0.17010425542579319</v>
      </c>
      <c r="D31" s="39">
        <f>IFERROR(D22/D15,0)</f>
        <v>-0.17809548861886543</v>
      </c>
      <c r="E31" s="39">
        <f t="shared" si="58"/>
        <v>-0.32621722252192231</v>
      </c>
      <c r="F31" s="39">
        <f>IFERROR(F22/F15,0)</f>
        <v>-0.16999019800347451</v>
      </c>
      <c r="G31" s="39">
        <f t="shared" si="58"/>
        <v>-6.7801798779777309E-2</v>
      </c>
      <c r="H31" s="39">
        <f t="shared" si="58"/>
        <v>1.8336739249627788E-2</v>
      </c>
      <c r="I31" s="39">
        <f t="shared" si="58"/>
        <v>9.1112741376749212E-2</v>
      </c>
      <c r="J31" s="39">
        <f t="shared" si="58"/>
        <v>0.15274273995535409</v>
      </c>
      <c r="K31" s="39">
        <f t="shared" si="58"/>
        <v>0.16501094379908596</v>
      </c>
      <c r="L31" s="39">
        <f t="shared" si="58"/>
        <v>0.17630368629991958</v>
      </c>
      <c r="M31" s="39">
        <f t="shared" si="58"/>
        <v>0.18671088650583795</v>
      </c>
      <c r="N31" s="39">
        <f t="shared" si="58"/>
        <v>0.19631340388307594</v>
      </c>
      <c r="O31" s="39">
        <f t="shared" si="58"/>
        <v>0.20518399255372255</v>
      </c>
      <c r="P31" s="39">
        <f t="shared" ref="P31:T31" si="59">IFERROR(P22/P15,0)</f>
        <v>0.21338815298378538</v>
      </c>
      <c r="Q31" s="39">
        <f t="shared" si="59"/>
        <v>0.22098489223852502</v>
      </c>
      <c r="R31" s="39">
        <f t="shared" si="59"/>
        <v>0.2280274027123258</v>
      </c>
      <c r="S31" s="39">
        <f t="shared" si="59"/>
        <v>0.23456366816263163</v>
      </c>
      <c r="T31" s="39">
        <f t="shared" si="59"/>
        <v>0.24063700491717033</v>
      </c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</row>
    <row r="32" spans="1:199" x14ac:dyDescent="0.15">
      <c r="A32" s="3" t="s">
        <v>21</v>
      </c>
      <c r="B32" s="62"/>
      <c r="C32" s="39">
        <f t="shared" ref="C32:O32" si="60">IFERROR(C25/C24,0)</f>
        <v>-1.5180265654648957E-2</v>
      </c>
      <c r="D32" s="39">
        <f>IFERROR(D25/D24,0)</f>
        <v>0</v>
      </c>
      <c r="E32" s="39">
        <f t="shared" si="60"/>
        <v>0.15423470666486722</v>
      </c>
      <c r="F32" s="39">
        <f t="shared" si="60"/>
        <v>0.15</v>
      </c>
      <c r="G32" s="39">
        <f t="shared" si="60"/>
        <v>0.15</v>
      </c>
      <c r="H32" s="39">
        <f t="shared" si="60"/>
        <v>0.15</v>
      </c>
      <c r="I32" s="39">
        <f t="shared" si="60"/>
        <v>0.15</v>
      </c>
      <c r="J32" s="39">
        <f t="shared" si="60"/>
        <v>0.15</v>
      </c>
      <c r="K32" s="39">
        <f t="shared" si="60"/>
        <v>0.15</v>
      </c>
      <c r="L32" s="39">
        <f t="shared" si="60"/>
        <v>0.15</v>
      </c>
      <c r="M32" s="39">
        <f t="shared" si="60"/>
        <v>0.15</v>
      </c>
      <c r="N32" s="39">
        <f t="shared" si="60"/>
        <v>0.15</v>
      </c>
      <c r="O32" s="39">
        <f t="shared" si="60"/>
        <v>0.15</v>
      </c>
      <c r="P32" s="39">
        <f t="shared" ref="P32:T32" si="61">IFERROR(P25/P24,0)</f>
        <v>0.15</v>
      </c>
      <c r="Q32" s="39">
        <f t="shared" si="61"/>
        <v>0.15</v>
      </c>
      <c r="R32" s="39">
        <f t="shared" si="61"/>
        <v>0.15</v>
      </c>
      <c r="S32" s="39">
        <f t="shared" si="61"/>
        <v>0.15</v>
      </c>
      <c r="T32" s="39">
        <f t="shared" si="61"/>
        <v>0.15</v>
      </c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</row>
    <row r="33" spans="1:116" x14ac:dyDescent="0.15">
      <c r="B33" s="62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</row>
    <row r="34" spans="1:116" x14ac:dyDescent="0.15">
      <c r="A34" s="2" t="s">
        <v>18</v>
      </c>
      <c r="B34" s="62"/>
      <c r="C34" s="53"/>
      <c r="D34" s="53">
        <f t="shared" ref="D34:T34" si="62">D15/C15-1</f>
        <v>0.62915893940153378</v>
      </c>
      <c r="E34" s="53">
        <f>E15/D15-1</f>
        <v>0.74515549935621994</v>
      </c>
      <c r="F34" s="53">
        <f t="shared" si="62"/>
        <v>0.50037646930392898</v>
      </c>
      <c r="G34" s="53">
        <f t="shared" si="62"/>
        <v>0.43999999999999972</v>
      </c>
      <c r="H34" s="53">
        <f t="shared" si="62"/>
        <v>0.44000000000000017</v>
      </c>
      <c r="I34" s="53">
        <f t="shared" si="62"/>
        <v>0.43999999999999972</v>
      </c>
      <c r="J34" s="53">
        <f t="shared" si="62"/>
        <v>0.43999999999999995</v>
      </c>
      <c r="K34" s="53">
        <f t="shared" si="62"/>
        <v>0.10000000000000009</v>
      </c>
      <c r="L34" s="53">
        <f t="shared" si="62"/>
        <v>0.10000000000000009</v>
      </c>
      <c r="M34" s="53">
        <f t="shared" si="62"/>
        <v>0.10000000000000009</v>
      </c>
      <c r="N34" s="53">
        <f t="shared" si="62"/>
        <v>0.10000000000000009</v>
      </c>
      <c r="O34" s="53">
        <f t="shared" si="62"/>
        <v>0.10000000000000009</v>
      </c>
      <c r="P34" s="53">
        <f t="shared" si="62"/>
        <v>0.10000000000000009</v>
      </c>
      <c r="Q34" s="53">
        <f t="shared" si="62"/>
        <v>0.10000000000000009</v>
      </c>
      <c r="R34" s="53">
        <f t="shared" si="62"/>
        <v>0.10000000000000009</v>
      </c>
      <c r="S34" s="53">
        <f t="shared" si="62"/>
        <v>0.10000000000000009</v>
      </c>
      <c r="T34" s="53">
        <f t="shared" si="62"/>
        <v>0.10000000000000009</v>
      </c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</row>
    <row r="35" spans="1:116" x14ac:dyDescent="0.15">
      <c r="A35" s="3" t="s">
        <v>34</v>
      </c>
      <c r="B35" s="62"/>
      <c r="C35" s="39"/>
      <c r="D35" s="39">
        <f t="shared" ref="D35:T35" si="63">D18/C18-1</f>
        <v>0.4098360655737705</v>
      </c>
      <c r="E35" s="39">
        <f t="shared" si="63"/>
        <v>1.2732558139534884</v>
      </c>
      <c r="F35" s="39">
        <f t="shared" si="63"/>
        <v>0.30000000000000004</v>
      </c>
      <c r="G35" s="39">
        <f t="shared" si="63"/>
        <v>0.30000000000000004</v>
      </c>
      <c r="H35" s="39">
        <f t="shared" si="63"/>
        <v>0.30000000000000004</v>
      </c>
      <c r="I35" s="39">
        <f t="shared" si="63"/>
        <v>0.30000000000000004</v>
      </c>
      <c r="J35" s="39">
        <f t="shared" si="63"/>
        <v>0.30000000000000004</v>
      </c>
      <c r="K35" s="39">
        <f t="shared" si="63"/>
        <v>0.10000000000000009</v>
      </c>
      <c r="L35" s="39">
        <f t="shared" si="63"/>
        <v>0.10000000000000009</v>
      </c>
      <c r="M35" s="39">
        <f t="shared" si="63"/>
        <v>0.10000000000000009</v>
      </c>
      <c r="N35" s="39">
        <f t="shared" si="63"/>
        <v>0.10000000000000009</v>
      </c>
      <c r="O35" s="39">
        <f t="shared" si="63"/>
        <v>0.10000000000000009</v>
      </c>
      <c r="P35" s="39">
        <f t="shared" si="63"/>
        <v>0.10000000000000009</v>
      </c>
      <c r="Q35" s="39">
        <f t="shared" si="63"/>
        <v>0.10000000000000009</v>
      </c>
      <c r="R35" s="39">
        <f t="shared" si="63"/>
        <v>0.10000000000000009</v>
      </c>
      <c r="S35" s="39">
        <f t="shared" si="63"/>
        <v>0.10000000000000009</v>
      </c>
      <c r="T35" s="39">
        <f t="shared" si="63"/>
        <v>0.10000000000000009</v>
      </c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</row>
    <row r="36" spans="1:116" x14ac:dyDescent="0.15">
      <c r="A36" s="3" t="s">
        <v>35</v>
      </c>
      <c r="B36" s="62"/>
      <c r="C36" s="39"/>
      <c r="D36" s="39">
        <f t="shared" ref="D36:T36" si="64">D19/C19-1</f>
        <v>0.74257425742574257</v>
      </c>
      <c r="E36" s="39">
        <f t="shared" si="64"/>
        <v>1.0965909090909092</v>
      </c>
      <c r="F36" s="39">
        <f t="shared" si="64"/>
        <v>0.19999999999999996</v>
      </c>
      <c r="G36" s="39">
        <f t="shared" si="64"/>
        <v>0.19999999999999996</v>
      </c>
      <c r="H36" s="39">
        <f t="shared" si="64"/>
        <v>0.19999999999999996</v>
      </c>
      <c r="I36" s="39">
        <f t="shared" si="64"/>
        <v>0.19999999999999996</v>
      </c>
      <c r="J36" s="39">
        <f t="shared" si="64"/>
        <v>0.19999999999999996</v>
      </c>
      <c r="K36" s="39">
        <f t="shared" si="64"/>
        <v>5.0000000000000044E-2</v>
      </c>
      <c r="L36" s="39">
        <f t="shared" si="64"/>
        <v>5.0000000000000044E-2</v>
      </c>
      <c r="M36" s="39">
        <f t="shared" si="64"/>
        <v>5.0000000000000044E-2</v>
      </c>
      <c r="N36" s="39">
        <f t="shared" si="64"/>
        <v>5.0000000000000044E-2</v>
      </c>
      <c r="O36" s="39">
        <f t="shared" si="64"/>
        <v>5.0000000000000044E-2</v>
      </c>
      <c r="P36" s="39">
        <f t="shared" si="64"/>
        <v>5.0000000000000044E-2</v>
      </c>
      <c r="Q36" s="39">
        <f t="shared" si="64"/>
        <v>5.0000000000000044E-2</v>
      </c>
      <c r="R36" s="39">
        <f t="shared" si="64"/>
        <v>5.0000000000000044E-2</v>
      </c>
      <c r="S36" s="39">
        <f t="shared" si="64"/>
        <v>5.0000000000000044E-2</v>
      </c>
      <c r="T36" s="39">
        <f t="shared" si="64"/>
        <v>5.0000000000000044E-2</v>
      </c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</row>
    <row r="37" spans="1:116" x14ac:dyDescent="0.15">
      <c r="A37" s="3" t="s">
        <v>36</v>
      </c>
      <c r="B37" s="62"/>
      <c r="C37" s="39"/>
      <c r="D37" s="39">
        <f t="shared" ref="D37:T37" si="65">D20/C20-1</f>
        <v>0.91803278688524581</v>
      </c>
      <c r="E37" s="39">
        <f t="shared" si="65"/>
        <v>0.87179487179487181</v>
      </c>
      <c r="F37" s="39">
        <f t="shared" si="65"/>
        <v>0.14999999999999991</v>
      </c>
      <c r="G37" s="39">
        <f t="shared" si="65"/>
        <v>0.14999999999999991</v>
      </c>
      <c r="H37" s="39">
        <f t="shared" si="65"/>
        <v>0.14999999999999991</v>
      </c>
      <c r="I37" s="39">
        <f t="shared" si="65"/>
        <v>0.14999999999999991</v>
      </c>
      <c r="J37" s="39">
        <f t="shared" si="65"/>
        <v>0.14999999999999991</v>
      </c>
      <c r="K37" s="39">
        <f t="shared" si="65"/>
        <v>-2.0000000000000018E-2</v>
      </c>
      <c r="L37" s="39">
        <f t="shared" si="65"/>
        <v>-2.0000000000000018E-2</v>
      </c>
      <c r="M37" s="39">
        <f t="shared" si="65"/>
        <v>-2.0000000000000018E-2</v>
      </c>
      <c r="N37" s="39">
        <f t="shared" si="65"/>
        <v>-2.0000000000000018E-2</v>
      </c>
      <c r="O37" s="39">
        <f t="shared" si="65"/>
        <v>-2.0000000000000018E-2</v>
      </c>
      <c r="P37" s="39">
        <f t="shared" si="65"/>
        <v>-2.0000000000000018E-2</v>
      </c>
      <c r="Q37" s="39">
        <f t="shared" si="65"/>
        <v>-2.0000000000000018E-2</v>
      </c>
      <c r="R37" s="39">
        <f t="shared" si="65"/>
        <v>-2.0000000000000018E-2</v>
      </c>
      <c r="S37" s="39">
        <f t="shared" si="65"/>
        <v>-2.0000000000000018E-2</v>
      </c>
      <c r="T37" s="39">
        <f t="shared" si="65"/>
        <v>-2.0000000000000129E-2</v>
      </c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</row>
    <row r="38" spans="1:116" s="5" customFormat="1" x14ac:dyDescent="0.15">
      <c r="A38" s="14" t="s">
        <v>97</v>
      </c>
      <c r="B38" s="62"/>
      <c r="C38" s="48"/>
      <c r="D38" s="48">
        <f>D21/C21-1</f>
        <v>0.63732394366197176</v>
      </c>
      <c r="E38" s="48">
        <f t="shared" ref="E38:T38" si="66">E21/D21-1</f>
        <v>1.1053763440860216</v>
      </c>
      <c r="F38" s="48">
        <f t="shared" si="66"/>
        <v>0.22875383043922382</v>
      </c>
      <c r="G38" s="48">
        <f t="shared" si="66"/>
        <v>0.23178644166424212</v>
      </c>
      <c r="H38" s="48">
        <f t="shared" si="66"/>
        <v>0.23482143911619646</v>
      </c>
      <c r="I38" s="48">
        <f t="shared" si="66"/>
        <v>0.23784661949897679</v>
      </c>
      <c r="J38" s="48">
        <f t="shared" si="66"/>
        <v>0.24084985422218819</v>
      </c>
      <c r="K38" s="48">
        <f>K21/J21-1</f>
        <v>6.4856670411725492E-2</v>
      </c>
      <c r="L38" s="48">
        <f t="shared" si="66"/>
        <v>6.658335254369474E-2</v>
      </c>
      <c r="M38" s="48">
        <f t="shared" si="66"/>
        <v>6.82389212137402E-2</v>
      </c>
      <c r="N38" s="48">
        <f t="shared" si="66"/>
        <v>6.9823370876370694E-2</v>
      </c>
      <c r="O38" s="48">
        <f t="shared" si="66"/>
        <v>7.1337196315415463E-2</v>
      </c>
      <c r="P38" s="48">
        <f t="shared" si="66"/>
        <v>7.2781331678381411E-2</v>
      </c>
      <c r="Q38" s="48">
        <f t="shared" si="66"/>
        <v>7.41570892841239E-2</v>
      </c>
      <c r="R38" s="48">
        <f t="shared" si="66"/>
        <v>7.5466099785783003E-2</v>
      </c>
      <c r="S38" s="48">
        <f t="shared" si="66"/>
        <v>7.6710254959614144E-2</v>
      </c>
      <c r="T38" s="48">
        <f t="shared" si="66"/>
        <v>7.7891654085719519E-2</v>
      </c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</row>
    <row r="39" spans="1:116" x14ac:dyDescent="0.15">
      <c r="B39" s="62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</row>
    <row r="40" spans="1:116" x14ac:dyDescent="0.15">
      <c r="A40" s="2" t="s">
        <v>22</v>
      </c>
      <c r="B40" s="62"/>
      <c r="C40" s="48"/>
      <c r="D40" s="26">
        <f>D41-D42</f>
        <v>314</v>
      </c>
      <c r="E40" s="26">
        <f>E41-E42</f>
        <v>1395</v>
      </c>
      <c r="F40" s="54">
        <f>E40+F26</f>
        <v>1172.7715277752691</v>
      </c>
      <c r="G40" s="54">
        <f>F40+G26</f>
        <v>1051.4499687438361</v>
      </c>
      <c r="H40" s="54">
        <f t="shared" ref="H40:T40" si="67">G40+H26</f>
        <v>1124.3367549572793</v>
      </c>
      <c r="I40" s="54">
        <f t="shared" si="67"/>
        <v>1537.0712532665621</v>
      </c>
      <c r="J40" s="54">
        <f t="shared" si="67"/>
        <v>2513.4166477729814</v>
      </c>
      <c r="K40" s="54">
        <f t="shared" si="67"/>
        <v>3685.3342075604733</v>
      </c>
      <c r="L40" s="54">
        <f t="shared" si="67"/>
        <v>5075.0986487791761</v>
      </c>
      <c r="M40" s="54">
        <f t="shared" si="67"/>
        <v>6707.3738862625569</v>
      </c>
      <c r="N40" s="54">
        <f t="shared" si="67"/>
        <v>8609.4592212031312</v>
      </c>
      <c r="O40" s="54">
        <f t="shared" si="67"/>
        <v>10811.560522231473</v>
      </c>
      <c r="P40" s="54">
        <f t="shared" si="67"/>
        <v>13347.088917658588</v>
      </c>
      <c r="Q40" s="54">
        <f t="shared" si="67"/>
        <v>16252.989769343469</v>
      </c>
      <c r="R40" s="54">
        <f t="shared" si="67"/>
        <v>19570.104976665767</v>
      </c>
      <c r="S40" s="54">
        <f t="shared" si="67"/>
        <v>23343.571964951891</v>
      </c>
      <c r="T40" s="54">
        <f t="shared" si="67"/>
        <v>27623.263049208937</v>
      </c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</row>
    <row r="41" spans="1:116" x14ac:dyDescent="0.15">
      <c r="A41" s="3" t="s">
        <v>23</v>
      </c>
      <c r="B41" s="62"/>
      <c r="C41" s="48"/>
      <c r="D41" s="55">
        <f>Reports!I34</f>
        <v>748</v>
      </c>
      <c r="E41" s="55">
        <f>Reports!M34</f>
        <v>1853</v>
      </c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</row>
    <row r="42" spans="1:116" x14ac:dyDescent="0.15">
      <c r="A42" s="3" t="s">
        <v>24</v>
      </c>
      <c r="B42" s="62"/>
      <c r="C42" s="48"/>
      <c r="D42" s="55">
        <f>Reports!I35</f>
        <v>434</v>
      </c>
      <c r="E42" s="55">
        <f>Reports!M35</f>
        <v>458</v>
      </c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</row>
    <row r="43" spans="1:116" x14ac:dyDescent="0.15">
      <c r="B43" s="62"/>
      <c r="C43" s="48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</row>
    <row r="44" spans="1:116" x14ac:dyDescent="0.15">
      <c r="A44" s="3" t="s">
        <v>48</v>
      </c>
      <c r="B44" s="62"/>
      <c r="C44" s="48"/>
      <c r="D44" s="55">
        <f>Reports!I37</f>
        <v>66</v>
      </c>
      <c r="E44" s="55">
        <f>Reports!M37</f>
        <v>2758</v>
      </c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</row>
    <row r="45" spans="1:116" x14ac:dyDescent="0.15">
      <c r="A45" s="3" t="s">
        <v>49</v>
      </c>
      <c r="B45" s="62"/>
      <c r="C45" s="48"/>
      <c r="D45" s="55">
        <f>Reports!I38</f>
        <v>1029</v>
      </c>
      <c r="E45" s="55">
        <f>Reports!M38</f>
        <v>5151</v>
      </c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</row>
    <row r="46" spans="1:116" x14ac:dyDescent="0.15">
      <c r="A46" s="3" t="s">
        <v>50</v>
      </c>
      <c r="B46" s="62"/>
      <c r="C46" s="48"/>
      <c r="D46" s="55">
        <f>Reports!I39</f>
        <v>590</v>
      </c>
      <c r="E46" s="55">
        <f>Reports!M39</f>
        <v>871</v>
      </c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</row>
    <row r="47" spans="1:116" x14ac:dyDescent="0.15">
      <c r="B47" s="62"/>
      <c r="C47" s="48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</row>
    <row r="48" spans="1:116" x14ac:dyDescent="0.15">
      <c r="A48" s="3" t="s">
        <v>51</v>
      </c>
      <c r="B48" s="62"/>
      <c r="C48" s="48"/>
      <c r="D48" s="58">
        <f>D45-D44-D41</f>
        <v>215</v>
      </c>
      <c r="E48" s="58">
        <f>E45-E44-E41</f>
        <v>540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</row>
    <row r="49" spans="1:116" x14ac:dyDescent="0.15">
      <c r="A49" s="3" t="s">
        <v>52</v>
      </c>
      <c r="B49" s="62"/>
      <c r="C49" s="48"/>
      <c r="D49" s="58">
        <f>D45-D46</f>
        <v>439</v>
      </c>
      <c r="E49" s="58">
        <f>E45-E46</f>
        <v>4280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</row>
    <row r="50" spans="1:116" x14ac:dyDescent="0.15">
      <c r="B50" s="62"/>
      <c r="C50" s="48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</row>
    <row r="51" spans="1:116" x14ac:dyDescent="0.15">
      <c r="A51" s="19" t="s">
        <v>54</v>
      </c>
      <c r="B51" s="62"/>
      <c r="C51" s="48"/>
      <c r="D51" s="59">
        <f>D26/D49</f>
        <v>-0.27738952164009112</v>
      </c>
      <c r="E51" s="59">
        <f>E26/E49</f>
        <v>-7.1748364485981334E-2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</row>
    <row r="52" spans="1:116" x14ac:dyDescent="0.15">
      <c r="A52" s="19" t="s">
        <v>55</v>
      </c>
      <c r="B52" s="62"/>
      <c r="C52" s="48"/>
      <c r="D52" s="59">
        <f>D26/D45</f>
        <v>-0.11834207968901847</v>
      </c>
      <c r="E52" s="59">
        <f>E26/E45</f>
        <v>-5.9616191030867807E-2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</row>
    <row r="53" spans="1:116" x14ac:dyDescent="0.15">
      <c r="A53" s="19" t="s">
        <v>56</v>
      </c>
      <c r="B53" s="62"/>
      <c r="C53" s="48"/>
      <c r="D53" s="59">
        <f>D26/(D49-D44)</f>
        <v>-0.32647184986595174</v>
      </c>
      <c r="E53" s="59">
        <f>E26/(E49-E44)</f>
        <v>-0.20176281208935617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</row>
    <row r="54" spans="1:116" x14ac:dyDescent="0.15">
      <c r="A54" s="19" t="s">
        <v>57</v>
      </c>
      <c r="B54" s="62"/>
      <c r="C54" s="48"/>
      <c r="D54" s="59">
        <f>D26/D48</f>
        <v>-0.56639069767441863</v>
      </c>
      <c r="E54" s="59">
        <f>E26/E48</f>
        <v>-0.56867222222222236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</row>
    <row r="55" spans="1:116" x14ac:dyDescent="0.15">
      <c r="B55" s="6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</row>
    <row r="56" spans="1:116" x14ac:dyDescent="0.15">
      <c r="A56" s="6" t="s">
        <v>94</v>
      </c>
      <c r="B56" s="62"/>
      <c r="C56" s="59"/>
      <c r="D56" s="59">
        <f t="shared" ref="D56:J59" si="68">D10/C10-1</f>
        <v>0.62915893940153378</v>
      </c>
      <c r="E56" s="59">
        <f t="shared" si="68"/>
        <v>0.74515549935621994</v>
      </c>
      <c r="F56" s="59"/>
      <c r="G56" s="59"/>
      <c r="H56" s="59"/>
      <c r="I56" s="59"/>
      <c r="J56" s="59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</row>
    <row r="57" spans="1:116" x14ac:dyDescent="0.15">
      <c r="A57" s="6"/>
      <c r="B57" s="6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</row>
    <row r="58" spans="1:116" s="20" customFormat="1" x14ac:dyDescent="0.15">
      <c r="A58" s="18" t="s">
        <v>73</v>
      </c>
      <c r="B58" s="62"/>
      <c r="C58" s="59"/>
      <c r="D58" s="59">
        <f t="shared" si="68"/>
        <v>0.31843314123444411</v>
      </c>
      <c r="E58" s="59">
        <f t="shared" si="68"/>
        <v>1.8201145347658625</v>
      </c>
      <c r="F58" s="59">
        <f t="shared" ref="F58:J58" si="69">F12/E12-1</f>
        <v>0.22259860608184412</v>
      </c>
      <c r="G58" s="59">
        <f t="shared" si="69"/>
        <v>0.19999999999999996</v>
      </c>
      <c r="H58" s="59">
        <f t="shared" si="69"/>
        <v>0.19999999999999996</v>
      </c>
      <c r="I58" s="59">
        <f t="shared" si="69"/>
        <v>0.19999999999999996</v>
      </c>
      <c r="J58" s="59">
        <f t="shared" si="69"/>
        <v>0.19999999999999996</v>
      </c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9"/>
    </row>
    <row r="59" spans="1:116" s="20" customFormat="1" x14ac:dyDescent="0.15">
      <c r="A59" s="18" t="s">
        <v>61</v>
      </c>
      <c r="B59" s="62"/>
      <c r="C59" s="59"/>
      <c r="D59" s="59">
        <f t="shared" si="68"/>
        <v>0.23567808518235389</v>
      </c>
      <c r="E59" s="59">
        <f t="shared" si="68"/>
        <v>-0.38117566579574758</v>
      </c>
      <c r="F59" s="59">
        <f t="shared" ref="F59:J59" si="70">F13/E13-1</f>
        <v>0.22720282997238228</v>
      </c>
      <c r="G59" s="59">
        <f t="shared" si="70"/>
        <v>0.19999999999999996</v>
      </c>
      <c r="H59" s="59">
        <f t="shared" si="70"/>
        <v>0.19999999999999996</v>
      </c>
      <c r="I59" s="59">
        <f t="shared" si="70"/>
        <v>0.19999999999999996</v>
      </c>
      <c r="J59" s="59">
        <f t="shared" si="70"/>
        <v>0.19999999999999996</v>
      </c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</row>
    <row r="60" spans="1:116" x14ac:dyDescent="0.15">
      <c r="B60" s="62"/>
    </row>
    <row r="61" spans="1:116" x14ac:dyDescent="0.15">
      <c r="B61" s="62"/>
    </row>
  </sheetData>
  <hyperlinks>
    <hyperlink ref="A1" r:id="rId1" xr:uid="{00000000-0004-0000-0000-000000000000}"/>
    <hyperlink ref="L4" r:id="rId2" xr:uid="{CBCA994A-BC74-CB48-8009-AD2DE8254A02}"/>
    <hyperlink ref="A4" r:id="rId3" xr:uid="{E106D5B6-A86B-1C40-992B-79CD33205921}"/>
    <hyperlink ref="A7" r:id="rId4" xr:uid="{75FE34DA-B861-D348-9480-32FFAF4010EC}"/>
    <hyperlink ref="A8" r:id="rId5" xr:uid="{7E40C78C-F3F1-C24C-9447-7239B8A5CE74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S15" sqref="S15"/>
    </sheetView>
  </sheetViews>
  <sheetFormatPr baseColWidth="10" defaultRowHeight="13" x14ac:dyDescent="0.15"/>
  <cols>
    <col min="1" max="1" width="22.6640625" style="6" bestFit="1" customWidth="1"/>
    <col min="2" max="2" width="10.83203125" style="22"/>
    <col min="3" max="5" width="10.83203125" style="21"/>
    <col min="6" max="6" width="10.83203125" style="22"/>
    <col min="7" max="9" width="10.83203125" style="21"/>
    <col min="10" max="10" width="10.83203125" style="22"/>
    <col min="11" max="13" width="10.83203125" style="21"/>
    <col min="14" max="14" width="11.1640625" style="22" bestFit="1" customWidth="1"/>
    <col min="15" max="17" width="10.83203125" style="21"/>
    <col min="18" max="16384" width="10.83203125" style="6"/>
  </cols>
  <sheetData>
    <row r="1" spans="1:19" x14ac:dyDescent="0.15">
      <c r="A1" s="63" t="s">
        <v>37</v>
      </c>
      <c r="B1" s="23" t="s">
        <v>0</v>
      </c>
      <c r="C1" s="24" t="s">
        <v>1</v>
      </c>
      <c r="D1" s="24" t="s">
        <v>2</v>
      </c>
      <c r="E1" s="24" t="s">
        <v>3</v>
      </c>
      <c r="F1" s="23" t="s">
        <v>30</v>
      </c>
      <c r="G1" s="24" t="s">
        <v>31</v>
      </c>
      <c r="H1" s="24" t="s">
        <v>32</v>
      </c>
      <c r="I1" s="24" t="s">
        <v>33</v>
      </c>
      <c r="J1" s="23" t="s">
        <v>44</v>
      </c>
      <c r="K1" s="24" t="s">
        <v>45</v>
      </c>
      <c r="L1" s="24" t="s">
        <v>46</v>
      </c>
      <c r="M1" s="24" t="s">
        <v>47</v>
      </c>
      <c r="N1" s="23" t="s">
        <v>63</v>
      </c>
      <c r="O1" s="24" t="s">
        <v>95</v>
      </c>
      <c r="P1" s="24" t="s">
        <v>96</v>
      </c>
      <c r="Q1" s="24" t="s">
        <v>64</v>
      </c>
    </row>
    <row r="2" spans="1:19" s="21" customFormat="1" x14ac:dyDescent="0.15">
      <c r="A2" s="1"/>
      <c r="B2" s="64">
        <v>42825</v>
      </c>
      <c r="C2" s="66">
        <v>42916</v>
      </c>
      <c r="D2" s="71">
        <v>43008</v>
      </c>
      <c r="E2" s="66">
        <v>43100</v>
      </c>
      <c r="F2" s="64">
        <v>43190</v>
      </c>
      <c r="G2" s="66">
        <v>43281</v>
      </c>
      <c r="H2" s="71">
        <v>43373</v>
      </c>
      <c r="I2" s="66">
        <v>43465</v>
      </c>
      <c r="J2" s="64">
        <v>43555</v>
      </c>
      <c r="K2" s="66">
        <v>43646</v>
      </c>
      <c r="L2" s="71">
        <v>43738</v>
      </c>
      <c r="M2" s="66">
        <v>43830</v>
      </c>
      <c r="N2" s="64">
        <v>43921</v>
      </c>
      <c r="O2" s="66">
        <v>44012</v>
      </c>
      <c r="P2" s="66">
        <v>44104</v>
      </c>
    </row>
    <row r="3" spans="1:19" s="8" customFormat="1" x14ac:dyDescent="0.15">
      <c r="A3" s="65" t="s">
        <v>93</v>
      </c>
      <c r="B3" s="23">
        <v>87.372</v>
      </c>
      <c r="C3" s="24">
        <v>95.87</v>
      </c>
      <c r="D3" s="24">
        <v>100.542</v>
      </c>
      <c r="E3" s="24">
        <v>115.236</v>
      </c>
      <c r="F3" s="23">
        <v>129.11600000000001</v>
      </c>
      <c r="G3" s="24">
        <v>147.75399999999999</v>
      </c>
      <c r="H3" s="24">
        <v>168.89500000000001</v>
      </c>
      <c r="I3" s="24">
        <v>204.30199999999999</v>
      </c>
      <c r="J3" s="23">
        <v>233.13900000000001</v>
      </c>
      <c r="K3" s="24">
        <v>275.03899999999999</v>
      </c>
      <c r="L3" s="24">
        <v>295.06599999999997</v>
      </c>
      <c r="M3" s="24">
        <v>331.22399999999999</v>
      </c>
      <c r="N3" s="23">
        <v>364.86799999999999</v>
      </c>
      <c r="O3" s="24">
        <v>400.84899999999999</v>
      </c>
      <c r="P3" s="24">
        <v>447.96899999999999</v>
      </c>
      <c r="Q3" s="24"/>
    </row>
    <row r="4" spans="1:19" x14ac:dyDescent="0.15">
      <c r="B4" s="23"/>
      <c r="C4" s="24"/>
      <c r="D4" s="24"/>
      <c r="E4" s="24"/>
      <c r="F4" s="23"/>
      <c r="G4" s="24"/>
      <c r="H4" s="24"/>
      <c r="I4" s="24"/>
    </row>
    <row r="5" spans="1:19" s="8" customFormat="1" x14ac:dyDescent="0.15">
      <c r="A5" s="8" t="s">
        <v>72</v>
      </c>
      <c r="B5" s="23">
        <v>40696</v>
      </c>
      <c r="C5" s="24">
        <v>43431</v>
      </c>
      <c r="D5" s="24">
        <v>46489</v>
      </c>
      <c r="E5" s="24">
        <v>48979</v>
      </c>
      <c r="F5" s="23">
        <v>53985</v>
      </c>
      <c r="G5" s="24">
        <v>57350</v>
      </c>
      <c r="H5" s="24">
        <v>61163</v>
      </c>
      <c r="I5" s="24">
        <v>64286</v>
      </c>
      <c r="J5" s="23">
        <v>154797</v>
      </c>
      <c r="K5" s="24">
        <v>161869</v>
      </c>
      <c r="L5" s="24">
        <v>172092</v>
      </c>
      <c r="M5" s="24">
        <v>179000</v>
      </c>
      <c r="N5" s="23">
        <v>190000</v>
      </c>
      <c r="O5" s="24">
        <v>200000</v>
      </c>
      <c r="P5" s="24">
        <v>208000</v>
      </c>
      <c r="Q5" s="24">
        <f t="shared" ref="P5:Q5" si="0">P5*1.05</f>
        <v>218400</v>
      </c>
    </row>
    <row r="6" spans="1:19" s="8" customFormat="1" x14ac:dyDescent="0.15">
      <c r="A6" s="8" t="s">
        <v>60</v>
      </c>
      <c r="B6" s="29">
        <f t="shared" ref="B6:P6" si="1">B3/(B5/1000000)</f>
        <v>2146.9431885197559</v>
      </c>
      <c r="C6" s="29">
        <f t="shared" si="1"/>
        <v>2207.4094540765814</v>
      </c>
      <c r="D6" s="29">
        <f t="shared" si="1"/>
        <v>2162.7051560584223</v>
      </c>
      <c r="E6" s="29">
        <f t="shared" si="1"/>
        <v>2352.7634292247699</v>
      </c>
      <c r="F6" s="30">
        <f t="shared" si="1"/>
        <v>2391.7013985366307</v>
      </c>
      <c r="G6" s="29">
        <f t="shared" si="1"/>
        <v>2576.3557105492587</v>
      </c>
      <c r="H6" s="29">
        <f t="shared" si="1"/>
        <v>2761.3916910550497</v>
      </c>
      <c r="I6" s="29">
        <f t="shared" si="1"/>
        <v>3178.0169865911707</v>
      </c>
      <c r="J6" s="30">
        <f t="shared" si="1"/>
        <v>1506.0950793620034</v>
      </c>
      <c r="K6" s="29">
        <f t="shared" si="1"/>
        <v>1699.1456053969566</v>
      </c>
      <c r="L6" s="29">
        <f t="shared" si="1"/>
        <v>1714.5828975199311</v>
      </c>
      <c r="M6" s="29">
        <f t="shared" si="1"/>
        <v>1850.4134078212292</v>
      </c>
      <c r="N6" s="30">
        <f t="shared" si="1"/>
        <v>1920.3578947368421</v>
      </c>
      <c r="O6" s="29">
        <f t="shared" si="1"/>
        <v>2004.2449999999999</v>
      </c>
      <c r="P6" s="29">
        <f t="shared" si="1"/>
        <v>2153.6971153846152</v>
      </c>
      <c r="Q6" s="24">
        <f t="shared" ref="P6:Q6" si="2">P6*1.05</f>
        <v>2261.3819711538463</v>
      </c>
    </row>
    <row r="7" spans="1:19" s="72" customFormat="1" x14ac:dyDescent="0.15">
      <c r="B7" s="73"/>
      <c r="F7" s="73"/>
      <c r="J7" s="73"/>
      <c r="N7" s="73"/>
      <c r="O7" s="72">
        <v>365</v>
      </c>
      <c r="P7" s="72">
        <v>401</v>
      </c>
    </row>
    <row r="8" spans="1:19" s="17" customFormat="1" x14ac:dyDescent="0.15">
      <c r="A8" s="17" t="s">
        <v>4</v>
      </c>
      <c r="B8" s="26">
        <f t="shared" ref="B8:Q8" si="3">B6*(B5/1000000)</f>
        <v>87.372</v>
      </c>
      <c r="C8" s="26">
        <f t="shared" si="3"/>
        <v>95.87</v>
      </c>
      <c r="D8" s="26">
        <f t="shared" si="3"/>
        <v>100.542</v>
      </c>
      <c r="E8" s="26">
        <f t="shared" si="3"/>
        <v>115.236</v>
      </c>
      <c r="F8" s="27">
        <f t="shared" si="3"/>
        <v>129.11600000000001</v>
      </c>
      <c r="G8" s="26">
        <f t="shared" si="3"/>
        <v>147.75399999999999</v>
      </c>
      <c r="H8" s="26">
        <f t="shared" si="3"/>
        <v>168.89500000000001</v>
      </c>
      <c r="I8" s="26">
        <f t="shared" si="3"/>
        <v>204.30199999999999</v>
      </c>
      <c r="J8" s="27">
        <f t="shared" si="3"/>
        <v>233.13900000000001</v>
      </c>
      <c r="K8" s="26">
        <f t="shared" si="3"/>
        <v>275.03899999999999</v>
      </c>
      <c r="L8" s="26">
        <f t="shared" si="3"/>
        <v>295.06599999999997</v>
      </c>
      <c r="M8" s="26">
        <f t="shared" si="3"/>
        <v>331.22399999999999</v>
      </c>
      <c r="N8" s="27">
        <f t="shared" si="3"/>
        <v>364.86799999999999</v>
      </c>
      <c r="O8" s="26">
        <f t="shared" si="3"/>
        <v>400.84899999999999</v>
      </c>
      <c r="P8" s="26">
        <f t="shared" si="3"/>
        <v>447.96899999999994</v>
      </c>
      <c r="Q8" s="54">
        <f t="shared" si="3"/>
        <v>493.88582250000007</v>
      </c>
      <c r="S8" s="17">
        <f>SUM(N8:Q8)</f>
        <v>1707.5718225000001</v>
      </c>
    </row>
    <row r="9" spans="1:19" s="8" customFormat="1" x14ac:dyDescent="0.15">
      <c r="A9" s="8" t="s">
        <v>5</v>
      </c>
      <c r="B9" s="23">
        <v>37.286000000000001</v>
      </c>
      <c r="C9" s="24">
        <v>42.332999999999998</v>
      </c>
      <c r="D9" s="24">
        <v>48.253999999999998</v>
      </c>
      <c r="E9" s="24">
        <v>55.021999999999998</v>
      </c>
      <c r="F9" s="23">
        <v>59.582000000000001</v>
      </c>
      <c r="G9" s="24">
        <v>67.94</v>
      </c>
      <c r="H9" s="24">
        <v>77.031000000000006</v>
      </c>
      <c r="I9" s="24">
        <v>96.287999999999997</v>
      </c>
      <c r="J9" s="23">
        <v>107.089</v>
      </c>
      <c r="K9" s="24">
        <v>125.024</v>
      </c>
      <c r="L9" s="55">
        <v>136.904</v>
      </c>
      <c r="M9" s="55">
        <v>156.53399999999999</v>
      </c>
      <c r="N9" s="23">
        <v>171.333</v>
      </c>
      <c r="O9" s="55">
        <v>191.71799999999999</v>
      </c>
      <c r="P9" s="55">
        <v>217.095</v>
      </c>
      <c r="Q9" s="55"/>
    </row>
    <row r="10" spans="1:19" s="8" customFormat="1" x14ac:dyDescent="0.15">
      <c r="A10" s="8" t="s">
        <v>6</v>
      </c>
      <c r="B10" s="30">
        <f t="shared" ref="B10:D10" si="4">B8-B9</f>
        <v>50.085999999999999</v>
      </c>
      <c r="C10" s="29">
        <f t="shared" si="4"/>
        <v>53.537000000000006</v>
      </c>
      <c r="D10" s="29">
        <f t="shared" si="4"/>
        <v>52.288000000000004</v>
      </c>
      <c r="E10" s="29">
        <f t="shared" ref="E10" si="5">E8-E9</f>
        <v>60.214000000000006</v>
      </c>
      <c r="F10" s="30">
        <f>F8-F9</f>
        <v>69.53400000000002</v>
      </c>
      <c r="G10" s="29">
        <f>G8-G9</f>
        <v>79.813999999999993</v>
      </c>
      <c r="H10" s="29">
        <f t="shared" ref="H10:J10" si="6">H8-H9</f>
        <v>91.864000000000004</v>
      </c>
      <c r="I10" s="29">
        <f t="shared" si="6"/>
        <v>108.014</v>
      </c>
      <c r="J10" s="30">
        <f t="shared" si="6"/>
        <v>126.05000000000001</v>
      </c>
      <c r="K10" s="29">
        <f t="shared" ref="K10:P10" si="7">K8-K9</f>
        <v>150.01499999999999</v>
      </c>
      <c r="L10" s="29">
        <f t="shared" si="7"/>
        <v>158.16199999999998</v>
      </c>
      <c r="M10" s="29">
        <f t="shared" si="7"/>
        <v>174.69</v>
      </c>
      <c r="N10" s="30">
        <f t="shared" ref="N10" si="8">N8-N9</f>
        <v>193.535</v>
      </c>
      <c r="O10" s="29">
        <f t="shared" si="7"/>
        <v>209.131</v>
      </c>
      <c r="P10" s="29">
        <f t="shared" si="7"/>
        <v>230.87399999999994</v>
      </c>
      <c r="Q10" s="55"/>
    </row>
    <row r="11" spans="1:19" s="8" customFormat="1" x14ac:dyDescent="0.15">
      <c r="A11" s="8" t="s">
        <v>7</v>
      </c>
      <c r="B11" s="23">
        <v>27</v>
      </c>
      <c r="C11" s="24">
        <v>30</v>
      </c>
      <c r="D11" s="24">
        <v>32</v>
      </c>
      <c r="E11" s="24">
        <v>33</v>
      </c>
      <c r="F11" s="23">
        <v>38</v>
      </c>
      <c r="G11" s="24">
        <v>40</v>
      </c>
      <c r="H11" s="24">
        <v>42</v>
      </c>
      <c r="I11" s="24">
        <v>52</v>
      </c>
      <c r="J11" s="23">
        <v>78</v>
      </c>
      <c r="K11" s="24">
        <v>99</v>
      </c>
      <c r="L11" s="55">
        <v>104</v>
      </c>
      <c r="M11" s="55">
        <v>110</v>
      </c>
      <c r="N11" s="23">
        <v>114</v>
      </c>
      <c r="O11" s="55">
        <v>121</v>
      </c>
      <c r="P11" s="55">
        <v>137</v>
      </c>
      <c r="Q11" s="55"/>
    </row>
    <row r="12" spans="1:19" s="8" customFormat="1" x14ac:dyDescent="0.15">
      <c r="A12" s="8" t="s">
        <v>8</v>
      </c>
      <c r="B12" s="23">
        <v>21</v>
      </c>
      <c r="C12" s="24">
        <v>26</v>
      </c>
      <c r="D12" s="24">
        <v>26</v>
      </c>
      <c r="E12" s="24">
        <v>28</v>
      </c>
      <c r="F12" s="23">
        <v>33</v>
      </c>
      <c r="G12" s="24">
        <v>38</v>
      </c>
      <c r="H12" s="24">
        <v>46</v>
      </c>
      <c r="I12" s="24">
        <v>59</v>
      </c>
      <c r="J12" s="23">
        <v>72</v>
      </c>
      <c r="K12" s="24">
        <v>90</v>
      </c>
      <c r="L12" s="55">
        <v>101</v>
      </c>
      <c r="M12" s="55">
        <v>106</v>
      </c>
      <c r="N12" s="23">
        <v>117</v>
      </c>
      <c r="O12" s="55">
        <v>130</v>
      </c>
      <c r="P12" s="55">
        <v>141</v>
      </c>
      <c r="Q12" s="55"/>
    </row>
    <row r="13" spans="1:19" s="8" customFormat="1" x14ac:dyDescent="0.15">
      <c r="A13" s="8" t="s">
        <v>9</v>
      </c>
      <c r="B13" s="23">
        <v>17</v>
      </c>
      <c r="C13" s="24">
        <v>5</v>
      </c>
      <c r="D13" s="24">
        <v>19</v>
      </c>
      <c r="E13" s="24">
        <f>19+1</f>
        <v>20</v>
      </c>
      <c r="F13" s="23">
        <v>23</v>
      </c>
      <c r="G13" s="24">
        <v>24</v>
      </c>
      <c r="H13" s="24">
        <v>29</v>
      </c>
      <c r="I13" s="24">
        <v>41</v>
      </c>
      <c r="J13" s="23">
        <v>64</v>
      </c>
      <c r="K13" s="24">
        <v>55</v>
      </c>
      <c r="L13" s="55">
        <v>48</v>
      </c>
      <c r="M13" s="55">
        <v>52</v>
      </c>
      <c r="N13" s="23">
        <v>55</v>
      </c>
      <c r="O13" s="55">
        <v>61</v>
      </c>
      <c r="P13" s="55">
        <v>66</v>
      </c>
      <c r="Q13" s="55"/>
    </row>
    <row r="14" spans="1:19" s="8" customFormat="1" x14ac:dyDescent="0.15">
      <c r="A14" s="8" t="s">
        <v>10</v>
      </c>
      <c r="B14" s="30">
        <f t="shared" ref="B14:D14" si="9">SUM(B11:B13)</f>
        <v>65</v>
      </c>
      <c r="C14" s="29">
        <f t="shared" si="9"/>
        <v>61</v>
      </c>
      <c r="D14" s="29">
        <f t="shared" si="9"/>
        <v>77</v>
      </c>
      <c r="E14" s="29">
        <f t="shared" ref="E14:F14" si="10">SUM(E11:E13)</f>
        <v>81</v>
      </c>
      <c r="F14" s="30">
        <f t="shared" si="10"/>
        <v>94</v>
      </c>
      <c r="G14" s="29">
        <f t="shared" ref="G14:H14" si="11">SUM(G11:G13)</f>
        <v>102</v>
      </c>
      <c r="H14" s="29">
        <f t="shared" si="11"/>
        <v>117</v>
      </c>
      <c r="I14" s="29">
        <f t="shared" ref="I14:J14" si="12">SUM(I11:I13)</f>
        <v>152</v>
      </c>
      <c r="J14" s="30">
        <f t="shared" si="12"/>
        <v>214</v>
      </c>
      <c r="K14" s="29">
        <f>SUM(K11:K13)</f>
        <v>244</v>
      </c>
      <c r="L14" s="29">
        <f t="shared" ref="L14:M14" si="13">SUM(L11:L13)</f>
        <v>253</v>
      </c>
      <c r="M14" s="29">
        <f t="shared" si="13"/>
        <v>268</v>
      </c>
      <c r="N14" s="30">
        <f t="shared" ref="N14:O14" si="14">SUM(N11:N13)</f>
        <v>286</v>
      </c>
      <c r="O14" s="29">
        <f t="shared" si="14"/>
        <v>312</v>
      </c>
      <c r="P14" s="29">
        <f t="shared" ref="P14" si="15">SUM(P11:P13)</f>
        <v>344</v>
      </c>
      <c r="Q14" s="55"/>
    </row>
    <row r="15" spans="1:19" s="8" customFormat="1" x14ac:dyDescent="0.15">
      <c r="A15" s="8" t="s">
        <v>11</v>
      </c>
      <c r="B15" s="30">
        <f t="shared" ref="B15:H15" si="16">B10-B14</f>
        <v>-14.914000000000001</v>
      </c>
      <c r="C15" s="29">
        <f t="shared" si="16"/>
        <v>-7.4629999999999939</v>
      </c>
      <c r="D15" s="29">
        <f t="shared" si="16"/>
        <v>-24.711999999999996</v>
      </c>
      <c r="E15" s="29">
        <f t="shared" si="16"/>
        <v>-20.785999999999994</v>
      </c>
      <c r="F15" s="30">
        <f t="shared" si="16"/>
        <v>-24.46599999999998</v>
      </c>
      <c r="G15" s="29">
        <f t="shared" si="16"/>
        <v>-22.186000000000007</v>
      </c>
      <c r="H15" s="29">
        <f t="shared" si="16"/>
        <v>-25.135999999999996</v>
      </c>
      <c r="I15" s="29">
        <f t="shared" ref="I15:K15" si="17">I10-I14</f>
        <v>-43.986000000000004</v>
      </c>
      <c r="J15" s="30">
        <f t="shared" si="17"/>
        <v>-87.949999999999989</v>
      </c>
      <c r="K15" s="29">
        <f t="shared" si="17"/>
        <v>-93.985000000000014</v>
      </c>
      <c r="L15" s="29">
        <f t="shared" ref="L15:M15" si="18">L10-L14</f>
        <v>-94.838000000000022</v>
      </c>
      <c r="M15" s="29">
        <f t="shared" si="18"/>
        <v>-93.31</v>
      </c>
      <c r="N15" s="30">
        <f t="shared" ref="N15:O15" si="19">N10-N14</f>
        <v>-92.465000000000003</v>
      </c>
      <c r="O15" s="29">
        <f t="shared" si="19"/>
        <v>-102.869</v>
      </c>
      <c r="P15" s="29">
        <f t="shared" ref="P15" si="20">P10-P14</f>
        <v>-113.12600000000006</v>
      </c>
      <c r="Q15" s="55"/>
    </row>
    <row r="16" spans="1:19" s="8" customFormat="1" x14ac:dyDescent="0.15">
      <c r="A16" s="8" t="s">
        <v>12</v>
      </c>
      <c r="B16" s="23">
        <v>0</v>
      </c>
      <c r="C16" s="24">
        <v>0</v>
      </c>
      <c r="D16" s="24">
        <v>1</v>
      </c>
      <c r="E16" s="24">
        <v>1</v>
      </c>
      <c r="F16" s="23">
        <v>1</v>
      </c>
      <c r="G16" s="24">
        <v>-2</v>
      </c>
      <c r="H16" s="24">
        <v>-2</v>
      </c>
      <c r="I16" s="24">
        <v>-3</v>
      </c>
      <c r="J16" s="23">
        <v>-1</v>
      </c>
      <c r="K16" s="24">
        <v>-1</v>
      </c>
      <c r="L16" s="55">
        <v>4</v>
      </c>
      <c r="M16" s="55">
        <v>5</v>
      </c>
      <c r="N16" s="23">
        <v>-1</v>
      </c>
      <c r="O16" s="55">
        <v>3</v>
      </c>
      <c r="P16" s="55">
        <v>-4</v>
      </c>
      <c r="Q16" s="55"/>
    </row>
    <row r="17" spans="1:18" s="8" customFormat="1" x14ac:dyDescent="0.15">
      <c r="A17" s="8" t="s">
        <v>13</v>
      </c>
      <c r="B17" s="30">
        <f t="shared" ref="B17:C17" si="21">B15+B16</f>
        <v>-14.914000000000001</v>
      </c>
      <c r="C17" s="29">
        <f t="shared" si="21"/>
        <v>-7.4629999999999939</v>
      </c>
      <c r="D17" s="29">
        <f t="shared" ref="D17:F17" si="22">D15+D16</f>
        <v>-23.711999999999996</v>
      </c>
      <c r="E17" s="29">
        <f>E15+E16</f>
        <v>-19.785999999999994</v>
      </c>
      <c r="F17" s="30">
        <f t="shared" si="22"/>
        <v>-23.46599999999998</v>
      </c>
      <c r="G17" s="29">
        <f t="shared" ref="G17" si="23">G15+G16</f>
        <v>-24.186000000000007</v>
      </c>
      <c r="H17" s="29">
        <f t="shared" ref="H17:L17" si="24">H15+H16</f>
        <v>-27.135999999999996</v>
      </c>
      <c r="I17" s="29">
        <f t="shared" si="24"/>
        <v>-46.986000000000004</v>
      </c>
      <c r="J17" s="30">
        <f t="shared" si="24"/>
        <v>-88.949999999999989</v>
      </c>
      <c r="K17" s="29">
        <f t="shared" si="24"/>
        <v>-94.985000000000014</v>
      </c>
      <c r="L17" s="29">
        <f t="shared" si="24"/>
        <v>-90.838000000000022</v>
      </c>
      <c r="M17" s="29">
        <f t="shared" ref="M17" si="25">M15+M16</f>
        <v>-88.31</v>
      </c>
      <c r="N17" s="30">
        <f t="shared" ref="N17:P17" si="26">N15+N16</f>
        <v>-93.465000000000003</v>
      </c>
      <c r="O17" s="29">
        <f t="shared" si="26"/>
        <v>-99.869</v>
      </c>
      <c r="P17" s="29">
        <f t="shared" si="26"/>
        <v>-117.12600000000006</v>
      </c>
      <c r="Q17" s="55"/>
    </row>
    <row r="18" spans="1:18" s="8" customFormat="1" x14ac:dyDescent="0.15">
      <c r="A18" s="8" t="s">
        <v>14</v>
      </c>
      <c r="B18" s="23">
        <v>0</v>
      </c>
      <c r="C18" s="24">
        <v>1</v>
      </c>
      <c r="D18" s="24">
        <v>0</v>
      </c>
      <c r="E18" s="24">
        <v>0</v>
      </c>
      <c r="F18" s="23">
        <v>0</v>
      </c>
      <c r="G18" s="24">
        <v>0</v>
      </c>
      <c r="H18" s="24">
        <v>0</v>
      </c>
      <c r="I18" s="24">
        <v>0</v>
      </c>
      <c r="J18" s="23">
        <v>-52</v>
      </c>
      <c r="K18" s="24">
        <v>-2</v>
      </c>
      <c r="L18" s="24">
        <v>-3</v>
      </c>
      <c r="M18" s="24">
        <v>1</v>
      </c>
      <c r="N18" s="23">
        <v>1</v>
      </c>
      <c r="O18" s="24">
        <v>0</v>
      </c>
      <c r="P18" s="24">
        <v>-1</v>
      </c>
      <c r="Q18" s="24"/>
    </row>
    <row r="19" spans="1:18" s="17" customFormat="1" x14ac:dyDescent="0.15">
      <c r="A19" s="17" t="s">
        <v>15</v>
      </c>
      <c r="B19" s="27">
        <f t="shared" ref="B19:N19" si="27">B17-B18</f>
        <v>-14.914000000000001</v>
      </c>
      <c r="C19" s="26">
        <f t="shared" si="27"/>
        <v>-8.4629999999999939</v>
      </c>
      <c r="D19" s="26">
        <f t="shared" si="27"/>
        <v>-23.711999999999996</v>
      </c>
      <c r="E19" s="26">
        <f t="shared" si="27"/>
        <v>-19.785999999999994</v>
      </c>
      <c r="F19" s="27">
        <f t="shared" si="27"/>
        <v>-23.46599999999998</v>
      </c>
      <c r="G19" s="26">
        <f t="shared" si="27"/>
        <v>-24.186000000000007</v>
      </c>
      <c r="H19" s="26">
        <f t="shared" si="27"/>
        <v>-27.135999999999996</v>
      </c>
      <c r="I19" s="26">
        <f t="shared" si="27"/>
        <v>-46.986000000000004</v>
      </c>
      <c r="J19" s="27">
        <f t="shared" si="27"/>
        <v>-36.949999999999989</v>
      </c>
      <c r="K19" s="26">
        <f t="shared" si="27"/>
        <v>-92.985000000000014</v>
      </c>
      <c r="L19" s="26">
        <f t="shared" si="27"/>
        <v>-87.838000000000022</v>
      </c>
      <c r="M19" s="26">
        <f t="shared" si="27"/>
        <v>-89.31</v>
      </c>
      <c r="N19" s="27">
        <f t="shared" si="27"/>
        <v>-94.465000000000003</v>
      </c>
      <c r="O19" s="26">
        <f t="shared" ref="O19:P19" si="28">O17-O18</f>
        <v>-99.869</v>
      </c>
      <c r="P19" s="26">
        <f t="shared" si="28"/>
        <v>-116.12600000000006</v>
      </c>
      <c r="Q19" s="54"/>
    </row>
    <row r="20" spans="1:18" x14ac:dyDescent="0.15">
      <c r="A20" s="6" t="s">
        <v>16</v>
      </c>
      <c r="B20" s="32">
        <f t="shared" ref="B20:D20" si="29">IFERROR(B19/B21,0)</f>
        <v>-0.1683052485281924</v>
      </c>
      <c r="C20" s="31">
        <f t="shared" si="29"/>
        <v>-9.3129660025020475E-2</v>
      </c>
      <c r="D20" s="31">
        <f t="shared" si="29"/>
        <v>-0.25730069005892214</v>
      </c>
      <c r="E20" s="31">
        <f t="shared" ref="E20" si="30">IFERROR(E19/E21,0)</f>
        <v>-0.21218926634815818</v>
      </c>
      <c r="F20" s="32">
        <f t="shared" ref="F20:K20" si="31">IFERROR(F19/F21,0)</f>
        <v>-0.24786252897288066</v>
      </c>
      <c r="G20" s="31">
        <f t="shared" si="31"/>
        <v>-0.25102659769306296</v>
      </c>
      <c r="H20" s="31">
        <f t="shared" si="31"/>
        <v>-0.27684250875913841</v>
      </c>
      <c r="I20" s="31">
        <f t="shared" si="31"/>
        <v>-0.47261103100258361</v>
      </c>
      <c r="J20" s="32">
        <f t="shared" si="31"/>
        <v>-0.31692115463974319</v>
      </c>
      <c r="K20" s="31">
        <f t="shared" si="31"/>
        <v>-0.71908235301377876</v>
      </c>
      <c r="L20" s="31">
        <f t="shared" ref="L20:M20" si="32">IFERROR(L19/L21,0)</f>
        <v>-0.64397011807978566</v>
      </c>
      <c r="M20" s="31">
        <f t="shared" si="32"/>
        <v>-0.64844930004287127</v>
      </c>
      <c r="N20" s="32">
        <f t="shared" ref="N20:O20" si="33">IFERROR(N19/N21,0)</f>
        <v>-0.67847388143814547</v>
      </c>
      <c r="O20" s="31">
        <f t="shared" si="33"/>
        <v>-0.70519721001786062</v>
      </c>
      <c r="P20" s="31">
        <f t="shared" ref="P20" si="34">IFERROR(P19/P21,0)</f>
        <v>-0.78728917738396198</v>
      </c>
      <c r="Q20" s="60"/>
    </row>
    <row r="21" spans="1:18" s="8" customFormat="1" x14ac:dyDescent="0.15">
      <c r="A21" s="8" t="s">
        <v>17</v>
      </c>
      <c r="B21" s="23">
        <v>88.612803999999997</v>
      </c>
      <c r="C21" s="24">
        <v>90.873305000000002</v>
      </c>
      <c r="D21" s="24">
        <v>92.156768</v>
      </c>
      <c r="E21" s="24">
        <v>93.246941000000007</v>
      </c>
      <c r="F21" s="23">
        <v>94.673446999999996</v>
      </c>
      <c r="G21" s="24">
        <v>96.348355999999995</v>
      </c>
      <c r="H21" s="24">
        <v>98.019628999999995</v>
      </c>
      <c r="I21" s="24">
        <v>99.417907999999997</v>
      </c>
      <c r="J21" s="23">
        <v>116.590513</v>
      </c>
      <c r="K21" s="24">
        <v>129.310641</v>
      </c>
      <c r="L21" s="55">
        <v>136.40073899999999</v>
      </c>
      <c r="M21" s="55">
        <v>137.728578</v>
      </c>
      <c r="N21" s="23">
        <v>139.231594</v>
      </c>
      <c r="O21" s="55">
        <v>141.61854099999999</v>
      </c>
      <c r="P21" s="55">
        <v>147.50107499999999</v>
      </c>
      <c r="Q21" s="55"/>
    </row>
    <row r="22" spans="1:18" s="45" customFormat="1" x14ac:dyDescent="0.15">
      <c r="B22" s="44"/>
      <c r="C22" s="43"/>
      <c r="D22" s="43"/>
      <c r="E22" s="43"/>
      <c r="F22" s="61"/>
      <c r="I22" s="43"/>
      <c r="J22" s="61"/>
      <c r="N22" s="61"/>
    </row>
    <row r="23" spans="1:18" x14ac:dyDescent="0.15">
      <c r="A23" s="6" t="s">
        <v>19</v>
      </c>
      <c r="B23" s="38">
        <f t="shared" ref="B23:N23" si="35">IFERROR(B10/B8,0)</f>
        <v>0.57325001144531429</v>
      </c>
      <c r="C23" s="37">
        <f t="shared" si="35"/>
        <v>0.55843329508709716</v>
      </c>
      <c r="D23" s="37">
        <f t="shared" si="35"/>
        <v>0.52006126792783114</v>
      </c>
      <c r="E23" s="37">
        <f t="shared" si="35"/>
        <v>0.52252768232149682</v>
      </c>
      <c r="F23" s="38">
        <f t="shared" si="35"/>
        <v>0.53853898819666046</v>
      </c>
      <c r="G23" s="37">
        <f t="shared" si="35"/>
        <v>0.54018165328857426</v>
      </c>
      <c r="H23" s="37">
        <f t="shared" si="35"/>
        <v>0.54391189792474615</v>
      </c>
      <c r="I23" s="37">
        <f t="shared" si="35"/>
        <v>0.52869771221035522</v>
      </c>
      <c r="J23" s="38">
        <f t="shared" si="35"/>
        <v>0.54066458207335544</v>
      </c>
      <c r="K23" s="37">
        <f t="shared" si="35"/>
        <v>0.54543173877159234</v>
      </c>
      <c r="L23" s="37">
        <f t="shared" si="35"/>
        <v>0.53602244921475195</v>
      </c>
      <c r="M23" s="37">
        <f t="shared" si="35"/>
        <v>0.52740743424389536</v>
      </c>
      <c r="N23" s="38">
        <f t="shared" si="35"/>
        <v>0.53042470153589794</v>
      </c>
      <c r="O23" s="37">
        <f t="shared" ref="O23:P23" si="36">IFERROR(O10/O8,0)</f>
        <v>0.52172014898378194</v>
      </c>
      <c r="P23" s="37">
        <f t="shared" si="36"/>
        <v>0.51537941241469831</v>
      </c>
      <c r="Q23" s="37"/>
    </row>
    <row r="24" spans="1:18" x14ac:dyDescent="0.15">
      <c r="A24" s="6" t="s">
        <v>20</v>
      </c>
      <c r="B24" s="40">
        <f t="shared" ref="B24:N24" si="37">IFERROR(B15/B8,0)</f>
        <v>-0.17069541729615897</v>
      </c>
      <c r="C24" s="39">
        <f t="shared" si="37"/>
        <v>-7.7844998435381174E-2</v>
      </c>
      <c r="D24" s="39">
        <f t="shared" si="37"/>
        <v>-0.24578782996160803</v>
      </c>
      <c r="E24" s="39">
        <f t="shared" si="37"/>
        <v>-0.180377659759103</v>
      </c>
      <c r="F24" s="40">
        <f t="shared" si="37"/>
        <v>-0.18948852194925475</v>
      </c>
      <c r="G24" s="39">
        <f t="shared" si="37"/>
        <v>-0.15015498734382832</v>
      </c>
      <c r="H24" s="39">
        <f t="shared" si="37"/>
        <v>-0.1488261937890405</v>
      </c>
      <c r="I24" s="39">
        <f t="shared" si="37"/>
        <v>-0.21529892022594005</v>
      </c>
      <c r="J24" s="40">
        <f t="shared" si="37"/>
        <v>-0.37724276075645852</v>
      </c>
      <c r="K24" s="39">
        <f t="shared" si="37"/>
        <v>-0.34171517493882692</v>
      </c>
      <c r="L24" s="39">
        <f t="shared" si="37"/>
        <v>-0.32141283645015023</v>
      </c>
      <c r="M24" s="39">
        <f t="shared" si="37"/>
        <v>-0.28171267782527837</v>
      </c>
      <c r="N24" s="40">
        <f t="shared" si="37"/>
        <v>-0.25342041505421142</v>
      </c>
      <c r="O24" s="39">
        <f t="shared" ref="O24:P24" si="38">IFERROR(O15/O8,0)</f>
        <v>-0.25662780747862662</v>
      </c>
      <c r="P24" s="39">
        <f t="shared" si="38"/>
        <v>-0.25253086709124978</v>
      </c>
      <c r="Q24" s="39"/>
    </row>
    <row r="25" spans="1:18" x14ac:dyDescent="0.15">
      <c r="A25" s="6" t="s">
        <v>21</v>
      </c>
      <c r="B25" s="40">
        <f t="shared" ref="B25:N25" si="39">IFERROR(B18/B17,0)</f>
        <v>0</v>
      </c>
      <c r="C25" s="39">
        <f t="shared" si="39"/>
        <v>-0.13399437223636618</v>
      </c>
      <c r="D25" s="39">
        <f t="shared" si="39"/>
        <v>0</v>
      </c>
      <c r="E25" s="39">
        <f t="shared" si="39"/>
        <v>0</v>
      </c>
      <c r="F25" s="40">
        <f t="shared" si="39"/>
        <v>0</v>
      </c>
      <c r="G25" s="39">
        <f t="shared" si="39"/>
        <v>0</v>
      </c>
      <c r="H25" s="39">
        <f t="shared" si="39"/>
        <v>0</v>
      </c>
      <c r="I25" s="39">
        <f t="shared" si="39"/>
        <v>0</v>
      </c>
      <c r="J25" s="40">
        <f t="shared" si="39"/>
        <v>0.58459808881394049</v>
      </c>
      <c r="K25" s="39">
        <f t="shared" si="39"/>
        <v>2.1055956203611094E-2</v>
      </c>
      <c r="L25" s="39">
        <f t="shared" si="39"/>
        <v>3.302582619608533E-2</v>
      </c>
      <c r="M25" s="39">
        <f t="shared" si="39"/>
        <v>-1.1323745895142113E-2</v>
      </c>
      <c r="N25" s="40">
        <f t="shared" si="39"/>
        <v>-1.069919221098807E-2</v>
      </c>
      <c r="O25" s="39">
        <f t="shared" ref="O25:P25" si="40">IFERROR(O18/O17,0)</f>
        <v>0</v>
      </c>
      <c r="P25" s="39">
        <f t="shared" si="40"/>
        <v>8.5378139781090399E-3</v>
      </c>
      <c r="Q25" s="39"/>
    </row>
    <row r="26" spans="1:18" s="45" customFormat="1" x14ac:dyDescent="0.15">
      <c r="B26" s="44"/>
      <c r="C26" s="43"/>
      <c r="D26" s="43"/>
      <c r="E26" s="43"/>
      <c r="F26" s="61"/>
      <c r="I26" s="43"/>
      <c r="J26" s="61"/>
      <c r="N26" s="61"/>
      <c r="O26" s="48"/>
      <c r="P26" s="48"/>
    </row>
    <row r="27" spans="1:18" s="12" customFormat="1" x14ac:dyDescent="0.15">
      <c r="A27" s="12" t="s">
        <v>18</v>
      </c>
      <c r="B27" s="34"/>
      <c r="C27" s="33"/>
      <c r="D27" s="33"/>
      <c r="E27" s="33"/>
      <c r="F27" s="34">
        <f t="shared" ref="F27:Q27" si="41">IFERROR((F8/B8)-1,0)</f>
        <v>0.47777319965206266</v>
      </c>
      <c r="G27" s="33">
        <f t="shared" si="41"/>
        <v>0.54119119641180746</v>
      </c>
      <c r="H27" s="33">
        <f t="shared" si="41"/>
        <v>0.67984523880567327</v>
      </c>
      <c r="I27" s="33">
        <f t="shared" si="41"/>
        <v>0.77290082960186046</v>
      </c>
      <c r="J27" s="34">
        <f t="shared" si="41"/>
        <v>0.80565537965860146</v>
      </c>
      <c r="K27" s="33">
        <f t="shared" si="41"/>
        <v>0.86146567944015051</v>
      </c>
      <c r="L27" s="33">
        <f t="shared" si="41"/>
        <v>0.74703810059504394</v>
      </c>
      <c r="M27" s="33">
        <f t="shared" si="41"/>
        <v>0.62124697751368063</v>
      </c>
      <c r="N27" s="34">
        <f t="shared" si="41"/>
        <v>0.56502344095153534</v>
      </c>
      <c r="O27" s="33">
        <f t="shared" si="41"/>
        <v>0.45742603776191748</v>
      </c>
      <c r="P27" s="33">
        <f t="shared" si="41"/>
        <v>0.51819931811865816</v>
      </c>
      <c r="Q27" s="33">
        <f t="shared" si="41"/>
        <v>0.49109310466632872</v>
      </c>
      <c r="R27" s="33"/>
    </row>
    <row r="28" spans="1:18" s="12" customFormat="1" x14ac:dyDescent="0.15">
      <c r="A28" s="6" t="s">
        <v>34</v>
      </c>
      <c r="B28" s="36"/>
      <c r="C28" s="35"/>
      <c r="D28" s="35"/>
      <c r="E28" s="35"/>
      <c r="F28" s="36">
        <f t="shared" ref="F28:P31" si="42">F11/B11-1</f>
        <v>0.40740740740740744</v>
      </c>
      <c r="G28" s="35">
        <f t="shared" si="42"/>
        <v>0.33333333333333326</v>
      </c>
      <c r="H28" s="35">
        <f t="shared" si="42"/>
        <v>0.3125</v>
      </c>
      <c r="I28" s="35">
        <f t="shared" si="42"/>
        <v>0.57575757575757569</v>
      </c>
      <c r="J28" s="36">
        <f t="shared" si="42"/>
        <v>1.0526315789473686</v>
      </c>
      <c r="K28" s="35">
        <f t="shared" si="42"/>
        <v>1.4750000000000001</v>
      </c>
      <c r="L28" s="35">
        <f t="shared" si="42"/>
        <v>1.4761904761904763</v>
      </c>
      <c r="M28" s="35">
        <f t="shared" si="42"/>
        <v>1.1153846153846154</v>
      </c>
      <c r="N28" s="36">
        <f t="shared" si="42"/>
        <v>0.46153846153846145</v>
      </c>
      <c r="O28" s="35">
        <f t="shared" si="42"/>
        <v>0.22222222222222232</v>
      </c>
      <c r="P28" s="35">
        <f t="shared" si="42"/>
        <v>0.31730769230769229</v>
      </c>
      <c r="Q28" s="35"/>
    </row>
    <row r="29" spans="1:18" s="12" customFormat="1" x14ac:dyDescent="0.15">
      <c r="A29" s="6" t="s">
        <v>35</v>
      </c>
      <c r="B29" s="36"/>
      <c r="C29" s="35"/>
      <c r="D29" s="35"/>
      <c r="E29" s="35"/>
      <c r="F29" s="36">
        <f t="shared" si="42"/>
        <v>0.5714285714285714</v>
      </c>
      <c r="G29" s="35">
        <f t="shared" si="42"/>
        <v>0.46153846153846145</v>
      </c>
      <c r="H29" s="35">
        <f t="shared" si="42"/>
        <v>0.76923076923076916</v>
      </c>
      <c r="I29" s="35">
        <f t="shared" si="42"/>
        <v>1.1071428571428572</v>
      </c>
      <c r="J29" s="36">
        <f t="shared" si="42"/>
        <v>1.1818181818181817</v>
      </c>
      <c r="K29" s="35">
        <f t="shared" si="42"/>
        <v>1.3684210526315788</v>
      </c>
      <c r="L29" s="35">
        <f t="shared" si="42"/>
        <v>1.1956521739130435</v>
      </c>
      <c r="M29" s="35">
        <f t="shared" si="42"/>
        <v>0.79661016949152552</v>
      </c>
      <c r="N29" s="36">
        <f t="shared" si="42"/>
        <v>0.625</v>
      </c>
      <c r="O29" s="35">
        <f t="shared" si="42"/>
        <v>0.44444444444444442</v>
      </c>
      <c r="P29" s="35">
        <f t="shared" si="42"/>
        <v>0.39603960396039595</v>
      </c>
      <c r="Q29" s="35"/>
    </row>
    <row r="30" spans="1:18" s="12" customFormat="1" x14ac:dyDescent="0.15">
      <c r="A30" s="6" t="s">
        <v>36</v>
      </c>
      <c r="B30" s="36"/>
      <c r="C30" s="35"/>
      <c r="D30" s="35"/>
      <c r="E30" s="35"/>
      <c r="F30" s="36">
        <f t="shared" si="42"/>
        <v>0.35294117647058831</v>
      </c>
      <c r="G30" s="35">
        <f t="shared" si="42"/>
        <v>3.8</v>
      </c>
      <c r="H30" s="35">
        <f t="shared" si="42"/>
        <v>0.52631578947368429</v>
      </c>
      <c r="I30" s="35">
        <f t="shared" si="42"/>
        <v>1.0499999999999998</v>
      </c>
      <c r="J30" s="36">
        <f t="shared" si="42"/>
        <v>1.7826086956521738</v>
      </c>
      <c r="K30" s="35">
        <f t="shared" si="42"/>
        <v>1.2916666666666665</v>
      </c>
      <c r="L30" s="35">
        <f t="shared" si="42"/>
        <v>0.65517241379310343</v>
      </c>
      <c r="M30" s="35">
        <f t="shared" si="42"/>
        <v>0.26829268292682928</v>
      </c>
      <c r="N30" s="36">
        <f t="shared" si="42"/>
        <v>-0.140625</v>
      </c>
      <c r="O30" s="35">
        <f t="shared" si="42"/>
        <v>0.10909090909090913</v>
      </c>
      <c r="P30" s="35">
        <f t="shared" si="42"/>
        <v>0.375</v>
      </c>
      <c r="Q30" s="35"/>
    </row>
    <row r="31" spans="1:18" x14ac:dyDescent="0.15">
      <c r="A31" s="6" t="s">
        <v>62</v>
      </c>
      <c r="B31" s="38"/>
      <c r="C31" s="37"/>
      <c r="D31" s="37"/>
      <c r="E31" s="37"/>
      <c r="F31" s="38">
        <f t="shared" si="42"/>
        <v>0.44615384615384612</v>
      </c>
      <c r="G31" s="37">
        <f t="shared" si="42"/>
        <v>0.67213114754098369</v>
      </c>
      <c r="H31" s="37">
        <f t="shared" si="42"/>
        <v>0.51948051948051943</v>
      </c>
      <c r="I31" s="37">
        <f t="shared" si="42"/>
        <v>0.87654320987654311</v>
      </c>
      <c r="J31" s="38">
        <f t="shared" si="42"/>
        <v>1.2765957446808511</v>
      </c>
      <c r="K31" s="37">
        <f t="shared" si="42"/>
        <v>1.392156862745098</v>
      </c>
      <c r="L31" s="37">
        <f t="shared" si="42"/>
        <v>1.1623931623931623</v>
      </c>
      <c r="M31" s="37">
        <f t="shared" si="42"/>
        <v>0.76315789473684204</v>
      </c>
      <c r="N31" s="38">
        <f t="shared" si="42"/>
        <v>0.33644859813084116</v>
      </c>
      <c r="O31" s="37">
        <f t="shared" si="42"/>
        <v>0.27868852459016402</v>
      </c>
      <c r="P31" s="37">
        <f t="shared" si="42"/>
        <v>0.35968379446640308</v>
      </c>
      <c r="Q31" s="37"/>
    </row>
    <row r="32" spans="1:18" x14ac:dyDescent="0.15">
      <c r="B32" s="49"/>
      <c r="C32" s="48"/>
      <c r="D32" s="48"/>
      <c r="E32" s="48"/>
      <c r="F32" s="49"/>
      <c r="G32" s="48"/>
      <c r="H32" s="48"/>
      <c r="I32" s="48"/>
      <c r="K32" s="48"/>
    </row>
    <row r="33" spans="1:17" s="12" customFormat="1" x14ac:dyDescent="0.15">
      <c r="A33" s="12" t="s">
        <v>22</v>
      </c>
      <c r="B33" s="23"/>
      <c r="C33" s="24"/>
      <c r="D33" s="24"/>
      <c r="E33" s="26">
        <f t="shared" ref="E33" si="43">E34-E35</f>
        <v>291</v>
      </c>
      <c r="F33" s="49"/>
      <c r="G33" s="48"/>
      <c r="H33" s="48"/>
      <c r="I33" s="26">
        <f t="shared" ref="I33:J33" si="44">I34-I35</f>
        <v>314</v>
      </c>
      <c r="J33" s="27">
        <f t="shared" si="44"/>
        <v>474</v>
      </c>
      <c r="K33" s="26">
        <f t="shared" ref="K33:L33" si="45">K34-K35</f>
        <v>1432</v>
      </c>
      <c r="L33" s="26">
        <f t="shared" si="45"/>
        <v>1430</v>
      </c>
      <c r="M33" s="26">
        <f t="shared" ref="M33" si="46">M34-M35</f>
        <v>1395</v>
      </c>
      <c r="N33" s="27">
        <f t="shared" ref="N33:O33" si="47">N34-N35</f>
        <v>1380</v>
      </c>
      <c r="O33" s="26">
        <f t="shared" si="47"/>
        <v>1433</v>
      </c>
      <c r="P33" s="26">
        <f t="shared" ref="P33" si="48">P34-P35</f>
        <v>2866</v>
      </c>
      <c r="Q33" s="50"/>
    </row>
    <row r="34" spans="1:17" x14ac:dyDescent="0.15">
      <c r="A34" s="6" t="s">
        <v>23</v>
      </c>
      <c r="B34" s="23"/>
      <c r="C34" s="24"/>
      <c r="D34" s="24"/>
      <c r="E34" s="24">
        <f>115+176</f>
        <v>291</v>
      </c>
      <c r="F34" s="49"/>
      <c r="G34" s="48"/>
      <c r="H34" s="48"/>
      <c r="I34" s="24">
        <f>487+261</f>
        <v>748</v>
      </c>
      <c r="J34" s="23">
        <f>378+541</f>
        <v>919</v>
      </c>
      <c r="K34" s="24">
        <f>536+1346</f>
        <v>1882</v>
      </c>
      <c r="L34" s="24">
        <f>331+1551</f>
        <v>1882</v>
      </c>
      <c r="M34" s="24">
        <f>254+1599</f>
        <v>1853</v>
      </c>
      <c r="N34" s="23">
        <f>346+1498</f>
        <v>1844</v>
      </c>
      <c r="O34" s="24">
        <f>476+1428</f>
        <v>1904</v>
      </c>
      <c r="P34" s="24">
        <f>1127+2172</f>
        <v>3299</v>
      </c>
    </row>
    <row r="35" spans="1:17" x14ac:dyDescent="0.15">
      <c r="A35" s="6" t="s">
        <v>24</v>
      </c>
      <c r="B35" s="23"/>
      <c r="C35" s="24"/>
      <c r="D35" s="24"/>
      <c r="E35" s="24">
        <v>0</v>
      </c>
      <c r="F35" s="49"/>
      <c r="G35" s="48"/>
      <c r="H35" s="48"/>
      <c r="I35" s="24">
        <v>434</v>
      </c>
      <c r="J35" s="23">
        <f>2+3+440</f>
        <v>445</v>
      </c>
      <c r="K35" s="24">
        <f>2+2+446</f>
        <v>450</v>
      </c>
      <c r="L35" s="24">
        <v>452</v>
      </c>
      <c r="M35" s="24">
        <v>458</v>
      </c>
      <c r="N35" s="23">
        <v>464</v>
      </c>
      <c r="O35" s="24">
        <v>471</v>
      </c>
      <c r="P35" s="24">
        <v>433</v>
      </c>
    </row>
    <row r="36" spans="1:17" x14ac:dyDescent="0.15">
      <c r="B36" s="23"/>
      <c r="C36" s="24"/>
      <c r="D36" s="24"/>
      <c r="F36" s="49"/>
      <c r="G36" s="48"/>
      <c r="H36" s="48"/>
    </row>
    <row r="37" spans="1:17" x14ac:dyDescent="0.15">
      <c r="A37" s="19" t="s">
        <v>48</v>
      </c>
      <c r="B37" s="23"/>
      <c r="C37" s="24"/>
      <c r="D37" s="24"/>
      <c r="E37" s="24">
        <f>20+18</f>
        <v>38</v>
      </c>
      <c r="F37" s="49"/>
      <c r="G37" s="48"/>
      <c r="H37" s="48"/>
      <c r="I37" s="24">
        <f>28+38</f>
        <v>66</v>
      </c>
      <c r="J37" s="23">
        <f>504+2277</f>
        <v>2781</v>
      </c>
      <c r="K37" s="24">
        <f>485+2284</f>
        <v>2769</v>
      </c>
      <c r="L37" s="24">
        <f>465+2283</f>
        <v>2748</v>
      </c>
      <c r="M37" s="24">
        <f>461+2297</f>
        <v>2758</v>
      </c>
      <c r="N37" s="23">
        <f>445+2292</f>
        <v>2737</v>
      </c>
      <c r="O37" s="24">
        <f>425+2292</f>
        <v>2717</v>
      </c>
      <c r="P37" s="24">
        <f>404+2292</f>
        <v>2696</v>
      </c>
    </row>
    <row r="38" spans="1:17" x14ac:dyDescent="0.15">
      <c r="A38" s="19" t="s">
        <v>49</v>
      </c>
      <c r="B38" s="23"/>
      <c r="C38" s="24"/>
      <c r="D38" s="24"/>
      <c r="E38" s="24">
        <v>450</v>
      </c>
      <c r="F38" s="49"/>
      <c r="G38" s="48"/>
      <c r="H38" s="48"/>
      <c r="I38" s="24">
        <v>1029</v>
      </c>
      <c r="J38" s="23">
        <v>4120</v>
      </c>
      <c r="K38" s="24">
        <v>5109</v>
      </c>
      <c r="L38" s="24">
        <v>5110</v>
      </c>
      <c r="M38" s="24">
        <v>5151</v>
      </c>
      <c r="N38" s="23">
        <v>5166</v>
      </c>
      <c r="O38" s="24">
        <v>5291</v>
      </c>
      <c r="P38" s="24">
        <v>6724</v>
      </c>
    </row>
    <row r="39" spans="1:17" x14ac:dyDescent="0.15">
      <c r="A39" s="19" t="s">
        <v>50</v>
      </c>
      <c r="B39" s="23"/>
      <c r="C39" s="24"/>
      <c r="D39" s="24"/>
      <c r="E39" s="24">
        <v>90</v>
      </c>
      <c r="F39" s="49"/>
      <c r="G39" s="48"/>
      <c r="H39" s="48"/>
      <c r="I39" s="24">
        <v>590</v>
      </c>
      <c r="J39" s="23">
        <v>793</v>
      </c>
      <c r="K39" s="24">
        <v>812</v>
      </c>
      <c r="L39" s="24">
        <v>826</v>
      </c>
      <c r="M39" s="24">
        <v>871</v>
      </c>
      <c r="N39" s="23">
        <v>910</v>
      </c>
      <c r="O39" s="24">
        <v>969</v>
      </c>
      <c r="P39" s="24">
        <v>961</v>
      </c>
    </row>
    <row r="40" spans="1:17" x14ac:dyDescent="0.15">
      <c r="B40" s="23"/>
      <c r="C40" s="24"/>
      <c r="D40" s="24"/>
      <c r="F40" s="49"/>
      <c r="G40" s="48"/>
      <c r="H40" s="48"/>
    </row>
    <row r="41" spans="1:17" x14ac:dyDescent="0.15">
      <c r="A41" s="19" t="s">
        <v>51</v>
      </c>
      <c r="B41" s="23"/>
      <c r="C41" s="24"/>
      <c r="D41" s="24"/>
      <c r="E41" s="29">
        <f t="shared" ref="E41" si="49">E38-E34-E37</f>
        <v>121</v>
      </c>
      <c r="F41" s="49"/>
      <c r="G41" s="48"/>
      <c r="H41" s="48"/>
      <c r="I41" s="29">
        <f t="shared" ref="I41:N41" si="50">I38-I34-I37</f>
        <v>215</v>
      </c>
      <c r="J41" s="30">
        <f t="shared" ref="J41" si="51">J38-J34-J37</f>
        <v>420</v>
      </c>
      <c r="K41" s="29">
        <f t="shared" ref="K41" si="52">K38-K34-K37</f>
        <v>458</v>
      </c>
      <c r="L41" s="29">
        <f t="shared" si="50"/>
        <v>480</v>
      </c>
      <c r="M41" s="29">
        <f t="shared" si="50"/>
        <v>540</v>
      </c>
      <c r="N41" s="30">
        <f t="shared" si="50"/>
        <v>585</v>
      </c>
      <c r="O41" s="29">
        <f t="shared" ref="O41:P41" si="53">O38-O34-O37</f>
        <v>670</v>
      </c>
      <c r="P41" s="29">
        <f t="shared" si="53"/>
        <v>729</v>
      </c>
    </row>
    <row r="42" spans="1:17" x14ac:dyDescent="0.15">
      <c r="A42" s="19" t="s">
        <v>52</v>
      </c>
      <c r="B42" s="23"/>
      <c r="C42" s="24"/>
      <c r="D42" s="24"/>
      <c r="E42" s="29">
        <f t="shared" ref="E42" si="54">E38-E39</f>
        <v>360</v>
      </c>
      <c r="F42" s="49"/>
      <c r="G42" s="48"/>
      <c r="H42" s="48"/>
      <c r="I42" s="29">
        <f t="shared" ref="I42:J42" si="55">I38-I39</f>
        <v>439</v>
      </c>
      <c r="J42" s="30">
        <f t="shared" si="55"/>
        <v>3327</v>
      </c>
      <c r="K42" s="29">
        <f>K38-K39</f>
        <v>4297</v>
      </c>
      <c r="L42" s="29">
        <f>L38-L39</f>
        <v>4284</v>
      </c>
      <c r="M42" s="29">
        <f>M38-M39</f>
        <v>4280</v>
      </c>
      <c r="N42" s="30">
        <f t="shared" ref="N42" si="56">N38-N39</f>
        <v>4256</v>
      </c>
      <c r="O42" s="29">
        <f>O38-O39</f>
        <v>4322</v>
      </c>
      <c r="P42" s="29">
        <f>P38-P39</f>
        <v>5763</v>
      </c>
    </row>
    <row r="43" spans="1:17" x14ac:dyDescent="0.15">
      <c r="B43" s="23"/>
      <c r="C43" s="24"/>
      <c r="D43" s="24"/>
      <c r="F43" s="49"/>
      <c r="G43" s="48"/>
      <c r="H43" s="48"/>
    </row>
    <row r="44" spans="1:17" s="12" customFormat="1" x14ac:dyDescent="0.15">
      <c r="A44" s="25" t="s">
        <v>53</v>
      </c>
      <c r="B44" s="23"/>
      <c r="C44" s="24"/>
      <c r="D44" s="24"/>
      <c r="E44" s="26">
        <f t="shared" ref="E44" si="57">SUM(B19:E19)</f>
        <v>-66.874999999999986</v>
      </c>
      <c r="F44" s="49"/>
      <c r="G44" s="48"/>
      <c r="H44" s="48"/>
      <c r="I44" s="26">
        <f t="shared" ref="I44:P44" si="58">SUM(F19:I19)</f>
        <v>-121.77399999999999</v>
      </c>
      <c r="J44" s="27">
        <f t="shared" ref="J44" si="59">SUM(G19:J19)</f>
        <v>-135.25799999999998</v>
      </c>
      <c r="K44" s="26">
        <f t="shared" si="58"/>
        <v>-204.05700000000002</v>
      </c>
      <c r="L44" s="26">
        <f t="shared" si="58"/>
        <v>-264.75900000000001</v>
      </c>
      <c r="M44" s="26">
        <f t="shared" si="58"/>
        <v>-307.08300000000003</v>
      </c>
      <c r="N44" s="27">
        <f t="shared" ref="N44" si="60">SUM(K19:N19)</f>
        <v>-364.59800000000007</v>
      </c>
      <c r="O44" s="26">
        <f t="shared" si="58"/>
        <v>-371.48200000000008</v>
      </c>
      <c r="P44" s="26">
        <f t="shared" si="58"/>
        <v>-399.7700000000001</v>
      </c>
      <c r="Q44" s="28"/>
    </row>
    <row r="45" spans="1:17" x14ac:dyDescent="0.15">
      <c r="A45" s="19" t="s">
        <v>54</v>
      </c>
      <c r="B45" s="23"/>
      <c r="C45" s="24"/>
      <c r="D45" s="24"/>
      <c r="E45" s="37">
        <f t="shared" ref="E45" si="61">E44/E42</f>
        <v>-0.18576388888888884</v>
      </c>
      <c r="F45" s="49"/>
      <c r="G45" s="48"/>
      <c r="H45" s="48"/>
      <c r="I45" s="37">
        <f t="shared" ref="I45:N45" si="62">I44/I42</f>
        <v>-0.27738952164009106</v>
      </c>
      <c r="J45" s="38">
        <f t="shared" ref="J45" si="63">J44/J42</f>
        <v>-4.0654643823264197E-2</v>
      </c>
      <c r="K45" s="37">
        <f t="shared" ref="K45" si="64">K44/K42</f>
        <v>-4.7488247614614849E-2</v>
      </c>
      <c r="L45" s="37">
        <f t="shared" si="62"/>
        <v>-6.1801820728291317E-2</v>
      </c>
      <c r="M45" s="37">
        <f t="shared" si="62"/>
        <v>-7.174836448598132E-2</v>
      </c>
      <c r="N45" s="38">
        <f t="shared" si="62"/>
        <v>-8.566682330827069E-2</v>
      </c>
      <c r="O45" s="37">
        <f t="shared" ref="O45:P45" si="65">O44/O42</f>
        <v>-8.5951411383618712E-2</v>
      </c>
      <c r="P45" s="37">
        <f t="shared" si="65"/>
        <v>-6.9368384521950391E-2</v>
      </c>
    </row>
    <row r="46" spans="1:17" x14ac:dyDescent="0.15">
      <c r="A46" s="19" t="s">
        <v>55</v>
      </c>
      <c r="B46" s="23"/>
      <c r="C46" s="24"/>
      <c r="D46" s="24"/>
      <c r="E46" s="37">
        <f t="shared" ref="E46" si="66">E44/E38</f>
        <v>-0.14861111111111108</v>
      </c>
      <c r="F46" s="49"/>
      <c r="G46" s="48"/>
      <c r="H46" s="48"/>
      <c r="I46" s="37">
        <f t="shared" ref="I46:N46" si="67">I44/I38</f>
        <v>-0.11834207968901846</v>
      </c>
      <c r="J46" s="38">
        <f t="shared" ref="J46" si="68">J44/J38</f>
        <v>-3.2829611650485431E-2</v>
      </c>
      <c r="K46" s="37">
        <f t="shared" ref="K46" si="69">K44/K38</f>
        <v>-3.9940692894891369E-2</v>
      </c>
      <c r="L46" s="37">
        <f t="shared" si="67"/>
        <v>-5.1811937377690805E-2</v>
      </c>
      <c r="M46" s="37">
        <f t="shared" si="67"/>
        <v>-5.96161910308678E-2</v>
      </c>
      <c r="N46" s="38">
        <f t="shared" si="67"/>
        <v>-7.0576461478900523E-2</v>
      </c>
      <c r="O46" s="37">
        <f t="shared" ref="O46:P46" si="70">O44/O38</f>
        <v>-7.021016821016822E-2</v>
      </c>
      <c r="P46" s="37">
        <f t="shared" si="70"/>
        <v>-5.9454193932183236E-2</v>
      </c>
    </row>
    <row r="47" spans="1:17" x14ac:dyDescent="0.15">
      <c r="A47" s="19" t="s">
        <v>56</v>
      </c>
      <c r="B47" s="23"/>
      <c r="C47" s="24"/>
      <c r="D47" s="24"/>
      <c r="E47" s="37">
        <f t="shared" ref="E47" si="71">E44/(E42-E37)</f>
        <v>-0.20768633540372666</v>
      </c>
      <c r="F47" s="49"/>
      <c r="G47" s="48"/>
      <c r="H47" s="48"/>
      <c r="I47" s="37">
        <f t="shared" ref="I47:N47" si="72">I44/(I42-I37)</f>
        <v>-0.32647184986595168</v>
      </c>
      <c r="J47" s="38">
        <f t="shared" ref="J47" si="73">J44/(J42-J37)</f>
        <v>-0.2477252747252747</v>
      </c>
      <c r="K47" s="37">
        <f t="shared" ref="K47" si="74">K44/(K42-K37)</f>
        <v>-0.13354515706806283</v>
      </c>
      <c r="L47" s="37">
        <f t="shared" si="72"/>
        <v>-0.172369140625</v>
      </c>
      <c r="M47" s="37">
        <f t="shared" si="72"/>
        <v>-0.20176281208935612</v>
      </c>
      <c r="N47" s="38">
        <f t="shared" si="72"/>
        <v>-0.24002501645819624</v>
      </c>
      <c r="O47" s="37">
        <f t="shared" ref="O47:P47" si="75">O44/(O42-O37)</f>
        <v>-0.2314529595015577</v>
      </c>
      <c r="P47" s="37">
        <f t="shared" si="75"/>
        <v>-0.13034561460710795</v>
      </c>
    </row>
    <row r="48" spans="1:17" x14ac:dyDescent="0.15">
      <c r="A48" s="19" t="s">
        <v>57</v>
      </c>
      <c r="B48" s="23"/>
      <c r="C48" s="24"/>
      <c r="D48" s="24"/>
      <c r="E48" s="37">
        <f t="shared" ref="E48" si="76">E44/E41</f>
        <v>-0.55268595041322299</v>
      </c>
      <c r="F48" s="49"/>
      <c r="G48" s="48"/>
      <c r="H48" s="48"/>
      <c r="I48" s="37">
        <f t="shared" ref="I48:N48" si="77">I44/I41</f>
        <v>-0.56639069767441852</v>
      </c>
      <c r="J48" s="38">
        <f t="shared" ref="J48" si="78">J44/J41</f>
        <v>-0.32204285714285708</v>
      </c>
      <c r="K48" s="37">
        <f t="shared" ref="K48" si="79">K44/K41</f>
        <v>-0.44553930131004371</v>
      </c>
      <c r="L48" s="37">
        <f t="shared" si="77"/>
        <v>-0.55158125000000002</v>
      </c>
      <c r="M48" s="37">
        <f t="shared" si="77"/>
        <v>-0.56867222222222225</v>
      </c>
      <c r="N48" s="38">
        <f t="shared" si="77"/>
        <v>-0.6232444444444446</v>
      </c>
      <c r="O48" s="37">
        <f t="shared" ref="O48:P48" si="80">O44/O41</f>
        <v>-0.55445074626865687</v>
      </c>
      <c r="P48" s="37">
        <f t="shared" si="80"/>
        <v>-0.54838134430727037</v>
      </c>
    </row>
    <row r="50" spans="1:17" x14ac:dyDescent="0.15">
      <c r="A50" s="6" t="s">
        <v>94</v>
      </c>
      <c r="B50" s="38"/>
      <c r="C50" s="37"/>
      <c r="D50" s="37"/>
      <c r="E50" s="37"/>
      <c r="F50" s="38">
        <f t="shared" ref="F50:P53" si="81">F3/B3-1</f>
        <v>0.47777319965206266</v>
      </c>
      <c r="G50" s="37">
        <f t="shared" si="81"/>
        <v>0.54119119641180746</v>
      </c>
      <c r="H50" s="37">
        <f t="shared" si="81"/>
        <v>0.67984523880567327</v>
      </c>
      <c r="I50" s="37">
        <f t="shared" si="81"/>
        <v>0.77290082960186046</v>
      </c>
      <c r="J50" s="38">
        <f t="shared" si="81"/>
        <v>0.80565537965860146</v>
      </c>
      <c r="K50" s="37">
        <f t="shared" si="81"/>
        <v>0.86146567944015051</v>
      </c>
      <c r="L50" s="37">
        <f t="shared" si="81"/>
        <v>0.74703810059504394</v>
      </c>
      <c r="M50" s="37">
        <f t="shared" si="81"/>
        <v>0.62124697751368063</v>
      </c>
      <c r="N50" s="38">
        <f t="shared" si="81"/>
        <v>0.56502344095153534</v>
      </c>
      <c r="O50" s="37">
        <f t="shared" si="81"/>
        <v>0.45742603776191748</v>
      </c>
      <c r="P50" s="37">
        <f t="shared" si="81"/>
        <v>0.51819931811865838</v>
      </c>
      <c r="Q50" s="37"/>
    </row>
    <row r="52" spans="1:17" s="18" customFormat="1" x14ac:dyDescent="0.15">
      <c r="A52" s="18" t="s">
        <v>73</v>
      </c>
      <c r="B52" s="38"/>
      <c r="C52" s="37"/>
      <c r="D52" s="37"/>
      <c r="E52" s="37"/>
      <c r="F52" s="38">
        <f t="shared" ref="F52:F53" si="82">F5/B5-1</f>
        <v>0.32654314920385286</v>
      </c>
      <c r="G52" s="37">
        <f t="shared" ref="G52:G53" si="83">G5/C5-1</f>
        <v>0.32048536759457535</v>
      </c>
      <c r="H52" s="37">
        <f t="shared" ref="H52:H53" si="84">H5/D5-1</f>
        <v>0.31564456107896488</v>
      </c>
      <c r="I52" s="37">
        <f t="shared" ref="I52:I53" si="85">I5/E5-1</f>
        <v>0.31252169297045662</v>
      </c>
      <c r="J52" s="38">
        <f t="shared" si="81"/>
        <v>1.8674076132258959</v>
      </c>
      <c r="K52" s="37">
        <f t="shared" ref="K52:K53" si="86">K5/G5-1</f>
        <v>1.8224760244115084</v>
      </c>
      <c r="L52" s="37">
        <f t="shared" ref="L52:L53" si="87">L5/H5-1</f>
        <v>1.8136618543890917</v>
      </c>
      <c r="M52" s="37">
        <f t="shared" ref="M52:M53" si="88">M5/I5-1</f>
        <v>1.7844320691908035</v>
      </c>
      <c r="N52" s="38">
        <f t="shared" ref="N52:Q53" si="89">N5/J5-1</f>
        <v>0.22741396797095548</v>
      </c>
      <c r="O52" s="37">
        <f>O5/K5-1</f>
        <v>0.23556703260043621</v>
      </c>
      <c r="P52" s="37">
        <f t="shared" si="89"/>
        <v>0.20865583525091225</v>
      </c>
      <c r="Q52" s="37">
        <f t="shared" si="89"/>
        <v>0.22011173184357546</v>
      </c>
    </row>
    <row r="53" spans="1:17" s="18" customFormat="1" x14ac:dyDescent="0.15">
      <c r="A53" s="18" t="s">
        <v>61</v>
      </c>
      <c r="B53" s="38"/>
      <c r="C53" s="37"/>
      <c r="D53" s="37"/>
      <c r="E53" s="37"/>
      <c r="F53" s="38">
        <f t="shared" si="82"/>
        <v>0.11400311443994338</v>
      </c>
      <c r="G53" s="37">
        <f t="shared" si="83"/>
        <v>0.1671399276610499</v>
      </c>
      <c r="H53" s="37">
        <f t="shared" si="84"/>
        <v>0.27682300258059533</v>
      </c>
      <c r="I53" s="37">
        <f t="shared" si="85"/>
        <v>0.35075925913992978</v>
      </c>
      <c r="J53" s="38">
        <f t="shared" si="81"/>
        <v>-0.37028297918648545</v>
      </c>
      <c r="K53" s="37">
        <f t="shared" si="86"/>
        <v>-0.34048485679226637</v>
      </c>
      <c r="L53" s="37">
        <f t="shared" si="87"/>
        <v>-0.37908739891049736</v>
      </c>
      <c r="M53" s="37">
        <f t="shared" si="88"/>
        <v>-0.41774590393047772</v>
      </c>
      <c r="N53" s="38">
        <f t="shared" si="89"/>
        <v>0.27505754520513048</v>
      </c>
      <c r="O53" s="37">
        <f>O6/K6-1</f>
        <v>0.17956047653241902</v>
      </c>
      <c r="P53" s="37">
        <f>P6/L6-1</f>
        <v>0.2561055627580584</v>
      </c>
      <c r="Q53" s="37">
        <f>Q6/M6-1</f>
        <v>0.22209553908091939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14"/>
  <sheetViews>
    <sheetView workbookViewId="0">
      <selection activeCell="C16" sqref="C16"/>
    </sheetView>
  </sheetViews>
  <sheetFormatPr baseColWidth="10" defaultRowHeight="13" x14ac:dyDescent="0.15"/>
  <cols>
    <col min="1" max="1" width="10.83203125" style="3"/>
    <col min="2" max="2" width="16.6640625" style="3" bestFit="1" customWidth="1"/>
    <col min="3" max="3" width="33.83203125" style="3" bestFit="1" customWidth="1"/>
    <col min="4" max="4" width="25.33203125" style="3" bestFit="1" customWidth="1"/>
    <col min="5" max="16384" width="10.83203125" style="3"/>
  </cols>
  <sheetData>
    <row r="4" spans="2:4" x14ac:dyDescent="0.15">
      <c r="B4" s="2" t="s">
        <v>68</v>
      </c>
    </row>
    <row r="6" spans="2:4" x14ac:dyDescent="0.15">
      <c r="B6" s="70" t="s">
        <v>78</v>
      </c>
      <c r="C6" s="3" t="s">
        <v>88</v>
      </c>
      <c r="D6" s="69" t="s">
        <v>83</v>
      </c>
    </row>
    <row r="7" spans="2:4" x14ac:dyDescent="0.15">
      <c r="B7" s="70" t="s">
        <v>79</v>
      </c>
      <c r="C7" s="3" t="s">
        <v>89</v>
      </c>
      <c r="D7" s="69" t="s">
        <v>85</v>
      </c>
    </row>
    <row r="8" spans="2:4" x14ac:dyDescent="0.15">
      <c r="B8" s="70" t="s">
        <v>80</v>
      </c>
      <c r="C8" s="3" t="s">
        <v>90</v>
      </c>
      <c r="D8" s="69" t="s">
        <v>84</v>
      </c>
    </row>
    <row r="9" spans="2:4" x14ac:dyDescent="0.15">
      <c r="B9" s="70" t="s">
        <v>81</v>
      </c>
      <c r="C9" s="70" t="s">
        <v>91</v>
      </c>
      <c r="D9" s="69" t="s">
        <v>86</v>
      </c>
    </row>
    <row r="10" spans="2:4" x14ac:dyDescent="0.15">
      <c r="B10" s="70" t="s">
        <v>82</v>
      </c>
      <c r="C10" s="70" t="s">
        <v>92</v>
      </c>
      <c r="D10" s="69" t="s">
        <v>87</v>
      </c>
    </row>
    <row r="12" spans="2:4" x14ac:dyDescent="0.15">
      <c r="B12" s="2" t="s">
        <v>74</v>
      </c>
    </row>
    <row r="14" spans="2:4" x14ac:dyDescent="0.15">
      <c r="B14" s="3" t="s">
        <v>75</v>
      </c>
      <c r="C14" s="3" t="s">
        <v>76</v>
      </c>
      <c r="D14" s="69" t="s">
        <v>77</v>
      </c>
    </row>
  </sheetData>
  <hyperlinks>
    <hyperlink ref="D14" r:id="rId1" xr:uid="{A6FDEABC-F65D-9A4C-8EEA-A176D7053FE0}"/>
    <hyperlink ref="D6" r:id="rId2" xr:uid="{3008D408-97E8-3B4D-A1F8-E6144B5C14B8}"/>
    <hyperlink ref="D8" r:id="rId3" xr:uid="{F9E57C25-6E4D-AA4B-BD9F-EB499CDE37D6}"/>
    <hyperlink ref="D7" r:id="rId4" xr:uid="{81D0EC79-3CF9-EC4A-856C-4823C563747A}"/>
    <hyperlink ref="D9" r:id="rId5" xr:uid="{BDFC9855-432A-3C45-B699-E8D9B793D84E}"/>
    <hyperlink ref="D10" r:id="rId6" xr:uid="{B1253D95-5415-994F-BA85-230826926F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2021-01-05T23:27:34Z</dcterms:modified>
</cp:coreProperties>
</file>