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06020ADF-D3B6-E249-83FC-3F067FCB8459}" xr6:coauthVersionLast="46" xr6:coauthVersionMax="46" xr10:uidLastSave="{00000000-0000-0000-0000-000000000000}"/>
  <bookViews>
    <workbookView xWindow="-35100" yWindow="-4780" windowWidth="30980" windowHeight="24780" tabRatio="500" activeTab="1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7" i="1" l="1"/>
  <c r="Y18" i="1" s="1"/>
  <c r="Y15" i="1"/>
  <c r="Y14" i="1"/>
  <c r="Y12" i="1"/>
  <c r="Y13" i="1" s="1"/>
  <c r="Y8" i="1"/>
  <c r="Y6" i="1"/>
  <c r="Z17" i="1"/>
  <c r="Z18" i="1" s="1"/>
  <c r="Z15" i="1"/>
  <c r="Z14" i="1"/>
  <c r="Z12" i="1"/>
  <c r="Z13" i="1" s="1"/>
  <c r="Z8" i="1"/>
  <c r="Z6" i="1"/>
  <c r="AA12" i="1"/>
  <c r="AA6" i="1"/>
  <c r="AA8" i="1" s="1"/>
  <c r="F4" i="2"/>
  <c r="AA13" i="1" l="1"/>
  <c r="AA15" i="1" s="1"/>
  <c r="AA17" i="1" s="1"/>
  <c r="AA18" i="1" s="1"/>
  <c r="U9" i="2"/>
  <c r="T9" i="2"/>
  <c r="S9" i="2"/>
  <c r="R9" i="2"/>
  <c r="Q9" i="2"/>
  <c r="X50" i="1"/>
  <c r="X49" i="1"/>
  <c r="X48" i="1"/>
  <c r="X40" i="1"/>
  <c r="X35" i="1"/>
  <c r="X32" i="1"/>
  <c r="X31" i="1" s="1"/>
  <c r="X27" i="1"/>
  <c r="X26" i="1"/>
  <c r="X11" i="1"/>
  <c r="X12" i="1" s="1"/>
  <c r="X6" i="1"/>
  <c r="X8" i="1" s="1"/>
  <c r="X13" i="1" l="1"/>
  <c r="X21" i="1"/>
  <c r="X39" i="1"/>
  <c r="W50" i="1"/>
  <c r="W49" i="1"/>
  <c r="W48" i="1"/>
  <c r="W40" i="1"/>
  <c r="W35" i="1"/>
  <c r="W32" i="1"/>
  <c r="W31" i="1"/>
  <c r="W27" i="1"/>
  <c r="W26" i="1"/>
  <c r="W14" i="1"/>
  <c r="W11" i="1"/>
  <c r="W6" i="1"/>
  <c r="W8" i="1" s="1"/>
  <c r="W21" i="1" s="1"/>
  <c r="W39" i="1" l="1"/>
  <c r="W12" i="1"/>
  <c r="X15" i="1"/>
  <c r="X22" i="1"/>
  <c r="F45" i="2"/>
  <c r="F44" i="2"/>
  <c r="F27" i="2"/>
  <c r="F24" i="2"/>
  <c r="F22" i="2"/>
  <c r="F18" i="2"/>
  <c r="G18" i="2" s="1"/>
  <c r="H18" i="2" s="1"/>
  <c r="I18" i="2" s="1"/>
  <c r="J18" i="2" s="1"/>
  <c r="K18" i="2" s="1"/>
  <c r="L18" i="2" s="1"/>
  <c r="M18" i="2" s="1"/>
  <c r="N18" i="2" s="1"/>
  <c r="O18" i="2" s="1"/>
  <c r="P18" i="2" s="1"/>
  <c r="Q18" i="2" s="1"/>
  <c r="F17" i="2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Q17" i="2" s="1"/>
  <c r="F15" i="2"/>
  <c r="G61" i="2"/>
  <c r="V35" i="1"/>
  <c r="V32" i="1"/>
  <c r="V11" i="1"/>
  <c r="U35" i="1"/>
  <c r="U33" i="1"/>
  <c r="U32" i="1"/>
  <c r="F40" i="2" s="1"/>
  <c r="U11" i="1"/>
  <c r="U50" i="1"/>
  <c r="U49" i="1"/>
  <c r="U48" i="1"/>
  <c r="U40" i="1"/>
  <c r="U27" i="1"/>
  <c r="U26" i="1"/>
  <c r="U12" i="1"/>
  <c r="U6" i="1"/>
  <c r="Q35" i="2" l="1"/>
  <c r="R18" i="2"/>
  <c r="F48" i="2"/>
  <c r="Q34" i="2"/>
  <c r="R17" i="2"/>
  <c r="U31" i="1"/>
  <c r="V39" i="1"/>
  <c r="X17" i="1"/>
  <c r="X18" i="1" s="1"/>
  <c r="X23" i="1"/>
  <c r="U39" i="1"/>
  <c r="F41" i="2"/>
  <c r="F39" i="2" s="1"/>
  <c r="G22" i="2" s="1"/>
  <c r="W13" i="1"/>
  <c r="U8" i="1"/>
  <c r="U21" i="1" s="1"/>
  <c r="F43" i="2"/>
  <c r="F55" i="2" s="1"/>
  <c r="G34" i="2"/>
  <c r="F14" i="2"/>
  <c r="R34" i="2" l="1"/>
  <c r="S17" i="2"/>
  <c r="R35" i="2"/>
  <c r="S18" i="2"/>
  <c r="W22" i="1"/>
  <c r="W15" i="1"/>
  <c r="U13" i="1"/>
  <c r="F47" i="2"/>
  <c r="F16" i="2"/>
  <c r="S35" i="2" l="1"/>
  <c r="T18" i="2"/>
  <c r="S34" i="2"/>
  <c r="T17" i="2"/>
  <c r="U22" i="1"/>
  <c r="U15" i="1"/>
  <c r="W23" i="1"/>
  <c r="W17" i="1"/>
  <c r="W18" i="1" s="1"/>
  <c r="U17" i="2" l="1"/>
  <c r="T34" i="2"/>
  <c r="T35" i="2"/>
  <c r="U18" i="2"/>
  <c r="U35" i="2" s="1"/>
  <c r="U17" i="1"/>
  <c r="U23" i="1"/>
  <c r="U34" i="2" l="1"/>
  <c r="U18" i="1"/>
  <c r="T40" i="1"/>
  <c r="T35" i="1"/>
  <c r="T33" i="1"/>
  <c r="T32" i="1"/>
  <c r="T50" i="1"/>
  <c r="T49" i="1"/>
  <c r="T48" i="1"/>
  <c r="T11" i="1"/>
  <c r="X28" i="1" s="1"/>
  <c r="T6" i="1"/>
  <c r="X25" i="1" s="1"/>
  <c r="V50" i="1"/>
  <c r="V49" i="1"/>
  <c r="V48" i="1"/>
  <c r="V40" i="1"/>
  <c r="V27" i="1"/>
  <c r="V26" i="1"/>
  <c r="V12" i="1"/>
  <c r="V6" i="1"/>
  <c r="T8" i="1" l="1"/>
  <c r="T12" i="1"/>
  <c r="T31" i="1"/>
  <c r="T39" i="1"/>
  <c r="V8" i="1"/>
  <c r="V31" i="1"/>
  <c r="C4" i="2"/>
  <c r="T26" i="1"/>
  <c r="T27" i="1"/>
  <c r="S35" i="1"/>
  <c r="S33" i="1"/>
  <c r="S32" i="1"/>
  <c r="S11" i="1"/>
  <c r="W28" i="1" s="1"/>
  <c r="S50" i="1"/>
  <c r="S49" i="1"/>
  <c r="S48" i="1"/>
  <c r="S40" i="1"/>
  <c r="S27" i="1"/>
  <c r="S26" i="1"/>
  <c r="S6" i="1"/>
  <c r="E18" i="2"/>
  <c r="E17" i="2"/>
  <c r="E15" i="2"/>
  <c r="F62" i="2"/>
  <c r="F61" i="2"/>
  <c r="F60" i="2"/>
  <c r="D24" i="2"/>
  <c r="D22" i="2"/>
  <c r="D17" i="2"/>
  <c r="D18" i="2"/>
  <c r="D15" i="2"/>
  <c r="C18" i="2"/>
  <c r="C17" i="2"/>
  <c r="C15" i="2"/>
  <c r="C14" i="2"/>
  <c r="B24" i="2"/>
  <c r="B22" i="2"/>
  <c r="B18" i="2"/>
  <c r="B17" i="2"/>
  <c r="B15" i="2"/>
  <c r="B11" i="1"/>
  <c r="B12" i="1" s="1"/>
  <c r="F11" i="1"/>
  <c r="C11" i="1"/>
  <c r="C12" i="1" s="1"/>
  <c r="G11" i="1"/>
  <c r="G12" i="1" s="1"/>
  <c r="C6" i="1"/>
  <c r="C8" i="1" s="1"/>
  <c r="C13" i="1" s="1"/>
  <c r="F6" i="1"/>
  <c r="F8" i="1" s="1"/>
  <c r="G6" i="1"/>
  <c r="G25" i="1" s="1"/>
  <c r="F48" i="1"/>
  <c r="G48" i="1"/>
  <c r="H48" i="1"/>
  <c r="F49" i="1"/>
  <c r="G49" i="1"/>
  <c r="H49" i="1"/>
  <c r="F50" i="1"/>
  <c r="G50" i="1"/>
  <c r="H50" i="1"/>
  <c r="D11" i="1"/>
  <c r="D12" i="1" s="1"/>
  <c r="H11" i="1"/>
  <c r="H12" i="1" s="1"/>
  <c r="H6" i="1"/>
  <c r="E35" i="1"/>
  <c r="B43" i="2" s="1"/>
  <c r="E32" i="1"/>
  <c r="B40" i="2" s="1"/>
  <c r="I35" i="1"/>
  <c r="I32" i="1"/>
  <c r="C40" i="2" s="1"/>
  <c r="E11" i="1"/>
  <c r="E12" i="1" s="1"/>
  <c r="I11" i="1"/>
  <c r="I12" i="1" s="1"/>
  <c r="J11" i="1"/>
  <c r="N35" i="1"/>
  <c r="N32" i="1"/>
  <c r="N31" i="1" s="1"/>
  <c r="O35" i="1"/>
  <c r="O32" i="1"/>
  <c r="O31" i="1" s="1"/>
  <c r="K11" i="1"/>
  <c r="O11" i="1"/>
  <c r="O12" i="1" s="1"/>
  <c r="P35" i="1"/>
  <c r="P32" i="1"/>
  <c r="P31" i="1" s="1"/>
  <c r="L11" i="1"/>
  <c r="L12" i="1" s="1"/>
  <c r="L29" i="1" s="1"/>
  <c r="P11" i="1"/>
  <c r="P12" i="1" s="1"/>
  <c r="M35" i="1"/>
  <c r="D43" i="2" s="1"/>
  <c r="M32" i="1"/>
  <c r="D40" i="2" s="1"/>
  <c r="M11" i="1"/>
  <c r="M12" i="1" s="1"/>
  <c r="M29" i="1" s="1"/>
  <c r="Q11" i="1"/>
  <c r="U28" i="1" s="1"/>
  <c r="Q35" i="1"/>
  <c r="Q32" i="1"/>
  <c r="E40" i="2" s="1"/>
  <c r="R35" i="1"/>
  <c r="R33" i="1"/>
  <c r="R32" i="1"/>
  <c r="R50" i="1"/>
  <c r="R49" i="1"/>
  <c r="R48" i="1"/>
  <c r="Q6" i="1"/>
  <c r="P6" i="1"/>
  <c r="P8" i="1" s="1"/>
  <c r="P21" i="1" s="1"/>
  <c r="O6" i="1"/>
  <c r="O8" i="1" s="1"/>
  <c r="R40" i="1"/>
  <c r="N11" i="1"/>
  <c r="N12" i="1" s="1"/>
  <c r="R27" i="1"/>
  <c r="R26" i="1"/>
  <c r="N6" i="1"/>
  <c r="N8" i="1" s="1"/>
  <c r="N21" i="1" s="1"/>
  <c r="R6" i="1"/>
  <c r="R8" i="1"/>
  <c r="R11" i="1"/>
  <c r="V28" i="1" s="1"/>
  <c r="J12" i="1"/>
  <c r="E44" i="2"/>
  <c r="E43" i="2"/>
  <c r="E22" i="2"/>
  <c r="E24" i="2"/>
  <c r="Q40" i="1"/>
  <c r="E41" i="2"/>
  <c r="E45" i="2"/>
  <c r="E27" i="2"/>
  <c r="M6" i="1"/>
  <c r="M8" i="1"/>
  <c r="M21" i="1" s="1"/>
  <c r="I6" i="1"/>
  <c r="I25" i="1" s="1"/>
  <c r="D41" i="2"/>
  <c r="Q50" i="1"/>
  <c r="P50" i="1"/>
  <c r="O50" i="1"/>
  <c r="N50" i="1"/>
  <c r="M50" i="1"/>
  <c r="L50" i="1"/>
  <c r="K50" i="1"/>
  <c r="J50" i="1"/>
  <c r="I50" i="1"/>
  <c r="Q49" i="1"/>
  <c r="P49" i="1"/>
  <c r="O49" i="1"/>
  <c r="N49" i="1"/>
  <c r="M49" i="1"/>
  <c r="L49" i="1"/>
  <c r="K49" i="1"/>
  <c r="J49" i="1"/>
  <c r="I49" i="1"/>
  <c r="Q48" i="1"/>
  <c r="P48" i="1"/>
  <c r="O48" i="1"/>
  <c r="N48" i="1"/>
  <c r="M48" i="1"/>
  <c r="L48" i="1"/>
  <c r="K48" i="1"/>
  <c r="J48" i="1"/>
  <c r="I48" i="1"/>
  <c r="E6" i="1"/>
  <c r="E8" i="1" s="1"/>
  <c r="E40" i="1"/>
  <c r="B44" i="2"/>
  <c r="B45" i="2"/>
  <c r="P40" i="1"/>
  <c r="C22" i="2"/>
  <c r="C24" i="2"/>
  <c r="C44" i="2"/>
  <c r="C45" i="2"/>
  <c r="B41" i="2"/>
  <c r="B27" i="2"/>
  <c r="C41" i="2"/>
  <c r="D44" i="2"/>
  <c r="D45" i="2"/>
  <c r="J6" i="1"/>
  <c r="J8" i="1"/>
  <c r="K6" i="1"/>
  <c r="L6" i="1"/>
  <c r="I40" i="1"/>
  <c r="M40" i="1"/>
  <c r="B6" i="1"/>
  <c r="B8" i="1" s="1"/>
  <c r="B21" i="1" s="1"/>
  <c r="D6" i="1"/>
  <c r="D8" i="1" s="1"/>
  <c r="O40" i="1"/>
  <c r="N40" i="1"/>
  <c r="Q27" i="1"/>
  <c r="Q26" i="1"/>
  <c r="N27" i="1"/>
  <c r="N26" i="1"/>
  <c r="O27" i="1"/>
  <c r="O26" i="1"/>
  <c r="P27" i="1"/>
  <c r="P26" i="1"/>
  <c r="D27" i="2"/>
  <c r="C27" i="2"/>
  <c r="G27" i="2"/>
  <c r="H27" i="2" s="1"/>
  <c r="I27" i="2" s="1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F26" i="1"/>
  <c r="I26" i="1"/>
  <c r="M26" i="1"/>
  <c r="K26" i="1"/>
  <c r="J26" i="1"/>
  <c r="H26" i="1"/>
  <c r="L26" i="1"/>
  <c r="H27" i="1"/>
  <c r="I27" i="1"/>
  <c r="J27" i="1"/>
  <c r="K27" i="1"/>
  <c r="L27" i="1"/>
  <c r="M27" i="1"/>
  <c r="L28" i="1"/>
  <c r="G27" i="1"/>
  <c r="G26" i="1"/>
  <c r="F27" i="1"/>
  <c r="E9" i="2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R39" i="1" l="1"/>
  <c r="N39" i="1"/>
  <c r="B55" i="2"/>
  <c r="S39" i="1"/>
  <c r="S31" i="1"/>
  <c r="R25" i="1"/>
  <c r="L25" i="1"/>
  <c r="Q39" i="1"/>
  <c r="J28" i="1"/>
  <c r="B14" i="2"/>
  <c r="B16" i="2" s="1"/>
  <c r="B29" i="2" s="1"/>
  <c r="M28" i="1"/>
  <c r="I31" i="1"/>
  <c r="S8" i="1"/>
  <c r="S21" i="1" s="1"/>
  <c r="W25" i="1"/>
  <c r="D55" i="2"/>
  <c r="Q8" i="1"/>
  <c r="Q21" i="1" s="1"/>
  <c r="U25" i="1"/>
  <c r="P39" i="1"/>
  <c r="D14" i="2"/>
  <c r="D16" i="2" s="1"/>
  <c r="D29" i="2" s="1"/>
  <c r="D19" i="2"/>
  <c r="K25" i="1"/>
  <c r="R12" i="1"/>
  <c r="V29" i="1" s="1"/>
  <c r="F19" i="2"/>
  <c r="I28" i="1"/>
  <c r="P28" i="1"/>
  <c r="H8" i="1"/>
  <c r="H21" i="1" s="1"/>
  <c r="F25" i="1"/>
  <c r="N28" i="1"/>
  <c r="J25" i="1"/>
  <c r="Q12" i="1"/>
  <c r="J13" i="1"/>
  <c r="J22" i="1" s="1"/>
  <c r="C35" i="2"/>
  <c r="V25" i="1"/>
  <c r="P25" i="1"/>
  <c r="G28" i="1"/>
  <c r="Q28" i="1"/>
  <c r="T13" i="1"/>
  <c r="T15" i="1" s="1"/>
  <c r="T17" i="1" s="1"/>
  <c r="X29" i="1"/>
  <c r="H58" i="2"/>
  <c r="E58" i="2"/>
  <c r="D58" i="2"/>
  <c r="K58" i="2"/>
  <c r="B58" i="2"/>
  <c r="J58" i="2"/>
  <c r="I58" i="2"/>
  <c r="G58" i="2"/>
  <c r="F58" i="2"/>
  <c r="C58" i="2"/>
  <c r="E55" i="2"/>
  <c r="C48" i="2"/>
  <c r="E34" i="2"/>
  <c r="E39" i="2"/>
  <c r="E61" i="2"/>
  <c r="B39" i="2"/>
  <c r="E62" i="2"/>
  <c r="D48" i="2"/>
  <c r="C61" i="2"/>
  <c r="E35" i="2"/>
  <c r="V13" i="1"/>
  <c r="V21" i="1"/>
  <c r="O13" i="1"/>
  <c r="O15" i="1" s="1"/>
  <c r="O21" i="1"/>
  <c r="C39" i="2"/>
  <c r="E60" i="2"/>
  <c r="O28" i="1"/>
  <c r="K28" i="1"/>
  <c r="D62" i="2"/>
  <c r="M25" i="1"/>
  <c r="E48" i="2"/>
  <c r="E47" i="2"/>
  <c r="O39" i="1"/>
  <c r="M13" i="1"/>
  <c r="M22" i="1" s="1"/>
  <c r="D60" i="2"/>
  <c r="B19" i="2"/>
  <c r="B20" i="2" s="1"/>
  <c r="R31" i="1"/>
  <c r="D35" i="2"/>
  <c r="M39" i="1"/>
  <c r="D39" i="2"/>
  <c r="I39" i="1"/>
  <c r="D61" i="2"/>
  <c r="J21" i="1"/>
  <c r="B48" i="2"/>
  <c r="N25" i="1"/>
  <c r="C62" i="2"/>
  <c r="Q31" i="1"/>
  <c r="P29" i="1"/>
  <c r="E31" i="1"/>
  <c r="D34" i="2"/>
  <c r="E21" i="1"/>
  <c r="E13" i="1"/>
  <c r="D21" i="1"/>
  <c r="D13" i="1"/>
  <c r="N29" i="1"/>
  <c r="T28" i="1"/>
  <c r="F21" i="1"/>
  <c r="D20" i="2"/>
  <c r="D47" i="2"/>
  <c r="C15" i="1"/>
  <c r="C22" i="1"/>
  <c r="P13" i="1"/>
  <c r="F28" i="1"/>
  <c r="Q25" i="1"/>
  <c r="C60" i="2"/>
  <c r="B13" i="1"/>
  <c r="B47" i="2"/>
  <c r="C43" i="2"/>
  <c r="C55" i="2" s="1"/>
  <c r="E14" i="2"/>
  <c r="C21" i="1"/>
  <c r="L8" i="1"/>
  <c r="N13" i="1"/>
  <c r="K12" i="1"/>
  <c r="K29" i="1" s="1"/>
  <c r="G8" i="1"/>
  <c r="M31" i="1"/>
  <c r="S25" i="1"/>
  <c r="S12" i="1"/>
  <c r="E39" i="1"/>
  <c r="C19" i="2"/>
  <c r="E19" i="2"/>
  <c r="E36" i="2" s="1"/>
  <c r="H25" i="1"/>
  <c r="C16" i="2"/>
  <c r="R28" i="1"/>
  <c r="C6" i="2"/>
  <c r="C7" i="2" s="1"/>
  <c r="K8" i="1"/>
  <c r="R21" i="1"/>
  <c r="F12" i="1"/>
  <c r="J29" i="1" s="1"/>
  <c r="S28" i="1"/>
  <c r="I8" i="1"/>
  <c r="H28" i="1"/>
  <c r="O25" i="1"/>
  <c r="C34" i="2"/>
  <c r="T29" i="1"/>
  <c r="C33" i="2" l="1"/>
  <c r="J15" i="1"/>
  <c r="J17" i="1" s="1"/>
  <c r="Q13" i="1"/>
  <c r="Q22" i="1" s="1"/>
  <c r="O22" i="1"/>
  <c r="G19" i="2"/>
  <c r="H19" i="2" s="1"/>
  <c r="I19" i="2" s="1"/>
  <c r="J19" i="2" s="1"/>
  <c r="K19" i="2" s="1"/>
  <c r="L19" i="2" s="1"/>
  <c r="M19" i="2" s="1"/>
  <c r="N19" i="2" s="1"/>
  <c r="O19" i="2" s="1"/>
  <c r="P19" i="2" s="1"/>
  <c r="Q19" i="2" s="1"/>
  <c r="F20" i="2"/>
  <c r="F21" i="2" s="1"/>
  <c r="F23" i="2" s="1"/>
  <c r="T18" i="1"/>
  <c r="H13" i="1"/>
  <c r="H15" i="1" s="1"/>
  <c r="R13" i="1"/>
  <c r="R15" i="1" s="1"/>
  <c r="R17" i="1" s="1"/>
  <c r="U29" i="1"/>
  <c r="Q29" i="1"/>
  <c r="R29" i="1"/>
  <c r="B21" i="2"/>
  <c r="B30" i="2" s="1"/>
  <c r="S29" i="1"/>
  <c r="W29" i="1"/>
  <c r="D33" i="2"/>
  <c r="C47" i="2"/>
  <c r="C36" i="2"/>
  <c r="V22" i="1"/>
  <c r="V15" i="1"/>
  <c r="H61" i="2"/>
  <c r="F13" i="1"/>
  <c r="F15" i="1" s="1"/>
  <c r="O29" i="1"/>
  <c r="M15" i="1"/>
  <c r="M23" i="1" s="1"/>
  <c r="O17" i="1"/>
  <c r="O23" i="1"/>
  <c r="T25" i="1"/>
  <c r="I21" i="1"/>
  <c r="I13" i="1"/>
  <c r="F22" i="1"/>
  <c r="K13" i="1"/>
  <c r="K21" i="1"/>
  <c r="D21" i="2"/>
  <c r="D15" i="1"/>
  <c r="D22" i="1"/>
  <c r="E22" i="1"/>
  <c r="E15" i="1"/>
  <c r="C17" i="1"/>
  <c r="C18" i="1" s="1"/>
  <c r="C23" i="1"/>
  <c r="N22" i="1"/>
  <c r="N15" i="1"/>
  <c r="L21" i="1"/>
  <c r="L13" i="1"/>
  <c r="C29" i="2"/>
  <c r="B22" i="1"/>
  <c r="B15" i="1"/>
  <c r="F35" i="2"/>
  <c r="G13" i="1"/>
  <c r="G21" i="1"/>
  <c r="Q15" i="1"/>
  <c r="P15" i="1"/>
  <c r="P22" i="1"/>
  <c r="E33" i="2"/>
  <c r="E16" i="2"/>
  <c r="D36" i="2"/>
  <c r="S13" i="1"/>
  <c r="E20" i="2"/>
  <c r="E37" i="2" s="1"/>
  <c r="C20" i="2"/>
  <c r="C37" i="2" s="1"/>
  <c r="G62" i="2"/>
  <c r="M17" i="1" l="1"/>
  <c r="J23" i="1"/>
  <c r="R23" i="1"/>
  <c r="Q36" i="2"/>
  <c r="R19" i="2"/>
  <c r="Q20" i="2"/>
  <c r="H22" i="1"/>
  <c r="B23" i="2"/>
  <c r="R18" i="1"/>
  <c r="R22" i="1"/>
  <c r="I61" i="2"/>
  <c r="V17" i="1"/>
  <c r="V23" i="1"/>
  <c r="F34" i="2"/>
  <c r="B25" i="2"/>
  <c r="B57" i="2" s="1"/>
  <c r="B31" i="2"/>
  <c r="I22" i="1"/>
  <c r="I15" i="1"/>
  <c r="F23" i="1"/>
  <c r="F17" i="1"/>
  <c r="H17" i="1"/>
  <c r="H18" i="1" s="1"/>
  <c r="H23" i="1"/>
  <c r="S15" i="1"/>
  <c r="S22" i="1"/>
  <c r="D17" i="1"/>
  <c r="D18" i="1" s="1"/>
  <c r="D23" i="1"/>
  <c r="G22" i="1"/>
  <c r="G15" i="1"/>
  <c r="G35" i="2"/>
  <c r="C21" i="2"/>
  <c r="D30" i="2"/>
  <c r="D23" i="2"/>
  <c r="B23" i="1"/>
  <c r="B17" i="1"/>
  <c r="P17" i="1"/>
  <c r="P23" i="1"/>
  <c r="D37" i="2"/>
  <c r="T21" i="1"/>
  <c r="H62" i="2"/>
  <c r="L22" i="1"/>
  <c r="L15" i="1"/>
  <c r="M18" i="1"/>
  <c r="J18" i="1"/>
  <c r="F36" i="2"/>
  <c r="E21" i="2"/>
  <c r="E29" i="2"/>
  <c r="G14" i="2"/>
  <c r="N23" i="1"/>
  <c r="N17" i="1"/>
  <c r="Q23" i="1"/>
  <c r="Q17" i="1"/>
  <c r="E23" i="1"/>
  <c r="E17" i="1"/>
  <c r="K22" i="1"/>
  <c r="K15" i="1"/>
  <c r="O18" i="1"/>
  <c r="F37" i="2"/>
  <c r="R36" i="2" l="1"/>
  <c r="S19" i="2"/>
  <c r="R20" i="2"/>
  <c r="R37" i="2" s="1"/>
  <c r="Q18" i="1"/>
  <c r="X42" i="1"/>
  <c r="W42" i="1"/>
  <c r="J61" i="2"/>
  <c r="V18" i="1"/>
  <c r="T22" i="1"/>
  <c r="G36" i="2"/>
  <c r="H20" i="2"/>
  <c r="G60" i="2"/>
  <c r="S23" i="1"/>
  <c r="S17" i="1"/>
  <c r="E42" i="1"/>
  <c r="B18" i="1"/>
  <c r="E18" i="1"/>
  <c r="E46" i="1"/>
  <c r="E45" i="1"/>
  <c r="E44" i="1"/>
  <c r="E43" i="1"/>
  <c r="I17" i="1"/>
  <c r="I18" i="1" s="1"/>
  <c r="I23" i="1"/>
  <c r="D25" i="2"/>
  <c r="D57" i="2" s="1"/>
  <c r="D31" i="2"/>
  <c r="C30" i="2"/>
  <c r="C23" i="2"/>
  <c r="H35" i="2"/>
  <c r="F33" i="2"/>
  <c r="P18" i="1"/>
  <c r="K17" i="1"/>
  <c r="K23" i="1"/>
  <c r="L23" i="1"/>
  <c r="L17" i="1"/>
  <c r="N18" i="1"/>
  <c r="Q42" i="1"/>
  <c r="E30" i="2"/>
  <c r="E23" i="2"/>
  <c r="R42" i="1"/>
  <c r="P42" i="1"/>
  <c r="F18" i="1"/>
  <c r="G20" i="2"/>
  <c r="G37" i="2" s="1"/>
  <c r="I62" i="2"/>
  <c r="G17" i="1"/>
  <c r="G18" i="1" s="1"/>
  <c r="G23" i="1"/>
  <c r="B50" i="2"/>
  <c r="B26" i="2"/>
  <c r="B51" i="2"/>
  <c r="B53" i="2"/>
  <c r="B52" i="2"/>
  <c r="S36" i="2" l="1"/>
  <c r="T19" i="2"/>
  <c r="S20" i="2"/>
  <c r="S37" i="2" s="1"/>
  <c r="S18" i="1"/>
  <c r="U42" i="1"/>
  <c r="W46" i="1"/>
  <c r="W43" i="1"/>
  <c r="W45" i="1"/>
  <c r="W44" i="1"/>
  <c r="I42" i="1"/>
  <c r="I46" i="1" s="1"/>
  <c r="X46" i="1"/>
  <c r="X44" i="1"/>
  <c r="X45" i="1"/>
  <c r="X43" i="1"/>
  <c r="T42" i="1"/>
  <c r="J62" i="2"/>
  <c r="K62" i="2"/>
  <c r="K61" i="2"/>
  <c r="H37" i="2"/>
  <c r="H34" i="2"/>
  <c r="F29" i="2"/>
  <c r="D53" i="2"/>
  <c r="D50" i="2"/>
  <c r="D52" i="2"/>
  <c r="D26" i="2"/>
  <c r="D51" i="2"/>
  <c r="H60" i="2"/>
  <c r="H14" i="2"/>
  <c r="H36" i="2"/>
  <c r="P46" i="1"/>
  <c r="P43" i="1"/>
  <c r="P45" i="1"/>
  <c r="P44" i="1"/>
  <c r="I35" i="2"/>
  <c r="C31" i="2"/>
  <c r="C25" i="2"/>
  <c r="G33" i="2"/>
  <c r="R45" i="1"/>
  <c r="R44" i="1"/>
  <c r="R43" i="1"/>
  <c r="R46" i="1"/>
  <c r="E31" i="2"/>
  <c r="E25" i="2"/>
  <c r="E57" i="2" s="1"/>
  <c r="Q46" i="1"/>
  <c r="Q45" i="1"/>
  <c r="Q44" i="1"/>
  <c r="Q43" i="1"/>
  <c r="L18" i="1"/>
  <c r="O42" i="1"/>
  <c r="N42" i="1"/>
  <c r="K18" i="1"/>
  <c r="M42" i="1"/>
  <c r="S42" i="1"/>
  <c r="U19" i="2" l="1"/>
  <c r="T36" i="2"/>
  <c r="T20" i="2"/>
  <c r="T37" i="2" s="1"/>
  <c r="I45" i="1"/>
  <c r="I44" i="1"/>
  <c r="T45" i="1"/>
  <c r="T43" i="1"/>
  <c r="T46" i="1"/>
  <c r="T44" i="1"/>
  <c r="U46" i="1"/>
  <c r="U44" i="1"/>
  <c r="U45" i="1"/>
  <c r="U43" i="1"/>
  <c r="I43" i="1"/>
  <c r="C51" i="2"/>
  <c r="C50" i="2"/>
  <c r="C52" i="2"/>
  <c r="C57" i="2"/>
  <c r="G16" i="2"/>
  <c r="G15" i="2" s="1"/>
  <c r="I20" i="2"/>
  <c r="I37" i="2" s="1"/>
  <c r="E53" i="2"/>
  <c r="E52" i="2"/>
  <c r="E50" i="2"/>
  <c r="I34" i="2"/>
  <c r="M46" i="1"/>
  <c r="M45" i="1"/>
  <c r="M44" i="1"/>
  <c r="M43" i="1"/>
  <c r="H33" i="2"/>
  <c r="O46" i="1"/>
  <c r="O45" i="1"/>
  <c r="O44" i="1"/>
  <c r="O43" i="1"/>
  <c r="I60" i="2"/>
  <c r="I14" i="2"/>
  <c r="T23" i="1"/>
  <c r="E26" i="2"/>
  <c r="E51" i="2"/>
  <c r="J35" i="2"/>
  <c r="S45" i="1"/>
  <c r="S44" i="1"/>
  <c r="S43" i="1"/>
  <c r="S46" i="1"/>
  <c r="C53" i="2"/>
  <c r="C26" i="2"/>
  <c r="F30" i="2"/>
  <c r="I36" i="2"/>
  <c r="N46" i="1"/>
  <c r="N45" i="1"/>
  <c r="N44" i="1"/>
  <c r="N43" i="1"/>
  <c r="U36" i="2" l="1"/>
  <c r="U20" i="2"/>
  <c r="U37" i="2" s="1"/>
  <c r="G21" i="2"/>
  <c r="G30" i="2" s="1"/>
  <c r="G29" i="2"/>
  <c r="H16" i="2" s="1"/>
  <c r="J20" i="2"/>
  <c r="J37" i="2" s="1"/>
  <c r="K60" i="2"/>
  <c r="K14" i="2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J34" i="2"/>
  <c r="H21" i="2"/>
  <c r="H29" i="2"/>
  <c r="I16" i="2" s="1"/>
  <c r="I15" i="2" s="1"/>
  <c r="H15" i="2"/>
  <c r="F31" i="2"/>
  <c r="I33" i="2"/>
  <c r="K35" i="2"/>
  <c r="J36" i="2"/>
  <c r="J14" i="2"/>
  <c r="J60" i="2"/>
  <c r="F25" i="2" l="1"/>
  <c r="F57" i="2" s="1"/>
  <c r="V42" i="1"/>
  <c r="K34" i="2"/>
  <c r="I21" i="2"/>
  <c r="I29" i="2"/>
  <c r="J16" i="2" s="1"/>
  <c r="J33" i="2"/>
  <c r="K36" i="2"/>
  <c r="K20" i="2"/>
  <c r="K37" i="2" s="1"/>
  <c r="L35" i="2"/>
  <c r="H30" i="2"/>
  <c r="V45" i="1" l="1"/>
  <c r="V46" i="1"/>
  <c r="F26" i="2"/>
  <c r="F50" i="2"/>
  <c r="F52" i="2"/>
  <c r="F51" i="2"/>
  <c r="F53" i="2"/>
  <c r="G23" i="2"/>
  <c r="G24" i="2" s="1"/>
  <c r="V44" i="1"/>
  <c r="V43" i="1"/>
  <c r="L34" i="2"/>
  <c r="M20" i="2"/>
  <c r="L36" i="2"/>
  <c r="J21" i="2"/>
  <c r="J29" i="2"/>
  <c r="K16" i="2" s="1"/>
  <c r="K15" i="2" s="1"/>
  <c r="K33" i="2"/>
  <c r="J15" i="2"/>
  <c r="L20" i="2"/>
  <c r="L37" i="2" s="1"/>
  <c r="M35" i="2"/>
  <c r="I30" i="2"/>
  <c r="M34" i="2" l="1"/>
  <c r="J30" i="2"/>
  <c r="G31" i="2"/>
  <c r="K21" i="2"/>
  <c r="K29" i="2"/>
  <c r="L16" i="2" s="1"/>
  <c r="L33" i="2"/>
  <c r="M37" i="2"/>
  <c r="N35" i="2"/>
  <c r="M36" i="2"/>
  <c r="G25" i="2" l="1"/>
  <c r="N34" i="2"/>
  <c r="M33" i="2"/>
  <c r="O35" i="2"/>
  <c r="L21" i="2"/>
  <c r="L29" i="2"/>
  <c r="M16" i="2" s="1"/>
  <c r="K30" i="2"/>
  <c r="L15" i="2"/>
  <c r="N36" i="2"/>
  <c r="N20" i="2"/>
  <c r="N37" i="2" s="1"/>
  <c r="G57" i="2" l="1"/>
  <c r="G26" i="2"/>
  <c r="G39" i="2"/>
  <c r="O34" i="2"/>
  <c r="M21" i="2"/>
  <c r="M29" i="2"/>
  <c r="N16" i="2" s="1"/>
  <c r="M15" i="2"/>
  <c r="O36" i="2"/>
  <c r="L30" i="2"/>
  <c r="O20" i="2"/>
  <c r="O37" i="2" s="1"/>
  <c r="P35" i="2"/>
  <c r="P20" i="2"/>
  <c r="Q37" i="2" s="1"/>
  <c r="N33" i="2"/>
  <c r="P34" i="2" l="1"/>
  <c r="N29" i="2"/>
  <c r="O16" i="2" s="1"/>
  <c r="O15" i="2" s="1"/>
  <c r="N21" i="2"/>
  <c r="N15" i="2"/>
  <c r="O33" i="2"/>
  <c r="P37" i="2"/>
  <c r="H22" i="2"/>
  <c r="H23" i="2" s="1"/>
  <c r="P36" i="2"/>
  <c r="M30" i="2"/>
  <c r="Q33" i="2" l="1"/>
  <c r="H24" i="2"/>
  <c r="H31" i="2" s="1"/>
  <c r="N30" i="2"/>
  <c r="P33" i="2"/>
  <c r="O21" i="2"/>
  <c r="O29" i="2"/>
  <c r="P16" i="2" s="1"/>
  <c r="R33" i="2" l="1"/>
  <c r="H25" i="2"/>
  <c r="P21" i="2"/>
  <c r="P29" i="2"/>
  <c r="Q16" i="2" s="1"/>
  <c r="P15" i="2"/>
  <c r="O30" i="2"/>
  <c r="Q21" i="2" l="1"/>
  <c r="Q29" i="2"/>
  <c r="R16" i="2" s="1"/>
  <c r="Q15" i="2"/>
  <c r="S33" i="2"/>
  <c r="H57" i="2"/>
  <c r="H26" i="2"/>
  <c r="H39" i="2"/>
  <c r="I22" i="2" s="1"/>
  <c r="I23" i="2" s="1"/>
  <c r="P30" i="2"/>
  <c r="T33" i="2" l="1"/>
  <c r="R29" i="2"/>
  <c r="S16" i="2" s="1"/>
  <c r="R21" i="2"/>
  <c r="R15" i="2"/>
  <c r="Q30" i="2"/>
  <c r="I24" i="2"/>
  <c r="I31" i="2" s="1"/>
  <c r="R30" i="2" l="1"/>
  <c r="S29" i="2"/>
  <c r="T16" i="2" s="1"/>
  <c r="S21" i="2"/>
  <c r="S15" i="2"/>
  <c r="U33" i="2"/>
  <c r="I25" i="2"/>
  <c r="I39" i="2"/>
  <c r="S30" i="2" l="1"/>
  <c r="T15" i="2"/>
  <c r="T29" i="2"/>
  <c r="U16" i="2" s="1"/>
  <c r="T21" i="2"/>
  <c r="I57" i="2"/>
  <c r="I26" i="2"/>
  <c r="J22" i="2"/>
  <c r="J23" i="2" s="1"/>
  <c r="T30" i="2" l="1"/>
  <c r="U29" i="2"/>
  <c r="U21" i="2"/>
  <c r="U15" i="2"/>
  <c r="J24" i="2"/>
  <c r="J31" i="2" s="1"/>
  <c r="U30" i="2" l="1"/>
  <c r="J25" i="2"/>
  <c r="J26" i="2" l="1"/>
  <c r="J57" i="2"/>
  <c r="J39" i="2"/>
  <c r="K22" i="2" s="1"/>
  <c r="K23" i="2" s="1"/>
  <c r="K24" i="2" l="1"/>
  <c r="K31" i="2" s="1"/>
  <c r="K25" i="2" l="1"/>
  <c r="K57" i="2" s="1"/>
  <c r="K26" i="2"/>
  <c r="K39" i="2"/>
  <c r="L22" i="2" l="1"/>
  <c r="L23" i="2" s="1"/>
  <c r="L24" i="2" l="1"/>
  <c r="L31" i="2" s="1"/>
  <c r="L25" i="2" l="1"/>
  <c r="L26" i="2"/>
  <c r="L39" i="2"/>
  <c r="M22" i="2" l="1"/>
  <c r="M23" i="2" s="1"/>
  <c r="M24" i="2" l="1"/>
  <c r="M31" i="2" s="1"/>
  <c r="M25" i="2" l="1"/>
  <c r="M26" i="2" l="1"/>
  <c r="M39" i="2"/>
  <c r="N22" i="2" l="1"/>
  <c r="N23" i="2" s="1"/>
  <c r="N24" i="2" l="1"/>
  <c r="N31" i="2" s="1"/>
  <c r="N25" i="2" l="1"/>
  <c r="N26" i="2"/>
  <c r="N39" i="2"/>
  <c r="O22" i="2" l="1"/>
  <c r="O23" i="2" s="1"/>
  <c r="O24" i="2" l="1"/>
  <c r="O31" i="2" s="1"/>
  <c r="O25" i="2" l="1"/>
  <c r="O26" i="2"/>
  <c r="O39" i="2"/>
  <c r="P22" i="2" l="1"/>
  <c r="P23" i="2" s="1"/>
  <c r="P24" i="2" l="1"/>
  <c r="P31" i="2" s="1"/>
  <c r="P25" i="2" l="1"/>
  <c r="P26" i="2" l="1"/>
  <c r="P39" i="2"/>
  <c r="Q22" i="2" l="1"/>
  <c r="Q23" i="2" s="1"/>
  <c r="Q24" i="2" l="1"/>
  <c r="Q31" i="2" s="1"/>
  <c r="Q25" i="2" l="1"/>
  <c r="Q26" i="2"/>
  <c r="Q39" i="2"/>
  <c r="R22" i="2" l="1"/>
  <c r="R23" i="2" s="1"/>
  <c r="R24" i="2" l="1"/>
  <c r="R31" i="2" s="1"/>
  <c r="R25" i="2"/>
  <c r="R26" i="2" l="1"/>
  <c r="R39" i="2"/>
  <c r="S22" i="2" l="1"/>
  <c r="S23" i="2" s="1"/>
  <c r="S24" i="2" l="1"/>
  <c r="S31" i="2" s="1"/>
  <c r="S25" i="2" l="1"/>
  <c r="S26" i="2" l="1"/>
  <c r="S39" i="2"/>
  <c r="T22" i="2" l="1"/>
  <c r="T23" i="2" s="1"/>
  <c r="T24" i="2" l="1"/>
  <c r="T31" i="2" s="1"/>
  <c r="T25" i="2" l="1"/>
  <c r="T26" i="2" s="1"/>
  <c r="T39" i="2"/>
  <c r="U22" i="2" l="1"/>
  <c r="U23" i="2" s="1"/>
  <c r="U24" i="2" l="1"/>
  <c r="U31" i="2" s="1"/>
  <c r="U25" i="2" l="1"/>
  <c r="U26" i="2" l="1"/>
  <c r="V25" i="2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AG25" i="2" s="1"/>
  <c r="AH25" i="2" s="1"/>
  <c r="AI25" i="2" s="1"/>
  <c r="AJ25" i="2" s="1"/>
  <c r="AK25" i="2" s="1"/>
  <c r="AL25" i="2" s="1"/>
  <c r="AM25" i="2" s="1"/>
  <c r="AN25" i="2" s="1"/>
  <c r="AO25" i="2" s="1"/>
  <c r="AP25" i="2" s="1"/>
  <c r="AQ25" i="2" s="1"/>
  <c r="AR25" i="2" s="1"/>
  <c r="AS25" i="2" s="1"/>
  <c r="AT25" i="2" s="1"/>
  <c r="AU25" i="2" s="1"/>
  <c r="AV25" i="2" s="1"/>
  <c r="AW25" i="2" s="1"/>
  <c r="AX25" i="2" s="1"/>
  <c r="AY25" i="2" s="1"/>
  <c r="AZ25" i="2" s="1"/>
  <c r="BA25" i="2" s="1"/>
  <c r="BB25" i="2" s="1"/>
  <c r="BC25" i="2" s="1"/>
  <c r="BD25" i="2" s="1"/>
  <c r="BE25" i="2" s="1"/>
  <c r="BF25" i="2" s="1"/>
  <c r="BG25" i="2" s="1"/>
  <c r="BH25" i="2" s="1"/>
  <c r="BI25" i="2" s="1"/>
  <c r="BJ25" i="2" s="1"/>
  <c r="BK25" i="2" s="1"/>
  <c r="BL25" i="2" s="1"/>
  <c r="BM25" i="2" s="1"/>
  <c r="BN25" i="2" s="1"/>
  <c r="BO25" i="2" s="1"/>
  <c r="BP25" i="2" s="1"/>
  <c r="BQ25" i="2" s="1"/>
  <c r="BR25" i="2" s="1"/>
  <c r="BS25" i="2" s="1"/>
  <c r="BT25" i="2" s="1"/>
  <c r="BU25" i="2" s="1"/>
  <c r="BV25" i="2" s="1"/>
  <c r="BW25" i="2" s="1"/>
  <c r="BX25" i="2" s="1"/>
  <c r="BY25" i="2" s="1"/>
  <c r="BZ25" i="2" s="1"/>
  <c r="CA25" i="2" s="1"/>
  <c r="CB25" i="2" s="1"/>
  <c r="CC25" i="2" s="1"/>
  <c r="CD25" i="2" s="1"/>
  <c r="CE25" i="2" s="1"/>
  <c r="CF25" i="2" s="1"/>
  <c r="CG25" i="2" s="1"/>
  <c r="CH25" i="2" s="1"/>
  <c r="CI25" i="2" s="1"/>
  <c r="CJ25" i="2" s="1"/>
  <c r="CK25" i="2" s="1"/>
  <c r="CL25" i="2" s="1"/>
  <c r="CM25" i="2" s="1"/>
  <c r="CN25" i="2" s="1"/>
  <c r="CO25" i="2" s="1"/>
  <c r="CP25" i="2" s="1"/>
  <c r="CQ25" i="2" s="1"/>
  <c r="CR25" i="2" s="1"/>
  <c r="CS25" i="2" s="1"/>
  <c r="CT25" i="2" s="1"/>
  <c r="CU25" i="2" s="1"/>
  <c r="CV25" i="2" s="1"/>
  <c r="CW25" i="2" s="1"/>
  <c r="CX25" i="2" s="1"/>
  <c r="CY25" i="2" s="1"/>
  <c r="CZ25" i="2" s="1"/>
  <c r="DA25" i="2" s="1"/>
  <c r="DB25" i="2" s="1"/>
  <c r="DC25" i="2" s="1"/>
  <c r="DD25" i="2" s="1"/>
  <c r="DE25" i="2" s="1"/>
  <c r="DF25" i="2" s="1"/>
  <c r="DG25" i="2" s="1"/>
  <c r="DH25" i="2" s="1"/>
  <c r="DI25" i="2" s="1"/>
  <c r="DJ25" i="2" s="1"/>
  <c r="DK25" i="2" s="1"/>
  <c r="DL25" i="2" s="1"/>
  <c r="DM25" i="2" s="1"/>
  <c r="DN25" i="2" s="1"/>
  <c r="DO25" i="2" s="1"/>
  <c r="DP25" i="2" s="1"/>
  <c r="DQ25" i="2" s="1"/>
  <c r="DR25" i="2" s="1"/>
  <c r="DS25" i="2" s="1"/>
  <c r="DT25" i="2" s="1"/>
  <c r="DU25" i="2" s="1"/>
  <c r="DV25" i="2" s="1"/>
  <c r="DW25" i="2" s="1"/>
  <c r="DX25" i="2" s="1"/>
  <c r="DY25" i="2" s="1"/>
  <c r="DZ25" i="2" s="1"/>
  <c r="EA25" i="2" s="1"/>
  <c r="EB25" i="2" s="1"/>
  <c r="EC25" i="2" s="1"/>
  <c r="ED25" i="2" s="1"/>
  <c r="EE25" i="2" s="1"/>
  <c r="EF25" i="2" s="1"/>
  <c r="EG25" i="2" s="1"/>
  <c r="EH25" i="2" s="1"/>
  <c r="EI25" i="2" s="1"/>
  <c r="EJ25" i="2" s="1"/>
  <c r="EK25" i="2" s="1"/>
  <c r="EL25" i="2" s="1"/>
  <c r="EM25" i="2" s="1"/>
  <c r="EN25" i="2" s="1"/>
  <c r="EO25" i="2" s="1"/>
  <c r="EP25" i="2" s="1"/>
  <c r="EQ25" i="2" s="1"/>
  <c r="ER25" i="2" s="1"/>
  <c r="ES25" i="2" s="1"/>
  <c r="ET25" i="2" s="1"/>
  <c r="EU25" i="2" s="1"/>
  <c r="EV25" i="2" s="1"/>
  <c r="EW25" i="2" s="1"/>
  <c r="EX25" i="2" s="1"/>
  <c r="EY25" i="2" s="1"/>
  <c r="EZ25" i="2" s="1"/>
  <c r="FA25" i="2" s="1"/>
  <c r="FB25" i="2" s="1"/>
  <c r="FC25" i="2" s="1"/>
  <c r="FD25" i="2" s="1"/>
  <c r="FE25" i="2" s="1"/>
  <c r="FF25" i="2" s="1"/>
  <c r="FG25" i="2" s="1"/>
  <c r="FH25" i="2" s="1"/>
  <c r="FI25" i="2" s="1"/>
  <c r="FJ25" i="2" s="1"/>
  <c r="FK25" i="2" s="1"/>
  <c r="FL25" i="2" s="1"/>
  <c r="FM25" i="2" s="1"/>
  <c r="FN25" i="2" s="1"/>
  <c r="FO25" i="2" s="1"/>
  <c r="FP25" i="2" s="1"/>
  <c r="FQ25" i="2" s="1"/>
  <c r="FR25" i="2" s="1"/>
  <c r="FS25" i="2" s="1"/>
  <c r="FT25" i="2" s="1"/>
  <c r="FU25" i="2" s="1"/>
  <c r="FV25" i="2" s="1"/>
  <c r="FW25" i="2" s="1"/>
  <c r="FX25" i="2" s="1"/>
  <c r="FY25" i="2" s="1"/>
  <c r="FZ25" i="2" s="1"/>
  <c r="GA25" i="2" s="1"/>
  <c r="GB25" i="2" s="1"/>
  <c r="GC25" i="2" s="1"/>
  <c r="GD25" i="2" s="1"/>
  <c r="GE25" i="2" s="1"/>
  <c r="GF25" i="2" s="1"/>
  <c r="GG25" i="2" s="1"/>
  <c r="GH25" i="2" s="1"/>
  <c r="GI25" i="2" s="1"/>
  <c r="GJ25" i="2" s="1"/>
  <c r="GK25" i="2" s="1"/>
  <c r="GL25" i="2" s="1"/>
  <c r="GM25" i="2" s="1"/>
  <c r="GN25" i="2" s="1"/>
  <c r="GO25" i="2" s="1"/>
  <c r="GP25" i="2" s="1"/>
  <c r="GQ25" i="2" s="1"/>
  <c r="GR25" i="2" s="1"/>
  <c r="F5" i="2" s="1"/>
  <c r="U39" i="2"/>
  <c r="F6" i="2" l="1"/>
  <c r="F7" i="2" s="1"/>
  <c r="G7" i="2" s="1"/>
</calcChain>
</file>

<file path=xl/sharedStrings.xml><?xml version="1.0" encoding="utf-8"?>
<sst xmlns="http://schemas.openxmlformats.org/spreadsheetml/2006/main" count="145" uniqueCount="102">
  <si>
    <t>Q117</t>
  </si>
  <si>
    <t>Q217</t>
  </si>
  <si>
    <t>Q317</t>
  </si>
  <si>
    <t>Q417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</si>
  <si>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</si>
  <si>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</si>
  <si>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</si>
  <si>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</si>
  <si>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</si>
  <si>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</si>
  <si>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</si>
  <si>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</si>
  <si>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</si>
  <si>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</si>
  <si>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</si>
  <si>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</si>
  <si>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</si>
  <si>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</si>
  <si>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</si>
  <si>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</si>
  <si>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</si>
  <si>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</si>
  <si>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Q116</t>
  </si>
  <si>
    <t>Q216</t>
  </si>
  <si>
    <t>Q316</t>
  </si>
  <si>
    <t>Q416</t>
  </si>
  <si>
    <t>Net Cash</t>
  </si>
  <si>
    <t>Cash</t>
  </si>
  <si>
    <t>Debt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</si>
  <si>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</si>
  <si>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</si>
  <si>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</si>
  <si>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</si>
  <si>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</si>
  <si>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</si>
  <si>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</si>
  <si>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</si>
  <si>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</si>
  <si>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Q115</t>
  </si>
  <si>
    <t>Q215</t>
  </si>
  <si>
    <t>Q315</t>
  </si>
  <si>
    <t>Q415</t>
  </si>
  <si>
    <t>R&amp;D y/y</t>
  </si>
  <si>
    <t>S&amp;M y/y</t>
  </si>
  <si>
    <t>G&amp;A y/y</t>
  </si>
  <si>
    <t>EDGAR</t>
  </si>
  <si>
    <t>CEO</t>
  </si>
  <si>
    <t>Founder</t>
  </si>
  <si>
    <t>Price</t>
  </si>
  <si>
    <t>Market Cap</t>
  </si>
  <si>
    <t>EV</t>
  </si>
  <si>
    <t>per share</t>
  </si>
  <si>
    <t>Q119</t>
  </si>
  <si>
    <t>Q219</t>
  </si>
  <si>
    <t>Q319</t>
  </si>
  <si>
    <t>Q419</t>
  </si>
  <si>
    <t>Intangibles</t>
  </si>
  <si>
    <t>Total assets</t>
  </si>
  <si>
    <t>Total liabilities</t>
  </si>
  <si>
    <t>TWC</t>
  </si>
  <si>
    <t>Equity</t>
  </si>
  <si>
    <t>NI 12M</t>
  </si>
  <si>
    <t>ROE</t>
  </si>
  <si>
    <t>ROA</t>
  </si>
  <si>
    <t>ROTB</t>
  </si>
  <si>
    <t>ROTWC</t>
  </si>
  <si>
    <t>Investor Relations</t>
  </si>
  <si>
    <t>Expected return on invested capital (innovation grade)</t>
  </si>
  <si>
    <t>Subscription</t>
  </si>
  <si>
    <t>Subscription y/y</t>
  </si>
  <si>
    <t>Product y/y</t>
  </si>
  <si>
    <t>Servcies and support y/y</t>
  </si>
  <si>
    <t>Operating Expenses y/y</t>
  </si>
  <si>
    <t>Q120</t>
  </si>
  <si>
    <t>Q420</t>
  </si>
  <si>
    <t>Trademarks</t>
  </si>
  <si>
    <t>Adobe</t>
  </si>
  <si>
    <t>Acrobat</t>
  </si>
  <si>
    <t>Allegorithmic</t>
  </si>
  <si>
    <t>Behance</t>
  </si>
  <si>
    <t>Creative Cloud</t>
  </si>
  <si>
    <t>Magento</t>
  </si>
  <si>
    <t>Marketo</t>
  </si>
  <si>
    <t>Reader</t>
  </si>
  <si>
    <t>BADWILL</t>
  </si>
  <si>
    <t>Intangibles per share</t>
  </si>
  <si>
    <t>Risk-free rate + market premium (opportunity cost)</t>
  </si>
  <si>
    <t>http://www.worldgovernmentbonds.com/country/united-states/</t>
  </si>
  <si>
    <t>Net present value on future net income (terminal value)</t>
  </si>
  <si>
    <t>RORC</t>
  </si>
  <si>
    <t>PRR</t>
  </si>
  <si>
    <t>Return on research capital</t>
  </si>
  <si>
    <t>Price to R&amp;D ratio</t>
  </si>
  <si>
    <t>Q220</t>
  </si>
  <si>
    <t>Q320</t>
  </si>
  <si>
    <t>C3.ai Inc (AI)</t>
  </si>
  <si>
    <t>Tom Siebel</t>
  </si>
  <si>
    <t>Services</t>
  </si>
  <si>
    <t>Q121</t>
  </si>
  <si>
    <t>Q221</t>
  </si>
  <si>
    <t>Q321</t>
  </si>
  <si>
    <t>Q421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</si>
</sst>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8">
    <xf numFmtId="0" fontId="0" fillId="0" borderId="0" xfId="0"/>
    <xf numFmtId="0" fontId="5" fillId="0" borderId="0" xfId="0" applyFont="1"/>
    <xf numFmtId="0" fontId="6" fillId="0" borderId="0" xfId="0" applyFont="1"/>
    <xf numFmtId="4" fontId="6" fillId="0" borderId="0" xfId="0" applyNumberFormat="1" applyFont="1" applyBorder="1"/>
    <xf numFmtId="0" fontId="7" fillId="0" borderId="0" xfId="0" applyFont="1"/>
    <xf numFmtId="0" fontId="6" fillId="0" borderId="0" xfId="0" applyFont="1" applyBorder="1"/>
    <xf numFmtId="10" fontId="6" fillId="0" borderId="0" xfId="0" applyNumberFormat="1" applyFont="1"/>
    <xf numFmtId="3" fontId="6" fillId="0" borderId="0" xfId="0" applyNumberFormat="1" applyFont="1" applyBorder="1"/>
    <xf numFmtId="0" fontId="4" fillId="0" borderId="0" xfId="4" applyFont="1"/>
    <xf numFmtId="3" fontId="6" fillId="2" borderId="0" xfId="0" applyNumberFormat="1" applyFont="1" applyFill="1" applyBorder="1"/>
    <xf numFmtId="164" fontId="6" fillId="2" borderId="0" xfId="0" applyNumberFormat="1" applyFont="1" applyFill="1"/>
    <xf numFmtId="0" fontId="5" fillId="0" borderId="0" xfId="0" applyFont="1" applyBorder="1"/>
    <xf numFmtId="164" fontId="5" fillId="2" borderId="0" xfId="0" applyNumberFormat="1" applyFont="1" applyFill="1"/>
    <xf numFmtId="0" fontId="7" fillId="0" borderId="0" xfId="0" applyFont="1" applyBorder="1"/>
    <xf numFmtId="164" fontId="6" fillId="0" borderId="0" xfId="0" applyNumberFormat="1" applyFont="1"/>
    <xf numFmtId="3" fontId="6" fillId="0" borderId="0" xfId="0" applyNumberFormat="1" applyFont="1"/>
    <xf numFmtId="3" fontId="5" fillId="0" borderId="0" xfId="0" applyNumberFormat="1" applyFont="1" applyBorder="1"/>
    <xf numFmtId="0" fontId="6" fillId="0" borderId="0" xfId="0" applyFont="1" applyFill="1" applyBorder="1"/>
    <xf numFmtId="9" fontId="6" fillId="0" borderId="0" xfId="0" applyNumberFormat="1" applyFont="1"/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3" fontId="5" fillId="2" borderId="0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2" fontId="6" fillId="2" borderId="0" xfId="0" applyNumberFormat="1" applyFont="1" applyFill="1" applyBorder="1" applyAlignment="1">
      <alignment horizontal="right"/>
    </xf>
    <xf numFmtId="9" fontId="5" fillId="0" borderId="0" xfId="1" applyNumberFormat="1" applyFont="1" applyBorder="1" applyAlignment="1">
      <alignment horizontal="right"/>
    </xf>
    <xf numFmtId="9" fontId="5" fillId="0" borderId="1" xfId="1" applyNumberFormat="1" applyFont="1" applyBorder="1" applyAlignment="1">
      <alignment horizontal="right"/>
    </xf>
    <xf numFmtId="9" fontId="6" fillId="0" borderId="0" xfId="1" applyNumberFormat="1" applyFont="1" applyBorder="1" applyAlignment="1">
      <alignment horizontal="right"/>
    </xf>
    <xf numFmtId="9" fontId="6" fillId="0" borderId="1" xfId="1" applyNumberFormat="1" applyFont="1" applyBorder="1" applyAlignment="1">
      <alignment horizontal="right"/>
    </xf>
    <xf numFmtId="9" fontId="6" fillId="0" borderId="0" xfId="0" applyNumberFormat="1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9" fontId="6" fillId="0" borderId="0" xfId="1" applyFont="1" applyBorder="1" applyAlignment="1">
      <alignment horizontal="right"/>
    </xf>
    <xf numFmtId="9" fontId="6" fillId="0" borderId="1" xfId="1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4" fontId="6" fillId="2" borderId="0" xfId="0" applyNumberFormat="1" applyFont="1" applyFill="1"/>
    <xf numFmtId="4" fontId="6" fillId="2" borderId="0" xfId="0" applyNumberFormat="1" applyFont="1" applyFill="1" applyBorder="1"/>
    <xf numFmtId="9" fontId="7" fillId="0" borderId="0" xfId="0" applyNumberFormat="1" applyFont="1" applyBorder="1" applyAlignment="1">
      <alignment horizontal="right"/>
    </xf>
    <xf numFmtId="9" fontId="7" fillId="0" borderId="1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9" fontId="5" fillId="0" borderId="0" xfId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Alignment="1">
      <alignment horizontal="right"/>
    </xf>
    <xf numFmtId="165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6" fillId="2" borderId="0" xfId="0" applyNumberFormat="1" applyFont="1" applyFill="1" applyAlignment="1">
      <alignment horizontal="right"/>
    </xf>
    <xf numFmtId="9" fontId="6" fillId="0" borderId="0" xfId="0" applyNumberFormat="1" applyFont="1" applyAlignment="1">
      <alignment horizontal="right"/>
    </xf>
    <xf numFmtId="0" fontId="7" fillId="0" borderId="1" xfId="0" applyFont="1" applyBorder="1" applyAlignment="1">
      <alignment horizontal="right"/>
    </xf>
    <xf numFmtId="3" fontId="7" fillId="0" borderId="0" xfId="0" applyNumberFormat="1" applyFont="1" applyAlignment="1">
      <alignment horizontal="left"/>
    </xf>
    <xf numFmtId="9" fontId="6" fillId="2" borderId="0" xfId="0" applyNumberFormat="1" applyFont="1" applyFill="1" applyAlignment="1">
      <alignment horizontal="right"/>
    </xf>
    <xf numFmtId="14" fontId="6" fillId="0" borderId="0" xfId="0" applyNumberFormat="1" applyFont="1" applyBorder="1" applyAlignment="1">
      <alignment horizontal="right"/>
    </xf>
    <xf numFmtId="14" fontId="6" fillId="0" borderId="1" xfId="0" applyNumberFormat="1" applyFont="1" applyBorder="1" applyAlignment="1">
      <alignment horizontal="right"/>
    </xf>
    <xf numFmtId="4" fontId="6" fillId="2" borderId="0" xfId="0" applyNumberFormat="1" applyFont="1" applyFill="1" applyBorder="1" applyAlignment="1">
      <alignment horizontal="right"/>
    </xf>
    <xf numFmtId="4" fontId="6" fillId="2" borderId="1" xfId="0" applyNumberFormat="1" applyFont="1" applyFill="1" applyBorder="1" applyAlignment="1">
      <alignment horizontal="righ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4" applyBorder="1"/>
    <xf numFmtId="0" fontId="4" fillId="0" borderId="0" xfId="4"/>
    <xf numFmtId="0" fontId="4" fillId="0" borderId="0" xfId="4" applyBorder="1" applyAlignment="1">
      <alignment horizontal="left"/>
    </xf>
    <xf numFmtId="0" fontId="4" fillId="0" borderId="0" xfId="4" applyFont="1" applyBorder="1" applyAlignment="1">
      <alignment horizontal="left"/>
    </xf>
    <xf numFmtId="3" fontId="6" fillId="0" borderId="0" xfId="0" applyNumberFormat="1" applyFont="1" applyBorder="1" applyAlignment="1">
      <alignment horizontal="left"/>
    </xf>
    <xf numFmtId="3" fontId="5" fillId="0" borderId="0" xfId="0" applyNumberFormat="1" applyFont="1" applyBorder="1" applyAlignment="1">
      <alignment horizontal="left"/>
    </xf>
    <xf numFmtId="4" fontId="6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3" fontId="6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</cellXfs>
  <cellStyles count="5">
    <cellStyle name="Followed Hyperlink" xfId="3" builtinId="9" hidden="1"/>
    <cellStyle name="Hyperlink" xfId="2" builtinId="8" hidden="1"/>
    <cellStyle name="Hyperlink" xfId="4" builtinId="8" customBuiltin="1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7</xdr:row>
      <xdr:rowOff>152400</xdr:rowOff>
    </xdr:from>
    <xdr:to>
      <xdr:col>6</xdr:col>
      <xdr:colOff>165100</xdr:colOff>
      <xdr:row>63</xdr:row>
      <xdr:rowOff>12700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5765800" y="1308100"/>
          <a:ext cx="0" cy="92710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154940</xdr:colOff>
      <xdr:row>0</xdr:row>
      <xdr:rowOff>152400</xdr:rowOff>
    </xdr:from>
    <xdr:to>
      <xdr:col>27</xdr:col>
      <xdr:colOff>154940</xdr:colOff>
      <xdr:row>51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23106380" y="152400"/>
          <a:ext cx="0" cy="813816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tomsiebel" TargetMode="External"/><Relationship Id="rId2" Type="http://schemas.openxmlformats.org/officeDocument/2006/relationships/hyperlink" Target="http://www.worldgovernmentbonds.com/country/united-states/" TargetMode="External"/><Relationship Id="rId1" Type="http://schemas.openxmlformats.org/officeDocument/2006/relationships/hyperlink" Target="https://ir.c3.ai/overview/default.aspx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twitter.com/tomsiebe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CIK=1577526&amp;owner=exclu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62"/>
  <sheetViews>
    <sheetView zoomScale="130" zoomScaleNormal="130" workbookViewId="0">
      <pane xSplit="1" ySplit="9" topLeftCell="B10" activePane="bottomRight" state="frozen"/>
      <selection pane="topRight" activeCell="B1" sqref="B1"/>
      <selection pane="bottomLeft" activeCell="A11" sqref="A11"/>
      <selection pane="bottomRight" activeCell="C18" sqref="C18"/>
    </sheetView>
  </sheetViews>
  <sheetFormatPr baseColWidth="10" defaultRowHeight="13" x14ac:dyDescent="0.15"/>
  <cols>
    <col min="1" max="1" width="20.33203125" style="2" bestFit="1" customWidth="1"/>
    <col min="2" max="16384" width="10.83203125" style="2"/>
  </cols>
  <sheetData>
    <row r="1" spans="1:117" x14ac:dyDescent="0.15">
      <c r="A1" s="65" t="s">
        <v>66</v>
      </c>
      <c r="B1" s="1" t="s">
        <v>95</v>
      </c>
    </row>
    <row r="2" spans="1:117" x14ac:dyDescent="0.15">
      <c r="B2" s="2" t="s">
        <v>48</v>
      </c>
      <c r="C2" s="3"/>
      <c r="D2" s="63">
        <v>44151</v>
      </c>
      <c r="E2" s="5" t="s">
        <v>29</v>
      </c>
      <c r="F2" s="6">
        <v>-0.01</v>
      </c>
      <c r="I2" s="15"/>
      <c r="L2" s="1"/>
    </row>
    <row r="3" spans="1:117" x14ac:dyDescent="0.15">
      <c r="A3" s="1" t="s">
        <v>46</v>
      </c>
      <c r="B3" s="2" t="s">
        <v>17</v>
      </c>
      <c r="C3" s="7"/>
      <c r="D3" s="64" t="s">
        <v>94</v>
      </c>
      <c r="E3" s="5" t="s">
        <v>30</v>
      </c>
      <c r="F3" s="6">
        <v>0.02</v>
      </c>
      <c r="G3" s="4" t="s">
        <v>67</v>
      </c>
      <c r="I3" s="15"/>
    </row>
    <row r="4" spans="1:117" x14ac:dyDescent="0.15">
      <c r="A4" s="66" t="s">
        <v>96</v>
      </c>
      <c r="B4" s="2" t="s">
        <v>49</v>
      </c>
      <c r="C4" s="9">
        <f>C2*C3</f>
        <v>0</v>
      </c>
      <c r="D4" s="64"/>
      <c r="E4" s="5" t="s">
        <v>31</v>
      </c>
      <c r="F4" s="6">
        <f>5%</f>
        <v>0.05</v>
      </c>
      <c r="G4" s="4" t="s">
        <v>86</v>
      </c>
      <c r="I4" s="18"/>
      <c r="L4" s="8" t="s">
        <v>87</v>
      </c>
    </row>
    <row r="5" spans="1:117" x14ac:dyDescent="0.15">
      <c r="B5" s="2" t="s">
        <v>26</v>
      </c>
      <c r="C5" s="7"/>
      <c r="D5" s="64" t="s">
        <v>94</v>
      </c>
      <c r="E5" s="5" t="s">
        <v>32</v>
      </c>
      <c r="F5" s="10">
        <f>NPV(F4,G25:GR25)</f>
        <v>-322071.16345334268</v>
      </c>
      <c r="G5" s="4" t="s">
        <v>88</v>
      </c>
      <c r="I5" s="18"/>
    </row>
    <row r="6" spans="1:117" x14ac:dyDescent="0.15">
      <c r="A6" s="1" t="s">
        <v>47</v>
      </c>
      <c r="B6" s="2" t="s">
        <v>50</v>
      </c>
      <c r="C6" s="9">
        <f>C4-C5</f>
        <v>0</v>
      </c>
      <c r="D6" s="64"/>
      <c r="E6" s="11" t="s">
        <v>33</v>
      </c>
      <c r="F6" s="12">
        <f>F5+C5</f>
        <v>-322071.16345334268</v>
      </c>
      <c r="I6" s="18"/>
    </row>
    <row r="7" spans="1:117" x14ac:dyDescent="0.15">
      <c r="A7" s="66" t="s">
        <v>96</v>
      </c>
      <c r="B7" s="4" t="s">
        <v>51</v>
      </c>
      <c r="C7" s="43" t="e">
        <f>C6/C3</f>
        <v>#DIV/0!</v>
      </c>
      <c r="D7" s="64"/>
      <c r="E7" s="13" t="s">
        <v>51</v>
      </c>
      <c r="F7" s="42" t="e">
        <f>F6/C3</f>
        <v>#DIV/0!</v>
      </c>
      <c r="G7" s="18" t="e">
        <f>F7/C2-1</f>
        <v>#DIV/0!</v>
      </c>
    </row>
    <row r="8" spans="1:117" x14ac:dyDescent="0.15">
      <c r="A8" s="8"/>
      <c r="E8" s="5"/>
      <c r="F8" s="14"/>
    </row>
    <row r="9" spans="1:117" x14ac:dyDescent="0.15">
      <c r="B9" s="38">
        <v>2015</v>
      </c>
      <c r="C9" s="38">
        <v>2016</v>
      </c>
      <c r="D9" s="38">
        <v>2017</v>
      </c>
      <c r="E9" s="38">
        <f>D9+1</f>
        <v>2018</v>
      </c>
      <c r="F9" s="38">
        <f t="shared" ref="F9:U9" si="0">E9+1</f>
        <v>2019</v>
      </c>
      <c r="G9" s="38">
        <f t="shared" si="0"/>
        <v>2020</v>
      </c>
      <c r="H9" s="38">
        <f t="shared" si="0"/>
        <v>2021</v>
      </c>
      <c r="I9" s="38">
        <f t="shared" si="0"/>
        <v>2022</v>
      </c>
      <c r="J9" s="38">
        <f t="shared" si="0"/>
        <v>2023</v>
      </c>
      <c r="K9" s="38">
        <f t="shared" si="0"/>
        <v>2024</v>
      </c>
      <c r="L9" s="38">
        <f t="shared" si="0"/>
        <v>2025</v>
      </c>
      <c r="M9" s="38">
        <f t="shared" si="0"/>
        <v>2026</v>
      </c>
      <c r="N9" s="38">
        <f t="shared" si="0"/>
        <v>2027</v>
      </c>
      <c r="O9" s="38">
        <f t="shared" si="0"/>
        <v>2028</v>
      </c>
      <c r="P9" s="38">
        <f t="shared" si="0"/>
        <v>2029</v>
      </c>
      <c r="Q9" s="38">
        <f t="shared" si="0"/>
        <v>2030</v>
      </c>
      <c r="R9" s="38">
        <f t="shared" si="0"/>
        <v>2031</v>
      </c>
      <c r="S9" s="38">
        <f t="shared" si="0"/>
        <v>2032</v>
      </c>
      <c r="T9" s="38">
        <f t="shared" si="0"/>
        <v>2033</v>
      </c>
      <c r="U9" s="38">
        <f t="shared" si="0"/>
        <v>2034</v>
      </c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</row>
    <row r="10" spans="1:117" x14ac:dyDescent="0.15">
      <c r="A10" s="7"/>
      <c r="B10" s="22"/>
      <c r="C10" s="22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</row>
    <row r="11" spans="1:117" x14ac:dyDescent="0.15">
      <c r="A11" s="7"/>
      <c r="B11" s="22"/>
      <c r="C11" s="22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</row>
    <row r="12" spans="1:117" x14ac:dyDescent="0.15">
      <c r="A12" s="7"/>
      <c r="B12" s="22"/>
      <c r="C12" s="22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</row>
    <row r="13" spans="1:117" s="38" customFormat="1" x14ac:dyDescent="0.15">
      <c r="F13" s="37">
        <v>11150</v>
      </c>
      <c r="G13" s="37"/>
      <c r="H13" s="37"/>
      <c r="I13" s="37"/>
    </row>
    <row r="14" spans="1:117" x14ac:dyDescent="0.15">
      <c r="A14" s="1" t="s">
        <v>4</v>
      </c>
      <c r="B14" s="23">
        <f t="shared" ref="B14:K14" si="1">SUM(B10:B12)</f>
        <v>0</v>
      </c>
      <c r="C14" s="23">
        <f t="shared" si="1"/>
        <v>0</v>
      </c>
      <c r="D14" s="23">
        <f t="shared" si="1"/>
        <v>0</v>
      </c>
      <c r="E14" s="23">
        <f t="shared" si="1"/>
        <v>0</v>
      </c>
      <c r="F14" s="23">
        <f t="shared" si="1"/>
        <v>0</v>
      </c>
      <c r="G14" s="46">
        <f t="shared" si="1"/>
        <v>0</v>
      </c>
      <c r="H14" s="46">
        <f t="shared" si="1"/>
        <v>0</v>
      </c>
      <c r="I14" s="46">
        <f t="shared" si="1"/>
        <v>0</v>
      </c>
      <c r="J14" s="46">
        <f t="shared" si="1"/>
        <v>0</v>
      </c>
      <c r="K14" s="46">
        <f t="shared" si="1"/>
        <v>0</v>
      </c>
      <c r="L14" s="46">
        <f>K14*1.1</f>
        <v>0</v>
      </c>
      <c r="M14" s="46">
        <f t="shared" ref="M14:P14" si="2">L14*1.1</f>
        <v>0</v>
      </c>
      <c r="N14" s="46">
        <f t="shared" si="2"/>
        <v>0</v>
      </c>
      <c r="O14" s="46">
        <f t="shared" si="2"/>
        <v>0</v>
      </c>
      <c r="P14" s="46">
        <f t="shared" si="2"/>
        <v>0</v>
      </c>
      <c r="Q14" s="46">
        <f t="shared" ref="Q14:U14" si="3">P14*1.05</f>
        <v>0</v>
      </c>
      <c r="R14" s="46">
        <f t="shared" si="3"/>
        <v>0</v>
      </c>
      <c r="S14" s="46">
        <f t="shared" si="3"/>
        <v>0</v>
      </c>
      <c r="T14" s="46">
        <f t="shared" si="3"/>
        <v>0</v>
      </c>
      <c r="U14" s="46">
        <f t="shared" si="3"/>
        <v>0</v>
      </c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</row>
    <row r="15" spans="1:117" x14ac:dyDescent="0.15">
      <c r="A15" s="2" t="s">
        <v>5</v>
      </c>
      <c r="B15" s="22">
        <f>SUM(Reports!B7:E7)</f>
        <v>744.31700000000001</v>
      </c>
      <c r="C15" s="22">
        <f>SUM(Reports!F7:I7)</f>
        <v>819.90800000000002</v>
      </c>
      <c r="D15" s="37">
        <f>SUM(Reports!J7:M7)</f>
        <v>1010.491</v>
      </c>
      <c r="E15" s="37">
        <f>SUM(Reports!N7:Q7)</f>
        <v>1194.999</v>
      </c>
      <c r="F15" s="37">
        <f>SUM(Reports!R7:U7)</f>
        <v>1672.72</v>
      </c>
      <c r="G15" s="22">
        <f>G14-G16</f>
        <v>0</v>
      </c>
      <c r="H15" s="22">
        <f t="shared" ref="H15" si="4">H14-H16</f>
        <v>0</v>
      </c>
      <c r="I15" s="22">
        <f t="shared" ref="I15:P15" si="5">I14-I16</f>
        <v>0</v>
      </c>
      <c r="J15" s="22">
        <f t="shared" si="5"/>
        <v>0</v>
      </c>
      <c r="K15" s="22">
        <f>K14-K16</f>
        <v>0</v>
      </c>
      <c r="L15" s="22">
        <f t="shared" si="5"/>
        <v>0</v>
      </c>
      <c r="M15" s="22">
        <f t="shared" si="5"/>
        <v>0</v>
      </c>
      <c r="N15" s="22">
        <f t="shared" si="5"/>
        <v>0</v>
      </c>
      <c r="O15" s="22">
        <f t="shared" si="5"/>
        <v>0</v>
      </c>
      <c r="P15" s="22">
        <f t="shared" si="5"/>
        <v>0</v>
      </c>
      <c r="Q15" s="22">
        <f t="shared" ref="Q15:U15" si="6">Q14-Q16</f>
        <v>0</v>
      </c>
      <c r="R15" s="22">
        <f t="shared" si="6"/>
        <v>0</v>
      </c>
      <c r="S15" s="22">
        <f t="shared" si="6"/>
        <v>0</v>
      </c>
      <c r="T15" s="22">
        <f t="shared" si="6"/>
        <v>0</v>
      </c>
      <c r="U15" s="22">
        <f t="shared" si="6"/>
        <v>0</v>
      </c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</row>
    <row r="16" spans="1:117" x14ac:dyDescent="0.15">
      <c r="A16" s="2" t="s">
        <v>6</v>
      </c>
      <c r="B16" s="26">
        <f>B14-B15</f>
        <v>-744.31700000000001</v>
      </c>
      <c r="C16" s="26">
        <f>C14-C15</f>
        <v>-819.90800000000002</v>
      </c>
      <c r="D16" s="26">
        <f>D14-D15</f>
        <v>-1010.491</v>
      </c>
      <c r="E16" s="26">
        <f>E14-E15</f>
        <v>-1194.999</v>
      </c>
      <c r="F16" s="26">
        <f>F14-F15</f>
        <v>-1672.72</v>
      </c>
      <c r="G16" s="22">
        <f>G14*F29</f>
        <v>0</v>
      </c>
      <c r="H16" s="22">
        <f t="shared" ref="H16:U16" si="7">H14*G29</f>
        <v>0</v>
      </c>
      <c r="I16" s="22">
        <f t="shared" si="7"/>
        <v>0</v>
      </c>
      <c r="J16" s="22">
        <f t="shared" si="7"/>
        <v>0</v>
      </c>
      <c r="K16" s="22">
        <f>K14*J29</f>
        <v>0</v>
      </c>
      <c r="L16" s="22">
        <f t="shared" si="7"/>
        <v>0</v>
      </c>
      <c r="M16" s="22">
        <f t="shared" si="7"/>
        <v>0</v>
      </c>
      <c r="N16" s="22">
        <f t="shared" si="7"/>
        <v>0</v>
      </c>
      <c r="O16" s="22">
        <f t="shared" si="7"/>
        <v>0</v>
      </c>
      <c r="P16" s="22">
        <f t="shared" si="7"/>
        <v>0</v>
      </c>
      <c r="Q16" s="22">
        <f t="shared" si="7"/>
        <v>0</v>
      </c>
      <c r="R16" s="22">
        <f t="shared" si="7"/>
        <v>0</v>
      </c>
      <c r="S16" s="22">
        <f t="shared" si="7"/>
        <v>0</v>
      </c>
      <c r="T16" s="22">
        <f t="shared" si="7"/>
        <v>0</v>
      </c>
      <c r="U16" s="22">
        <f t="shared" si="7"/>
        <v>0</v>
      </c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</row>
    <row r="17" spans="1:200" x14ac:dyDescent="0.15">
      <c r="A17" s="2" t="s">
        <v>7</v>
      </c>
      <c r="B17" s="22">
        <f>SUM(Reports!B9:E9)</f>
        <v>862.73</v>
      </c>
      <c r="C17" s="22">
        <f>SUM(Reports!F9:I9)</f>
        <v>975.98699999999985</v>
      </c>
      <c r="D17" s="37">
        <f>SUM(Reports!J9:M9)</f>
        <v>1224.0590000000002</v>
      </c>
      <c r="E17" s="37">
        <f>SUM(Reports!N9:Q9)</f>
        <v>1537.8119999999999</v>
      </c>
      <c r="F17" s="37">
        <f>SUM(Reports!R9:U9)</f>
        <v>1930.2280000000001</v>
      </c>
      <c r="G17" s="22">
        <f>F17*1.15</f>
        <v>2219.7622000000001</v>
      </c>
      <c r="H17" s="22">
        <f t="shared" ref="H17:K17" si="8">G17*1.15</f>
        <v>2552.7265299999999</v>
      </c>
      <c r="I17" s="22">
        <f t="shared" si="8"/>
        <v>2935.6355094999999</v>
      </c>
      <c r="J17" s="22">
        <f t="shared" si="8"/>
        <v>3375.9808359249996</v>
      </c>
      <c r="K17" s="22">
        <f t="shared" si="8"/>
        <v>3882.3779613137494</v>
      </c>
      <c r="L17" s="22">
        <f>K17*1.1</f>
        <v>4270.6157574451245</v>
      </c>
      <c r="M17" s="22">
        <f t="shared" ref="M17:P17" si="9">L17*1.1</f>
        <v>4697.6773331896375</v>
      </c>
      <c r="N17" s="22">
        <f t="shared" si="9"/>
        <v>5167.4450665086015</v>
      </c>
      <c r="O17" s="22">
        <f t="shared" si="9"/>
        <v>5684.1895731594623</v>
      </c>
      <c r="P17" s="22">
        <f t="shared" si="9"/>
        <v>6252.6085304754088</v>
      </c>
      <c r="Q17" s="22">
        <f t="shared" ref="Q17:U17" si="10">P17*1.08</f>
        <v>6752.8172129134418</v>
      </c>
      <c r="R17" s="22">
        <f t="shared" si="10"/>
        <v>7293.0425899465181</v>
      </c>
      <c r="S17" s="22">
        <f t="shared" si="10"/>
        <v>7876.4859971422402</v>
      </c>
      <c r="T17" s="22">
        <f t="shared" si="10"/>
        <v>8506.6048769136196</v>
      </c>
      <c r="U17" s="22">
        <f t="shared" si="10"/>
        <v>9187.1332670667089</v>
      </c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</row>
    <row r="18" spans="1:200" x14ac:dyDescent="0.15">
      <c r="A18" s="2" t="s">
        <v>8</v>
      </c>
      <c r="B18" s="22">
        <f>SUM(Reports!B10:E10)</f>
        <v>1683.242</v>
      </c>
      <c r="C18" s="22">
        <f>SUM(Reports!F10:I10)</f>
        <v>1910.1970000000001</v>
      </c>
      <c r="D18" s="37">
        <f>SUM(Reports!J10:M10)</f>
        <v>2197.5919999999996</v>
      </c>
      <c r="E18" s="37">
        <f>SUM(Reports!N10:Q10)</f>
        <v>2620.8289999999997</v>
      </c>
      <c r="F18" s="37">
        <f>SUM(Reports!R10:U10)</f>
        <v>3244.3469999999998</v>
      </c>
      <c r="G18" s="22">
        <f>F18*1.18</f>
        <v>3828.3294599999995</v>
      </c>
      <c r="H18" s="22">
        <f t="shared" ref="H18:K18" si="11">G18*1.18</f>
        <v>4517.4287627999993</v>
      </c>
      <c r="I18" s="22">
        <f t="shared" si="11"/>
        <v>5330.5659401039993</v>
      </c>
      <c r="J18" s="22">
        <f t="shared" si="11"/>
        <v>6290.0678093227189</v>
      </c>
      <c r="K18" s="22">
        <f t="shared" si="11"/>
        <v>7422.2800150008079</v>
      </c>
      <c r="L18" s="22">
        <f>K18*1.05</f>
        <v>7793.3940157508487</v>
      </c>
      <c r="M18" s="22">
        <f t="shared" ref="M18:P18" si="12">L18*1.05</f>
        <v>8183.0637165383914</v>
      </c>
      <c r="N18" s="22">
        <f t="shared" si="12"/>
        <v>8592.2169023653114</v>
      </c>
      <c r="O18" s="22">
        <f t="shared" si="12"/>
        <v>9021.8277474835777</v>
      </c>
      <c r="P18" s="22">
        <f t="shared" si="12"/>
        <v>9472.9191348577569</v>
      </c>
      <c r="Q18" s="22">
        <f t="shared" ref="Q18:U18" si="13">P18*0.98</f>
        <v>9283.4607521606013</v>
      </c>
      <c r="R18" s="22">
        <f t="shared" si="13"/>
        <v>9097.7915371173895</v>
      </c>
      <c r="S18" s="22">
        <f t="shared" si="13"/>
        <v>8915.8357063750409</v>
      </c>
      <c r="T18" s="22">
        <f t="shared" si="13"/>
        <v>8737.5189922475402</v>
      </c>
      <c r="U18" s="22">
        <f t="shared" si="13"/>
        <v>8562.7686124025895</v>
      </c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</row>
    <row r="19" spans="1:200" x14ac:dyDescent="0.15">
      <c r="A19" s="2" t="s">
        <v>9</v>
      </c>
      <c r="B19" s="22">
        <f>SUM(Reports!B11:E11)</f>
        <v>602.12699999999995</v>
      </c>
      <c r="C19" s="22">
        <f>SUM(Reports!F11:I11)</f>
        <v>654.7360000000001</v>
      </c>
      <c r="D19" s="37">
        <f>SUM(Reports!J11:M11)</f>
        <v>701.26799999999992</v>
      </c>
      <c r="E19" s="37">
        <f>SUM(Reports!N11:Q11)</f>
        <v>835.99900000000002</v>
      </c>
      <c r="F19" s="37">
        <f>SUM(Reports!R11:U11)</f>
        <v>1055.8810000000001</v>
      </c>
      <c r="G19" s="22">
        <f>F19*1.15</f>
        <v>1214.26315</v>
      </c>
      <c r="H19" s="22">
        <f t="shared" ref="H19:K19" si="14">G19*1.15</f>
        <v>1396.4026224999998</v>
      </c>
      <c r="I19" s="22">
        <f t="shared" si="14"/>
        <v>1605.8630158749995</v>
      </c>
      <c r="J19" s="22">
        <f t="shared" si="14"/>
        <v>1846.7424682562494</v>
      </c>
      <c r="K19" s="22">
        <f t="shared" si="14"/>
        <v>2123.7538384946865</v>
      </c>
      <c r="L19" s="22">
        <f>K19*1.05</f>
        <v>2229.9415304194208</v>
      </c>
      <c r="M19" s="22">
        <f t="shared" ref="M19:P19" si="15">L19*1.05</f>
        <v>2341.4386069403918</v>
      </c>
      <c r="N19" s="22">
        <f t="shared" si="15"/>
        <v>2458.5105372874114</v>
      </c>
      <c r="O19" s="22">
        <f t="shared" si="15"/>
        <v>2581.4360641517819</v>
      </c>
      <c r="P19" s="22">
        <f t="shared" si="15"/>
        <v>2710.5078673593712</v>
      </c>
      <c r="Q19" s="22">
        <f t="shared" ref="Q19:U19" si="16">P19*0.98</f>
        <v>2656.2977100121839</v>
      </c>
      <c r="R19" s="22">
        <f t="shared" si="16"/>
        <v>2603.1717558119403</v>
      </c>
      <c r="S19" s="22">
        <f t="shared" si="16"/>
        <v>2551.1083206957014</v>
      </c>
      <c r="T19" s="22">
        <f t="shared" si="16"/>
        <v>2500.0861542817875</v>
      </c>
      <c r="U19" s="22">
        <f t="shared" si="16"/>
        <v>2450.0844311961519</v>
      </c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</row>
    <row r="20" spans="1:200" x14ac:dyDescent="0.15">
      <c r="A20" s="2" t="s">
        <v>10</v>
      </c>
      <c r="B20" s="26">
        <f>SUM(B17:B19)</f>
        <v>3148.0989999999997</v>
      </c>
      <c r="C20" s="26">
        <f>SUM(C17:C19)</f>
        <v>3540.92</v>
      </c>
      <c r="D20" s="26">
        <f>SUM(D17:D19)</f>
        <v>4122.9189999999999</v>
      </c>
      <c r="E20" s="26">
        <f>SUM(E17:E19)</f>
        <v>4994.6399999999994</v>
      </c>
      <c r="F20" s="26">
        <f>SUM(F17:F19)</f>
        <v>6230.4560000000001</v>
      </c>
      <c r="G20" s="22">
        <f t="shared" ref="G20:H20" si="17">SUM(G17:G19)</f>
        <v>7262.3548099999998</v>
      </c>
      <c r="H20" s="22">
        <f t="shared" si="17"/>
        <v>8466.5579152999999</v>
      </c>
      <c r="I20" s="22">
        <f t="shared" ref="I20:P20" si="18">SUM(I17:I19)</f>
        <v>9872.0644654789994</v>
      </c>
      <c r="J20" s="22">
        <f t="shared" si="18"/>
        <v>11512.791113503967</v>
      </c>
      <c r="K20" s="22">
        <f t="shared" si="18"/>
        <v>13428.411814809242</v>
      </c>
      <c r="L20" s="22">
        <f t="shared" si="18"/>
        <v>14293.951303615393</v>
      </c>
      <c r="M20" s="22">
        <f t="shared" si="18"/>
        <v>15222.179656668421</v>
      </c>
      <c r="N20" s="22">
        <f t="shared" si="18"/>
        <v>16218.172506161323</v>
      </c>
      <c r="O20" s="22">
        <f t="shared" si="18"/>
        <v>17287.453384794822</v>
      </c>
      <c r="P20" s="22">
        <f t="shared" si="18"/>
        <v>18436.035532692538</v>
      </c>
      <c r="Q20" s="22">
        <f t="shared" ref="Q20:U20" si="19">SUM(Q17:Q19)</f>
        <v>18692.575675086227</v>
      </c>
      <c r="R20" s="22">
        <f t="shared" si="19"/>
        <v>18994.005882875848</v>
      </c>
      <c r="S20" s="22">
        <f t="shared" si="19"/>
        <v>19343.430024212983</v>
      </c>
      <c r="T20" s="22">
        <f t="shared" si="19"/>
        <v>19744.210023442945</v>
      </c>
      <c r="U20" s="22">
        <f t="shared" si="19"/>
        <v>20199.986310665448</v>
      </c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</row>
    <row r="21" spans="1:200" x14ac:dyDescent="0.15">
      <c r="A21" s="2" t="s">
        <v>11</v>
      </c>
      <c r="B21" s="26">
        <f>B16-B20</f>
        <v>-3892.4159999999997</v>
      </c>
      <c r="C21" s="26">
        <f>C16-C20</f>
        <v>-4360.8280000000004</v>
      </c>
      <c r="D21" s="26">
        <f>D16-D20</f>
        <v>-5133.41</v>
      </c>
      <c r="E21" s="26">
        <f>E16-E20</f>
        <v>-6189.6389999999992</v>
      </c>
      <c r="F21" s="26">
        <f>F16-F20</f>
        <v>-7903.1760000000004</v>
      </c>
      <c r="G21" s="22">
        <f t="shared" ref="G21:H21" si="20">G16-G20</f>
        <v>-7262.3548099999998</v>
      </c>
      <c r="H21" s="22">
        <f t="shared" si="20"/>
        <v>-8466.5579152999999</v>
      </c>
      <c r="I21" s="22">
        <f t="shared" ref="I21:P21" si="21">I16-I20</f>
        <v>-9872.0644654789994</v>
      </c>
      <c r="J21" s="22">
        <f t="shared" si="21"/>
        <v>-11512.791113503967</v>
      </c>
      <c r="K21" s="22">
        <f t="shared" si="21"/>
        <v>-13428.411814809242</v>
      </c>
      <c r="L21" s="22">
        <f t="shared" si="21"/>
        <v>-14293.951303615393</v>
      </c>
      <c r="M21" s="22">
        <f t="shared" si="21"/>
        <v>-15222.179656668421</v>
      </c>
      <c r="N21" s="22">
        <f t="shared" si="21"/>
        <v>-16218.172506161323</v>
      </c>
      <c r="O21" s="22">
        <f t="shared" si="21"/>
        <v>-17287.453384794822</v>
      </c>
      <c r="P21" s="22">
        <f t="shared" si="21"/>
        <v>-18436.035532692538</v>
      </c>
      <c r="Q21" s="22">
        <f t="shared" ref="Q21:U21" si="22">Q16-Q20</f>
        <v>-18692.575675086227</v>
      </c>
      <c r="R21" s="22">
        <f t="shared" si="22"/>
        <v>-18994.005882875848</v>
      </c>
      <c r="S21" s="22">
        <f t="shared" si="22"/>
        <v>-19343.430024212983</v>
      </c>
      <c r="T21" s="22">
        <f t="shared" si="22"/>
        <v>-19744.210023442945</v>
      </c>
      <c r="U21" s="22">
        <f t="shared" si="22"/>
        <v>-20199.986310665448</v>
      </c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</row>
    <row r="22" spans="1:200" x14ac:dyDescent="0.15">
      <c r="A22" s="2" t="s">
        <v>12</v>
      </c>
      <c r="B22" s="22">
        <f>SUM(Reports!B14:E14)</f>
        <v>-29.314</v>
      </c>
      <c r="C22" s="22">
        <f>SUM(Reports!F14:I14)</f>
        <v>-58.463999999999999</v>
      </c>
      <c r="D22" s="37">
        <f>SUM(Reports!J14:M14)</f>
        <v>-30.454000000000004</v>
      </c>
      <c r="E22" s="22">
        <f>SUM(Reports!N14:Q14)</f>
        <v>-46.493000000000002</v>
      </c>
      <c r="F22" s="37">
        <f>SUM(Reports!R14:U14)</f>
        <v>-63.378999999999998</v>
      </c>
      <c r="G22" s="22">
        <f>F39*$F$3</f>
        <v>0.77418000000001486</v>
      </c>
      <c r="H22" s="22">
        <f t="shared" ref="H22:U22" si="23">G39*$F$3</f>
        <v>-129.93427133999998</v>
      </c>
      <c r="I22" s="22">
        <f t="shared" si="23"/>
        <v>-284.67113069952001</v>
      </c>
      <c r="J22" s="22">
        <f t="shared" si="23"/>
        <v>-467.49237143073333</v>
      </c>
      <c r="K22" s="22">
        <f t="shared" si="23"/>
        <v>-683.13747415955788</v>
      </c>
      <c r="L22" s="22">
        <f t="shared" si="23"/>
        <v>-937.14536136099639</v>
      </c>
      <c r="M22" s="22">
        <f t="shared" si="23"/>
        <v>-1211.3051013305715</v>
      </c>
      <c r="N22" s="22">
        <f t="shared" si="23"/>
        <v>-1507.1078269745533</v>
      </c>
      <c r="O22" s="22">
        <f t="shared" si="23"/>
        <v>-1826.1628729709989</v>
      </c>
      <c r="P22" s="22">
        <f t="shared" si="23"/>
        <v>-2170.207965610784</v>
      </c>
      <c r="Q22" s="22">
        <f t="shared" si="23"/>
        <v>-2541.1203485802434</v>
      </c>
      <c r="R22" s="22">
        <f t="shared" si="23"/>
        <v>-2923.32687700624</v>
      </c>
      <c r="S22" s="22">
        <f t="shared" si="23"/>
        <v>-3317.8388666841179</v>
      </c>
      <c r="T22" s="22">
        <f t="shared" si="23"/>
        <v>-3725.7417067202659</v>
      </c>
      <c r="U22" s="22">
        <f t="shared" si="23"/>
        <v>-4148.2008378632036</v>
      </c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</row>
    <row r="23" spans="1:200" x14ac:dyDescent="0.15">
      <c r="A23" s="2" t="s">
        <v>13</v>
      </c>
      <c r="B23" s="26">
        <f>B21+B22</f>
        <v>-3921.7299999999996</v>
      </c>
      <c r="C23" s="26">
        <f>C21+C22</f>
        <v>-4419.2920000000004</v>
      </c>
      <c r="D23" s="26">
        <f>D21+D22</f>
        <v>-5163.8639999999996</v>
      </c>
      <c r="E23" s="26">
        <f>E21+E22</f>
        <v>-6236.1319999999996</v>
      </c>
      <c r="F23" s="26">
        <f>F21+F22</f>
        <v>-7966.5550000000003</v>
      </c>
      <c r="G23" s="22">
        <f t="shared" ref="G23:H23" si="24">G21+G22</f>
        <v>-7261.5806299999995</v>
      </c>
      <c r="H23" s="22">
        <f t="shared" si="24"/>
        <v>-8596.49218664</v>
      </c>
      <c r="I23" s="22">
        <f t="shared" ref="I23" si="25">I21+I22</f>
        <v>-10156.73559617852</v>
      </c>
      <c r="J23" s="22">
        <f t="shared" ref="J23" si="26">J21+J22</f>
        <v>-11980.2834849347</v>
      </c>
      <c r="K23" s="22">
        <f t="shared" ref="K23" si="27">K21+K22</f>
        <v>-14111.549288968799</v>
      </c>
      <c r="L23" s="22">
        <f t="shared" ref="L23" si="28">L21+L22</f>
        <v>-15231.096664976389</v>
      </c>
      <c r="M23" s="22">
        <f t="shared" ref="M23" si="29">M21+M22</f>
        <v>-16433.484757998991</v>
      </c>
      <c r="N23" s="22">
        <f t="shared" ref="N23" si="30">N21+N22</f>
        <v>-17725.280333135877</v>
      </c>
      <c r="O23" s="22">
        <f t="shared" ref="O23" si="31">O21+O22</f>
        <v>-19113.616257765822</v>
      </c>
      <c r="P23" s="22">
        <f t="shared" ref="P23:Q23" si="32">P21+P22</f>
        <v>-20606.243498303324</v>
      </c>
      <c r="Q23" s="22">
        <f t="shared" si="32"/>
        <v>-21233.696023666471</v>
      </c>
      <c r="R23" s="22">
        <f t="shared" ref="R23:U23" si="33">R21+R22</f>
        <v>-21917.332759882087</v>
      </c>
      <c r="S23" s="22">
        <f t="shared" si="33"/>
        <v>-22661.268890897099</v>
      </c>
      <c r="T23" s="22">
        <f t="shared" si="33"/>
        <v>-23469.951730163211</v>
      </c>
      <c r="U23" s="22">
        <f t="shared" si="33"/>
        <v>-24348.187148528654</v>
      </c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</row>
    <row r="24" spans="1:200" x14ac:dyDescent="0.15">
      <c r="A24" s="2" t="s">
        <v>14</v>
      </c>
      <c r="B24" s="22">
        <f>SUM(Reports!B16:E16)</f>
        <v>244.23000000000002</v>
      </c>
      <c r="C24" s="22">
        <f>SUM(Reports!F16:I16)</f>
        <v>266.35599999999999</v>
      </c>
      <c r="D24" s="37">
        <f>SUM(Reports!J16:M16)</f>
        <v>443.68700000000001</v>
      </c>
      <c r="E24" s="22">
        <f>SUM(Reports!N16:Q16)</f>
        <v>203.102</v>
      </c>
      <c r="F24" s="37">
        <f>SUM(Reports!R16:U16)</f>
        <v>253.28300000000002</v>
      </c>
      <c r="G24" s="22">
        <f>G23*0.1</f>
        <v>-726.15806299999997</v>
      </c>
      <c r="H24" s="22">
        <f t="shared" ref="H24:P24" si="34">H23*0.1</f>
        <v>-859.64921866400005</v>
      </c>
      <c r="I24" s="22">
        <f t="shared" si="34"/>
        <v>-1015.673559617852</v>
      </c>
      <c r="J24" s="22">
        <f t="shared" si="34"/>
        <v>-1198.02834849347</v>
      </c>
      <c r="K24" s="22">
        <f t="shared" si="34"/>
        <v>-1411.1549288968799</v>
      </c>
      <c r="L24" s="22">
        <f t="shared" si="34"/>
        <v>-1523.109666497639</v>
      </c>
      <c r="M24" s="22">
        <f t="shared" si="34"/>
        <v>-1643.3484757998992</v>
      </c>
      <c r="N24" s="22">
        <f t="shared" si="34"/>
        <v>-1772.5280333135879</v>
      </c>
      <c r="O24" s="22">
        <f t="shared" si="34"/>
        <v>-1911.3616257765823</v>
      </c>
      <c r="P24" s="22">
        <f t="shared" si="34"/>
        <v>-2060.6243498303324</v>
      </c>
      <c r="Q24" s="22">
        <f t="shared" ref="Q24:U24" si="35">Q23*0.1</f>
        <v>-2123.3696023666471</v>
      </c>
      <c r="R24" s="22">
        <f t="shared" si="35"/>
        <v>-2191.7332759882088</v>
      </c>
      <c r="S24" s="22">
        <f t="shared" si="35"/>
        <v>-2266.1268890897099</v>
      </c>
      <c r="T24" s="22">
        <f t="shared" si="35"/>
        <v>-2346.9951730163211</v>
      </c>
      <c r="U24" s="22">
        <f t="shared" si="35"/>
        <v>-2434.8187148528655</v>
      </c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</row>
    <row r="25" spans="1:200" s="1" customFormat="1" x14ac:dyDescent="0.15">
      <c r="A25" s="1" t="s">
        <v>15</v>
      </c>
      <c r="B25" s="23">
        <f>B23-B24</f>
        <v>-4165.9599999999991</v>
      </c>
      <c r="C25" s="23">
        <f>C23-C24</f>
        <v>-4685.6480000000001</v>
      </c>
      <c r="D25" s="23">
        <f>D23-D24</f>
        <v>-5607.5509999999995</v>
      </c>
      <c r="E25" s="23">
        <f>E23-E24</f>
        <v>-6439.2339999999995</v>
      </c>
      <c r="F25" s="23">
        <f t="shared" ref="F25:H25" si="36">F23-F24</f>
        <v>-8219.8379999999997</v>
      </c>
      <c r="G25" s="23">
        <f>G23-G24</f>
        <v>-6535.4225669999996</v>
      </c>
      <c r="H25" s="23">
        <f t="shared" si="36"/>
        <v>-7736.8429679760002</v>
      </c>
      <c r="I25" s="23">
        <f t="shared" ref="I25:P25" si="37">I23-I24</f>
        <v>-9141.0620365606683</v>
      </c>
      <c r="J25" s="23">
        <f t="shared" si="37"/>
        <v>-10782.25513644123</v>
      </c>
      <c r="K25" s="23">
        <f t="shared" si="37"/>
        <v>-12700.394360071919</v>
      </c>
      <c r="L25" s="23">
        <f t="shared" si="37"/>
        <v>-13707.986998478749</v>
      </c>
      <c r="M25" s="23">
        <f t="shared" si="37"/>
        <v>-14790.136282199092</v>
      </c>
      <c r="N25" s="23">
        <f t="shared" si="37"/>
        <v>-15952.752299822288</v>
      </c>
      <c r="O25" s="23">
        <f t="shared" si="37"/>
        <v>-17202.254631989239</v>
      </c>
      <c r="P25" s="23">
        <f t="shared" si="37"/>
        <v>-18545.61914847299</v>
      </c>
      <c r="Q25" s="23">
        <f t="shared" ref="Q25:U25" si="38">Q23-Q24</f>
        <v>-19110.326421299826</v>
      </c>
      <c r="R25" s="23">
        <f t="shared" si="38"/>
        <v>-19725.599483893879</v>
      </c>
      <c r="S25" s="23">
        <f t="shared" si="38"/>
        <v>-20395.142001807391</v>
      </c>
      <c r="T25" s="23">
        <f t="shared" si="38"/>
        <v>-21122.956557146892</v>
      </c>
      <c r="U25" s="23">
        <f t="shared" si="38"/>
        <v>-21913.368433675787</v>
      </c>
      <c r="V25" s="23">
        <f t="shared" ref="V25:BY25" si="39">U25*($F$2+1)</f>
        <v>-21694.23474933903</v>
      </c>
      <c r="W25" s="23">
        <f t="shared" si="39"/>
        <v>-21477.29240184564</v>
      </c>
      <c r="X25" s="23">
        <f t="shared" si="39"/>
        <v>-21262.519477827183</v>
      </c>
      <c r="Y25" s="23">
        <f t="shared" si="39"/>
        <v>-21049.89428304891</v>
      </c>
      <c r="Z25" s="23">
        <f t="shared" si="39"/>
        <v>-20839.39534021842</v>
      </c>
      <c r="AA25" s="23">
        <f t="shared" si="39"/>
        <v>-20631.001386816235</v>
      </c>
      <c r="AB25" s="23">
        <f t="shared" si="39"/>
        <v>-20424.691372948073</v>
      </c>
      <c r="AC25" s="23">
        <f t="shared" si="39"/>
        <v>-20220.444459218594</v>
      </c>
      <c r="AD25" s="23">
        <f t="shared" si="39"/>
        <v>-20018.240014626408</v>
      </c>
      <c r="AE25" s="23">
        <f t="shared" si="39"/>
        <v>-19818.057614480145</v>
      </c>
      <c r="AF25" s="23">
        <f t="shared" si="39"/>
        <v>-19619.877038335344</v>
      </c>
      <c r="AG25" s="23">
        <f t="shared" si="39"/>
        <v>-19423.678267951989</v>
      </c>
      <c r="AH25" s="23">
        <f t="shared" si="39"/>
        <v>-19229.441485272469</v>
      </c>
      <c r="AI25" s="23">
        <f t="shared" si="39"/>
        <v>-19037.147070419745</v>
      </c>
      <c r="AJ25" s="23">
        <f t="shared" si="39"/>
        <v>-18846.775599715547</v>
      </c>
      <c r="AK25" s="23">
        <f t="shared" si="39"/>
        <v>-18658.30784371839</v>
      </c>
      <c r="AL25" s="23">
        <f t="shared" si="39"/>
        <v>-18471.724765281208</v>
      </c>
      <c r="AM25" s="23">
        <f t="shared" si="39"/>
        <v>-18287.007517628394</v>
      </c>
      <c r="AN25" s="23">
        <f t="shared" si="39"/>
        <v>-18104.137442452109</v>
      </c>
      <c r="AO25" s="23">
        <f t="shared" si="39"/>
        <v>-17923.096068027589</v>
      </c>
      <c r="AP25" s="23">
        <f t="shared" si="39"/>
        <v>-17743.865107347312</v>
      </c>
      <c r="AQ25" s="23">
        <f t="shared" si="39"/>
        <v>-17566.426456273839</v>
      </c>
      <c r="AR25" s="23">
        <f t="shared" si="39"/>
        <v>-17390.762191711099</v>
      </c>
      <c r="AS25" s="23">
        <f t="shared" si="39"/>
        <v>-17216.854569793988</v>
      </c>
      <c r="AT25" s="23">
        <f t="shared" si="39"/>
        <v>-17044.686024096049</v>
      </c>
      <c r="AU25" s="23">
        <f t="shared" si="39"/>
        <v>-16874.239163855087</v>
      </c>
      <c r="AV25" s="23">
        <f t="shared" si="39"/>
        <v>-16705.496772216535</v>
      </c>
      <c r="AW25" s="23">
        <f t="shared" si="39"/>
        <v>-16538.44180449437</v>
      </c>
      <c r="AX25" s="23">
        <f t="shared" si="39"/>
        <v>-16373.057386449427</v>
      </c>
      <c r="AY25" s="23">
        <f t="shared" si="39"/>
        <v>-16209.326812584934</v>
      </c>
      <c r="AZ25" s="23">
        <f t="shared" si="39"/>
        <v>-16047.233544459084</v>
      </c>
      <c r="BA25" s="23">
        <f t="shared" si="39"/>
        <v>-15886.761209014494</v>
      </c>
      <c r="BB25" s="23">
        <f t="shared" si="39"/>
        <v>-15727.893596924348</v>
      </c>
      <c r="BC25" s="23">
        <f t="shared" si="39"/>
        <v>-15570.614660955105</v>
      </c>
      <c r="BD25" s="23">
        <f t="shared" si="39"/>
        <v>-15414.908514345554</v>
      </c>
      <c r="BE25" s="23">
        <f t="shared" si="39"/>
        <v>-15260.759429202099</v>
      </c>
      <c r="BF25" s="23">
        <f t="shared" si="39"/>
        <v>-15108.151834910077</v>
      </c>
      <c r="BG25" s="23">
        <f t="shared" si="39"/>
        <v>-14957.070316560976</v>
      </c>
      <c r="BH25" s="23">
        <f t="shared" si="39"/>
        <v>-14807.499613395366</v>
      </c>
      <c r="BI25" s="23">
        <f t="shared" si="39"/>
        <v>-14659.424617261413</v>
      </c>
      <c r="BJ25" s="23">
        <f t="shared" si="39"/>
        <v>-14512.830371088799</v>
      </c>
      <c r="BK25" s="23">
        <f t="shared" si="39"/>
        <v>-14367.702067377912</v>
      </c>
      <c r="BL25" s="23">
        <f t="shared" si="39"/>
        <v>-14224.025046704131</v>
      </c>
      <c r="BM25" s="23">
        <f t="shared" si="39"/>
        <v>-14081.784796237091</v>
      </c>
      <c r="BN25" s="23">
        <f t="shared" si="39"/>
        <v>-13940.966948274719</v>
      </c>
      <c r="BO25" s="23">
        <f t="shared" si="39"/>
        <v>-13801.557278791972</v>
      </c>
      <c r="BP25" s="23">
        <f t="shared" si="39"/>
        <v>-13663.541706004053</v>
      </c>
      <c r="BQ25" s="23">
        <f t="shared" si="39"/>
        <v>-13526.906288944012</v>
      </c>
      <c r="BR25" s="23">
        <f t="shared" si="39"/>
        <v>-13391.637226054572</v>
      </c>
      <c r="BS25" s="23">
        <f t="shared" si="39"/>
        <v>-13257.720853794026</v>
      </c>
      <c r="BT25" s="23">
        <f t="shared" si="39"/>
        <v>-13125.143645256085</v>
      </c>
      <c r="BU25" s="23">
        <f t="shared" si="39"/>
        <v>-12993.892208803523</v>
      </c>
      <c r="BV25" s="23">
        <f t="shared" si="39"/>
        <v>-12863.953286715489</v>
      </c>
      <c r="BW25" s="23">
        <f t="shared" si="39"/>
        <v>-12735.313753848333</v>
      </c>
      <c r="BX25" s="23">
        <f t="shared" si="39"/>
        <v>-12607.960616309851</v>
      </c>
      <c r="BY25" s="23">
        <f t="shared" si="39"/>
        <v>-12481.881010146752</v>
      </c>
      <c r="BZ25" s="23">
        <f t="shared" ref="BZ25:DM25" si="40">BY25*($F$2+1)</f>
        <v>-12357.062200045284</v>
      </c>
      <c r="CA25" s="23">
        <f t="shared" si="40"/>
        <v>-12233.491578044832</v>
      </c>
      <c r="CB25" s="23">
        <f t="shared" si="40"/>
        <v>-12111.156662264384</v>
      </c>
      <c r="CC25" s="23">
        <f t="shared" si="40"/>
        <v>-11990.045095641741</v>
      </c>
      <c r="CD25" s="23">
        <f t="shared" si="40"/>
        <v>-11870.144644685322</v>
      </c>
      <c r="CE25" s="23">
        <f t="shared" si="40"/>
        <v>-11751.443198238469</v>
      </c>
      <c r="CF25" s="23">
        <f t="shared" si="40"/>
        <v>-11633.928766256084</v>
      </c>
      <c r="CG25" s="23">
        <f t="shared" si="40"/>
        <v>-11517.589478593523</v>
      </c>
      <c r="CH25" s="23">
        <f t="shared" si="40"/>
        <v>-11402.413583807587</v>
      </c>
      <c r="CI25" s="23">
        <f t="shared" si="40"/>
        <v>-11288.389447969512</v>
      </c>
      <c r="CJ25" s="23">
        <f t="shared" si="40"/>
        <v>-11175.505553489817</v>
      </c>
      <c r="CK25" s="23">
        <f t="shared" si="40"/>
        <v>-11063.750497954918</v>
      </c>
      <c r="CL25" s="23">
        <f t="shared" si="40"/>
        <v>-10953.112992975368</v>
      </c>
      <c r="CM25" s="23">
        <f t="shared" si="40"/>
        <v>-10843.581863045614</v>
      </c>
      <c r="CN25" s="23">
        <f t="shared" si="40"/>
        <v>-10735.146044415158</v>
      </c>
      <c r="CO25" s="23">
        <f t="shared" si="40"/>
        <v>-10627.794583971006</v>
      </c>
      <c r="CP25" s="23">
        <f t="shared" si="40"/>
        <v>-10521.516638131296</v>
      </c>
      <c r="CQ25" s="23">
        <f t="shared" si="40"/>
        <v>-10416.301471749983</v>
      </c>
      <c r="CR25" s="23">
        <f t="shared" si="40"/>
        <v>-10312.138457032483</v>
      </c>
      <c r="CS25" s="23">
        <f t="shared" si="40"/>
        <v>-10209.017072462158</v>
      </c>
      <c r="CT25" s="23">
        <f t="shared" si="40"/>
        <v>-10106.926901737537</v>
      </c>
      <c r="CU25" s="23">
        <f t="shared" si="40"/>
        <v>-10005.857632720163</v>
      </c>
      <c r="CV25" s="23">
        <f t="shared" si="40"/>
        <v>-9905.7990563929616</v>
      </c>
      <c r="CW25" s="23">
        <f t="shared" si="40"/>
        <v>-9806.7410658290319</v>
      </c>
      <c r="CX25" s="23">
        <f t="shared" si="40"/>
        <v>-9708.6736551707418</v>
      </c>
      <c r="CY25" s="23">
        <f t="shared" si="40"/>
        <v>-9611.5869186190339</v>
      </c>
      <c r="CZ25" s="23">
        <f t="shared" si="40"/>
        <v>-9515.4710494328428</v>
      </c>
      <c r="DA25" s="23">
        <f t="shared" si="40"/>
        <v>-9420.3163389385136</v>
      </c>
      <c r="DB25" s="23">
        <f t="shared" si="40"/>
        <v>-9326.1131755491278</v>
      </c>
      <c r="DC25" s="23">
        <f t="shared" si="40"/>
        <v>-9232.8520437936368</v>
      </c>
      <c r="DD25" s="23">
        <f t="shared" si="40"/>
        <v>-9140.5235233556996</v>
      </c>
      <c r="DE25" s="23">
        <f t="shared" si="40"/>
        <v>-9049.118288122143</v>
      </c>
      <c r="DF25" s="23">
        <f t="shared" si="40"/>
        <v>-8958.6271052409211</v>
      </c>
      <c r="DG25" s="23">
        <f t="shared" si="40"/>
        <v>-8869.0408341885122</v>
      </c>
      <c r="DH25" s="23">
        <f t="shared" si="40"/>
        <v>-8780.3504258466273</v>
      </c>
      <c r="DI25" s="23">
        <f t="shared" si="40"/>
        <v>-8692.5469215881603</v>
      </c>
      <c r="DJ25" s="23">
        <f t="shared" si="40"/>
        <v>-8605.6214523722792</v>
      </c>
      <c r="DK25" s="23">
        <f t="shared" si="40"/>
        <v>-8519.5652378485556</v>
      </c>
      <c r="DL25" s="23">
        <f t="shared" si="40"/>
        <v>-8434.3695854700709</v>
      </c>
      <c r="DM25" s="23">
        <f t="shared" si="40"/>
        <v>-8350.02588961537</v>
      </c>
      <c r="DN25" s="23">
        <f t="shared" ref="DN25" si="41">DM25*($F$2+1)</f>
        <v>-8266.5256307192158</v>
      </c>
      <c r="DO25" s="23">
        <f t="shared" ref="DO25" si="42">DN25*($F$2+1)</f>
        <v>-8183.8603744120237</v>
      </c>
      <c r="DP25" s="23">
        <f t="shared" ref="DP25" si="43">DO25*($F$2+1)</f>
        <v>-8102.0217706679032</v>
      </c>
      <c r="DQ25" s="23">
        <f t="shared" ref="DQ25" si="44">DP25*($F$2+1)</f>
        <v>-8021.0015529612238</v>
      </c>
      <c r="DR25" s="23">
        <f t="shared" ref="DR25" si="45">DQ25*($F$2+1)</f>
        <v>-7940.7915374316117</v>
      </c>
      <c r="DS25" s="23">
        <f t="shared" ref="DS25" si="46">DR25*($F$2+1)</f>
        <v>-7861.3836220572957</v>
      </c>
      <c r="DT25" s="23">
        <f t="shared" ref="DT25" si="47">DS25*($F$2+1)</f>
        <v>-7782.7697858367228</v>
      </c>
      <c r="DU25" s="23">
        <f t="shared" ref="DU25" si="48">DT25*($F$2+1)</f>
        <v>-7704.9420879783556</v>
      </c>
      <c r="DV25" s="23">
        <f t="shared" ref="DV25" si="49">DU25*($F$2+1)</f>
        <v>-7627.892667098572</v>
      </c>
      <c r="DW25" s="23">
        <f t="shared" ref="DW25" si="50">DV25*($F$2+1)</f>
        <v>-7551.613740427586</v>
      </c>
      <c r="DX25" s="23">
        <f t="shared" ref="DX25" si="51">DW25*($F$2+1)</f>
        <v>-7476.0976030233096</v>
      </c>
      <c r="DY25" s="23">
        <f t="shared" ref="DY25" si="52">DX25*($F$2+1)</f>
        <v>-7401.3366269930766</v>
      </c>
      <c r="DZ25" s="23">
        <f t="shared" ref="DZ25" si="53">DY25*($F$2+1)</f>
        <v>-7327.3232607231457</v>
      </c>
      <c r="EA25" s="23">
        <f t="shared" ref="EA25" si="54">DZ25*($F$2+1)</f>
        <v>-7254.0500281159138</v>
      </c>
      <c r="EB25" s="23">
        <f t="shared" ref="EB25" si="55">EA25*($F$2+1)</f>
        <v>-7181.5095278347544</v>
      </c>
      <c r="EC25" s="23">
        <f t="shared" ref="EC25" si="56">EB25*($F$2+1)</f>
        <v>-7109.6944325564064</v>
      </c>
      <c r="ED25" s="23">
        <f t="shared" ref="ED25" si="57">EC25*($F$2+1)</f>
        <v>-7038.5974882308419</v>
      </c>
      <c r="EE25" s="23">
        <f t="shared" ref="EE25" si="58">ED25*($F$2+1)</f>
        <v>-6968.2115133485331</v>
      </c>
      <c r="EF25" s="23">
        <f t="shared" ref="EF25" si="59">EE25*($F$2+1)</f>
        <v>-6898.5293982150479</v>
      </c>
      <c r="EG25" s="23">
        <f t="shared" ref="EG25" si="60">EF25*($F$2+1)</f>
        <v>-6829.5441042328976</v>
      </c>
      <c r="EH25" s="23">
        <f t="shared" ref="EH25" si="61">EG25*($F$2+1)</f>
        <v>-6761.2486631905685</v>
      </c>
      <c r="EI25" s="23">
        <f t="shared" ref="EI25" si="62">EH25*($F$2+1)</f>
        <v>-6693.6361765586626</v>
      </c>
      <c r="EJ25" s="23">
        <f t="shared" ref="EJ25" si="63">EI25*($F$2+1)</f>
        <v>-6626.6998147930763</v>
      </c>
      <c r="EK25" s="23">
        <f t="shared" ref="EK25" si="64">EJ25*($F$2+1)</f>
        <v>-6560.4328166451451</v>
      </c>
      <c r="EL25" s="23">
        <f t="shared" ref="EL25" si="65">EK25*($F$2+1)</f>
        <v>-6494.8284884786935</v>
      </c>
      <c r="EM25" s="23">
        <f t="shared" ref="EM25" si="66">EL25*($F$2+1)</f>
        <v>-6429.8802035939061</v>
      </c>
      <c r="EN25" s="23">
        <f t="shared" ref="EN25" si="67">EM25*($F$2+1)</f>
        <v>-6365.5814015579672</v>
      </c>
      <c r="EO25" s="23">
        <f t="shared" ref="EO25" si="68">EN25*($F$2+1)</f>
        <v>-6301.9255875423878</v>
      </c>
      <c r="EP25" s="23">
        <f t="shared" ref="EP25" si="69">EO25*($F$2+1)</f>
        <v>-6238.9063316669635</v>
      </c>
      <c r="EQ25" s="23">
        <f t="shared" ref="EQ25" si="70">EP25*($F$2+1)</f>
        <v>-6176.5172683502942</v>
      </c>
      <c r="ER25" s="23">
        <f t="shared" ref="ER25" si="71">EQ25*($F$2+1)</f>
        <v>-6114.7520956667913</v>
      </c>
      <c r="ES25" s="23">
        <f t="shared" ref="ES25" si="72">ER25*($F$2+1)</f>
        <v>-6053.6045747101234</v>
      </c>
      <c r="ET25" s="23">
        <f t="shared" ref="ET25" si="73">ES25*($F$2+1)</f>
        <v>-5993.0685289630219</v>
      </c>
      <c r="EU25" s="23">
        <f t="shared" ref="EU25" si="74">ET25*($F$2+1)</f>
        <v>-5933.1378436733912</v>
      </c>
      <c r="EV25" s="23">
        <f t="shared" ref="EV25" si="75">EU25*($F$2+1)</f>
        <v>-5873.8064652366575</v>
      </c>
      <c r="EW25" s="23">
        <f t="shared" ref="EW25" si="76">EV25*($F$2+1)</f>
        <v>-5815.0684005842904</v>
      </c>
      <c r="EX25" s="23">
        <f t="shared" ref="EX25" si="77">EW25*($F$2+1)</f>
        <v>-5756.9177165784477</v>
      </c>
      <c r="EY25" s="23">
        <f t="shared" ref="EY25" si="78">EX25*($F$2+1)</f>
        <v>-5699.3485394126628</v>
      </c>
      <c r="EZ25" s="23">
        <f t="shared" ref="EZ25" si="79">EY25*($F$2+1)</f>
        <v>-5642.3550540185361</v>
      </c>
      <c r="FA25" s="23">
        <f t="shared" ref="FA25" si="80">EZ25*($F$2+1)</f>
        <v>-5585.9315034783504</v>
      </c>
      <c r="FB25" s="23">
        <f t="shared" ref="FB25" si="81">FA25*($F$2+1)</f>
        <v>-5530.072188443567</v>
      </c>
      <c r="FC25" s="23">
        <f t="shared" ref="FC25" si="82">FB25*($F$2+1)</f>
        <v>-5474.7714665591311</v>
      </c>
      <c r="FD25" s="23">
        <f t="shared" ref="FD25" si="83">FC25*($F$2+1)</f>
        <v>-5420.0237518935401</v>
      </c>
      <c r="FE25" s="23">
        <f t="shared" ref="FE25" si="84">FD25*($F$2+1)</f>
        <v>-5365.8235143746042</v>
      </c>
      <c r="FF25" s="23">
        <f t="shared" ref="FF25" si="85">FE25*($F$2+1)</f>
        <v>-5312.1652792308578</v>
      </c>
      <c r="FG25" s="23">
        <f t="shared" ref="FG25" si="86">FF25*($F$2+1)</f>
        <v>-5259.0436264385489</v>
      </c>
      <c r="FH25" s="23">
        <f t="shared" ref="FH25" si="87">FG25*($F$2+1)</f>
        <v>-5206.453190174163</v>
      </c>
      <c r="FI25" s="23">
        <f t="shared" ref="FI25" si="88">FH25*($F$2+1)</f>
        <v>-5154.3886582724217</v>
      </c>
      <c r="FJ25" s="23">
        <f t="shared" ref="FJ25" si="89">FI25*($F$2+1)</f>
        <v>-5102.8447716896972</v>
      </c>
      <c r="FK25" s="23">
        <f t="shared" ref="FK25" si="90">FJ25*($F$2+1)</f>
        <v>-5051.8163239728001</v>
      </c>
      <c r="FL25" s="23">
        <f t="shared" ref="FL25" si="91">FK25*($F$2+1)</f>
        <v>-5001.2981607330721</v>
      </c>
      <c r="FM25" s="23">
        <f t="shared" ref="FM25" si="92">FL25*($F$2+1)</f>
        <v>-4951.2851791257417</v>
      </c>
      <c r="FN25" s="23">
        <f t="shared" ref="FN25" si="93">FM25*($F$2+1)</f>
        <v>-4901.7723273344845</v>
      </c>
      <c r="FO25" s="23">
        <f t="shared" ref="FO25" si="94">FN25*($F$2+1)</f>
        <v>-4852.7546040611396</v>
      </c>
      <c r="FP25" s="23">
        <f t="shared" ref="FP25" si="95">FO25*($F$2+1)</f>
        <v>-4804.2270580205286</v>
      </c>
      <c r="FQ25" s="23">
        <f t="shared" ref="FQ25" si="96">FP25*($F$2+1)</f>
        <v>-4756.1847874403229</v>
      </c>
      <c r="FR25" s="23">
        <f t="shared" ref="FR25" si="97">FQ25*($F$2+1)</f>
        <v>-4708.6229395659193</v>
      </c>
      <c r="FS25" s="23">
        <f t="shared" ref="FS25" si="98">FR25*($F$2+1)</f>
        <v>-4661.5367101702604</v>
      </c>
      <c r="FT25" s="23">
        <f t="shared" ref="FT25" si="99">FS25*($F$2+1)</f>
        <v>-4614.9213430685577</v>
      </c>
      <c r="FU25" s="23">
        <f t="shared" ref="FU25" si="100">FT25*($F$2+1)</f>
        <v>-4568.7721296378722</v>
      </c>
      <c r="FV25" s="23">
        <f t="shared" ref="FV25" si="101">FU25*($F$2+1)</f>
        <v>-4523.0844083414931</v>
      </c>
      <c r="FW25" s="23">
        <f t="shared" ref="FW25" si="102">FV25*($F$2+1)</f>
        <v>-4477.8535642580782</v>
      </c>
      <c r="FX25" s="23">
        <f t="shared" ref="FX25" si="103">FW25*($F$2+1)</f>
        <v>-4433.0750286154971</v>
      </c>
      <c r="FY25" s="23">
        <f t="shared" ref="FY25" si="104">FX25*($F$2+1)</f>
        <v>-4388.7442783293418</v>
      </c>
      <c r="FZ25" s="23">
        <f t="shared" ref="FZ25" si="105">FY25*($F$2+1)</f>
        <v>-4344.8568355460484</v>
      </c>
      <c r="GA25" s="23">
        <f t="shared" ref="GA25" si="106">FZ25*($F$2+1)</f>
        <v>-4301.408267190588</v>
      </c>
      <c r="GB25" s="23">
        <f t="shared" ref="GB25" si="107">GA25*($F$2+1)</f>
        <v>-4258.3941845186819</v>
      </c>
      <c r="GC25" s="23">
        <f t="shared" ref="GC25" si="108">GB25*($F$2+1)</f>
        <v>-4215.8102426734949</v>
      </c>
      <c r="GD25" s="23">
        <f t="shared" ref="GD25" si="109">GC25*($F$2+1)</f>
        <v>-4173.6521402467597</v>
      </c>
      <c r="GE25" s="23">
        <f t="shared" ref="GE25" si="110">GD25*($F$2+1)</f>
        <v>-4131.9156188442921</v>
      </c>
      <c r="GF25" s="23">
        <f t="shared" ref="GF25" si="111">GE25*($F$2+1)</f>
        <v>-4090.5964626558493</v>
      </c>
      <c r="GG25" s="23">
        <f t="shared" ref="GG25" si="112">GF25*($F$2+1)</f>
        <v>-4049.6904980292907</v>
      </c>
      <c r="GH25" s="23">
        <f t="shared" ref="GH25" si="113">GG25*($F$2+1)</f>
        <v>-4009.1935930489976</v>
      </c>
      <c r="GI25" s="23">
        <f t="shared" ref="GI25" si="114">GH25*($F$2+1)</f>
        <v>-3969.1016571185078</v>
      </c>
      <c r="GJ25" s="23">
        <f t="shared" ref="GJ25" si="115">GI25*($F$2+1)</f>
        <v>-3929.4106405473226</v>
      </c>
      <c r="GK25" s="23">
        <f t="shared" ref="GK25" si="116">GJ25*($F$2+1)</f>
        <v>-3890.1165341418491</v>
      </c>
      <c r="GL25" s="23">
        <f t="shared" ref="GL25" si="117">GK25*($F$2+1)</f>
        <v>-3851.2153688004305</v>
      </c>
      <c r="GM25" s="23">
        <f t="shared" ref="GM25" si="118">GL25*($F$2+1)</f>
        <v>-3812.7032151124263</v>
      </c>
      <c r="GN25" s="23">
        <f t="shared" ref="GN25" si="119">GM25*($F$2+1)</f>
        <v>-3774.576182961302</v>
      </c>
      <c r="GO25" s="23">
        <f t="shared" ref="GO25" si="120">GN25*($F$2+1)</f>
        <v>-3736.830421131689</v>
      </c>
      <c r="GP25" s="23">
        <f t="shared" ref="GP25" si="121">GO25*($F$2+1)</f>
        <v>-3699.462116920372</v>
      </c>
      <c r="GQ25" s="23">
        <f t="shared" ref="GQ25" si="122">GP25*($F$2+1)</f>
        <v>-3662.4674957511684</v>
      </c>
      <c r="GR25" s="23">
        <f t="shared" ref="GR25" si="123">GQ25*($F$2+1)</f>
        <v>-3625.8428207936568</v>
      </c>
    </row>
    <row r="26" spans="1:200" x14ac:dyDescent="0.15">
      <c r="A26" s="2" t="s">
        <v>16</v>
      </c>
      <c r="B26" s="28">
        <f t="shared" ref="B26:G26" si="124">B25/B27</f>
        <v>-8.2329272823569379</v>
      </c>
      <c r="C26" s="28">
        <f t="shared" si="124"/>
        <v>-9.3493064312736447</v>
      </c>
      <c r="D26" s="28">
        <f t="shared" si="124"/>
        <v>-11.213756349238091</v>
      </c>
      <c r="E26" s="28">
        <f t="shared" si="124"/>
        <v>-13.003614788726704</v>
      </c>
      <c r="F26" s="28">
        <f t="shared" si="124"/>
        <v>-16.814608132130239</v>
      </c>
      <c r="G26" s="47">
        <f t="shared" si="124"/>
        <v>-13.368945889442795</v>
      </c>
      <c r="H26" s="47">
        <f t="shared" ref="H26" si="125">H25/H27</f>
        <v>-15.82658717682075</v>
      </c>
      <c r="I26" s="47">
        <f t="shared" ref="I26:P26" si="126">I25/I27</f>
        <v>-18.699076071360533</v>
      </c>
      <c r="J26" s="47">
        <f t="shared" si="126"/>
        <v>-22.056322144050498</v>
      </c>
      <c r="K26" s="47">
        <f t="shared" si="126"/>
        <v>-25.98009283006871</v>
      </c>
      <c r="L26" s="47">
        <f t="shared" si="126"/>
        <v>-28.041237510977268</v>
      </c>
      <c r="M26" s="47">
        <f t="shared" si="126"/>
        <v>-30.254896240774983</v>
      </c>
      <c r="N26" s="47">
        <f t="shared" si="126"/>
        <v>-32.633158773986935</v>
      </c>
      <c r="O26" s="47">
        <f t="shared" si="126"/>
        <v>-35.189157088743272</v>
      </c>
      <c r="P26" s="47">
        <f t="shared" si="126"/>
        <v>-37.937161115499386</v>
      </c>
      <c r="Q26" s="47">
        <f t="shared" ref="Q26:U26" si="127">Q25/Q27</f>
        <v>-39.092333699429531</v>
      </c>
      <c r="R26" s="47">
        <f t="shared" si="127"/>
        <v>-40.350944324331707</v>
      </c>
      <c r="S26" s="47">
        <f t="shared" si="127"/>
        <v>-41.720569256905257</v>
      </c>
      <c r="T26" s="47">
        <f t="shared" si="127"/>
        <v>-43.209396231462947</v>
      </c>
      <c r="U26" s="47">
        <f t="shared" si="127"/>
        <v>-44.826273105047932</v>
      </c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</row>
    <row r="27" spans="1:200" s="15" customFormat="1" x14ac:dyDescent="0.15">
      <c r="A27" s="15" t="s">
        <v>17</v>
      </c>
      <c r="B27" s="22">
        <f>Reports!E19</f>
        <v>506.012</v>
      </c>
      <c r="C27" s="22">
        <f>Reports!I19</f>
        <v>501.17599999999999</v>
      </c>
      <c r="D27" s="22">
        <f>Reports!M19</f>
        <v>500.06</v>
      </c>
      <c r="E27" s="22">
        <f>Reports!Q19</f>
        <v>495.18799999999999</v>
      </c>
      <c r="F27" s="22">
        <f>Reports!U19</f>
        <v>488.851</v>
      </c>
      <c r="G27" s="22">
        <f t="shared" ref="G27" si="128">F27</f>
        <v>488.851</v>
      </c>
      <c r="H27" s="22">
        <f t="shared" ref="H27" si="129">G27</f>
        <v>488.851</v>
      </c>
      <c r="I27" s="22">
        <f t="shared" ref="I27" si="130">H27</f>
        <v>488.851</v>
      </c>
      <c r="J27" s="22">
        <f t="shared" ref="J27" si="131">I27</f>
        <v>488.851</v>
      </c>
      <c r="K27" s="22">
        <f t="shared" ref="K27" si="132">J27</f>
        <v>488.851</v>
      </c>
      <c r="L27" s="22">
        <f t="shared" ref="L27" si="133">K27</f>
        <v>488.851</v>
      </c>
      <c r="M27" s="22">
        <f t="shared" ref="M27" si="134">L27</f>
        <v>488.851</v>
      </c>
      <c r="N27" s="22">
        <f t="shared" ref="N27" si="135">M27</f>
        <v>488.851</v>
      </c>
      <c r="O27" s="22">
        <f t="shared" ref="O27" si="136">N27</f>
        <v>488.851</v>
      </c>
      <c r="P27" s="22">
        <f t="shared" ref="P27:U27" si="137">O27</f>
        <v>488.851</v>
      </c>
      <c r="Q27" s="22">
        <f t="shared" si="137"/>
        <v>488.851</v>
      </c>
      <c r="R27" s="22">
        <f t="shared" si="137"/>
        <v>488.851</v>
      </c>
      <c r="S27" s="22">
        <f t="shared" si="137"/>
        <v>488.851</v>
      </c>
      <c r="T27" s="22">
        <f t="shared" si="137"/>
        <v>488.851</v>
      </c>
      <c r="U27" s="22">
        <f t="shared" si="137"/>
        <v>488.851</v>
      </c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</row>
    <row r="28" spans="1:200" x14ac:dyDescent="0.15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</row>
    <row r="29" spans="1:200" x14ac:dyDescent="0.15">
      <c r="A29" s="2" t="s">
        <v>19</v>
      </c>
      <c r="B29" s="33">
        <f t="shared" ref="B29:P29" si="138">IFERROR(B16/B14,0)</f>
        <v>0</v>
      </c>
      <c r="C29" s="33">
        <f t="shared" si="138"/>
        <v>0</v>
      </c>
      <c r="D29" s="33">
        <f t="shared" si="138"/>
        <v>0</v>
      </c>
      <c r="E29" s="33">
        <f>IFERROR(E16/E14,0)</f>
        <v>0</v>
      </c>
      <c r="F29" s="33">
        <f t="shared" si="138"/>
        <v>0</v>
      </c>
      <c r="G29" s="33">
        <f t="shared" si="138"/>
        <v>0</v>
      </c>
      <c r="H29" s="33">
        <f>IFERROR(H16/H14,0)</f>
        <v>0</v>
      </c>
      <c r="I29" s="33">
        <f t="shared" si="138"/>
        <v>0</v>
      </c>
      <c r="J29" s="33">
        <f t="shared" si="138"/>
        <v>0</v>
      </c>
      <c r="K29" s="33">
        <f t="shared" si="138"/>
        <v>0</v>
      </c>
      <c r="L29" s="33">
        <f t="shared" si="138"/>
        <v>0</v>
      </c>
      <c r="M29" s="33">
        <f t="shared" si="138"/>
        <v>0</v>
      </c>
      <c r="N29" s="33">
        <f t="shared" si="138"/>
        <v>0</v>
      </c>
      <c r="O29" s="33">
        <f t="shared" si="138"/>
        <v>0</v>
      </c>
      <c r="P29" s="33">
        <f t="shared" si="138"/>
        <v>0</v>
      </c>
      <c r="Q29" s="33">
        <f t="shared" ref="Q29:U29" si="139">IFERROR(Q16/Q14,0)</f>
        <v>0</v>
      </c>
      <c r="R29" s="33">
        <f t="shared" si="139"/>
        <v>0</v>
      </c>
      <c r="S29" s="33">
        <f t="shared" si="139"/>
        <v>0</v>
      </c>
      <c r="T29" s="33">
        <f t="shared" si="139"/>
        <v>0</v>
      </c>
      <c r="U29" s="33">
        <f t="shared" si="139"/>
        <v>0</v>
      </c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</row>
    <row r="30" spans="1:200" x14ac:dyDescent="0.15">
      <c r="A30" s="2" t="s">
        <v>20</v>
      </c>
      <c r="B30" s="35">
        <f t="shared" ref="B30:P30" si="140">IFERROR(B21/B14,0)</f>
        <v>0</v>
      </c>
      <c r="C30" s="35">
        <f t="shared" si="140"/>
        <v>0</v>
      </c>
      <c r="D30" s="35">
        <f t="shared" si="140"/>
        <v>0</v>
      </c>
      <c r="E30" s="35">
        <f>IFERROR(E21/E14,0)</f>
        <v>0</v>
      </c>
      <c r="F30" s="35">
        <f t="shared" si="140"/>
        <v>0</v>
      </c>
      <c r="G30" s="35">
        <f>IFERROR(G21/G14,0)</f>
        <v>0</v>
      </c>
      <c r="H30" s="35">
        <f t="shared" si="140"/>
        <v>0</v>
      </c>
      <c r="I30" s="35">
        <f t="shared" si="140"/>
        <v>0</v>
      </c>
      <c r="J30" s="35">
        <f t="shared" si="140"/>
        <v>0</v>
      </c>
      <c r="K30" s="35">
        <f t="shared" si="140"/>
        <v>0</v>
      </c>
      <c r="L30" s="35">
        <f t="shared" si="140"/>
        <v>0</v>
      </c>
      <c r="M30" s="35">
        <f t="shared" si="140"/>
        <v>0</v>
      </c>
      <c r="N30" s="35">
        <f t="shared" si="140"/>
        <v>0</v>
      </c>
      <c r="O30" s="35">
        <f t="shared" si="140"/>
        <v>0</v>
      </c>
      <c r="P30" s="35">
        <f t="shared" si="140"/>
        <v>0</v>
      </c>
      <c r="Q30" s="35">
        <f t="shared" ref="Q30:U30" si="141">IFERROR(Q21/Q14,0)</f>
        <v>0</v>
      </c>
      <c r="R30" s="35">
        <f t="shared" si="141"/>
        <v>0</v>
      </c>
      <c r="S30" s="35">
        <f t="shared" si="141"/>
        <v>0</v>
      </c>
      <c r="T30" s="35">
        <f t="shared" si="141"/>
        <v>0</v>
      </c>
      <c r="U30" s="35">
        <f t="shared" si="141"/>
        <v>0</v>
      </c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</row>
    <row r="31" spans="1:200" x14ac:dyDescent="0.15">
      <c r="A31" s="2" t="s">
        <v>21</v>
      </c>
      <c r="B31" s="35">
        <f t="shared" ref="B31:P31" si="142">IFERROR(B24/B23,0)</f>
        <v>-6.2276087339006012E-2</v>
      </c>
      <c r="C31" s="35">
        <f t="shared" si="142"/>
        <v>-6.0271192761193415E-2</v>
      </c>
      <c r="D31" s="35">
        <f t="shared" si="142"/>
        <v>-8.5921511488296368E-2</v>
      </c>
      <c r="E31" s="35">
        <f>IFERROR(E24/E23,0)</f>
        <v>-3.2568585783623566E-2</v>
      </c>
      <c r="F31" s="35">
        <f t="shared" si="142"/>
        <v>-3.1793290826461373E-2</v>
      </c>
      <c r="G31" s="35">
        <f t="shared" si="142"/>
        <v>0.1</v>
      </c>
      <c r="H31" s="35">
        <f t="shared" si="142"/>
        <v>0.1</v>
      </c>
      <c r="I31" s="35">
        <f t="shared" si="142"/>
        <v>0.1</v>
      </c>
      <c r="J31" s="35">
        <f t="shared" si="142"/>
        <v>0.1</v>
      </c>
      <c r="K31" s="35">
        <f t="shared" si="142"/>
        <v>0.1</v>
      </c>
      <c r="L31" s="35">
        <f t="shared" si="142"/>
        <v>0.1</v>
      </c>
      <c r="M31" s="35">
        <f t="shared" si="142"/>
        <v>0.1</v>
      </c>
      <c r="N31" s="35">
        <f t="shared" si="142"/>
        <v>0.1</v>
      </c>
      <c r="O31" s="35">
        <f t="shared" si="142"/>
        <v>0.1</v>
      </c>
      <c r="P31" s="35">
        <f t="shared" si="142"/>
        <v>0.1</v>
      </c>
      <c r="Q31" s="35">
        <f t="shared" ref="Q31:U31" si="143">IFERROR(Q24/Q23,0)</f>
        <v>0.1</v>
      </c>
      <c r="R31" s="35">
        <f t="shared" si="143"/>
        <v>0.1</v>
      </c>
      <c r="S31" s="35">
        <f t="shared" si="143"/>
        <v>0.1</v>
      </c>
      <c r="T31" s="35">
        <f t="shared" si="143"/>
        <v>0.1</v>
      </c>
      <c r="U31" s="35">
        <f t="shared" si="143"/>
        <v>0.1</v>
      </c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</row>
    <row r="32" spans="1:200" x14ac:dyDescent="0.15"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</row>
    <row r="33" spans="1:117" x14ac:dyDescent="0.15">
      <c r="A33" s="1" t="s">
        <v>18</v>
      </c>
      <c r="B33" s="25"/>
      <c r="C33" s="48" t="e">
        <f t="shared" ref="C33:U33" si="144">C14/B14-1</f>
        <v>#DIV/0!</v>
      </c>
      <c r="D33" s="48" t="e">
        <f t="shared" si="144"/>
        <v>#DIV/0!</v>
      </c>
      <c r="E33" s="48" t="e">
        <f t="shared" si="144"/>
        <v>#DIV/0!</v>
      </c>
      <c r="F33" s="48" t="e">
        <f>F14/E14-1</f>
        <v>#DIV/0!</v>
      </c>
      <c r="G33" s="48" t="e">
        <f t="shared" si="144"/>
        <v>#DIV/0!</v>
      </c>
      <c r="H33" s="48" t="e">
        <f t="shared" si="144"/>
        <v>#DIV/0!</v>
      </c>
      <c r="I33" s="48" t="e">
        <f t="shared" si="144"/>
        <v>#DIV/0!</v>
      </c>
      <c r="J33" s="48" t="e">
        <f t="shared" si="144"/>
        <v>#DIV/0!</v>
      </c>
      <c r="K33" s="48" t="e">
        <f t="shared" si="144"/>
        <v>#DIV/0!</v>
      </c>
      <c r="L33" s="48" t="e">
        <f t="shared" si="144"/>
        <v>#DIV/0!</v>
      </c>
      <c r="M33" s="48" t="e">
        <f t="shared" si="144"/>
        <v>#DIV/0!</v>
      </c>
      <c r="N33" s="48" t="e">
        <f t="shared" si="144"/>
        <v>#DIV/0!</v>
      </c>
      <c r="O33" s="48" t="e">
        <f t="shared" si="144"/>
        <v>#DIV/0!</v>
      </c>
      <c r="P33" s="48" t="e">
        <f t="shared" si="144"/>
        <v>#DIV/0!</v>
      </c>
      <c r="Q33" s="48" t="e">
        <f t="shared" si="144"/>
        <v>#DIV/0!</v>
      </c>
      <c r="R33" s="48" t="e">
        <f t="shared" si="144"/>
        <v>#DIV/0!</v>
      </c>
      <c r="S33" s="48" t="e">
        <f t="shared" si="144"/>
        <v>#DIV/0!</v>
      </c>
      <c r="T33" s="48" t="e">
        <f t="shared" si="144"/>
        <v>#DIV/0!</v>
      </c>
      <c r="U33" s="48" t="e">
        <f t="shared" si="144"/>
        <v>#DIV/0!</v>
      </c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</row>
    <row r="34" spans="1:117" x14ac:dyDescent="0.15">
      <c r="A34" s="2" t="s">
        <v>42</v>
      </c>
      <c r="B34" s="19"/>
      <c r="C34" s="35">
        <f t="shared" ref="C34:U34" si="145">C17/B17-1</f>
        <v>0.13127745644639677</v>
      </c>
      <c r="D34" s="35">
        <f t="shared" si="145"/>
        <v>0.25417551668208738</v>
      </c>
      <c r="E34" s="35">
        <f t="shared" si="145"/>
        <v>0.25632179494615825</v>
      </c>
      <c r="F34" s="35">
        <f t="shared" si="145"/>
        <v>0.25517813620910768</v>
      </c>
      <c r="G34" s="35">
        <f t="shared" si="145"/>
        <v>0.15000000000000013</v>
      </c>
      <c r="H34" s="35">
        <f t="shared" si="145"/>
        <v>0.14999999999999991</v>
      </c>
      <c r="I34" s="35">
        <f t="shared" si="145"/>
        <v>0.14999999999999991</v>
      </c>
      <c r="J34" s="35">
        <f t="shared" si="145"/>
        <v>0.14999999999999991</v>
      </c>
      <c r="K34" s="35">
        <f t="shared" si="145"/>
        <v>0.14999999999999991</v>
      </c>
      <c r="L34" s="35">
        <f t="shared" si="145"/>
        <v>0.10000000000000009</v>
      </c>
      <c r="M34" s="35">
        <f t="shared" si="145"/>
        <v>0.10000000000000009</v>
      </c>
      <c r="N34" s="35">
        <f t="shared" si="145"/>
        <v>0.10000000000000009</v>
      </c>
      <c r="O34" s="35">
        <f t="shared" si="145"/>
        <v>0.10000000000000009</v>
      </c>
      <c r="P34" s="35">
        <f t="shared" si="145"/>
        <v>0.10000000000000009</v>
      </c>
      <c r="Q34" s="35">
        <f t="shared" si="145"/>
        <v>8.0000000000000071E-2</v>
      </c>
      <c r="R34" s="35">
        <f t="shared" si="145"/>
        <v>8.0000000000000071E-2</v>
      </c>
      <c r="S34" s="35">
        <f t="shared" si="145"/>
        <v>8.0000000000000071E-2</v>
      </c>
      <c r="T34" s="35">
        <f t="shared" si="145"/>
        <v>8.0000000000000071E-2</v>
      </c>
      <c r="U34" s="35">
        <f t="shared" si="145"/>
        <v>8.0000000000000071E-2</v>
      </c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</row>
    <row r="35" spans="1:117" x14ac:dyDescent="0.15">
      <c r="A35" s="2" t="s">
        <v>43</v>
      </c>
      <c r="B35" s="19"/>
      <c r="C35" s="35">
        <f t="shared" ref="C35:U35" si="146">C18/B18-1</f>
        <v>0.13483206811617121</v>
      </c>
      <c r="D35" s="35">
        <f t="shared" si="146"/>
        <v>0.15045306845314887</v>
      </c>
      <c r="E35" s="35">
        <f t="shared" si="146"/>
        <v>0.19259125442757341</v>
      </c>
      <c r="F35" s="35">
        <f t="shared" si="146"/>
        <v>0.23790869224966604</v>
      </c>
      <c r="G35" s="35">
        <f t="shared" si="146"/>
        <v>0.17999999999999994</v>
      </c>
      <c r="H35" s="35">
        <f t="shared" si="146"/>
        <v>0.17999999999999994</v>
      </c>
      <c r="I35" s="35">
        <f t="shared" si="146"/>
        <v>0.17999999999999994</v>
      </c>
      <c r="J35" s="35">
        <f t="shared" si="146"/>
        <v>0.17999999999999994</v>
      </c>
      <c r="K35" s="35">
        <f t="shared" si="146"/>
        <v>0.17999999999999994</v>
      </c>
      <c r="L35" s="35">
        <f t="shared" si="146"/>
        <v>5.0000000000000044E-2</v>
      </c>
      <c r="M35" s="35">
        <f t="shared" si="146"/>
        <v>5.0000000000000044E-2</v>
      </c>
      <c r="N35" s="35">
        <f t="shared" si="146"/>
        <v>5.0000000000000044E-2</v>
      </c>
      <c r="O35" s="35">
        <f t="shared" si="146"/>
        <v>5.0000000000000044E-2</v>
      </c>
      <c r="P35" s="35">
        <f t="shared" si="146"/>
        <v>5.0000000000000044E-2</v>
      </c>
      <c r="Q35" s="35">
        <f t="shared" si="146"/>
        <v>-2.0000000000000018E-2</v>
      </c>
      <c r="R35" s="35">
        <f t="shared" si="146"/>
        <v>-2.0000000000000018E-2</v>
      </c>
      <c r="S35" s="35">
        <f t="shared" si="146"/>
        <v>-2.0000000000000129E-2</v>
      </c>
      <c r="T35" s="35">
        <f t="shared" si="146"/>
        <v>-2.0000000000000018E-2</v>
      </c>
      <c r="U35" s="35">
        <f t="shared" si="146"/>
        <v>-2.0000000000000018E-2</v>
      </c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</row>
    <row r="36" spans="1:117" x14ac:dyDescent="0.15">
      <c r="A36" s="2" t="s">
        <v>44</v>
      </c>
      <c r="B36" s="19"/>
      <c r="C36" s="35">
        <f t="shared" ref="C36:U36" si="147">C19/B19-1</f>
        <v>8.7371933163602034E-2</v>
      </c>
      <c r="D36" s="35">
        <f>D19/C19-1</f>
        <v>7.1069866327801989E-2</v>
      </c>
      <c r="E36" s="35">
        <f t="shared" si="147"/>
        <v>0.19212483672433378</v>
      </c>
      <c r="F36" s="35">
        <f t="shared" si="147"/>
        <v>0.26301706102519273</v>
      </c>
      <c r="G36" s="35">
        <f t="shared" si="147"/>
        <v>0.14999999999999991</v>
      </c>
      <c r="H36" s="35">
        <f t="shared" si="147"/>
        <v>0.14999999999999991</v>
      </c>
      <c r="I36" s="35">
        <f t="shared" si="147"/>
        <v>0.14999999999999991</v>
      </c>
      <c r="J36" s="35">
        <f t="shared" si="147"/>
        <v>0.14999999999999991</v>
      </c>
      <c r="K36" s="35">
        <f t="shared" si="147"/>
        <v>0.14999999999999991</v>
      </c>
      <c r="L36" s="35">
        <f t="shared" si="147"/>
        <v>5.0000000000000044E-2</v>
      </c>
      <c r="M36" s="35">
        <f t="shared" si="147"/>
        <v>5.0000000000000044E-2</v>
      </c>
      <c r="N36" s="35">
        <f t="shared" si="147"/>
        <v>5.0000000000000044E-2</v>
      </c>
      <c r="O36" s="35">
        <f t="shared" si="147"/>
        <v>5.0000000000000044E-2</v>
      </c>
      <c r="P36" s="35">
        <f t="shared" si="147"/>
        <v>5.0000000000000044E-2</v>
      </c>
      <c r="Q36" s="35">
        <f t="shared" si="147"/>
        <v>-1.9999999999999907E-2</v>
      </c>
      <c r="R36" s="35">
        <f t="shared" si="147"/>
        <v>-1.9999999999999907E-2</v>
      </c>
      <c r="S36" s="35">
        <f t="shared" si="147"/>
        <v>-2.0000000000000018E-2</v>
      </c>
      <c r="T36" s="35">
        <f t="shared" si="147"/>
        <v>-2.0000000000000018E-2</v>
      </c>
      <c r="U36" s="35">
        <f t="shared" si="147"/>
        <v>-1.9999999999999907E-2</v>
      </c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</row>
    <row r="37" spans="1:117" x14ac:dyDescent="0.15">
      <c r="A37" s="5" t="s">
        <v>72</v>
      </c>
      <c r="B37" s="19"/>
      <c r="C37" s="44">
        <f>C20/B20-1</f>
        <v>0.12478038333610231</v>
      </c>
      <c r="D37" s="44">
        <f>D20/C20-1</f>
        <v>0.16436378116421713</v>
      </c>
      <c r="E37" s="44">
        <f>E20/D20-1</f>
        <v>0.21143296775900744</v>
      </c>
      <c r="F37" s="44">
        <f t="shared" ref="F37:U37" si="148">F20/E20-1</f>
        <v>0.24742844329120839</v>
      </c>
      <c r="G37" s="44">
        <f t="shared" si="148"/>
        <v>0.1656217153287014</v>
      </c>
      <c r="H37" s="44">
        <f t="shared" si="148"/>
        <v>0.16581441375486849</v>
      </c>
      <c r="I37" s="44">
        <f t="shared" si="148"/>
        <v>0.16600684295079282</v>
      </c>
      <c r="J37" s="44">
        <f t="shared" si="148"/>
        <v>0.16619893982280209</v>
      </c>
      <c r="K37" s="44">
        <f t="shared" si="148"/>
        <v>0.16639064171487838</v>
      </c>
      <c r="L37" s="44">
        <f>L20/K20-1</f>
        <v>6.4455834445858118E-2</v>
      </c>
      <c r="M37" s="44">
        <f t="shared" si="148"/>
        <v>6.4938541718569498E-2</v>
      </c>
      <c r="N37" s="44">
        <f t="shared" si="148"/>
        <v>6.5430370154420325E-2</v>
      </c>
      <c r="O37" s="44">
        <f t="shared" si="148"/>
        <v>6.5931033735599831E-2</v>
      </c>
      <c r="P37" s="44">
        <f t="shared" si="148"/>
        <v>6.6440216631788562E-2</v>
      </c>
      <c r="Q37" s="44">
        <f t="shared" si="148"/>
        <v>1.391514688387141E-2</v>
      </c>
      <c r="R37" s="44">
        <f t="shared" si="148"/>
        <v>1.6125664703948273E-2</v>
      </c>
      <c r="S37" s="44">
        <f t="shared" si="148"/>
        <v>1.8396548021087034E-2</v>
      </c>
      <c r="T37" s="44">
        <f t="shared" si="148"/>
        <v>2.07191795213304E-2</v>
      </c>
      <c r="U37" s="44">
        <f t="shared" si="148"/>
        <v>2.308404776293127E-2</v>
      </c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</row>
    <row r="38" spans="1:117" x14ac:dyDescent="0.15">
      <c r="B38" s="19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</row>
    <row r="39" spans="1:117" x14ac:dyDescent="0.15">
      <c r="A39" s="1" t="s">
        <v>26</v>
      </c>
      <c r="B39" s="23">
        <f>B40-B41</f>
        <v>2080.8530000000001</v>
      </c>
      <c r="C39" s="23">
        <f>C40-C41</f>
        <v>2859.232</v>
      </c>
      <c r="D39" s="23">
        <f>D40-D41</f>
        <v>3938.3530000000001</v>
      </c>
      <c r="E39" s="23">
        <f>E40-E41</f>
        <v>-895.83800000000019</v>
      </c>
      <c r="F39" s="23">
        <f>F40-F41</f>
        <v>38.709000000000742</v>
      </c>
      <c r="G39" s="49">
        <f>F39+G25</f>
        <v>-6496.7135669999989</v>
      </c>
      <c r="H39" s="49">
        <f>G39+H25</f>
        <v>-14233.556534976</v>
      </c>
      <c r="I39" s="49">
        <f t="shared" ref="I39:U39" si="149">H39+I25</f>
        <v>-23374.618571536666</v>
      </c>
      <c r="J39" s="49">
        <f t="shared" si="149"/>
        <v>-34156.873707977895</v>
      </c>
      <c r="K39" s="49">
        <f t="shared" si="149"/>
        <v>-46857.268068049816</v>
      </c>
      <c r="L39" s="49">
        <f t="shared" si="149"/>
        <v>-60565.255066528567</v>
      </c>
      <c r="M39" s="49">
        <f t="shared" si="149"/>
        <v>-75355.391348727659</v>
      </c>
      <c r="N39" s="49">
        <f t="shared" si="149"/>
        <v>-91308.143648549943</v>
      </c>
      <c r="O39" s="49">
        <f t="shared" si="149"/>
        <v>-108510.39828053919</v>
      </c>
      <c r="P39" s="49">
        <f t="shared" si="149"/>
        <v>-127056.01742901218</v>
      </c>
      <c r="Q39" s="49">
        <f t="shared" si="149"/>
        <v>-146166.343850312</v>
      </c>
      <c r="R39" s="49">
        <f t="shared" si="149"/>
        <v>-165891.94333420589</v>
      </c>
      <c r="S39" s="49">
        <f t="shared" si="149"/>
        <v>-186287.08533601329</v>
      </c>
      <c r="T39" s="49">
        <f t="shared" si="149"/>
        <v>-207410.04189316017</v>
      </c>
      <c r="U39" s="49">
        <f t="shared" si="149"/>
        <v>-229323.41032683596</v>
      </c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</row>
    <row r="40" spans="1:117" x14ac:dyDescent="0.15">
      <c r="A40" s="2" t="s">
        <v>27</v>
      </c>
      <c r="B40" s="50">
        <f>Reports!E32</f>
        <v>3988.0839999999998</v>
      </c>
      <c r="C40" s="50">
        <f>Reports!I32</f>
        <v>4761.3</v>
      </c>
      <c r="D40" s="50">
        <f>Reports!M32</f>
        <v>5819.7740000000003</v>
      </c>
      <c r="E40" s="50">
        <f>Reports!Q32</f>
        <v>3228.962</v>
      </c>
      <c r="F40" s="50">
        <f>Reports!U32</f>
        <v>4176.9760000000006</v>
      </c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22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</row>
    <row r="41" spans="1:117" x14ac:dyDescent="0.15">
      <c r="A41" s="2" t="s">
        <v>28</v>
      </c>
      <c r="B41" s="50">
        <f>Reports!E33</f>
        <v>1907.231</v>
      </c>
      <c r="C41" s="50">
        <f>Reports!I33</f>
        <v>1902.068</v>
      </c>
      <c r="D41" s="50">
        <f>Reports!M33</f>
        <v>1881.421</v>
      </c>
      <c r="E41" s="50">
        <f>Reports!Q33</f>
        <v>4124.8</v>
      </c>
      <c r="F41" s="50">
        <f>Reports!U33</f>
        <v>4138.2669999999998</v>
      </c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22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</row>
    <row r="42" spans="1:117" x14ac:dyDescent="0.15"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2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</row>
    <row r="43" spans="1:117" x14ac:dyDescent="0.15">
      <c r="A43" s="2" t="s">
        <v>56</v>
      </c>
      <c r="B43" s="53">
        <f>Reports!E35</f>
        <v>5876.8879999999999</v>
      </c>
      <c r="C43" s="53">
        <f>Reports!I35</f>
        <v>5820.8789999999999</v>
      </c>
      <c r="D43" s="53">
        <f>Reports!M35</f>
        <v>6207.2190000000001</v>
      </c>
      <c r="E43" s="50">
        <f>Reports!Q35</f>
        <v>12650.049000000001</v>
      </c>
      <c r="F43" s="50">
        <f>Reports!U35</f>
        <v>12411.764000000001</v>
      </c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W43" s="37"/>
      <c r="BX43" s="37"/>
      <c r="BY43" s="37"/>
      <c r="BZ43" s="37"/>
      <c r="CA43" s="37"/>
      <c r="CB43" s="37"/>
      <c r="CC43" s="37"/>
      <c r="CD43" s="37"/>
      <c r="CE43" s="37"/>
      <c r="CF43" s="37"/>
      <c r="CG43" s="37"/>
      <c r="CH43" s="37"/>
      <c r="CI43" s="37"/>
      <c r="CJ43" s="37"/>
      <c r="CK43" s="37"/>
      <c r="CL43" s="37"/>
      <c r="CM43" s="37"/>
      <c r="CN43" s="37"/>
      <c r="CO43" s="37"/>
      <c r="CP43" s="37"/>
      <c r="CQ43" s="37"/>
      <c r="CR43" s="37"/>
      <c r="CS43" s="37"/>
      <c r="CT43" s="37"/>
      <c r="CU43" s="37"/>
      <c r="CV43" s="37"/>
      <c r="CW43" s="37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  <c r="DK43" s="37"/>
      <c r="DL43" s="37"/>
      <c r="DM43" s="37"/>
    </row>
    <row r="44" spans="1:117" x14ac:dyDescent="0.15">
      <c r="A44" s="2" t="s">
        <v>57</v>
      </c>
      <c r="B44" s="53">
        <f>Reports!E36</f>
        <v>11726.472</v>
      </c>
      <c r="C44" s="53">
        <f>Reports!I36</f>
        <v>12707.114</v>
      </c>
      <c r="D44" s="53">
        <f>Reports!M36</f>
        <v>14535.556</v>
      </c>
      <c r="E44" s="50">
        <f>Reports!Q36</f>
        <v>18768.682000000001</v>
      </c>
      <c r="F44" s="50">
        <f>Reports!U36</f>
        <v>20762.400000000001</v>
      </c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  <c r="CW44" s="37"/>
      <c r="CX44" s="37"/>
      <c r="CY44" s="37"/>
      <c r="CZ44" s="37"/>
      <c r="DA44" s="37"/>
      <c r="DB44" s="37"/>
      <c r="DC44" s="37"/>
      <c r="DD44" s="37"/>
      <c r="DE44" s="37"/>
      <c r="DF44" s="37"/>
      <c r="DG44" s="37"/>
      <c r="DH44" s="37"/>
      <c r="DI44" s="37"/>
      <c r="DJ44" s="37"/>
      <c r="DK44" s="37"/>
      <c r="DL44" s="37"/>
      <c r="DM44" s="37"/>
    </row>
    <row r="45" spans="1:117" x14ac:dyDescent="0.15">
      <c r="A45" s="2" t="s">
        <v>58</v>
      </c>
      <c r="B45" s="53">
        <f>Reports!E37</f>
        <v>4724.8919999999998</v>
      </c>
      <c r="C45" s="53">
        <f>Reports!I37</f>
        <v>5282.2790000000005</v>
      </c>
      <c r="D45" s="53">
        <f>Reports!M37</f>
        <v>6075.6869999999999</v>
      </c>
      <c r="E45" s="50">
        <f>Reports!Q37</f>
        <v>9406.5679999999993</v>
      </c>
      <c r="F45" s="50">
        <f>Reports!U37</f>
        <v>10232.245000000001</v>
      </c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W45" s="37"/>
      <c r="BX45" s="37"/>
      <c r="BY45" s="37"/>
      <c r="BZ45" s="37"/>
      <c r="CA45" s="37"/>
      <c r="CB45" s="37"/>
      <c r="CC45" s="37"/>
      <c r="CD45" s="37"/>
      <c r="CE45" s="37"/>
      <c r="CF45" s="37"/>
      <c r="CG45" s="37"/>
      <c r="CH45" s="37"/>
      <c r="CI45" s="37"/>
      <c r="CJ45" s="37"/>
      <c r="CK45" s="37"/>
      <c r="CL45" s="37"/>
      <c r="CM45" s="37"/>
      <c r="CN45" s="37"/>
      <c r="CO45" s="37"/>
      <c r="CP45" s="37"/>
      <c r="CQ45" s="37"/>
      <c r="CR45" s="37"/>
      <c r="CS45" s="37"/>
      <c r="CT45" s="37"/>
      <c r="CU45" s="37"/>
      <c r="CV45" s="37"/>
      <c r="CW45" s="37"/>
      <c r="CX45" s="37"/>
      <c r="CY45" s="37"/>
      <c r="CZ45" s="37"/>
      <c r="DA45" s="37"/>
      <c r="DB45" s="37"/>
      <c r="DC45" s="37"/>
      <c r="DD45" s="37"/>
      <c r="DE45" s="37"/>
      <c r="DF45" s="37"/>
      <c r="DG45" s="37"/>
      <c r="DH45" s="37"/>
      <c r="DI45" s="37"/>
      <c r="DJ45" s="37"/>
      <c r="DK45" s="37"/>
      <c r="DL45" s="37"/>
      <c r="DM45" s="37"/>
    </row>
    <row r="46" spans="1:117" x14ac:dyDescent="0.15"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</row>
    <row r="47" spans="1:117" x14ac:dyDescent="0.15">
      <c r="A47" s="2" t="s">
        <v>59</v>
      </c>
      <c r="B47" s="54">
        <f>B44-B43-B40</f>
        <v>1861.5</v>
      </c>
      <c r="C47" s="54">
        <f>C44-C43-C40</f>
        <v>2124.9349999999995</v>
      </c>
      <c r="D47" s="54">
        <f>D44-D43-D40</f>
        <v>2508.5629999999992</v>
      </c>
      <c r="E47" s="54">
        <f>E44-E43-E40</f>
        <v>2889.6709999999998</v>
      </c>
      <c r="F47" s="54">
        <f>F44-F43-F40</f>
        <v>4173.66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  <c r="CF47" s="37"/>
      <c r="CG47" s="37"/>
      <c r="CH47" s="37"/>
      <c r="CI47" s="37"/>
      <c r="CJ47" s="37"/>
      <c r="CK47" s="37"/>
      <c r="CL47" s="37"/>
      <c r="CM47" s="37"/>
      <c r="CN47" s="37"/>
      <c r="CO47" s="37"/>
      <c r="CP47" s="37"/>
      <c r="CQ47" s="37"/>
      <c r="CR47" s="37"/>
      <c r="CS47" s="37"/>
      <c r="CT47" s="37"/>
      <c r="CU47" s="37"/>
      <c r="CV47" s="37"/>
      <c r="CW47" s="37"/>
      <c r="CX47" s="37"/>
      <c r="CY47" s="37"/>
      <c r="CZ47" s="37"/>
      <c r="DA47" s="37"/>
      <c r="DB47" s="37"/>
      <c r="DC47" s="37"/>
      <c r="DD47" s="37"/>
      <c r="DE47" s="37"/>
      <c r="DF47" s="37"/>
      <c r="DG47" s="37"/>
      <c r="DH47" s="37"/>
      <c r="DI47" s="37"/>
      <c r="DJ47" s="37"/>
      <c r="DK47" s="37"/>
      <c r="DL47" s="37"/>
      <c r="DM47" s="37"/>
    </row>
    <row r="48" spans="1:117" x14ac:dyDescent="0.15">
      <c r="A48" s="2" t="s">
        <v>60</v>
      </c>
      <c r="B48" s="54">
        <f>B44-B45</f>
        <v>7001.58</v>
      </c>
      <c r="C48" s="54">
        <f>C44-C45</f>
        <v>7424.8349999999991</v>
      </c>
      <c r="D48" s="54">
        <f>D44-D45</f>
        <v>8459.8690000000006</v>
      </c>
      <c r="E48" s="54">
        <f>E44-E45</f>
        <v>9362.1140000000014</v>
      </c>
      <c r="F48" s="54">
        <f>F44-F45</f>
        <v>10530.155000000001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  <c r="CE48" s="37"/>
      <c r="CF48" s="37"/>
      <c r="CG48" s="37"/>
      <c r="CH48" s="37"/>
      <c r="CI48" s="37"/>
      <c r="CJ48" s="37"/>
      <c r="CK48" s="37"/>
      <c r="CL48" s="37"/>
      <c r="CM48" s="37"/>
      <c r="CN48" s="37"/>
      <c r="CO48" s="37"/>
      <c r="CP48" s="37"/>
      <c r="CQ48" s="37"/>
      <c r="CR48" s="37"/>
      <c r="CS48" s="37"/>
      <c r="CT48" s="37"/>
      <c r="CU48" s="37"/>
      <c r="CV48" s="37"/>
      <c r="CW48" s="37"/>
      <c r="CX48" s="37"/>
      <c r="CY48" s="37"/>
      <c r="CZ48" s="37"/>
      <c r="DA48" s="37"/>
      <c r="DB48" s="37"/>
      <c r="DC48" s="37"/>
      <c r="DD48" s="37"/>
      <c r="DE48" s="37"/>
      <c r="DF48" s="37"/>
      <c r="DG48" s="37"/>
      <c r="DH48" s="37"/>
      <c r="DI48" s="37"/>
      <c r="DJ48" s="37"/>
      <c r="DK48" s="37"/>
      <c r="DL48" s="37"/>
      <c r="DM48" s="37"/>
    </row>
    <row r="49" spans="1:117" x14ac:dyDescent="0.15"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</row>
    <row r="50" spans="1:117" x14ac:dyDescent="0.15">
      <c r="A50" s="17" t="s">
        <v>62</v>
      </c>
      <c r="B50" s="55">
        <f>B25/B48</f>
        <v>-0.59500284221561406</v>
      </c>
      <c r="C50" s="55">
        <f>C25/C48</f>
        <v>-0.63107772765320724</v>
      </c>
      <c r="D50" s="55">
        <f>D25/D48</f>
        <v>-0.66284135132588917</v>
      </c>
      <c r="E50" s="55">
        <f>E25/E48</f>
        <v>-0.6877970082398055</v>
      </c>
      <c r="F50" s="55">
        <f>F25/F48</f>
        <v>-0.78059990569939375</v>
      </c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</row>
    <row r="51" spans="1:117" x14ac:dyDescent="0.15">
      <c r="A51" s="17" t="s">
        <v>63</v>
      </c>
      <c r="B51" s="55">
        <f>B25/B44</f>
        <v>-0.35526115612607095</v>
      </c>
      <c r="C51" s="55">
        <f>C25/C44</f>
        <v>-0.36874210776734989</v>
      </c>
      <c r="D51" s="55">
        <f>D25/D44</f>
        <v>-0.38578166531779035</v>
      </c>
      <c r="E51" s="55">
        <f>E25/E44</f>
        <v>-0.34308397361093335</v>
      </c>
      <c r="F51" s="55">
        <f>F25/F44</f>
        <v>-0.39590018494971674</v>
      </c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</row>
    <row r="52" spans="1:117" x14ac:dyDescent="0.15">
      <c r="A52" s="17" t="s">
        <v>64</v>
      </c>
      <c r="B52" s="55">
        <f>B25/(B48-B43)</f>
        <v>-3.70408965298944</v>
      </c>
      <c r="C52" s="55">
        <f>C25/(C48-C43)</f>
        <v>-2.9213070682736948</v>
      </c>
      <c r="D52" s="55">
        <f>D25/(D48-D43)</f>
        <v>-2.4893130313186682</v>
      </c>
      <c r="E52" s="55">
        <f>E25/(E48-E43)</f>
        <v>1.9584432173993709</v>
      </c>
      <c r="F52" s="55">
        <f>F25/(F48-F43)</f>
        <v>4.3685154567181588</v>
      </c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</row>
    <row r="53" spans="1:117" x14ac:dyDescent="0.15">
      <c r="A53" s="17" t="s">
        <v>65</v>
      </c>
      <c r="B53" s="55">
        <f>B25/B47</f>
        <v>-2.2379586355089978</v>
      </c>
      <c r="C53" s="55">
        <f>C25/C47</f>
        <v>-2.2050782729824685</v>
      </c>
      <c r="D53" s="55">
        <f>D25/D47</f>
        <v>-2.235363831803308</v>
      </c>
      <c r="E53" s="55">
        <f>E25/E47</f>
        <v>-2.2283623291371231</v>
      </c>
      <c r="F53" s="55">
        <f>F25/F47</f>
        <v>-1.9694555857448859</v>
      </c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</row>
    <row r="54" spans="1:117" x14ac:dyDescent="0.15"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</row>
    <row r="55" spans="1:117" x14ac:dyDescent="0.15">
      <c r="A55" s="2" t="s">
        <v>84</v>
      </c>
      <c r="B55" s="55" t="e">
        <f>(B43/B27)/$C$2</f>
        <v>#DIV/0!</v>
      </c>
      <c r="C55" s="55" t="e">
        <f t="shared" ref="C55:E55" si="150">(C43/C27)/$C$2</f>
        <v>#DIV/0!</v>
      </c>
      <c r="D55" s="55" t="e">
        <f t="shared" si="150"/>
        <v>#DIV/0!</v>
      </c>
      <c r="E55" s="55" t="e">
        <f t="shared" si="150"/>
        <v>#DIV/0!</v>
      </c>
      <c r="F55" s="55" t="e">
        <f>(F43/F27)/$C$2</f>
        <v>#DIV/0!</v>
      </c>
      <c r="G55" s="57" t="s">
        <v>85</v>
      </c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</row>
    <row r="56" spans="1:117" x14ac:dyDescent="0.15">
      <c r="B56" s="55"/>
      <c r="C56" s="55"/>
      <c r="D56" s="55"/>
      <c r="E56" s="55"/>
      <c r="F56" s="55"/>
      <c r="G56" s="57"/>
      <c r="H56" s="38"/>
      <c r="I56" s="38"/>
      <c r="J56" s="38"/>
      <c r="K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</row>
    <row r="57" spans="1:117" x14ac:dyDescent="0.15">
      <c r="A57" s="2" t="s">
        <v>89</v>
      </c>
      <c r="B57" s="55">
        <f t="shared" ref="B57:K57" si="151">B25/B17-1</f>
        <v>-5.8288108678265491</v>
      </c>
      <c r="C57" s="55">
        <f t="shared" si="151"/>
        <v>-5.8009327993098276</v>
      </c>
      <c r="D57" s="55">
        <f t="shared" si="151"/>
        <v>-5.581111694779417</v>
      </c>
      <c r="E57" s="55">
        <f t="shared" si="151"/>
        <v>-5.1872699653793832</v>
      </c>
      <c r="F57" s="55">
        <f t="shared" si="151"/>
        <v>-5.2584803453270803</v>
      </c>
      <c r="G57" s="55">
        <f t="shared" si="151"/>
        <v>-3.944199413342564</v>
      </c>
      <c r="H57" s="55">
        <f t="shared" si="151"/>
        <v>-4.0308154348111866</v>
      </c>
      <c r="I57" s="55">
        <f t="shared" si="151"/>
        <v>-4.1138273150666382</v>
      </c>
      <c r="J57" s="55">
        <f t="shared" si="151"/>
        <v>-4.1938140826225849</v>
      </c>
      <c r="K57" s="55">
        <f t="shared" si="151"/>
        <v>-4.2712926166967682</v>
      </c>
      <c r="L57" s="57" t="s">
        <v>91</v>
      </c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</row>
    <row r="58" spans="1:117" x14ac:dyDescent="0.15">
      <c r="A58" s="2" t="s">
        <v>90</v>
      </c>
      <c r="B58" s="58" t="str">
        <f t="shared" ref="B58:K58" si="152">ROUND($C$4/B17,0)&amp;"x"</f>
        <v>0x</v>
      </c>
      <c r="C58" s="58" t="str">
        <f t="shared" si="152"/>
        <v>0x</v>
      </c>
      <c r="D58" s="58" t="str">
        <f t="shared" si="152"/>
        <v>0x</v>
      </c>
      <c r="E58" s="58" t="str">
        <f t="shared" si="152"/>
        <v>0x</v>
      </c>
      <c r="F58" s="58" t="str">
        <f t="shared" si="152"/>
        <v>0x</v>
      </c>
      <c r="G58" s="58" t="str">
        <f t="shared" si="152"/>
        <v>0x</v>
      </c>
      <c r="H58" s="58" t="str">
        <f t="shared" si="152"/>
        <v>0x</v>
      </c>
      <c r="I58" s="58" t="str">
        <f t="shared" si="152"/>
        <v>0x</v>
      </c>
      <c r="J58" s="58" t="str">
        <f t="shared" si="152"/>
        <v>0x</v>
      </c>
      <c r="K58" s="58" t="str">
        <f t="shared" si="152"/>
        <v>0x</v>
      </c>
      <c r="L58" s="57" t="s">
        <v>92</v>
      </c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</row>
    <row r="59" spans="1:117" x14ac:dyDescent="0.15"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</row>
    <row r="60" spans="1:117" x14ac:dyDescent="0.15">
      <c r="A60" s="5" t="s">
        <v>69</v>
      </c>
      <c r="B60" s="38"/>
      <c r="C60" s="55" t="e">
        <f>C10/B10-1</f>
        <v>#DIV/0!</v>
      </c>
      <c r="D60" s="55" t="e">
        <f t="shared" ref="D60:F60" si="153">D10/C10-1</f>
        <v>#DIV/0!</v>
      </c>
      <c r="E60" s="55" t="e">
        <f t="shared" si="153"/>
        <v>#DIV/0!</v>
      </c>
      <c r="F60" s="55" t="e">
        <f t="shared" si="153"/>
        <v>#DIV/0!</v>
      </c>
      <c r="G60" s="55" t="e">
        <f t="shared" ref="G60:K62" si="154">G10/F10-1</f>
        <v>#DIV/0!</v>
      </c>
      <c r="H60" s="55" t="e">
        <f t="shared" si="154"/>
        <v>#DIV/0!</v>
      </c>
      <c r="I60" s="55" t="e">
        <f t="shared" si="154"/>
        <v>#DIV/0!</v>
      </c>
      <c r="J60" s="55" t="e">
        <f t="shared" si="154"/>
        <v>#DIV/0!</v>
      </c>
      <c r="K60" s="55" t="e">
        <f t="shared" si="154"/>
        <v>#DIV/0!</v>
      </c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  <c r="CU60" s="38"/>
      <c r="CV60" s="38"/>
      <c r="CW60" s="38"/>
      <c r="CX60" s="38"/>
      <c r="CY60" s="38"/>
      <c r="CZ60" s="38"/>
      <c r="DA60" s="38"/>
      <c r="DB60" s="38"/>
      <c r="DC60" s="38"/>
      <c r="DD60" s="38"/>
      <c r="DE60" s="38"/>
      <c r="DF60" s="38"/>
      <c r="DG60" s="38"/>
      <c r="DH60" s="38"/>
      <c r="DI60" s="38"/>
      <c r="DJ60" s="38"/>
      <c r="DK60" s="38"/>
      <c r="DL60" s="38"/>
      <c r="DM60" s="38"/>
    </row>
    <row r="61" spans="1:117" x14ac:dyDescent="0.15">
      <c r="A61" s="5" t="s">
        <v>70</v>
      </c>
      <c r="B61" s="38"/>
      <c r="C61" s="55" t="e">
        <f t="shared" ref="C61:F61" si="155">C11/B11-1</f>
        <v>#DIV/0!</v>
      </c>
      <c r="D61" s="55" t="e">
        <f t="shared" si="155"/>
        <v>#DIV/0!</v>
      </c>
      <c r="E61" s="55" t="e">
        <f t="shared" si="155"/>
        <v>#DIV/0!</v>
      </c>
      <c r="F61" s="55" t="e">
        <f t="shared" si="155"/>
        <v>#DIV/0!</v>
      </c>
      <c r="G61" s="55" t="e">
        <f t="shared" si="154"/>
        <v>#DIV/0!</v>
      </c>
      <c r="H61" s="55" t="e">
        <f t="shared" si="154"/>
        <v>#DIV/0!</v>
      </c>
      <c r="I61" s="55" t="e">
        <f t="shared" si="154"/>
        <v>#DIV/0!</v>
      </c>
      <c r="J61" s="55" t="e">
        <f t="shared" si="154"/>
        <v>#DIV/0!</v>
      </c>
      <c r="K61" s="55" t="e">
        <f t="shared" si="154"/>
        <v>#DIV/0!</v>
      </c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  <c r="CU61" s="38"/>
      <c r="CV61" s="38"/>
      <c r="CW61" s="38"/>
      <c r="CX61" s="38"/>
      <c r="CY61" s="38"/>
      <c r="CZ61" s="38"/>
      <c r="DA61" s="38"/>
      <c r="DB61" s="38"/>
      <c r="DC61" s="38"/>
      <c r="DD61" s="38"/>
      <c r="DE61" s="38"/>
      <c r="DF61" s="38"/>
      <c r="DG61" s="38"/>
      <c r="DH61" s="38"/>
      <c r="DI61" s="38"/>
      <c r="DJ61" s="38"/>
      <c r="DK61" s="38"/>
      <c r="DL61" s="38"/>
      <c r="DM61" s="38"/>
    </row>
    <row r="62" spans="1:117" x14ac:dyDescent="0.15">
      <c r="A62" s="5" t="s">
        <v>71</v>
      </c>
      <c r="B62" s="38"/>
      <c r="C62" s="55" t="e">
        <f t="shared" ref="C62:F62" si="156">C12/B12-1</f>
        <v>#DIV/0!</v>
      </c>
      <c r="D62" s="55" t="e">
        <f t="shared" si="156"/>
        <v>#DIV/0!</v>
      </c>
      <c r="E62" s="55" t="e">
        <f t="shared" si="156"/>
        <v>#DIV/0!</v>
      </c>
      <c r="F62" s="55" t="e">
        <f t="shared" si="156"/>
        <v>#DIV/0!</v>
      </c>
      <c r="G62" s="55" t="e">
        <f t="shared" si="154"/>
        <v>#DIV/0!</v>
      </c>
      <c r="H62" s="55" t="e">
        <f t="shared" si="154"/>
        <v>#DIV/0!</v>
      </c>
      <c r="I62" s="55" t="e">
        <f t="shared" si="154"/>
        <v>#DIV/0!</v>
      </c>
      <c r="J62" s="55" t="e">
        <f t="shared" si="154"/>
        <v>#DIV/0!</v>
      </c>
      <c r="K62" s="55" t="e">
        <f t="shared" si="154"/>
        <v>#DIV/0!</v>
      </c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</row>
  </sheetData>
  <hyperlinks>
    <hyperlink ref="A1" r:id="rId1" xr:uid="{00000000-0004-0000-0000-000000000000}"/>
    <hyperlink ref="L4" r:id="rId2" xr:uid="{CBCA994A-BC74-CB48-8009-AD2DE8254A02}"/>
    <hyperlink ref="A4" r:id="rId3" xr:uid="{492C2604-E278-3C45-9F6B-DAAE5DE8EB46}"/>
    <hyperlink ref="A7" r:id="rId4" xr:uid="{7EEAE841-DAE3-BF44-B53D-1AF3BAEF6451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0"/>
  <sheetViews>
    <sheetView tabSelected="1" zoomScale="125" zoomScaleNormal="125" workbookViewId="0">
      <pane xSplit="1" ySplit="2" topLeftCell="P3" activePane="bottomRight" state="frozen"/>
      <selection pane="topRight" activeCell="B1" sqref="B1"/>
      <selection pane="bottomLeft" activeCell="A3" sqref="A3"/>
      <selection pane="bottomRight" activeCell="AA21" sqref="AA21"/>
    </sheetView>
  </sheetViews>
  <sheetFormatPr baseColWidth="10" defaultRowHeight="13" x14ac:dyDescent="0.15"/>
  <cols>
    <col min="1" max="1" width="20.33203125" style="73" bestFit="1" customWidth="1"/>
    <col min="2" max="5" width="10.83203125" style="19" customWidth="1"/>
    <col min="6" max="6" width="10.83203125" style="20" customWidth="1"/>
    <col min="7" max="8" width="10.83203125" style="19" customWidth="1"/>
    <col min="9" max="9" width="10.83203125" style="19"/>
    <col min="10" max="10" width="10.83203125" style="20"/>
    <col min="11" max="13" width="10.83203125" style="19"/>
    <col min="14" max="14" width="10.83203125" style="20"/>
    <col min="15" max="17" width="10.83203125" style="19"/>
    <col min="18" max="18" width="10.83203125" style="20"/>
    <col min="19" max="21" width="10.83203125" style="19"/>
    <col min="22" max="22" width="10.83203125" style="20"/>
    <col min="23" max="25" width="10.83203125" style="19"/>
    <col min="26" max="16384" width="10.83203125" style="5"/>
  </cols>
  <sheetData>
    <row r="1" spans="1:29" s="19" customFormat="1" x14ac:dyDescent="0.15">
      <c r="A1" s="67" t="s">
        <v>45</v>
      </c>
      <c r="B1" s="19" t="s">
        <v>38</v>
      </c>
      <c r="C1" s="19" t="s">
        <v>39</v>
      </c>
      <c r="D1" s="19" t="s">
        <v>40</v>
      </c>
      <c r="E1" s="19" t="s">
        <v>41</v>
      </c>
      <c r="F1" s="20" t="s">
        <v>22</v>
      </c>
      <c r="G1" s="19" t="s">
        <v>23</v>
      </c>
      <c r="H1" s="19" t="s">
        <v>24</v>
      </c>
      <c r="I1" s="19" t="s">
        <v>25</v>
      </c>
      <c r="J1" s="21" t="s">
        <v>0</v>
      </c>
      <c r="K1" s="22" t="s">
        <v>1</v>
      </c>
      <c r="L1" s="22" t="s">
        <v>2</v>
      </c>
      <c r="M1" s="22" t="s">
        <v>3</v>
      </c>
      <c r="N1" s="21" t="s">
        <v>34</v>
      </c>
      <c r="O1" s="22" t="s">
        <v>35</v>
      </c>
      <c r="P1" s="22" t="s">
        <v>36</v>
      </c>
      <c r="Q1" s="22" t="s">
        <v>37</v>
      </c>
      <c r="R1" s="21" t="s">
        <v>52</v>
      </c>
      <c r="S1" s="22" t="s">
        <v>53</v>
      </c>
      <c r="T1" s="22" t="s">
        <v>54</v>
      </c>
      <c r="U1" s="22" t="s">
        <v>55</v>
      </c>
      <c r="V1" s="21" t="s">
        <v>73</v>
      </c>
      <c r="W1" s="22" t="s">
        <v>93</v>
      </c>
      <c r="X1" s="22" t="s">
        <v>94</v>
      </c>
      <c r="Y1" s="22" t="s">
        <v>74</v>
      </c>
      <c r="Z1" s="19" t="s">
        <v>98</v>
      </c>
      <c r="AA1" s="19" t="s">
        <v>99</v>
      </c>
      <c r="AB1" s="19" t="s">
        <v>100</v>
      </c>
      <c r="AC1" s="19" t="s">
        <v>101</v>
      </c>
    </row>
    <row r="2" spans="1:29" s="19" customFormat="1" x14ac:dyDescent="0.15">
      <c r="A2" s="68"/>
      <c r="F2" s="20"/>
      <c r="J2" s="20"/>
      <c r="N2" s="20"/>
      <c r="R2" s="20"/>
      <c r="V2" s="60"/>
      <c r="W2" s="59"/>
      <c r="X2" s="59">
        <v>43861</v>
      </c>
      <c r="Y2" s="59">
        <v>43951</v>
      </c>
      <c r="Z2" s="59">
        <v>44043</v>
      </c>
      <c r="AA2" s="59">
        <v>44135</v>
      </c>
    </row>
    <row r="3" spans="1:29" s="7" customFormat="1" x14ac:dyDescent="0.15">
      <c r="A3" s="69" t="s">
        <v>68</v>
      </c>
      <c r="B3" s="22"/>
      <c r="C3" s="22"/>
      <c r="D3" s="22"/>
      <c r="E3" s="22"/>
      <c r="F3" s="21"/>
      <c r="G3" s="22"/>
      <c r="H3" s="22"/>
      <c r="I3" s="22"/>
      <c r="J3" s="21"/>
      <c r="K3" s="22"/>
      <c r="L3" s="22"/>
      <c r="M3" s="22"/>
      <c r="N3" s="21"/>
      <c r="O3" s="22"/>
      <c r="P3" s="22"/>
      <c r="Q3" s="22"/>
      <c r="R3" s="21"/>
      <c r="S3" s="22"/>
      <c r="T3" s="22"/>
      <c r="U3" s="22"/>
      <c r="V3" s="21"/>
      <c r="W3" s="22"/>
      <c r="X3" s="22">
        <v>34.628999999999998</v>
      </c>
      <c r="Y3" s="22">
        <v>36.767000000000003</v>
      </c>
      <c r="Z3" s="7">
        <v>35.695</v>
      </c>
      <c r="AA3" s="7">
        <v>35.853999999999999</v>
      </c>
    </row>
    <row r="4" spans="1:29" s="7" customFormat="1" x14ac:dyDescent="0.15">
      <c r="A4" s="69" t="s">
        <v>97</v>
      </c>
      <c r="B4" s="22"/>
      <c r="C4" s="22"/>
      <c r="D4" s="22"/>
      <c r="E4" s="22"/>
      <c r="F4" s="21"/>
      <c r="G4" s="22"/>
      <c r="H4" s="22"/>
      <c r="I4" s="22"/>
      <c r="J4" s="21"/>
      <c r="K4" s="22"/>
      <c r="L4" s="22"/>
      <c r="M4" s="22"/>
      <c r="N4" s="21"/>
      <c r="O4" s="22"/>
      <c r="P4" s="22"/>
      <c r="Q4" s="22"/>
      <c r="R4" s="21"/>
      <c r="S4" s="22"/>
      <c r="T4" s="22"/>
      <c r="U4" s="22"/>
      <c r="V4" s="21"/>
      <c r="W4" s="22"/>
      <c r="X4" s="22">
        <v>6.6539999999999999</v>
      </c>
      <c r="Y4" s="22">
        <v>4.851</v>
      </c>
      <c r="Z4" s="7">
        <v>4.7880000000000003</v>
      </c>
      <c r="AA4" s="7">
        <v>5.4870000000000001</v>
      </c>
    </row>
    <row r="5" spans="1:29" s="22" customFormat="1" x14ac:dyDescent="0.15">
      <c r="A5" s="69"/>
      <c r="F5" s="21"/>
      <c r="J5" s="21"/>
      <c r="N5" s="21"/>
      <c r="R5" s="21"/>
      <c r="V5" s="21"/>
    </row>
    <row r="6" spans="1:29" s="16" customFormat="1" x14ac:dyDescent="0.15">
      <c r="A6" s="70" t="s">
        <v>4</v>
      </c>
      <c r="B6" s="23">
        <f>SUM(B3:B4)</f>
        <v>0</v>
      </c>
      <c r="C6" s="23">
        <f>SUM(C3:C4)</f>
        <v>0</v>
      </c>
      <c r="D6" s="23">
        <f>SUM(D3:D4)</f>
        <v>0</v>
      </c>
      <c r="E6" s="23">
        <f>SUM(E3:E4)</f>
        <v>0</v>
      </c>
      <c r="F6" s="24">
        <f>SUM(F3:F4)</f>
        <v>0</v>
      </c>
      <c r="G6" s="23">
        <f>SUM(G3:G4)</f>
        <v>0</v>
      </c>
      <c r="H6" s="23">
        <f>SUM(H3:H4)</f>
        <v>0</v>
      </c>
      <c r="I6" s="23">
        <f>SUM(I3:I4)</f>
        <v>0</v>
      </c>
      <c r="J6" s="24">
        <f>SUM(J3:J4)</f>
        <v>0</v>
      </c>
      <c r="K6" s="23">
        <f>SUM(K3:K4)</f>
        <v>0</v>
      </c>
      <c r="L6" s="23">
        <f>SUM(L3:L4)</f>
        <v>0</v>
      </c>
      <c r="M6" s="23">
        <f>SUM(M3:M4)</f>
        <v>0</v>
      </c>
      <c r="N6" s="24">
        <f>SUM(N3:N4)</f>
        <v>0</v>
      </c>
      <c r="O6" s="23">
        <f>SUM(O3:O4)</f>
        <v>0</v>
      </c>
      <c r="P6" s="23">
        <f>SUM(P3:P4)</f>
        <v>0</v>
      </c>
      <c r="Q6" s="23">
        <f>SUM(Q3:Q4)</f>
        <v>0</v>
      </c>
      <c r="R6" s="24">
        <f>SUM(R3:R4)</f>
        <v>0</v>
      </c>
      <c r="S6" s="23">
        <f>SUM(S3:S4)</f>
        <v>0</v>
      </c>
      <c r="T6" s="23">
        <f>SUM(T3:T4)</f>
        <v>0</v>
      </c>
      <c r="U6" s="23">
        <f>SUM(U3:U4)</f>
        <v>0</v>
      </c>
      <c r="V6" s="24">
        <f>SUM(V3:V4)</f>
        <v>0</v>
      </c>
      <c r="W6" s="23">
        <f>SUM(W3:W4)</f>
        <v>0</v>
      </c>
      <c r="X6" s="23">
        <f>SUM(X3:X4)</f>
        <v>41.283000000000001</v>
      </c>
      <c r="Y6" s="23">
        <f>SUM(Y3:Y4)</f>
        <v>41.618000000000002</v>
      </c>
      <c r="Z6" s="23">
        <f>SUM(Z3:Z4)</f>
        <v>40.483000000000004</v>
      </c>
      <c r="AA6" s="23">
        <f>SUM(AA3:AA4)</f>
        <v>41.341000000000001</v>
      </c>
    </row>
    <row r="7" spans="1:29" s="7" customFormat="1" x14ac:dyDescent="0.15">
      <c r="A7" s="69" t="s">
        <v>5</v>
      </c>
      <c r="B7" s="22">
        <v>166.798</v>
      </c>
      <c r="C7" s="22">
        <v>185.173</v>
      </c>
      <c r="D7" s="22">
        <v>190.98500000000001</v>
      </c>
      <c r="E7" s="22">
        <v>201.36099999999999</v>
      </c>
      <c r="F7" s="21">
        <v>198.572</v>
      </c>
      <c r="G7" s="22">
        <v>202.07900000000001</v>
      </c>
      <c r="H7" s="22">
        <v>202.70099999999999</v>
      </c>
      <c r="I7" s="22">
        <v>216.55600000000001</v>
      </c>
      <c r="J7" s="21">
        <v>237.33699999999999</v>
      </c>
      <c r="K7" s="22">
        <v>239.36</v>
      </c>
      <c r="L7" s="22">
        <v>262.92200000000003</v>
      </c>
      <c r="M7" s="22">
        <v>270.87200000000001</v>
      </c>
      <c r="N7" s="21">
        <v>258.90199999999999</v>
      </c>
      <c r="O7" s="22">
        <v>281.34399999999999</v>
      </c>
      <c r="P7" s="22">
        <v>295.49200000000002</v>
      </c>
      <c r="Q7" s="22">
        <v>359.26100000000002</v>
      </c>
      <c r="R7" s="21">
        <v>397.286</v>
      </c>
      <c r="S7" s="22">
        <v>407.488</v>
      </c>
      <c r="T7" s="50">
        <v>415.96300000000002</v>
      </c>
      <c r="U7" s="50">
        <v>451.983</v>
      </c>
      <c r="V7" s="21">
        <v>452</v>
      </c>
      <c r="W7" s="50">
        <v>415</v>
      </c>
      <c r="X7" s="50">
        <v>427</v>
      </c>
      <c r="Y7" s="50">
        <v>9.51</v>
      </c>
      <c r="Z7" s="7">
        <v>10.499000000000001</v>
      </c>
      <c r="AA7" s="7">
        <v>10.081</v>
      </c>
    </row>
    <row r="8" spans="1:29" s="7" customFormat="1" x14ac:dyDescent="0.15">
      <c r="A8" s="69" t="s">
        <v>6</v>
      </c>
      <c r="B8" s="26">
        <f>B6-B7</f>
        <v>-166.798</v>
      </c>
      <c r="C8" s="26">
        <f>C6-C7</f>
        <v>-185.173</v>
      </c>
      <c r="D8" s="26">
        <f>D6-D7</f>
        <v>-190.98500000000001</v>
      </c>
      <c r="E8" s="26">
        <f>E6-E7</f>
        <v>-201.36099999999999</v>
      </c>
      <c r="F8" s="27">
        <f>F6-F7</f>
        <v>-198.572</v>
      </c>
      <c r="G8" s="26">
        <f t="shared" ref="G8:L8" si="0">G6-G7</f>
        <v>-202.07900000000001</v>
      </c>
      <c r="H8" s="26">
        <f t="shared" si="0"/>
        <v>-202.70099999999999</v>
      </c>
      <c r="I8" s="26">
        <f t="shared" si="0"/>
        <v>-216.55600000000001</v>
      </c>
      <c r="J8" s="27">
        <f t="shared" si="0"/>
        <v>-237.33699999999999</v>
      </c>
      <c r="K8" s="26">
        <f t="shared" si="0"/>
        <v>-239.36</v>
      </c>
      <c r="L8" s="26">
        <f t="shared" si="0"/>
        <v>-262.92200000000003</v>
      </c>
      <c r="M8" s="26">
        <f t="shared" ref="M8" si="1">M6-M7</f>
        <v>-270.87200000000001</v>
      </c>
      <c r="N8" s="27">
        <f>N6-N7</f>
        <v>-258.90199999999999</v>
      </c>
      <c r="O8" s="26">
        <f>O6-O7</f>
        <v>-281.34399999999999</v>
      </c>
      <c r="P8" s="26">
        <f t="shared" ref="P8:R8" si="2">P6-P7</f>
        <v>-295.49200000000002</v>
      </c>
      <c r="Q8" s="26">
        <f t="shared" si="2"/>
        <v>-359.26100000000002</v>
      </c>
      <c r="R8" s="27">
        <f t="shared" si="2"/>
        <v>-397.286</v>
      </c>
      <c r="S8" s="26">
        <f t="shared" ref="S8:X8" si="3">S6-S7</f>
        <v>-407.488</v>
      </c>
      <c r="T8" s="26">
        <f t="shared" si="3"/>
        <v>-415.96300000000002</v>
      </c>
      <c r="U8" s="26">
        <f t="shared" si="3"/>
        <v>-451.983</v>
      </c>
      <c r="V8" s="27">
        <f t="shared" ref="V8" si="4">V6-V7</f>
        <v>-452</v>
      </c>
      <c r="W8" s="26">
        <f t="shared" si="3"/>
        <v>-415</v>
      </c>
      <c r="X8" s="26">
        <f t="shared" si="3"/>
        <v>-385.71699999999998</v>
      </c>
      <c r="Y8" s="26">
        <f t="shared" ref="Y8:AA8" si="5">Y6-Y7</f>
        <v>32.108000000000004</v>
      </c>
      <c r="Z8" s="26">
        <f t="shared" si="5"/>
        <v>29.984000000000002</v>
      </c>
      <c r="AA8" s="26">
        <f t="shared" si="5"/>
        <v>31.26</v>
      </c>
    </row>
    <row r="9" spans="1:29" s="7" customFormat="1" x14ac:dyDescent="0.15">
      <c r="A9" s="69" t="s">
        <v>7</v>
      </c>
      <c r="B9" s="22">
        <v>215.50899999999999</v>
      </c>
      <c r="C9" s="22">
        <v>208.047</v>
      </c>
      <c r="D9" s="22">
        <v>218.66</v>
      </c>
      <c r="E9" s="22">
        <v>220.51400000000001</v>
      </c>
      <c r="F9" s="21">
        <v>237.20400000000001</v>
      </c>
      <c r="G9" s="22">
        <v>232.48400000000001</v>
      </c>
      <c r="H9" s="22">
        <v>248.45</v>
      </c>
      <c r="I9" s="22">
        <v>257.84899999999999</v>
      </c>
      <c r="J9" s="21">
        <v>285.077</v>
      </c>
      <c r="K9" s="22">
        <v>299.40100000000001</v>
      </c>
      <c r="L9" s="22">
        <v>315.55500000000001</v>
      </c>
      <c r="M9" s="22">
        <v>324.02600000000001</v>
      </c>
      <c r="N9" s="21">
        <v>348.76900000000001</v>
      </c>
      <c r="O9" s="22">
        <v>374.12799999999999</v>
      </c>
      <c r="P9" s="22">
        <v>398.95699999999999</v>
      </c>
      <c r="Q9" s="22">
        <v>415.95800000000003</v>
      </c>
      <c r="R9" s="21">
        <v>464.637</v>
      </c>
      <c r="S9" s="22">
        <v>475.95800000000003</v>
      </c>
      <c r="T9" s="50">
        <v>489.827</v>
      </c>
      <c r="U9" s="50">
        <v>499.80599999999998</v>
      </c>
      <c r="V9" s="21">
        <v>532</v>
      </c>
      <c r="W9" s="50">
        <v>532</v>
      </c>
      <c r="X9" s="50">
        <v>566</v>
      </c>
      <c r="Y9" s="50">
        <v>17.425999999999998</v>
      </c>
      <c r="Z9" s="7">
        <v>13.263999999999999</v>
      </c>
      <c r="AA9" s="7">
        <v>16.134</v>
      </c>
    </row>
    <row r="10" spans="1:29" s="7" customFormat="1" x14ac:dyDescent="0.15">
      <c r="A10" s="69" t="s">
        <v>8</v>
      </c>
      <c r="B10" s="22">
        <v>392.74099999999999</v>
      </c>
      <c r="C10" s="22">
        <v>426.99799999999999</v>
      </c>
      <c r="D10" s="22">
        <v>422.03100000000001</v>
      </c>
      <c r="E10" s="22">
        <v>441.47199999999998</v>
      </c>
      <c r="F10" s="21">
        <v>474.89100000000002</v>
      </c>
      <c r="G10" s="22">
        <v>462.78899999999999</v>
      </c>
      <c r="H10" s="22">
        <v>477.47500000000002</v>
      </c>
      <c r="I10" s="22">
        <v>495.04199999999997</v>
      </c>
      <c r="J10" s="21">
        <v>520.29700000000003</v>
      </c>
      <c r="K10" s="22">
        <v>553.09799999999996</v>
      </c>
      <c r="L10" s="22">
        <v>550.09299999999996</v>
      </c>
      <c r="M10" s="22">
        <v>574.10400000000004</v>
      </c>
      <c r="N10" s="21">
        <v>580.95699999999999</v>
      </c>
      <c r="O10" s="22">
        <v>646.21500000000003</v>
      </c>
      <c r="P10" s="22">
        <v>670.08399999999995</v>
      </c>
      <c r="Q10" s="22">
        <v>723.57299999999998</v>
      </c>
      <c r="R10" s="21">
        <v>781.51800000000003</v>
      </c>
      <c r="S10" s="22">
        <v>848.92700000000002</v>
      </c>
      <c r="T10" s="50">
        <v>812.31399999999996</v>
      </c>
      <c r="U10" s="50">
        <v>801.58799999999997</v>
      </c>
      <c r="V10" s="21">
        <v>857</v>
      </c>
      <c r="W10" s="50">
        <v>901</v>
      </c>
      <c r="X10" s="50">
        <v>892</v>
      </c>
      <c r="Y10" s="50">
        <v>34.588000000000001</v>
      </c>
      <c r="Z10" s="7">
        <v>14.358000000000001</v>
      </c>
      <c r="AA10" s="7">
        <v>22.088000000000001</v>
      </c>
    </row>
    <row r="11" spans="1:29" s="7" customFormat="1" x14ac:dyDescent="0.15">
      <c r="A11" s="69" t="s">
        <v>9</v>
      </c>
      <c r="B11" s="22">
        <f>145.081+1.755+14.272</f>
        <v>161.10799999999998</v>
      </c>
      <c r="C11" s="22">
        <f>130.208+0.034+18.081</f>
        <v>148.32299999999998</v>
      </c>
      <c r="D11" s="22">
        <f>122.578-0.751+18.246</f>
        <v>140.07300000000001</v>
      </c>
      <c r="E11" s="22">
        <f>134.052+0.521+18.05</f>
        <v>152.62299999999999</v>
      </c>
      <c r="F11" s="21">
        <f>146.935-0.419+18.394</f>
        <v>164.91</v>
      </c>
      <c r="G11" s="22">
        <f>138.596-0.466+18.988</f>
        <v>157.11799999999999</v>
      </c>
      <c r="H11" s="22">
        <f>143.702-0.338+22.652</f>
        <v>166.01600000000002</v>
      </c>
      <c r="I11" s="22">
        <f>148.477-0.285+18.5</f>
        <v>166.69200000000001</v>
      </c>
      <c r="J11" s="21">
        <f>150.808+19.128</f>
        <v>169.93599999999998</v>
      </c>
      <c r="K11" s="22">
        <f>156.929+19.32</f>
        <v>176.249</v>
      </c>
      <c r="L11" s="22">
        <f>147.402+19.428</f>
        <v>166.82999999999998</v>
      </c>
      <c r="M11" s="22">
        <f>169.567+18.686</f>
        <v>188.25300000000001</v>
      </c>
      <c r="N11" s="21">
        <f>170.44+17.146</f>
        <v>187.58600000000001</v>
      </c>
      <c r="O11" s="22">
        <f>178.04+17.149</f>
        <v>195.18899999999999</v>
      </c>
      <c r="P11" s="22">
        <f>184.063+23.874</f>
        <v>207.93699999999998</v>
      </c>
      <c r="Q11" s="22">
        <f>212.355+32.932</f>
        <v>245.28699999999998</v>
      </c>
      <c r="R11" s="21">
        <f>216.109+46.566</f>
        <v>262.67500000000001</v>
      </c>
      <c r="S11" s="22">
        <f>219.334+43.026</f>
        <v>262.36</v>
      </c>
      <c r="T11" s="50">
        <f>219.256+42.954</f>
        <v>262.20999999999998</v>
      </c>
      <c r="U11" s="50">
        <f>225.938+42.698</f>
        <v>268.63599999999997</v>
      </c>
      <c r="V11" s="21">
        <f>271+42</f>
        <v>313</v>
      </c>
      <c r="W11" s="50">
        <f>224+40</f>
        <v>264</v>
      </c>
      <c r="X11" s="50">
        <f>230+41</f>
        <v>271</v>
      </c>
      <c r="Y11" s="50">
        <v>10.313000000000001</v>
      </c>
      <c r="Z11" s="7">
        <v>5.6870000000000003</v>
      </c>
      <c r="AA11" s="7">
        <v>7.5620000000000003</v>
      </c>
    </row>
    <row r="12" spans="1:29" s="7" customFormat="1" x14ac:dyDescent="0.15">
      <c r="A12" s="69" t="s">
        <v>10</v>
      </c>
      <c r="B12" s="26">
        <f>SUM(B9:B11)</f>
        <v>769.35799999999995</v>
      </c>
      <c r="C12" s="26">
        <f>SUM(C9:C11)</f>
        <v>783.36799999999994</v>
      </c>
      <c r="D12" s="26">
        <f>SUM(D9:D11)</f>
        <v>780.76400000000001</v>
      </c>
      <c r="E12" s="26">
        <f>SUM(E9:E11)</f>
        <v>814.60899999999992</v>
      </c>
      <c r="F12" s="27">
        <f>SUM(F9:F11)</f>
        <v>877.005</v>
      </c>
      <c r="G12" s="26">
        <f t="shared" ref="G12:L12" si="6">SUM(G9:G11)</f>
        <v>852.39100000000008</v>
      </c>
      <c r="H12" s="26">
        <f t="shared" si="6"/>
        <v>891.94100000000003</v>
      </c>
      <c r="I12" s="26">
        <f t="shared" si="6"/>
        <v>919.58299999999997</v>
      </c>
      <c r="J12" s="27">
        <f t="shared" si="6"/>
        <v>975.31</v>
      </c>
      <c r="K12" s="26">
        <f t="shared" si="6"/>
        <v>1028.748</v>
      </c>
      <c r="L12" s="26">
        <f t="shared" si="6"/>
        <v>1032.4779999999998</v>
      </c>
      <c r="M12" s="26">
        <f t="shared" ref="M12:N12" si="7">SUM(M9:M11)</f>
        <v>1086.383</v>
      </c>
      <c r="N12" s="27">
        <f t="shared" si="7"/>
        <v>1117.3119999999999</v>
      </c>
      <c r="O12" s="26">
        <f t="shared" ref="O12:P12" si="8">SUM(O9:O11)</f>
        <v>1215.5320000000002</v>
      </c>
      <c r="P12" s="26">
        <f t="shared" si="8"/>
        <v>1276.9779999999998</v>
      </c>
      <c r="Q12" s="26">
        <f t="shared" ref="Q12:S12" si="9">SUM(Q9:Q11)</f>
        <v>1384.818</v>
      </c>
      <c r="R12" s="27">
        <f t="shared" si="9"/>
        <v>1508.83</v>
      </c>
      <c r="S12" s="26">
        <f t="shared" si="9"/>
        <v>1587.2449999999999</v>
      </c>
      <c r="T12" s="26">
        <f t="shared" ref="T12:U12" si="10">SUM(T9:T11)</f>
        <v>1564.3510000000001</v>
      </c>
      <c r="U12" s="26">
        <f t="shared" si="10"/>
        <v>1570.03</v>
      </c>
      <c r="V12" s="27">
        <f t="shared" ref="V12:Y12" si="11">SUM(V9:V11)</f>
        <v>1702</v>
      </c>
      <c r="W12" s="26">
        <f t="shared" si="11"/>
        <v>1697</v>
      </c>
      <c r="X12" s="26">
        <f t="shared" si="11"/>
        <v>1729</v>
      </c>
      <c r="Y12" s="26">
        <f t="shared" si="11"/>
        <v>62.326999999999998</v>
      </c>
      <c r="Z12" s="26">
        <f t="shared" ref="Z12:AA12" si="12">SUM(Z9:Z11)</f>
        <v>33.308999999999997</v>
      </c>
      <c r="AA12" s="26">
        <f t="shared" si="12"/>
        <v>45.783999999999999</v>
      </c>
    </row>
    <row r="13" spans="1:29" s="7" customFormat="1" x14ac:dyDescent="0.15">
      <c r="A13" s="69" t="s">
        <v>11</v>
      </c>
      <c r="B13" s="26">
        <f>B8-B12</f>
        <v>-936.15599999999995</v>
      </c>
      <c r="C13" s="26">
        <f>C8-C12</f>
        <v>-968.54099999999994</v>
      </c>
      <c r="D13" s="26">
        <f>D8-D12</f>
        <v>-971.74900000000002</v>
      </c>
      <c r="E13" s="26">
        <f>E8-E12</f>
        <v>-1015.9699999999999</v>
      </c>
      <c r="F13" s="27">
        <f>F8-F12</f>
        <v>-1075.577</v>
      </c>
      <c r="G13" s="26">
        <f t="shared" ref="G13:H13" si="13">G8-G12</f>
        <v>-1054.47</v>
      </c>
      <c r="H13" s="26">
        <f t="shared" si="13"/>
        <v>-1094.6420000000001</v>
      </c>
      <c r="I13" s="26">
        <f t="shared" ref="I13:P13" si="14">I8-I12</f>
        <v>-1136.1389999999999</v>
      </c>
      <c r="J13" s="27">
        <f t="shared" si="14"/>
        <v>-1212.6469999999999</v>
      </c>
      <c r="K13" s="26">
        <f t="shared" si="14"/>
        <v>-1268.1080000000002</v>
      </c>
      <c r="L13" s="26">
        <f t="shared" si="14"/>
        <v>-1295.3999999999999</v>
      </c>
      <c r="M13" s="26">
        <f t="shared" si="14"/>
        <v>-1357.2550000000001</v>
      </c>
      <c r="N13" s="27">
        <f t="shared" si="14"/>
        <v>-1376.2139999999999</v>
      </c>
      <c r="O13" s="26">
        <f t="shared" si="14"/>
        <v>-1496.8760000000002</v>
      </c>
      <c r="P13" s="26">
        <f t="shared" si="14"/>
        <v>-1572.4699999999998</v>
      </c>
      <c r="Q13" s="26">
        <f t="shared" ref="Q13:S13" si="15">Q8-Q12</f>
        <v>-1744.079</v>
      </c>
      <c r="R13" s="27">
        <f t="shared" si="15"/>
        <v>-1906.116</v>
      </c>
      <c r="S13" s="26">
        <f t="shared" si="15"/>
        <v>-1994.7329999999999</v>
      </c>
      <c r="T13" s="26">
        <f t="shared" ref="T13:U13" si="16">T8-T12</f>
        <v>-1980.3140000000001</v>
      </c>
      <c r="U13" s="26">
        <f t="shared" si="16"/>
        <v>-2022.0129999999999</v>
      </c>
      <c r="V13" s="27">
        <f t="shared" ref="V13:Y13" si="17">V8-V12</f>
        <v>-2154</v>
      </c>
      <c r="W13" s="26">
        <f t="shared" si="17"/>
        <v>-2112</v>
      </c>
      <c r="X13" s="26">
        <f t="shared" si="17"/>
        <v>-2114.7170000000001</v>
      </c>
      <c r="Y13" s="26">
        <f t="shared" si="17"/>
        <v>-30.218999999999994</v>
      </c>
      <c r="Z13" s="26">
        <f t="shared" ref="Z13:AA13" si="18">Z8-Z12</f>
        <v>-3.3249999999999957</v>
      </c>
      <c r="AA13" s="26">
        <f t="shared" si="18"/>
        <v>-14.523999999999997</v>
      </c>
    </row>
    <row r="14" spans="1:29" s="7" customFormat="1" x14ac:dyDescent="0.15">
      <c r="A14" s="69" t="s">
        <v>12</v>
      </c>
      <c r="B14" s="22">
        <v>-9.7769999999999992</v>
      </c>
      <c r="C14" s="22">
        <v>-12.643000000000001</v>
      </c>
      <c r="D14" s="22">
        <v>-13.4</v>
      </c>
      <c r="E14" s="22">
        <v>6.5060000000000002</v>
      </c>
      <c r="F14" s="21">
        <v>-15.451000000000001</v>
      </c>
      <c r="G14" s="22">
        <v>-14.409000000000001</v>
      </c>
      <c r="H14" s="22">
        <v>-13.023999999999999</v>
      </c>
      <c r="I14" s="22">
        <v>-15.58</v>
      </c>
      <c r="J14" s="21">
        <v>-8.3670000000000009</v>
      </c>
      <c r="K14" s="22">
        <v>-11.464</v>
      </c>
      <c r="L14" s="22">
        <v>-4.2949999999999999</v>
      </c>
      <c r="M14" s="22">
        <v>-6.3280000000000003</v>
      </c>
      <c r="N14" s="21">
        <v>-0.23100000000000001</v>
      </c>
      <c r="O14" s="22">
        <v>-7.6849999999999996</v>
      </c>
      <c r="P14" s="22">
        <v>-17.248000000000001</v>
      </c>
      <c r="Q14" s="22">
        <v>-21.329000000000001</v>
      </c>
      <c r="R14" s="21">
        <v>7.5039999999999996</v>
      </c>
      <c r="S14" s="22">
        <v>-38.774999999999999</v>
      </c>
      <c r="T14" s="50">
        <v>-19.324000000000002</v>
      </c>
      <c r="U14" s="50">
        <v>-12.784000000000001</v>
      </c>
      <c r="V14" s="21">
        <v>-18</v>
      </c>
      <c r="W14" s="50">
        <f>-28+12</f>
        <v>-16</v>
      </c>
      <c r="X14" s="50">
        <v>-9</v>
      </c>
      <c r="Y14" s="50">
        <f>1-1</f>
        <v>0</v>
      </c>
      <c r="Z14" s="7">
        <f>1+3</f>
        <v>4</v>
      </c>
      <c r="AA14" s="7">
        <v>0</v>
      </c>
    </row>
    <row r="15" spans="1:29" s="7" customFormat="1" x14ac:dyDescent="0.15">
      <c r="A15" s="69" t="s">
        <v>13</v>
      </c>
      <c r="B15" s="26">
        <f>B13+B14</f>
        <v>-945.93299999999999</v>
      </c>
      <c r="C15" s="26">
        <f>C13+C14</f>
        <v>-981.18399999999997</v>
      </c>
      <c r="D15" s="26">
        <f>D13+D14</f>
        <v>-985.149</v>
      </c>
      <c r="E15" s="26">
        <f>E13+E14</f>
        <v>-1009.4639999999999</v>
      </c>
      <c r="F15" s="27">
        <f>F13+F14</f>
        <v>-1091.028</v>
      </c>
      <c r="G15" s="26">
        <f t="shared" ref="G15:I15" si="19">G13+G14</f>
        <v>-1068.8790000000001</v>
      </c>
      <c r="H15" s="26">
        <f t="shared" si="19"/>
        <v>-1107.6659999999999</v>
      </c>
      <c r="I15" s="26">
        <f t="shared" si="19"/>
        <v>-1151.7189999999998</v>
      </c>
      <c r="J15" s="27">
        <f t="shared" ref="J15:K15" si="20">J13+J14</f>
        <v>-1221.0139999999999</v>
      </c>
      <c r="K15" s="26">
        <f t="shared" si="20"/>
        <v>-1279.5720000000001</v>
      </c>
      <c r="L15" s="26">
        <f t="shared" ref="L15:N15" si="21">L13+L14</f>
        <v>-1299.6949999999999</v>
      </c>
      <c r="M15" s="26">
        <f>M13+M14</f>
        <v>-1363.5830000000001</v>
      </c>
      <c r="N15" s="27">
        <f t="shared" si="21"/>
        <v>-1376.4449999999999</v>
      </c>
      <c r="O15" s="26">
        <f t="shared" ref="O15" si="22">O13+O14</f>
        <v>-1504.5610000000001</v>
      </c>
      <c r="P15" s="26">
        <f t="shared" ref="P15:T15" si="23">P13+P14</f>
        <v>-1589.7179999999998</v>
      </c>
      <c r="Q15" s="26">
        <f t="shared" si="23"/>
        <v>-1765.4079999999999</v>
      </c>
      <c r="R15" s="27">
        <f t="shared" si="23"/>
        <v>-1898.6120000000001</v>
      </c>
      <c r="S15" s="26">
        <f t="shared" si="23"/>
        <v>-2033.508</v>
      </c>
      <c r="T15" s="26">
        <f t="shared" si="23"/>
        <v>-1999.6380000000001</v>
      </c>
      <c r="U15" s="26">
        <f t="shared" ref="U15" si="24">U13+U14</f>
        <v>-2034.797</v>
      </c>
      <c r="V15" s="27">
        <f t="shared" ref="V15:X15" si="25">V13+V14</f>
        <v>-2172</v>
      </c>
      <c r="W15" s="26">
        <f t="shared" si="25"/>
        <v>-2128</v>
      </c>
      <c r="X15" s="26">
        <f t="shared" si="25"/>
        <v>-2123.7170000000001</v>
      </c>
      <c r="Y15" s="26">
        <f t="shared" ref="Y15:AA15" si="26">Y13+Y14</f>
        <v>-30.218999999999994</v>
      </c>
      <c r="Z15" s="26">
        <f t="shared" si="26"/>
        <v>0.67500000000000426</v>
      </c>
      <c r="AA15" s="26">
        <f t="shared" si="26"/>
        <v>-14.523999999999997</v>
      </c>
    </row>
    <row r="16" spans="1:29" s="7" customFormat="1" x14ac:dyDescent="0.15">
      <c r="A16" s="69" t="s">
        <v>14</v>
      </c>
      <c r="B16" s="22">
        <v>78.36</v>
      </c>
      <c r="C16" s="22">
        <v>33.481000000000002</v>
      </c>
      <c r="D16" s="22">
        <v>58.154000000000003</v>
      </c>
      <c r="E16" s="22">
        <v>74.234999999999999</v>
      </c>
      <c r="F16" s="21">
        <v>38</v>
      </c>
      <c r="G16" s="22">
        <v>85.756</v>
      </c>
      <c r="H16" s="22">
        <v>85.513000000000005</v>
      </c>
      <c r="I16" s="22">
        <v>57.087000000000003</v>
      </c>
      <c r="J16" s="21">
        <v>62.186</v>
      </c>
      <c r="K16" s="22">
        <v>118.22799999999999</v>
      </c>
      <c r="L16" s="22">
        <v>121.81</v>
      </c>
      <c r="M16" s="22">
        <v>141.46299999999999</v>
      </c>
      <c r="N16" s="21">
        <v>119.426</v>
      </c>
      <c r="O16" s="22">
        <v>27.632000000000001</v>
      </c>
      <c r="P16" s="22">
        <v>35.067</v>
      </c>
      <c r="Q16" s="22">
        <v>20.977</v>
      </c>
      <c r="R16" s="21">
        <v>28.093</v>
      </c>
      <c r="S16" s="22">
        <v>78.179000000000002</v>
      </c>
      <c r="T16" s="22">
        <v>41.725000000000001</v>
      </c>
      <c r="U16" s="22">
        <v>105.286</v>
      </c>
      <c r="V16" s="21">
        <v>-36</v>
      </c>
      <c r="W16" s="22">
        <v>-100</v>
      </c>
      <c r="X16" s="22">
        <v>105</v>
      </c>
      <c r="Y16" s="22">
        <v>0</v>
      </c>
      <c r="Z16" s="7">
        <v>0</v>
      </c>
      <c r="AA16" s="7">
        <v>0</v>
      </c>
    </row>
    <row r="17" spans="1:27" s="16" customFormat="1" x14ac:dyDescent="0.15">
      <c r="A17" s="70" t="s">
        <v>15</v>
      </c>
      <c r="B17" s="23">
        <f>B15-B16</f>
        <v>-1024.2929999999999</v>
      </c>
      <c r="C17" s="23">
        <f>C15-C16</f>
        <v>-1014.665</v>
      </c>
      <c r="D17" s="23">
        <f>D15-D16</f>
        <v>-1043.3030000000001</v>
      </c>
      <c r="E17" s="23">
        <f>E15-E16</f>
        <v>-1083.6989999999998</v>
      </c>
      <c r="F17" s="24">
        <f>F15-F16</f>
        <v>-1129.028</v>
      </c>
      <c r="G17" s="23">
        <f>G15-G16</f>
        <v>-1154.6350000000002</v>
      </c>
      <c r="H17" s="23">
        <f>H15-H16</f>
        <v>-1193.1789999999999</v>
      </c>
      <c r="I17" s="23">
        <f>I15-I16</f>
        <v>-1208.8059999999998</v>
      </c>
      <c r="J17" s="24">
        <f>J15-J16</f>
        <v>-1283.1999999999998</v>
      </c>
      <c r="K17" s="23">
        <f>K15-K16</f>
        <v>-1397.8000000000002</v>
      </c>
      <c r="L17" s="23">
        <f>L15-L16</f>
        <v>-1421.5049999999999</v>
      </c>
      <c r="M17" s="23">
        <f>M15-M16</f>
        <v>-1505.046</v>
      </c>
      <c r="N17" s="24">
        <f>N15-N16</f>
        <v>-1495.8709999999999</v>
      </c>
      <c r="O17" s="23">
        <f>O15-O16</f>
        <v>-1532.1930000000002</v>
      </c>
      <c r="P17" s="23">
        <f>P15-P16</f>
        <v>-1624.7849999999999</v>
      </c>
      <c r="Q17" s="23">
        <f>Q15-Q16</f>
        <v>-1786.385</v>
      </c>
      <c r="R17" s="24">
        <f>R15-R16</f>
        <v>-1926.7050000000002</v>
      </c>
      <c r="S17" s="23">
        <f>S15-S16</f>
        <v>-2111.6869999999999</v>
      </c>
      <c r="T17" s="23">
        <f>T15-T16</f>
        <v>-2041.3630000000001</v>
      </c>
      <c r="U17" s="23">
        <f>U15-U16</f>
        <v>-2140.0830000000001</v>
      </c>
      <c r="V17" s="24">
        <f>V15-V16</f>
        <v>-2136</v>
      </c>
      <c r="W17" s="23">
        <f>W15-W16</f>
        <v>-2028</v>
      </c>
      <c r="X17" s="23">
        <f>X15-X16</f>
        <v>-2228.7170000000001</v>
      </c>
      <c r="Y17" s="23">
        <f>Y15-Y16</f>
        <v>-30.218999999999994</v>
      </c>
      <c r="Z17" s="23">
        <f>Z15-Z16</f>
        <v>0.67500000000000426</v>
      </c>
      <c r="AA17" s="23">
        <f>AA15-AA16</f>
        <v>-14.523999999999997</v>
      </c>
    </row>
    <row r="18" spans="1:27" s="3" customFormat="1" x14ac:dyDescent="0.15">
      <c r="A18" s="71" t="s">
        <v>16</v>
      </c>
      <c r="B18" s="61">
        <f t="shared" ref="B18:H18" si="27">IFERROR(B17/B19,0)</f>
        <v>-2.0182079341748005</v>
      </c>
      <c r="C18" s="61">
        <f t="shared" si="27"/>
        <v>-2.0069246927303581</v>
      </c>
      <c r="D18" s="61">
        <f t="shared" si="27"/>
        <v>-2.062642222657169</v>
      </c>
      <c r="E18" s="61">
        <f>IFERROR(E17/E19,0)</f>
        <v>-2.141646838414899</v>
      </c>
      <c r="F18" s="62">
        <f t="shared" si="27"/>
        <v>-2.2327102729811186</v>
      </c>
      <c r="G18" s="61">
        <f t="shared" si="27"/>
        <v>-2.2876516915151819</v>
      </c>
      <c r="H18" s="61">
        <f t="shared" si="27"/>
        <v>-2.3689744653730922</v>
      </c>
      <c r="I18" s="61">
        <f t="shared" ref="I18:L18" si="28">IFERROR(I17/I19,0)</f>
        <v>-2.4119391191916608</v>
      </c>
      <c r="J18" s="62">
        <f t="shared" si="28"/>
        <v>-2.5619882562227843</v>
      </c>
      <c r="K18" s="61">
        <f t="shared" si="28"/>
        <v>-2.7936388655164079</v>
      </c>
      <c r="L18" s="61">
        <f t="shared" si="28"/>
        <v>-2.8407487639838687</v>
      </c>
      <c r="M18" s="61">
        <f t="shared" ref="M18" si="29">IFERROR(M17/M19,0)</f>
        <v>-3.0097308323001242</v>
      </c>
      <c r="N18" s="62">
        <f t="shared" ref="N18:S18" si="30">IFERROR(N17/N19,0)</f>
        <v>-2.9951384870443079</v>
      </c>
      <c r="O18" s="61">
        <f t="shared" si="30"/>
        <v>-3.0751366778256788</v>
      </c>
      <c r="P18" s="61">
        <f t="shared" si="30"/>
        <v>-3.2700667785680646</v>
      </c>
      <c r="Q18" s="61">
        <f t="shared" si="30"/>
        <v>-3.6074884690259053</v>
      </c>
      <c r="R18" s="62">
        <f t="shared" si="30"/>
        <v>-3.8987288238484146</v>
      </c>
      <c r="S18" s="61">
        <f t="shared" si="30"/>
        <v>-4.2901981260107434</v>
      </c>
      <c r="T18" s="61">
        <f t="shared" ref="T18:U18" si="31">IFERROR(T17/T19,0)</f>
        <v>-4.157206511866602</v>
      </c>
      <c r="U18" s="61">
        <f t="shared" si="31"/>
        <v>-4.3777817780878019</v>
      </c>
      <c r="V18" s="62">
        <f t="shared" ref="V18:Y18" si="32">IFERROR(V17/V19,0)</f>
        <v>-4.3770491803278686</v>
      </c>
      <c r="W18" s="61">
        <f t="shared" si="32"/>
        <v>-4.1814432989690724</v>
      </c>
      <c r="X18" s="61">
        <f t="shared" si="32"/>
        <v>-4.5952927835051547</v>
      </c>
      <c r="Y18" s="61">
        <f t="shared" si="32"/>
        <v>0</v>
      </c>
      <c r="Z18" s="61">
        <f t="shared" ref="Z18:AA18" si="33">IFERROR(Z17/Z19,0)</f>
        <v>0</v>
      </c>
      <c r="AA18" s="61">
        <f t="shared" si="33"/>
        <v>0</v>
      </c>
    </row>
    <row r="19" spans="1:27" s="7" customFormat="1" x14ac:dyDescent="0.15">
      <c r="A19" s="69" t="s">
        <v>17</v>
      </c>
      <c r="B19" s="22">
        <v>507.52600000000001</v>
      </c>
      <c r="C19" s="22">
        <v>505.58199999999999</v>
      </c>
      <c r="D19" s="22">
        <v>505.80900000000003</v>
      </c>
      <c r="E19" s="22">
        <v>506.012</v>
      </c>
      <c r="F19" s="21">
        <v>505.67599999999999</v>
      </c>
      <c r="G19" s="22">
        <v>504.72500000000002</v>
      </c>
      <c r="H19" s="22">
        <v>503.66899999999998</v>
      </c>
      <c r="I19" s="22">
        <v>501.17599999999999</v>
      </c>
      <c r="J19" s="21">
        <v>500.86099999999999</v>
      </c>
      <c r="K19" s="22">
        <v>500.351</v>
      </c>
      <c r="L19" s="22">
        <v>500.39800000000002</v>
      </c>
      <c r="M19" s="22">
        <v>500.06</v>
      </c>
      <c r="N19" s="21">
        <v>499.43299999999999</v>
      </c>
      <c r="O19" s="22">
        <v>498.25200000000001</v>
      </c>
      <c r="P19" s="22">
        <v>496.86599999999999</v>
      </c>
      <c r="Q19" s="22">
        <v>495.18799999999999</v>
      </c>
      <c r="R19" s="21">
        <v>494.18799999999999</v>
      </c>
      <c r="S19" s="22">
        <v>492.21199999999999</v>
      </c>
      <c r="T19" s="50">
        <v>491.04199999999997</v>
      </c>
      <c r="U19" s="50">
        <v>488.851</v>
      </c>
      <c r="V19" s="21">
        <v>488</v>
      </c>
      <c r="W19" s="50">
        <v>485</v>
      </c>
      <c r="X19" s="50">
        <v>485</v>
      </c>
      <c r="Y19" s="50"/>
    </row>
    <row r="20" spans="1:27" s="41" customFormat="1" x14ac:dyDescent="0.15">
      <c r="A20" s="72"/>
      <c r="B20" s="39"/>
      <c r="C20" s="39"/>
      <c r="D20" s="39"/>
      <c r="E20" s="39"/>
      <c r="F20" s="40"/>
      <c r="G20" s="39"/>
      <c r="H20" s="39"/>
      <c r="I20" s="39"/>
      <c r="J20" s="40"/>
      <c r="K20" s="39"/>
      <c r="L20" s="39"/>
      <c r="M20" s="39"/>
      <c r="N20" s="56"/>
      <c r="Q20" s="39"/>
      <c r="R20" s="56"/>
      <c r="V20" s="56"/>
    </row>
    <row r="21" spans="1:27" x14ac:dyDescent="0.15">
      <c r="A21" s="73" t="s">
        <v>19</v>
      </c>
      <c r="B21" s="33">
        <f>IFERROR(B8/B6,0)</f>
        <v>0</v>
      </c>
      <c r="C21" s="33">
        <f>IFERROR(C8/C6,0)</f>
        <v>0</v>
      </c>
      <c r="D21" s="33">
        <f>IFERROR(D8/D6,0)</f>
        <v>0</v>
      </c>
      <c r="E21" s="33">
        <f>IFERROR(E8/E6,0)</f>
        <v>0</v>
      </c>
      <c r="F21" s="34">
        <f>IFERROR(F8/F6,0)</f>
        <v>0</v>
      </c>
      <c r="G21" s="33">
        <f>IFERROR(G8/G6,0)</f>
        <v>0</v>
      </c>
      <c r="H21" s="33">
        <f>IFERROR(H8/H6,0)</f>
        <v>0</v>
      </c>
      <c r="I21" s="33">
        <f>IFERROR(I8/I6,0)</f>
        <v>0</v>
      </c>
      <c r="J21" s="34">
        <f>IFERROR(J8/J6,0)</f>
        <v>0</v>
      </c>
      <c r="K21" s="33">
        <f>IFERROR(K8/K6,0)</f>
        <v>0</v>
      </c>
      <c r="L21" s="33">
        <f>IFERROR(L8/L6,0)</f>
        <v>0</v>
      </c>
      <c r="M21" s="33">
        <f>IFERROR(M8/M6,0)</f>
        <v>0</v>
      </c>
      <c r="N21" s="34">
        <f>IFERROR(N8/N6,0)</f>
        <v>0</v>
      </c>
      <c r="O21" s="33">
        <f>IFERROR(O8/O6,0)</f>
        <v>0</v>
      </c>
      <c r="P21" s="33">
        <f>IFERROR(P8/P6,0)</f>
        <v>0</v>
      </c>
      <c r="Q21" s="33">
        <f>IFERROR(Q8/Q6,0)</f>
        <v>0</v>
      </c>
      <c r="R21" s="34">
        <f>IFERROR(R8/R6,0)</f>
        <v>0</v>
      </c>
      <c r="S21" s="33">
        <f>IFERROR(S8/S6,0)</f>
        <v>0</v>
      </c>
      <c r="T21" s="33">
        <f>IFERROR(T8/T6,0)</f>
        <v>0</v>
      </c>
      <c r="U21" s="33">
        <f>IFERROR(U8/U6,0)</f>
        <v>0</v>
      </c>
      <c r="V21" s="34">
        <f>IFERROR(V8/V6,0)</f>
        <v>0</v>
      </c>
      <c r="W21" s="33">
        <f>IFERROR(W8/W6,0)</f>
        <v>0</v>
      </c>
      <c r="X21" s="33">
        <f>IFERROR(X8/X6,0)</f>
        <v>-9.3432405590678957</v>
      </c>
      <c r="Y21" s="33"/>
    </row>
    <row r="22" spans="1:27" x14ac:dyDescent="0.15">
      <c r="A22" s="73" t="s">
        <v>20</v>
      </c>
      <c r="B22" s="35">
        <f>IFERROR(B13/B6,0)</f>
        <v>0</v>
      </c>
      <c r="C22" s="35">
        <f>IFERROR(C13/C6,0)</f>
        <v>0</v>
      </c>
      <c r="D22" s="35">
        <f>IFERROR(D13/D6,0)</f>
        <v>0</v>
      </c>
      <c r="E22" s="35">
        <f>IFERROR(E13/E6,0)</f>
        <v>0</v>
      </c>
      <c r="F22" s="36">
        <f>IFERROR(F13/F6,0)</f>
        <v>0</v>
      </c>
      <c r="G22" s="35">
        <f>IFERROR(G13/G6,0)</f>
        <v>0</v>
      </c>
      <c r="H22" s="35">
        <f>IFERROR(H13/H6,0)</f>
        <v>0</v>
      </c>
      <c r="I22" s="35">
        <f>IFERROR(I13/I6,0)</f>
        <v>0</v>
      </c>
      <c r="J22" s="36">
        <f>IFERROR(J13/J6,0)</f>
        <v>0</v>
      </c>
      <c r="K22" s="35">
        <f>IFERROR(K13/K6,0)</f>
        <v>0</v>
      </c>
      <c r="L22" s="35">
        <f>IFERROR(L13/L6,0)</f>
        <v>0</v>
      </c>
      <c r="M22" s="35">
        <f>IFERROR(M13/M6,0)</f>
        <v>0</v>
      </c>
      <c r="N22" s="36">
        <f>IFERROR(N13/N6,0)</f>
        <v>0</v>
      </c>
      <c r="O22" s="35">
        <f>IFERROR(O13/O6,0)</f>
        <v>0</v>
      </c>
      <c r="P22" s="35">
        <f>IFERROR(P13/P6,0)</f>
        <v>0</v>
      </c>
      <c r="Q22" s="35">
        <f>IFERROR(Q13/Q6,0)</f>
        <v>0</v>
      </c>
      <c r="R22" s="36">
        <f>IFERROR(R13/R6,0)</f>
        <v>0</v>
      </c>
      <c r="S22" s="35">
        <f>IFERROR(S13/S6,0)</f>
        <v>0</v>
      </c>
      <c r="T22" s="35">
        <f>IFERROR(T13/T6,0)</f>
        <v>0</v>
      </c>
      <c r="U22" s="35">
        <f>IFERROR(U13/U6,0)</f>
        <v>0</v>
      </c>
      <c r="V22" s="36">
        <f>IFERROR(V13/V6,0)</f>
        <v>0</v>
      </c>
      <c r="W22" s="35">
        <f>IFERROR(W13/W6,0)</f>
        <v>0</v>
      </c>
      <c r="X22" s="35">
        <f>IFERROR(X13/X6,0)</f>
        <v>-51.224886757260862</v>
      </c>
      <c r="Y22" s="35"/>
    </row>
    <row r="23" spans="1:27" x14ac:dyDescent="0.15">
      <c r="A23" s="73" t="s">
        <v>21</v>
      </c>
      <c r="B23" s="35">
        <f>IFERROR(B16/B15,0)</f>
        <v>-8.2838847994519696E-2</v>
      </c>
      <c r="C23" s="35">
        <f>IFERROR(C16/C15,0)</f>
        <v>-3.4123059487313291E-2</v>
      </c>
      <c r="D23" s="35">
        <f>IFERROR(D16/D15,0)</f>
        <v>-5.9030664396959247E-2</v>
      </c>
      <c r="E23" s="35">
        <f>IFERROR(E16/E15,0)</f>
        <v>-7.3539026651767675E-2</v>
      </c>
      <c r="F23" s="36">
        <f>IFERROR(F16/F15,0)</f>
        <v>-3.482953691380973E-2</v>
      </c>
      <c r="G23" s="35">
        <f>IFERROR(G16/G15,0)</f>
        <v>-8.0229848280301122E-2</v>
      </c>
      <c r="H23" s="35">
        <f>IFERROR(H16/H15,0)</f>
        <v>-7.7201069636514991E-2</v>
      </c>
      <c r="I23" s="35">
        <f>IFERROR(I16/I15,0)</f>
        <v>-4.9566778007482735E-2</v>
      </c>
      <c r="J23" s="36">
        <f>IFERROR(J16/J15,0)</f>
        <v>-5.0929800968703066E-2</v>
      </c>
      <c r="K23" s="35">
        <f>IFERROR(K16/K15,0)</f>
        <v>-9.239652008640388E-2</v>
      </c>
      <c r="L23" s="35">
        <f>IFERROR(L16/L15,0)</f>
        <v>-9.3721988620407107E-2</v>
      </c>
      <c r="M23" s="35">
        <f>IFERROR(M16/M15,0)</f>
        <v>-0.10374359316594588</v>
      </c>
      <c r="N23" s="36">
        <f>IFERROR(N16/N15,0)</f>
        <v>-8.6764091554693432E-2</v>
      </c>
      <c r="O23" s="35">
        <f>IFERROR(O16/O15,0)</f>
        <v>-1.836549000007311E-2</v>
      </c>
      <c r="P23" s="35">
        <f>IFERROR(P16/P15,0)</f>
        <v>-2.205862926632271E-2</v>
      </c>
      <c r="Q23" s="35">
        <f>IFERROR(Q16/Q15,0)</f>
        <v>-1.1882239119795537E-2</v>
      </c>
      <c r="R23" s="36">
        <f>IFERROR(R16/R15,0)</f>
        <v>-1.4796598778476064E-2</v>
      </c>
      <c r="S23" s="35">
        <f>IFERROR(S16/S15,0)</f>
        <v>-3.8445386002907291E-2</v>
      </c>
      <c r="T23" s="35">
        <f>IFERROR(T16/T15,0)</f>
        <v>-2.0866276796100092E-2</v>
      </c>
      <c r="U23" s="35">
        <f>IFERROR(U16/U15,0)</f>
        <v>-5.1742753699754819E-2</v>
      </c>
      <c r="V23" s="36">
        <f>IFERROR(V16/V15,0)</f>
        <v>1.6574585635359115E-2</v>
      </c>
      <c r="W23" s="35">
        <f>IFERROR(W16/W15,0)</f>
        <v>4.6992481203007516E-2</v>
      </c>
      <c r="X23" s="35">
        <f>IFERROR(X16/X15,0)</f>
        <v>-4.9441615808509323E-2</v>
      </c>
      <c r="Y23" s="35"/>
    </row>
    <row r="24" spans="1:27" s="41" customFormat="1" x14ac:dyDescent="0.15">
      <c r="A24" s="72"/>
      <c r="B24" s="39"/>
      <c r="C24" s="39"/>
      <c r="D24" s="39"/>
      <c r="E24" s="39"/>
      <c r="F24" s="40"/>
      <c r="G24" s="39"/>
      <c r="H24" s="39"/>
      <c r="I24" s="39"/>
      <c r="J24" s="40"/>
      <c r="K24" s="39"/>
      <c r="L24" s="39"/>
      <c r="M24" s="39"/>
      <c r="N24" s="56"/>
      <c r="Q24" s="39"/>
      <c r="R24" s="56"/>
      <c r="V24" s="56"/>
    </row>
    <row r="25" spans="1:27" s="11" customFormat="1" x14ac:dyDescent="0.15">
      <c r="A25" s="74" t="s">
        <v>18</v>
      </c>
      <c r="B25" s="29"/>
      <c r="C25" s="29"/>
      <c r="D25" s="29"/>
      <c r="E25" s="29"/>
      <c r="F25" s="30">
        <f>IFERROR((F6/B6)-1,0)</f>
        <v>0</v>
      </c>
      <c r="G25" s="29">
        <f>IFERROR((G6/C6)-1,0)</f>
        <v>0</v>
      </c>
      <c r="H25" s="29">
        <f>IFERROR((H6/D6)-1,0)</f>
        <v>0</v>
      </c>
      <c r="I25" s="29">
        <f>IFERROR((I6/E6)-1,0)</f>
        <v>0</v>
      </c>
      <c r="J25" s="30">
        <f>IFERROR((J6/F6)-1,0)</f>
        <v>0</v>
      </c>
      <c r="K25" s="29">
        <f>IFERROR((K6/G6)-1,0)</f>
        <v>0</v>
      </c>
      <c r="L25" s="29">
        <f>IFERROR((L6/H6)-1,0)</f>
        <v>0</v>
      </c>
      <c r="M25" s="29">
        <f>IFERROR((M6/I6)-1,0)</f>
        <v>0</v>
      </c>
      <c r="N25" s="30">
        <f>IFERROR((N6/J6)-1,0)</f>
        <v>0</v>
      </c>
      <c r="O25" s="29">
        <f>IFERROR((O6/K6)-1,0)</f>
        <v>0</v>
      </c>
      <c r="P25" s="29">
        <f>IFERROR((P6/L6)-1,0)</f>
        <v>0</v>
      </c>
      <c r="Q25" s="29">
        <f>IFERROR((Q6/M6)-1,0)</f>
        <v>0</v>
      </c>
      <c r="R25" s="30">
        <f>IFERROR((R6/N6)-1,0)</f>
        <v>0</v>
      </c>
      <c r="S25" s="29">
        <f>IFERROR((S6/O6)-1,0)</f>
        <v>0</v>
      </c>
      <c r="T25" s="29">
        <f>IFERROR((T6/P6)-1,0)</f>
        <v>0</v>
      </c>
      <c r="U25" s="29">
        <f>IFERROR((U6/Q6)-1,0)</f>
        <v>0</v>
      </c>
      <c r="V25" s="30">
        <f>IFERROR((V6/R6)-1,0)</f>
        <v>0</v>
      </c>
      <c r="W25" s="29">
        <f>IFERROR((W6/S6)-1,0)</f>
        <v>0</v>
      </c>
      <c r="X25" s="29">
        <f>IFERROR((X6/T6)-1,0)</f>
        <v>0</v>
      </c>
      <c r="Y25" s="29"/>
    </row>
    <row r="26" spans="1:27" s="11" customFormat="1" x14ac:dyDescent="0.15">
      <c r="A26" s="73" t="s">
        <v>42</v>
      </c>
      <c r="B26" s="31"/>
      <c r="C26" s="31"/>
      <c r="D26" s="31"/>
      <c r="E26" s="31"/>
      <c r="F26" s="32">
        <f>F9/B9-1</f>
        <v>0.10066864956915955</v>
      </c>
      <c r="G26" s="31">
        <f>G9/C9-1</f>
        <v>0.11745903569866423</v>
      </c>
      <c r="H26" s="31">
        <f>H9/D9-1</f>
        <v>0.13623890972285735</v>
      </c>
      <c r="I26" s="31">
        <f>I9/E9-1</f>
        <v>0.16930897811476808</v>
      </c>
      <c r="J26" s="32">
        <f>J9/F9-1</f>
        <v>0.20182206033625061</v>
      </c>
      <c r="K26" s="31">
        <f>K9/G9-1</f>
        <v>0.28783486175392725</v>
      </c>
      <c r="L26" s="31">
        <f>L9/H9-1</f>
        <v>0.27009458643590278</v>
      </c>
      <c r="M26" s="31">
        <f>M9/I9-1</f>
        <v>0.25665021000663191</v>
      </c>
      <c r="N26" s="32">
        <f>N9/J9-1</f>
        <v>0.22342033906628744</v>
      </c>
      <c r="O26" s="31">
        <f>O9/K9-1</f>
        <v>0.24958834472830738</v>
      </c>
      <c r="P26" s="31">
        <f>P9/L9-1</f>
        <v>0.26430257799749635</v>
      </c>
      <c r="Q26" s="31">
        <f>Q9/M9-1</f>
        <v>0.28371797324906023</v>
      </c>
      <c r="R26" s="32">
        <f>R9/N9-1</f>
        <v>0.33221989339648883</v>
      </c>
      <c r="S26" s="31">
        <f>S9/O9-1</f>
        <v>0.27217957490484546</v>
      </c>
      <c r="T26" s="31">
        <f>T9/P9-1</f>
        <v>0.22776890742611355</v>
      </c>
      <c r="U26" s="31">
        <f>U9/Q9-1</f>
        <v>0.20157804393712819</v>
      </c>
      <c r="V26" s="32">
        <f>V9/R9-1</f>
        <v>0.14497984448074508</v>
      </c>
      <c r="W26" s="31">
        <f>W9/S9-1</f>
        <v>0.11774568344265668</v>
      </c>
      <c r="X26" s="31">
        <f>X9/T9-1</f>
        <v>0.15551000659416481</v>
      </c>
      <c r="Y26" s="31"/>
    </row>
    <row r="27" spans="1:27" s="11" customFormat="1" x14ac:dyDescent="0.15">
      <c r="A27" s="73" t="s">
        <v>43</v>
      </c>
      <c r="B27" s="31"/>
      <c r="C27" s="31"/>
      <c r="D27" s="31"/>
      <c r="E27" s="31"/>
      <c r="F27" s="32">
        <f>F10/B10-1</f>
        <v>0.20917092944204962</v>
      </c>
      <c r="G27" s="31">
        <f>G10/C10-1</f>
        <v>8.3820064730982358E-2</v>
      </c>
      <c r="H27" s="31">
        <f>H10/D10-1</f>
        <v>0.13137423554193894</v>
      </c>
      <c r="I27" s="31">
        <f>I10/E10-1</f>
        <v>0.12134404899970996</v>
      </c>
      <c r="J27" s="32">
        <f>J10/F10-1</f>
        <v>9.5613519734002228E-2</v>
      </c>
      <c r="K27" s="31">
        <f>K10/G10-1</f>
        <v>0.19514076609426745</v>
      </c>
      <c r="L27" s="31">
        <f>L10/H10-1</f>
        <v>0.15208754385046319</v>
      </c>
      <c r="M27" s="31">
        <f>M10/I10-1</f>
        <v>0.15970766116814339</v>
      </c>
      <c r="N27" s="32">
        <f>N10/J10-1</f>
        <v>0.11658725689365879</v>
      </c>
      <c r="O27" s="31">
        <f>O10/K10-1</f>
        <v>0.16835533666728164</v>
      </c>
      <c r="P27" s="31">
        <f>P10/L10-1</f>
        <v>0.21812857098708771</v>
      </c>
      <c r="Q27" s="31">
        <f>Q10/M10-1</f>
        <v>0.2603517829522175</v>
      </c>
      <c r="R27" s="32">
        <f>R10/N10-1</f>
        <v>0.34522520599631301</v>
      </c>
      <c r="S27" s="31">
        <f>S10/O10-1</f>
        <v>0.31369126374349099</v>
      </c>
      <c r="T27" s="31">
        <f>T10/P10-1</f>
        <v>0.21225697076784411</v>
      </c>
      <c r="U27" s="31">
        <f>U10/Q10-1</f>
        <v>0.10781911431189384</v>
      </c>
      <c r="V27" s="32">
        <f>V10/R10-1</f>
        <v>9.6583827883682805E-2</v>
      </c>
      <c r="W27" s="31">
        <f>W10/S10-1</f>
        <v>6.1339785399686875E-2</v>
      </c>
      <c r="X27" s="31">
        <f>X10/T10-1</f>
        <v>9.8097533712332874E-2</v>
      </c>
      <c r="Y27" s="31"/>
    </row>
    <row r="28" spans="1:27" s="11" customFormat="1" x14ac:dyDescent="0.15">
      <c r="A28" s="73" t="s">
        <v>44</v>
      </c>
      <c r="B28" s="31"/>
      <c r="C28" s="31"/>
      <c r="D28" s="31"/>
      <c r="E28" s="31"/>
      <c r="F28" s="32">
        <f>F11/B11-1</f>
        <v>2.3599076395958152E-2</v>
      </c>
      <c r="G28" s="31">
        <f>G11/C11-1</f>
        <v>5.9296265582546415E-2</v>
      </c>
      <c r="H28" s="31">
        <f>H11/D11-1</f>
        <v>0.18521056877485309</v>
      </c>
      <c r="I28" s="31">
        <f>I11/E11-1</f>
        <v>9.218138812629828E-2</v>
      </c>
      <c r="J28" s="32">
        <f>J11/F11-1</f>
        <v>3.0477230004244626E-2</v>
      </c>
      <c r="K28" s="31">
        <f>K11/G11-1</f>
        <v>0.12176198780534375</v>
      </c>
      <c r="L28" s="31">
        <f>L11/H11-1</f>
        <v>4.9031418658440629E-3</v>
      </c>
      <c r="M28" s="31">
        <f>M11/I11-1</f>
        <v>0.12934633935641782</v>
      </c>
      <c r="N28" s="32">
        <f>N11/J11-1</f>
        <v>0.10386263063741663</v>
      </c>
      <c r="O28" s="31">
        <f>O11/K11-1</f>
        <v>0.10746160261902205</v>
      </c>
      <c r="P28" s="31">
        <f>P11/L11-1</f>
        <v>0.24640052748306651</v>
      </c>
      <c r="Q28" s="31">
        <f>Q11/M11-1</f>
        <v>0.30296462738973595</v>
      </c>
      <c r="R28" s="32">
        <f>R11/N11-1</f>
        <v>0.40029106649749968</v>
      </c>
      <c r="S28" s="31">
        <f>S11/O11-1</f>
        <v>0.34413312225586501</v>
      </c>
      <c r="T28" s="31">
        <f>T11/P11-1</f>
        <v>0.26100693960189858</v>
      </c>
      <c r="U28" s="31">
        <f>U11/Q11-1</f>
        <v>9.5190531907520581E-2</v>
      </c>
      <c r="V28" s="32">
        <f>V11/R11-1</f>
        <v>0.19158656134005891</v>
      </c>
      <c r="W28" s="31">
        <f>W11/S11-1</f>
        <v>6.2509528891598887E-3</v>
      </c>
      <c r="X28" s="31">
        <f>X11/T11-1</f>
        <v>3.3522748941688052E-2</v>
      </c>
      <c r="Y28" s="31"/>
    </row>
    <row r="29" spans="1:27" x14ac:dyDescent="0.15">
      <c r="A29" s="73" t="s">
        <v>72</v>
      </c>
      <c r="J29" s="34">
        <f>J12/F12-1</f>
        <v>0.11209172125586497</v>
      </c>
      <c r="K29" s="33">
        <f>K12/G12-1</f>
        <v>0.20689683490323096</v>
      </c>
      <c r="L29" s="33">
        <f>L12/H12-1</f>
        <v>0.15756311235832832</v>
      </c>
      <c r="M29" s="33">
        <f>M12/I12-1</f>
        <v>0.18138656325747649</v>
      </c>
      <c r="N29" s="34">
        <f>N12/J12-1</f>
        <v>0.14559678461207204</v>
      </c>
      <c r="O29" s="33">
        <f>O12/K12-1</f>
        <v>0.18156438700245348</v>
      </c>
      <c r="P29" s="33">
        <f>P12/L12-1</f>
        <v>0.23680891989950403</v>
      </c>
      <c r="Q29" s="33">
        <f>Q12/M12-1</f>
        <v>0.27470514542293079</v>
      </c>
      <c r="R29" s="34">
        <f>R12/N12-1</f>
        <v>0.35041062836521952</v>
      </c>
      <c r="S29" s="33">
        <f>S12/O12-1</f>
        <v>0.30580272670731801</v>
      </c>
      <c r="T29" s="33">
        <f>T12/P12-1</f>
        <v>0.22504146508397183</v>
      </c>
      <c r="U29" s="33">
        <f>U12/Q12-1</f>
        <v>0.13374465092163734</v>
      </c>
      <c r="V29" s="34">
        <f>V12/R12-1</f>
        <v>0.12802635154391151</v>
      </c>
      <c r="W29" s="33">
        <f>W12/S12-1</f>
        <v>6.9148115130304388E-2</v>
      </c>
      <c r="X29" s="33">
        <f>X12/T12-1</f>
        <v>0.10525067583937364</v>
      </c>
      <c r="Y29" s="33"/>
    </row>
    <row r="30" spans="1:27" x14ac:dyDescent="0.15">
      <c r="J30" s="45"/>
      <c r="K30" s="44"/>
      <c r="L30" s="44"/>
      <c r="M30" s="44"/>
      <c r="N30" s="45"/>
      <c r="O30" s="44"/>
      <c r="P30" s="44"/>
      <c r="Q30" s="44"/>
      <c r="S30" s="44"/>
    </row>
    <row r="31" spans="1:27" s="16" customFormat="1" x14ac:dyDescent="0.15">
      <c r="A31" s="70" t="s">
        <v>26</v>
      </c>
      <c r="B31" s="22"/>
      <c r="C31" s="22"/>
      <c r="D31" s="22"/>
      <c r="E31" s="23">
        <f>E32-E33</f>
        <v>2080.8530000000001</v>
      </c>
      <c r="F31" s="21"/>
      <c r="G31" s="22"/>
      <c r="H31" s="22"/>
      <c r="I31" s="23">
        <f t="shared" ref="I31" si="34">I32-I33</f>
        <v>2859.232</v>
      </c>
      <c r="J31" s="21"/>
      <c r="K31" s="22"/>
      <c r="L31" s="22"/>
      <c r="M31" s="23">
        <f t="shared" ref="M31:P31" si="35">M32-M33</f>
        <v>3938.3530000000001</v>
      </c>
      <c r="N31" s="24">
        <f t="shared" si="35"/>
        <v>4273.1760000000004</v>
      </c>
      <c r="O31" s="23">
        <f t="shared" si="35"/>
        <v>4460.0070000000005</v>
      </c>
      <c r="P31" s="23">
        <f t="shared" si="35"/>
        <v>3069.8160000000003</v>
      </c>
      <c r="Q31" s="23">
        <f t="shared" ref="Q31:S31" si="36">Q32-Q33</f>
        <v>-895.83800000000019</v>
      </c>
      <c r="R31" s="24">
        <f t="shared" si="36"/>
        <v>-903.33000000000038</v>
      </c>
      <c r="S31" s="23">
        <f t="shared" si="36"/>
        <v>-654.62699999999995</v>
      </c>
      <c r="T31" s="23">
        <f t="shared" ref="T31" si="37">T32-T33</f>
        <v>-486.22799999999961</v>
      </c>
      <c r="U31" s="23">
        <f t="shared" ref="U31" si="38">U32-U33</f>
        <v>38.709000000000742</v>
      </c>
      <c r="V31" s="24">
        <f t="shared" ref="V31:X31" si="39">V32-V33</f>
        <v>58</v>
      </c>
      <c r="W31" s="23">
        <f t="shared" si="39"/>
        <v>237</v>
      </c>
      <c r="X31" s="23">
        <f t="shared" si="39"/>
        <v>1148</v>
      </c>
      <c r="Y31" s="46"/>
    </row>
    <row r="32" spans="1:27" s="7" customFormat="1" x14ac:dyDescent="0.15">
      <c r="A32" s="69" t="s">
        <v>27</v>
      </c>
      <c r="B32" s="22"/>
      <c r="C32" s="22"/>
      <c r="D32" s="22"/>
      <c r="E32" s="22">
        <f>876.56+3111.524</f>
        <v>3988.0839999999998</v>
      </c>
      <c r="F32" s="21"/>
      <c r="G32" s="22"/>
      <c r="H32" s="22"/>
      <c r="I32" s="22">
        <f>1011.315+3749.985</f>
        <v>4761.3</v>
      </c>
      <c r="J32" s="21"/>
      <c r="K32" s="22"/>
      <c r="L32" s="22"/>
      <c r="M32" s="22">
        <f>2306.072+3513.702</f>
        <v>5819.7740000000003</v>
      </c>
      <c r="N32" s="21">
        <f>2666.981+3480.989</f>
        <v>6147.97</v>
      </c>
      <c r="O32" s="22">
        <f>2987.986+3346.078</f>
        <v>6334.0640000000003</v>
      </c>
      <c r="P32" s="22">
        <f>1747.144+3197.326</f>
        <v>4944.47</v>
      </c>
      <c r="Q32" s="22">
        <f>1642.775+1586.187</f>
        <v>3228.962</v>
      </c>
      <c r="R32" s="21">
        <f>1738.846+1487.411</f>
        <v>3226.2570000000001</v>
      </c>
      <c r="S32" s="22">
        <f>2082.91+1396.069</f>
        <v>3478.9789999999998</v>
      </c>
      <c r="T32" s="22">
        <f>2209.047+1441.741</f>
        <v>3650.788</v>
      </c>
      <c r="U32" s="22">
        <f>2650.221+1526.755</f>
        <v>4176.9760000000006</v>
      </c>
      <c r="V32" s="21">
        <f>2688+1483</f>
        <v>4171</v>
      </c>
      <c r="W32" s="22">
        <f>3044+1307</f>
        <v>4351</v>
      </c>
      <c r="X32" s="22">
        <f>3767+1497</f>
        <v>5264</v>
      </c>
      <c r="Y32" s="22"/>
    </row>
    <row r="33" spans="1:25" s="7" customFormat="1" x14ac:dyDescent="0.15">
      <c r="A33" s="69" t="s">
        <v>28</v>
      </c>
      <c r="B33" s="22"/>
      <c r="C33" s="22"/>
      <c r="D33" s="22"/>
      <c r="E33" s="22">
        <v>1907.231</v>
      </c>
      <c r="F33" s="21"/>
      <c r="G33" s="22"/>
      <c r="H33" s="22"/>
      <c r="I33" s="22">
        <v>1902.068</v>
      </c>
      <c r="J33" s="21"/>
      <c r="K33" s="22"/>
      <c r="L33" s="22"/>
      <c r="M33" s="22">
        <v>1881.421</v>
      </c>
      <c r="N33" s="21">
        <v>1874.7940000000001</v>
      </c>
      <c r="O33" s="22">
        <v>1874.057</v>
      </c>
      <c r="P33" s="22">
        <v>1874.654</v>
      </c>
      <c r="Q33" s="22">
        <v>4124.8</v>
      </c>
      <c r="R33" s="21">
        <f>892.754+3236.833</f>
        <v>4129.5870000000004</v>
      </c>
      <c r="S33" s="22">
        <f>3145.668+987.938</f>
        <v>4133.6059999999998</v>
      </c>
      <c r="T33" s="22">
        <f>3148.587+988.429</f>
        <v>4137.0159999999996</v>
      </c>
      <c r="U33" s="22">
        <f>3149.343+988.924</f>
        <v>4138.2669999999998</v>
      </c>
      <c r="V33" s="21">
        <v>4113</v>
      </c>
      <c r="W33" s="22">
        <v>4114</v>
      </c>
      <c r="X33" s="22">
        <v>4116</v>
      </c>
      <c r="Y33" s="22"/>
    </row>
    <row r="34" spans="1:25" s="7" customFormat="1" x14ac:dyDescent="0.15">
      <c r="A34" s="69"/>
      <c r="B34" s="22"/>
      <c r="C34" s="22"/>
      <c r="D34" s="22"/>
      <c r="E34" s="22"/>
      <c r="F34" s="21"/>
      <c r="G34" s="22"/>
      <c r="H34" s="22"/>
      <c r="I34" s="22"/>
      <c r="J34" s="21"/>
      <c r="K34" s="22"/>
      <c r="L34" s="22"/>
      <c r="M34" s="22"/>
      <c r="N34" s="21"/>
      <c r="O34" s="22"/>
      <c r="P34" s="22"/>
      <c r="Q34" s="22"/>
      <c r="R34" s="21"/>
      <c r="S34" s="22"/>
      <c r="T34" s="22"/>
      <c r="U34" s="22"/>
      <c r="V34" s="21"/>
      <c r="W34" s="22"/>
      <c r="X34" s="22"/>
      <c r="Y34" s="22"/>
    </row>
    <row r="35" spans="1:25" s="7" customFormat="1" x14ac:dyDescent="0.15">
      <c r="A35" s="75" t="s">
        <v>56</v>
      </c>
      <c r="B35" s="22"/>
      <c r="C35" s="22"/>
      <c r="D35" s="22"/>
      <c r="E35" s="37">
        <f>5366.881+510.007</f>
        <v>5876.8879999999999</v>
      </c>
      <c r="F35" s="21"/>
      <c r="G35" s="22"/>
      <c r="H35" s="22"/>
      <c r="I35" s="37">
        <f>5406.474+414.405</f>
        <v>5820.8789999999999</v>
      </c>
      <c r="J35" s="21"/>
      <c r="K35" s="22"/>
      <c r="L35" s="22"/>
      <c r="M35" s="37">
        <f>5821.561+385.658</f>
        <v>6207.2190000000001</v>
      </c>
      <c r="N35" s="21">
        <f>5843.899+353.74</f>
        <v>6197.6390000000001</v>
      </c>
      <c r="O35" s="22">
        <f>5823.792+320.478</f>
        <v>6144.27</v>
      </c>
      <c r="P35" s="22">
        <f>7136.853+669.476</f>
        <v>7806.3289999999997</v>
      </c>
      <c r="Q35" s="22">
        <f>10581.048+2069.001</f>
        <v>12650.049000000001</v>
      </c>
      <c r="R35" s="21">
        <f>10707.715+2017.103</f>
        <v>12724.817999999999</v>
      </c>
      <c r="S35" s="22">
        <f>10697.874+1917.149</f>
        <v>12615.022999999999</v>
      </c>
      <c r="T35" s="22">
        <f>10688.068+1815.625</f>
        <v>12503.692999999999</v>
      </c>
      <c r="U35" s="22">
        <f>10691.199+1720.565</f>
        <v>12411.764000000001</v>
      </c>
      <c r="V35" s="21">
        <f>10691+1626</f>
        <v>12317</v>
      </c>
      <c r="W35" s="22">
        <f>10695+1535</f>
        <v>12230</v>
      </c>
      <c r="X35" s="22">
        <f>10739+1445</f>
        <v>12184</v>
      </c>
      <c r="Y35" s="22"/>
    </row>
    <row r="36" spans="1:25" s="7" customFormat="1" x14ac:dyDescent="0.15">
      <c r="A36" s="75" t="s">
        <v>57</v>
      </c>
      <c r="B36" s="22"/>
      <c r="C36" s="22"/>
      <c r="D36" s="22"/>
      <c r="E36" s="37">
        <v>11726.472</v>
      </c>
      <c r="F36" s="21"/>
      <c r="G36" s="22"/>
      <c r="H36" s="22"/>
      <c r="I36" s="37">
        <v>12707.114</v>
      </c>
      <c r="J36" s="21"/>
      <c r="K36" s="22"/>
      <c r="L36" s="22"/>
      <c r="M36" s="37">
        <v>14535.556</v>
      </c>
      <c r="N36" s="21">
        <v>14973.485000000001</v>
      </c>
      <c r="O36" s="22">
        <v>15163.404</v>
      </c>
      <c r="P36" s="22">
        <v>15395.62</v>
      </c>
      <c r="Q36" s="22">
        <v>18768.682000000001</v>
      </c>
      <c r="R36" s="21">
        <v>19505.536</v>
      </c>
      <c r="S36" s="22">
        <v>19665.909</v>
      </c>
      <c r="T36" s="22">
        <v>20054.88</v>
      </c>
      <c r="U36" s="22">
        <v>20762.400000000001</v>
      </c>
      <c r="V36" s="21">
        <v>21214</v>
      </c>
      <c r="W36" s="22">
        <v>21603</v>
      </c>
      <c r="X36" s="22">
        <v>22414</v>
      </c>
      <c r="Y36" s="22"/>
    </row>
    <row r="37" spans="1:25" s="7" customFormat="1" x14ac:dyDescent="0.15">
      <c r="A37" s="75" t="s">
        <v>58</v>
      </c>
      <c r="B37" s="22"/>
      <c r="C37" s="22"/>
      <c r="D37" s="22"/>
      <c r="E37" s="37">
        <v>4724.8919999999998</v>
      </c>
      <c r="F37" s="21"/>
      <c r="G37" s="22"/>
      <c r="H37" s="22"/>
      <c r="I37" s="37">
        <v>5282.2790000000005</v>
      </c>
      <c r="J37" s="21"/>
      <c r="K37" s="22"/>
      <c r="L37" s="22"/>
      <c r="M37" s="37">
        <v>6075.6869999999999</v>
      </c>
      <c r="N37" s="21">
        <v>6339.4570000000003</v>
      </c>
      <c r="O37" s="22">
        <v>6457.8209999999999</v>
      </c>
      <c r="P37" s="22">
        <v>6533.6949999999997</v>
      </c>
      <c r="Q37" s="22">
        <v>9406.5679999999993</v>
      </c>
      <c r="R37" s="21">
        <v>9634.0509999999995</v>
      </c>
      <c r="S37" s="22">
        <v>9734.2160000000003</v>
      </c>
      <c r="T37" s="22">
        <v>9812.107</v>
      </c>
      <c r="U37" s="22">
        <v>10232.245000000001</v>
      </c>
      <c r="V37" s="21">
        <v>10749</v>
      </c>
      <c r="W37" s="22">
        <v>10722</v>
      </c>
      <c r="X37" s="22">
        <v>10701</v>
      </c>
      <c r="Y37" s="22"/>
    </row>
    <row r="38" spans="1:25" s="7" customFormat="1" x14ac:dyDescent="0.15">
      <c r="A38" s="69"/>
      <c r="B38" s="22"/>
      <c r="C38" s="22"/>
      <c r="D38" s="22"/>
      <c r="E38" s="37"/>
      <c r="F38" s="21"/>
      <c r="G38" s="22"/>
      <c r="H38" s="22"/>
      <c r="I38" s="37"/>
      <c r="J38" s="21"/>
      <c r="K38" s="22"/>
      <c r="L38" s="22"/>
      <c r="M38" s="37"/>
      <c r="N38" s="21"/>
      <c r="O38" s="22"/>
      <c r="P38" s="22"/>
      <c r="Q38" s="22"/>
      <c r="R38" s="21"/>
      <c r="S38" s="22"/>
      <c r="T38" s="22"/>
      <c r="U38" s="22"/>
      <c r="V38" s="21"/>
      <c r="W38" s="22"/>
      <c r="X38" s="22"/>
      <c r="Y38" s="22"/>
    </row>
    <row r="39" spans="1:25" s="7" customFormat="1" x14ac:dyDescent="0.15">
      <c r="A39" s="75" t="s">
        <v>59</v>
      </c>
      <c r="B39" s="22"/>
      <c r="C39" s="22"/>
      <c r="D39" s="22"/>
      <c r="E39" s="26">
        <f>E36-E32-E35</f>
        <v>1861.5</v>
      </c>
      <c r="F39" s="21"/>
      <c r="G39" s="22"/>
      <c r="H39" s="22"/>
      <c r="I39" s="26">
        <f t="shared" ref="I39:O39" si="40">I36-I32-I35</f>
        <v>2124.9349999999995</v>
      </c>
      <c r="J39" s="21"/>
      <c r="K39" s="22"/>
      <c r="L39" s="22"/>
      <c r="M39" s="26">
        <f t="shared" si="40"/>
        <v>2508.5629999999992</v>
      </c>
      <c r="N39" s="27">
        <f t="shared" si="40"/>
        <v>2627.8759999999993</v>
      </c>
      <c r="O39" s="26">
        <f t="shared" si="40"/>
        <v>2685.0699999999997</v>
      </c>
      <c r="P39" s="26">
        <f t="shared" ref="P39:V39" si="41">P36-P32-P35</f>
        <v>2644.8210000000017</v>
      </c>
      <c r="Q39" s="26">
        <f t="shared" si="41"/>
        <v>2889.6710000000003</v>
      </c>
      <c r="R39" s="27">
        <f t="shared" si="41"/>
        <v>3554.4610000000011</v>
      </c>
      <c r="S39" s="26">
        <f t="shared" si="41"/>
        <v>3571.9070000000011</v>
      </c>
      <c r="T39" s="26">
        <f t="shared" si="41"/>
        <v>3900.3990000000013</v>
      </c>
      <c r="U39" s="26">
        <f t="shared" si="41"/>
        <v>4173.659999999998</v>
      </c>
      <c r="V39" s="27">
        <f t="shared" si="41"/>
        <v>4726</v>
      </c>
      <c r="W39" s="26">
        <f t="shared" ref="W39:X39" si="42">W36-W32-W35</f>
        <v>5022</v>
      </c>
      <c r="X39" s="26">
        <f t="shared" si="42"/>
        <v>4966</v>
      </c>
      <c r="Y39" s="22"/>
    </row>
    <row r="40" spans="1:25" s="7" customFormat="1" x14ac:dyDescent="0.15">
      <c r="A40" s="75" t="s">
        <v>60</v>
      </c>
      <c r="B40" s="22"/>
      <c r="C40" s="22"/>
      <c r="D40" s="22"/>
      <c r="E40" s="26">
        <f>E36-E37</f>
        <v>7001.58</v>
      </c>
      <c r="F40" s="21"/>
      <c r="G40" s="22"/>
      <c r="H40" s="22"/>
      <c r="I40" s="26">
        <f>I36-I37</f>
        <v>7424.8349999999991</v>
      </c>
      <c r="J40" s="21"/>
      <c r="K40" s="22"/>
      <c r="L40" s="22"/>
      <c r="M40" s="26">
        <f t="shared" ref="M40:P40" si="43">M36-M37</f>
        <v>8459.8690000000006</v>
      </c>
      <c r="N40" s="27">
        <f t="shared" si="43"/>
        <v>8634.0280000000002</v>
      </c>
      <c r="O40" s="26">
        <f t="shared" si="43"/>
        <v>8705.5830000000005</v>
      </c>
      <c r="P40" s="26">
        <f t="shared" si="43"/>
        <v>8861.9250000000011</v>
      </c>
      <c r="Q40" s="26">
        <f t="shared" ref="Q40:S40" si="44">Q36-Q37</f>
        <v>9362.1140000000014</v>
      </c>
      <c r="R40" s="27">
        <f t="shared" si="44"/>
        <v>9871.4850000000006</v>
      </c>
      <c r="S40" s="26">
        <f t="shared" si="44"/>
        <v>9931.6929999999993</v>
      </c>
      <c r="T40" s="26">
        <f>T36-T37</f>
        <v>10242.773000000001</v>
      </c>
      <c r="U40" s="26">
        <f>U36-U37</f>
        <v>10530.155000000001</v>
      </c>
      <c r="V40" s="27">
        <f t="shared" ref="V40" si="45">V36-V37</f>
        <v>10465</v>
      </c>
      <c r="W40" s="26">
        <f>W36-W37</f>
        <v>10881</v>
      </c>
      <c r="X40" s="26">
        <f>X36-X37</f>
        <v>11713</v>
      </c>
      <c r="Y40" s="22"/>
    </row>
    <row r="41" spans="1:25" s="7" customFormat="1" x14ac:dyDescent="0.15">
      <c r="A41" s="69"/>
      <c r="B41" s="22"/>
      <c r="C41" s="22"/>
      <c r="D41" s="22"/>
      <c r="E41" s="37"/>
      <c r="F41" s="21"/>
      <c r="G41" s="22"/>
      <c r="H41" s="22"/>
      <c r="I41" s="37"/>
      <c r="J41" s="21"/>
      <c r="K41" s="22"/>
      <c r="L41" s="22"/>
      <c r="M41" s="37"/>
      <c r="N41" s="21"/>
      <c r="O41" s="22"/>
      <c r="P41" s="22"/>
      <c r="Q41" s="22"/>
      <c r="R41" s="21"/>
      <c r="S41" s="22"/>
      <c r="T41" s="22"/>
      <c r="U41" s="22"/>
      <c r="V41" s="21"/>
      <c r="W41" s="22"/>
      <c r="X41" s="22"/>
      <c r="Y41" s="22"/>
    </row>
    <row r="42" spans="1:25" s="16" customFormat="1" x14ac:dyDescent="0.15">
      <c r="A42" s="76" t="s">
        <v>61</v>
      </c>
      <c r="B42" s="46"/>
      <c r="C42" s="46"/>
      <c r="D42" s="46"/>
      <c r="E42" s="23">
        <f>SUM(B17:E17)</f>
        <v>-4165.96</v>
      </c>
      <c r="F42" s="21"/>
      <c r="G42" s="22"/>
      <c r="H42" s="22"/>
      <c r="I42" s="23">
        <f>SUM(F17:I17)</f>
        <v>-4685.6480000000001</v>
      </c>
      <c r="J42" s="21"/>
      <c r="K42" s="22"/>
      <c r="L42" s="22"/>
      <c r="M42" s="23">
        <f t="shared" ref="M42:U42" si="46">SUM(J17:M17)</f>
        <v>-5607.5510000000004</v>
      </c>
      <c r="N42" s="24">
        <f t="shared" si="46"/>
        <v>-5820.2220000000007</v>
      </c>
      <c r="O42" s="23">
        <f t="shared" si="46"/>
        <v>-5954.6149999999998</v>
      </c>
      <c r="P42" s="23">
        <f t="shared" si="46"/>
        <v>-6157.8950000000004</v>
      </c>
      <c r="Q42" s="23">
        <f t="shared" si="46"/>
        <v>-6439.2340000000004</v>
      </c>
      <c r="R42" s="24">
        <f t="shared" si="46"/>
        <v>-6870.0680000000002</v>
      </c>
      <c r="S42" s="23">
        <f t="shared" si="46"/>
        <v>-7449.5619999999999</v>
      </c>
      <c r="T42" s="23">
        <f t="shared" si="46"/>
        <v>-7866.14</v>
      </c>
      <c r="U42" s="23">
        <f t="shared" si="46"/>
        <v>-8219.8379999999997</v>
      </c>
      <c r="V42" s="24">
        <f t="shared" ref="V42" si="47">SUM(S17:V17)</f>
        <v>-8429.1329999999998</v>
      </c>
      <c r="W42" s="23">
        <f>SUM(T17:W17)</f>
        <v>-8345.4459999999999</v>
      </c>
      <c r="X42" s="23">
        <f>SUM(U17:X17)</f>
        <v>-8532.8000000000011</v>
      </c>
      <c r="Y42" s="46"/>
    </row>
    <row r="43" spans="1:25" x14ac:dyDescent="0.15">
      <c r="A43" s="77" t="s">
        <v>62</v>
      </c>
      <c r="E43" s="33">
        <f>E17/E40</f>
        <v>-0.15477920697899614</v>
      </c>
      <c r="I43" s="33">
        <f t="shared" ref="I43:O43" si="48">I42/I40</f>
        <v>-0.63107772765320724</v>
      </c>
      <c r="J43" s="21"/>
      <c r="K43" s="22"/>
      <c r="L43" s="22"/>
      <c r="M43" s="33">
        <f t="shared" si="48"/>
        <v>-0.66284135132588928</v>
      </c>
      <c r="N43" s="34">
        <f t="shared" si="48"/>
        <v>-0.67410274787156133</v>
      </c>
      <c r="O43" s="33">
        <f t="shared" si="48"/>
        <v>-0.68399956671483109</v>
      </c>
      <c r="P43" s="33">
        <f t="shared" ref="P43:V43" si="49">P42/P40</f>
        <v>-0.69487103535631367</v>
      </c>
      <c r="Q43" s="33">
        <f t="shared" si="49"/>
        <v>-0.68779700823980561</v>
      </c>
      <c r="R43" s="34">
        <f t="shared" si="49"/>
        <v>-0.69595081185860075</v>
      </c>
      <c r="S43" s="33">
        <f t="shared" si="49"/>
        <v>-0.75007976988414771</v>
      </c>
      <c r="T43" s="33">
        <f t="shared" si="49"/>
        <v>-0.76796976756196778</v>
      </c>
      <c r="U43" s="33">
        <f t="shared" si="49"/>
        <v>-0.78059990569939375</v>
      </c>
      <c r="V43" s="34">
        <f t="shared" si="49"/>
        <v>-0.80545943621595795</v>
      </c>
      <c r="W43" s="33">
        <f t="shared" ref="W43:X43" si="50">W42/W40</f>
        <v>-0.76697417516772359</v>
      </c>
      <c r="X43" s="33">
        <f t="shared" si="50"/>
        <v>-0.72848971228549486</v>
      </c>
    </row>
    <row r="44" spans="1:25" x14ac:dyDescent="0.15">
      <c r="A44" s="77" t="s">
        <v>63</v>
      </c>
      <c r="E44" s="33">
        <f>E17/E36</f>
        <v>-9.2414751853754473E-2</v>
      </c>
      <c r="I44" s="33">
        <f t="shared" ref="I44:O44" si="51">I42/I36</f>
        <v>-0.36874210776734989</v>
      </c>
      <c r="J44" s="21"/>
      <c r="K44" s="22"/>
      <c r="L44" s="22"/>
      <c r="M44" s="33">
        <f t="shared" si="51"/>
        <v>-0.3857816653177904</v>
      </c>
      <c r="N44" s="34">
        <f t="shared" si="51"/>
        <v>-0.38870189538374</v>
      </c>
      <c r="O44" s="33">
        <f t="shared" si="51"/>
        <v>-0.39269645522865443</v>
      </c>
      <c r="P44" s="33">
        <f t="shared" ref="P44:V44" si="52">P42/P36</f>
        <v>-0.399977071400827</v>
      </c>
      <c r="Q44" s="33">
        <f t="shared" si="52"/>
        <v>-0.34308397361093335</v>
      </c>
      <c r="R44" s="34">
        <f t="shared" si="52"/>
        <v>-0.3522111876341158</v>
      </c>
      <c r="S44" s="33">
        <f t="shared" si="52"/>
        <v>-0.37880588179270025</v>
      </c>
      <c r="T44" s="33">
        <f t="shared" si="52"/>
        <v>-0.39223071890731831</v>
      </c>
      <c r="U44" s="33">
        <f t="shared" si="52"/>
        <v>-0.39590018494971674</v>
      </c>
      <c r="V44" s="34">
        <f t="shared" si="52"/>
        <v>-0.39733822004336755</v>
      </c>
      <c r="W44" s="33">
        <f t="shared" ref="W44:X44" si="53">W42/W36</f>
        <v>-0.38630958663148635</v>
      </c>
      <c r="X44" s="33">
        <f t="shared" si="53"/>
        <v>-0.38069063977870976</v>
      </c>
    </row>
    <row r="45" spans="1:25" x14ac:dyDescent="0.15">
      <c r="A45" s="77" t="s">
        <v>64</v>
      </c>
      <c r="E45" s="33">
        <f>E17/(E40-E35)</f>
        <v>-0.96355179907032307</v>
      </c>
      <c r="I45" s="33">
        <f t="shared" ref="I45:O45" si="54">I42/(I40-I35)</f>
        <v>-2.9213070682736948</v>
      </c>
      <c r="J45" s="21"/>
      <c r="K45" s="22"/>
      <c r="L45" s="22"/>
      <c r="M45" s="33">
        <f t="shared" si="54"/>
        <v>-2.4893130313186687</v>
      </c>
      <c r="N45" s="34">
        <f t="shared" si="54"/>
        <v>-2.388872220322781</v>
      </c>
      <c r="O45" s="33">
        <f t="shared" si="54"/>
        <v>-2.3248291013242035</v>
      </c>
      <c r="P45" s="33">
        <f t="shared" ref="P45:V45" si="55">P42/(P40-P35)</f>
        <v>-5.8335717452510165</v>
      </c>
      <c r="Q45" s="33">
        <f t="shared" si="55"/>
        <v>1.9584432173993711</v>
      </c>
      <c r="R45" s="34">
        <f t="shared" si="55"/>
        <v>2.4077343934269164</v>
      </c>
      <c r="S45" s="33">
        <f t="shared" si="55"/>
        <v>2.7762377344568132</v>
      </c>
      <c r="T45" s="33">
        <f t="shared" si="55"/>
        <v>3.4791766183677471</v>
      </c>
      <c r="U45" s="33">
        <f t="shared" si="55"/>
        <v>4.3685154567181588</v>
      </c>
      <c r="V45" s="34">
        <f t="shared" si="55"/>
        <v>4.5513677105831531</v>
      </c>
      <c r="W45" s="33">
        <f t="shared" ref="W45:X45" si="56">W42/(W40-W35)</f>
        <v>6.1863943661971827</v>
      </c>
      <c r="X45" s="33">
        <f t="shared" si="56"/>
        <v>18.116348195329088</v>
      </c>
    </row>
    <row r="46" spans="1:25" x14ac:dyDescent="0.15">
      <c r="A46" s="77" t="s">
        <v>65</v>
      </c>
      <c r="E46" s="33">
        <f>E17/E39</f>
        <v>-0.58216438356164379</v>
      </c>
      <c r="I46" s="33">
        <f t="shared" ref="I46:O46" si="57">I42/I39</f>
        <v>-2.2050782729824685</v>
      </c>
      <c r="J46" s="21"/>
      <c r="K46" s="22"/>
      <c r="L46" s="22"/>
      <c r="M46" s="33">
        <f t="shared" si="57"/>
        <v>-2.235363831803308</v>
      </c>
      <c r="N46" s="34">
        <f t="shared" si="57"/>
        <v>-2.2148008505728591</v>
      </c>
      <c r="O46" s="33">
        <f t="shared" si="57"/>
        <v>-2.2176758892691812</v>
      </c>
      <c r="P46" s="33">
        <f t="shared" ref="P46:V46" si="58">P42/P39</f>
        <v>-2.3282842203687872</v>
      </c>
      <c r="Q46" s="33">
        <f t="shared" si="58"/>
        <v>-2.2283623291371231</v>
      </c>
      <c r="R46" s="34">
        <f t="shared" si="58"/>
        <v>-1.9328016259005227</v>
      </c>
      <c r="S46" s="33">
        <f t="shared" si="58"/>
        <v>-2.0855979732954966</v>
      </c>
      <c r="T46" s="33">
        <f t="shared" si="58"/>
        <v>-2.0167526450499031</v>
      </c>
      <c r="U46" s="33">
        <f t="shared" si="58"/>
        <v>-1.9694555857448865</v>
      </c>
      <c r="V46" s="34">
        <f t="shared" si="58"/>
        <v>-1.783566017774016</v>
      </c>
      <c r="W46" s="33">
        <f t="shared" ref="W46:X46" si="59">W42/W39</f>
        <v>-1.6617773795300677</v>
      </c>
      <c r="X46" s="33">
        <f t="shared" si="59"/>
        <v>-1.7182440596053163</v>
      </c>
    </row>
    <row r="48" spans="1:25" x14ac:dyDescent="0.15">
      <c r="A48" s="73" t="s">
        <v>69</v>
      </c>
      <c r="F48" s="34" t="e">
        <f>F3/B3-1</f>
        <v>#DIV/0!</v>
      </c>
      <c r="G48" s="33" t="e">
        <f>G3/C3-1</f>
        <v>#DIV/0!</v>
      </c>
      <c r="H48" s="33" t="e">
        <f>H3/D3-1</f>
        <v>#DIV/0!</v>
      </c>
      <c r="I48" s="33" t="e">
        <f>I3/E3-1</f>
        <v>#DIV/0!</v>
      </c>
      <c r="J48" s="34" t="e">
        <f>J3/F3-1</f>
        <v>#DIV/0!</v>
      </c>
      <c r="K48" s="33" t="e">
        <f>K3/G3-1</f>
        <v>#DIV/0!</v>
      </c>
      <c r="L48" s="33" t="e">
        <f>L3/H3-1</f>
        <v>#DIV/0!</v>
      </c>
      <c r="M48" s="33" t="e">
        <f>M3/I3-1</f>
        <v>#DIV/0!</v>
      </c>
      <c r="N48" s="34" t="e">
        <f>N3/J3-1</f>
        <v>#DIV/0!</v>
      </c>
      <c r="O48" s="33" t="e">
        <f>O3/K3-1</f>
        <v>#DIV/0!</v>
      </c>
      <c r="P48" s="33" t="e">
        <f>P3/L3-1</f>
        <v>#DIV/0!</v>
      </c>
      <c r="Q48" s="33" t="e">
        <f>Q3/M3-1</f>
        <v>#DIV/0!</v>
      </c>
      <c r="R48" s="34" t="e">
        <f>R3/N3-1</f>
        <v>#DIV/0!</v>
      </c>
      <c r="S48" s="33" t="e">
        <f>S3/O3-1</f>
        <v>#DIV/0!</v>
      </c>
      <c r="T48" s="33" t="e">
        <f>T3/P3-1</f>
        <v>#DIV/0!</v>
      </c>
      <c r="U48" s="33" t="e">
        <f>U3/Q3-1</f>
        <v>#DIV/0!</v>
      </c>
      <c r="V48" s="34" t="e">
        <f>V3/R3-1</f>
        <v>#DIV/0!</v>
      </c>
      <c r="W48" s="33" t="e">
        <f>W3/S3-1</f>
        <v>#DIV/0!</v>
      </c>
      <c r="X48" s="33" t="e">
        <f>X3/T3-1</f>
        <v>#DIV/0!</v>
      </c>
      <c r="Y48" s="33"/>
    </row>
    <row r="49" spans="1:25" x14ac:dyDescent="0.15">
      <c r="A49" s="73" t="s">
        <v>70</v>
      </c>
      <c r="F49" s="34" t="e">
        <f>F4/B4-1</f>
        <v>#DIV/0!</v>
      </c>
      <c r="G49" s="33" t="e">
        <f>G4/C4-1</f>
        <v>#DIV/0!</v>
      </c>
      <c r="H49" s="33" t="e">
        <f>H4/D4-1</f>
        <v>#DIV/0!</v>
      </c>
      <c r="I49" s="33" t="e">
        <f>I4/E4-1</f>
        <v>#DIV/0!</v>
      </c>
      <c r="J49" s="34" t="e">
        <f>J4/F4-1</f>
        <v>#DIV/0!</v>
      </c>
      <c r="K49" s="33" t="e">
        <f>K4/G4-1</f>
        <v>#DIV/0!</v>
      </c>
      <c r="L49" s="33" t="e">
        <f>L4/H4-1</f>
        <v>#DIV/0!</v>
      </c>
      <c r="M49" s="33" t="e">
        <f>M4/I4-1</f>
        <v>#DIV/0!</v>
      </c>
      <c r="N49" s="34" t="e">
        <f>N4/J4-1</f>
        <v>#DIV/0!</v>
      </c>
      <c r="O49" s="33" t="e">
        <f>O4/K4-1</f>
        <v>#DIV/0!</v>
      </c>
      <c r="P49" s="33" t="e">
        <f>P4/L4-1</f>
        <v>#DIV/0!</v>
      </c>
      <c r="Q49" s="33" t="e">
        <f>Q4/M4-1</f>
        <v>#DIV/0!</v>
      </c>
      <c r="R49" s="34" t="e">
        <f>R4/N4-1</f>
        <v>#DIV/0!</v>
      </c>
      <c r="S49" s="33" t="e">
        <f>S4/O4-1</f>
        <v>#DIV/0!</v>
      </c>
      <c r="T49" s="33" t="e">
        <f>T4/P4-1</f>
        <v>#DIV/0!</v>
      </c>
      <c r="U49" s="33" t="e">
        <f>U4/Q4-1</f>
        <v>#DIV/0!</v>
      </c>
      <c r="V49" s="34" t="e">
        <f>V4/R4-1</f>
        <v>#DIV/0!</v>
      </c>
      <c r="W49" s="33" t="e">
        <f>W4/S4-1</f>
        <v>#DIV/0!</v>
      </c>
      <c r="X49" s="33" t="e">
        <f>X4/T4-1</f>
        <v>#DIV/0!</v>
      </c>
      <c r="Y49" s="33"/>
    </row>
    <row r="50" spans="1:25" x14ac:dyDescent="0.15">
      <c r="A50" s="73" t="s">
        <v>71</v>
      </c>
      <c r="F50" s="34" t="e">
        <f>#REF!/#REF!-1</f>
        <v>#REF!</v>
      </c>
      <c r="G50" s="33" t="e">
        <f>#REF!/#REF!-1</f>
        <v>#REF!</v>
      </c>
      <c r="H50" s="33" t="e">
        <f>#REF!/#REF!-1</f>
        <v>#REF!</v>
      </c>
      <c r="I50" s="33" t="e">
        <f>#REF!/#REF!-1</f>
        <v>#REF!</v>
      </c>
      <c r="J50" s="34" t="e">
        <f>#REF!/#REF!-1</f>
        <v>#REF!</v>
      </c>
      <c r="K50" s="33" t="e">
        <f>#REF!/#REF!-1</f>
        <v>#REF!</v>
      </c>
      <c r="L50" s="33" t="e">
        <f>#REF!/#REF!-1</f>
        <v>#REF!</v>
      </c>
      <c r="M50" s="33" t="e">
        <f>#REF!/#REF!-1</f>
        <v>#REF!</v>
      </c>
      <c r="N50" s="34" t="e">
        <f>#REF!/#REF!-1</f>
        <v>#REF!</v>
      </c>
      <c r="O50" s="33" t="e">
        <f>#REF!/#REF!-1</f>
        <v>#REF!</v>
      </c>
      <c r="P50" s="33" t="e">
        <f>#REF!/#REF!-1</f>
        <v>#REF!</v>
      </c>
      <c r="Q50" s="33" t="e">
        <f>#REF!/#REF!-1</f>
        <v>#REF!</v>
      </c>
      <c r="R50" s="34" t="e">
        <f>#REF!/#REF!-1</f>
        <v>#REF!</v>
      </c>
      <c r="S50" s="33" t="e">
        <f>#REF!/#REF!-1</f>
        <v>#REF!</v>
      </c>
      <c r="T50" s="33" t="e">
        <f>#REF!/#REF!-1</f>
        <v>#REF!</v>
      </c>
      <c r="U50" s="33" t="e">
        <f>#REF!/#REF!-1</f>
        <v>#REF!</v>
      </c>
      <c r="V50" s="34" t="e">
        <f>#REF!/#REF!-1</f>
        <v>#REF!</v>
      </c>
      <c r="W50" s="33" t="e">
        <f>#REF!/#REF!-1</f>
        <v>#REF!</v>
      </c>
      <c r="X50" s="33" t="e">
        <f>#REF!/#REF!-1</f>
        <v>#REF!</v>
      </c>
      <c r="Y50" s="33"/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B13"/>
  <sheetViews>
    <sheetView workbookViewId="0">
      <selection activeCell="C21" sqref="C21"/>
    </sheetView>
  </sheetViews>
  <sheetFormatPr baseColWidth="10" defaultRowHeight="13" x14ac:dyDescent="0.15"/>
  <cols>
    <col min="1" max="1" width="10.83203125" style="2"/>
    <col min="2" max="2" width="12.5" style="2" bestFit="1" customWidth="1"/>
    <col min="3" max="16384" width="10.83203125" style="2"/>
  </cols>
  <sheetData>
    <row r="4" spans="2:2" x14ac:dyDescent="0.15">
      <c r="B4" s="1" t="s">
        <v>75</v>
      </c>
    </row>
    <row r="6" spans="2:2" x14ac:dyDescent="0.15">
      <c r="B6" s="2" t="s">
        <v>76</v>
      </c>
    </row>
    <row r="7" spans="2:2" x14ac:dyDescent="0.15">
      <c r="B7" s="2" t="s">
        <v>77</v>
      </c>
    </row>
    <row r="8" spans="2:2" x14ac:dyDescent="0.15">
      <c r="B8" s="2" t="s">
        <v>78</v>
      </c>
    </row>
    <row r="9" spans="2:2" x14ac:dyDescent="0.15">
      <c r="B9" s="2" t="s">
        <v>79</v>
      </c>
    </row>
    <row r="10" spans="2:2" x14ac:dyDescent="0.15">
      <c r="B10" s="2" t="s">
        <v>80</v>
      </c>
    </row>
    <row r="11" spans="2:2" x14ac:dyDescent="0.15">
      <c r="B11" s="2" t="s">
        <v>81</v>
      </c>
    </row>
    <row r="12" spans="2:2" x14ac:dyDescent="0.15">
      <c r="B12" s="2" t="s">
        <v>82</v>
      </c>
    </row>
    <row r="13" spans="2:2" x14ac:dyDescent="0.15">
      <c r="B13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2021-01-25T22:07:51Z</dcterms:modified>
</cp:coreProperties>
</file>