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D455DCC6-05AC-AB4A-8581-DD1376A91B1F}" xr6:coauthVersionLast="46" xr6:coauthVersionMax="46" xr10:uidLastSave="{00000000-0000-0000-0000-000000000000}"/>
  <bookViews>
    <workbookView xWindow="-52260" yWindow="-5940" windowWidth="26120" windowHeight="2674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" i="2" l="1"/>
  <c r="I10" i="2"/>
  <c r="J11" i="2"/>
  <c r="K11" i="2" s="1"/>
  <c r="L11" i="2" s="1"/>
  <c r="M11" i="2" s="1"/>
  <c r="I11" i="2"/>
  <c r="I15" i="2" s="1"/>
  <c r="T18" i="2"/>
  <c r="U18" i="2" s="1"/>
  <c r="V18" i="2" s="1"/>
  <c r="W18" i="2" s="1"/>
  <c r="S18" i="2"/>
  <c r="J19" i="2"/>
  <c r="K19" i="2" s="1"/>
  <c r="L19" i="2" s="1"/>
  <c r="M19" i="2" s="1"/>
  <c r="N19" i="2" s="1"/>
  <c r="O19" i="2" s="1"/>
  <c r="P19" i="2" s="1"/>
  <c r="Q19" i="2" s="1"/>
  <c r="R19" i="2" s="1"/>
  <c r="I19" i="2"/>
  <c r="J18" i="2"/>
  <c r="K18" i="2" s="1"/>
  <c r="L18" i="2" s="1"/>
  <c r="M18" i="2" s="1"/>
  <c r="N18" i="2" s="1"/>
  <c r="O18" i="2" s="1"/>
  <c r="P18" i="2" s="1"/>
  <c r="Q18" i="2" s="1"/>
  <c r="R18" i="2" s="1"/>
  <c r="I18" i="2"/>
  <c r="N20" i="2"/>
  <c r="O20" i="2"/>
  <c r="P20" i="2" s="1"/>
  <c r="Q20" i="2" s="1"/>
  <c r="R20" i="2" s="1"/>
  <c r="J20" i="2"/>
  <c r="K20" i="2" s="1"/>
  <c r="L20" i="2" s="1"/>
  <c r="M20" i="2" s="1"/>
  <c r="I20" i="2"/>
  <c r="M23" i="1"/>
  <c r="L12" i="1"/>
  <c r="L11" i="1"/>
  <c r="L10" i="1"/>
  <c r="L9" i="1" s="1"/>
  <c r="H16" i="2" s="1"/>
  <c r="L13" i="1"/>
  <c r="H20" i="2" s="1"/>
  <c r="L29" i="1"/>
  <c r="K14" i="1"/>
  <c r="H13" i="2"/>
  <c r="H15" i="2" s="1"/>
  <c r="H17" i="2" s="1"/>
  <c r="M50" i="1"/>
  <c r="C12" i="3"/>
  <c r="C3" i="2"/>
  <c r="C4" i="2" s="1"/>
  <c r="H28" i="2"/>
  <c r="H59" i="2"/>
  <c r="H58" i="2"/>
  <c r="H46" i="2"/>
  <c r="H45" i="2"/>
  <c r="H49" i="2" s="1"/>
  <c r="H44" i="2"/>
  <c r="H42" i="2"/>
  <c r="H41" i="2"/>
  <c r="H25" i="2"/>
  <c r="H18" i="2"/>
  <c r="G25" i="2"/>
  <c r="G20" i="2"/>
  <c r="G19" i="2"/>
  <c r="G18" i="2"/>
  <c r="G16" i="2"/>
  <c r="G13" i="2"/>
  <c r="G15" i="2" s="1"/>
  <c r="K16" i="1"/>
  <c r="J16" i="1"/>
  <c r="J8" i="1"/>
  <c r="N27" i="1" s="1"/>
  <c r="H8" i="1"/>
  <c r="F8" i="1"/>
  <c r="F10" i="1" s="1"/>
  <c r="G16" i="1"/>
  <c r="F16" i="1"/>
  <c r="M53" i="1"/>
  <c r="M52" i="1"/>
  <c r="E15" i="2"/>
  <c r="M42" i="1"/>
  <c r="M34" i="1"/>
  <c r="M41" i="1" s="1"/>
  <c r="M33" i="1"/>
  <c r="C5" i="2" s="1"/>
  <c r="I16" i="1"/>
  <c r="M30" i="1"/>
  <c r="M29" i="1"/>
  <c r="M28" i="1"/>
  <c r="M16" i="1"/>
  <c r="M14" i="1"/>
  <c r="M8" i="1"/>
  <c r="M10" i="1" s="1"/>
  <c r="B15" i="2"/>
  <c r="C15" i="2"/>
  <c r="C34" i="2" s="1"/>
  <c r="D15" i="2"/>
  <c r="D34" i="2" s="1"/>
  <c r="L53" i="1"/>
  <c r="L52" i="1"/>
  <c r="L8" i="1"/>
  <c r="F9" i="2"/>
  <c r="G8" i="1"/>
  <c r="G10" i="1" s="1"/>
  <c r="G14" i="1"/>
  <c r="F14" i="1"/>
  <c r="E34" i="1"/>
  <c r="E33" i="1" s="1"/>
  <c r="E42" i="1"/>
  <c r="I13" i="2" l="1"/>
  <c r="H34" i="2"/>
  <c r="I58" i="2"/>
  <c r="J10" i="2" s="1"/>
  <c r="I17" i="2"/>
  <c r="L14" i="1"/>
  <c r="H19" i="2"/>
  <c r="G23" i="2"/>
  <c r="H40" i="2"/>
  <c r="M59" i="2"/>
  <c r="I59" i="2"/>
  <c r="J59" i="2"/>
  <c r="L59" i="2"/>
  <c r="K59" i="2"/>
  <c r="E34" i="2"/>
  <c r="H48" i="2"/>
  <c r="H56" i="2"/>
  <c r="E41" i="1"/>
  <c r="M15" i="1"/>
  <c r="F15" i="1"/>
  <c r="F23" i="1"/>
  <c r="G15" i="1"/>
  <c r="G23" i="1"/>
  <c r="F23" i="2"/>
  <c r="F15" i="2"/>
  <c r="F34" i="2" s="1"/>
  <c r="K34" i="1"/>
  <c r="I34" i="1"/>
  <c r="G41" i="2" s="1"/>
  <c r="H34" i="1"/>
  <c r="H16" i="1"/>
  <c r="L34" i="1"/>
  <c r="L16" i="1"/>
  <c r="H23" i="2" s="1"/>
  <c r="H21" i="2" l="1"/>
  <c r="M17" i="1"/>
  <c r="M24" i="1"/>
  <c r="S19" i="2"/>
  <c r="T19" i="2" s="1"/>
  <c r="U19" i="2" s="1"/>
  <c r="V19" i="2" s="1"/>
  <c r="W19" i="2" s="1"/>
  <c r="R36" i="2"/>
  <c r="I21" i="2"/>
  <c r="J13" i="2"/>
  <c r="I56" i="2"/>
  <c r="H22" i="2"/>
  <c r="H24" i="2" s="1"/>
  <c r="H30" i="2"/>
  <c r="G17" i="1"/>
  <c r="G24" i="1"/>
  <c r="F17" i="1"/>
  <c r="F24" i="1"/>
  <c r="L50" i="1"/>
  <c r="L42" i="1"/>
  <c r="L33" i="1"/>
  <c r="L28" i="1"/>
  <c r="L23" i="1"/>
  <c r="J15" i="2" l="1"/>
  <c r="J58" i="2"/>
  <c r="K10" i="2" s="1"/>
  <c r="M19" i="1"/>
  <c r="M20" i="1" s="1"/>
  <c r="M25" i="1"/>
  <c r="L15" i="1"/>
  <c r="I22" i="2"/>
  <c r="K13" i="2"/>
  <c r="J56" i="2"/>
  <c r="R35" i="2"/>
  <c r="F19" i="1"/>
  <c r="F20" i="1" s="1"/>
  <c r="F25" i="1"/>
  <c r="G19" i="1"/>
  <c r="G20" i="1" s="1"/>
  <c r="G25" i="1"/>
  <c r="L41" i="1"/>
  <c r="K50" i="1"/>
  <c r="K42" i="1"/>
  <c r="K33" i="1"/>
  <c r="K29" i="1"/>
  <c r="K28" i="1"/>
  <c r="K8" i="1"/>
  <c r="K10" i="1" s="1"/>
  <c r="K23" i="1" s="1"/>
  <c r="K58" i="2" l="1"/>
  <c r="L10" i="2" s="1"/>
  <c r="K15" i="2"/>
  <c r="L13" i="2"/>
  <c r="K56" i="2"/>
  <c r="W35" i="2"/>
  <c r="K41" i="1"/>
  <c r="L17" i="1"/>
  <c r="L24" i="1"/>
  <c r="G46" i="2"/>
  <c r="G45" i="2"/>
  <c r="I42" i="1"/>
  <c r="I14" i="1"/>
  <c r="M31" i="1" s="1"/>
  <c r="I8" i="1"/>
  <c r="M27" i="1" s="1"/>
  <c r="L58" i="2" l="1"/>
  <c r="M10" i="2" s="1"/>
  <c r="L15" i="2"/>
  <c r="G49" i="2"/>
  <c r="M13" i="2"/>
  <c r="L56" i="2"/>
  <c r="I33" i="1"/>
  <c r="L19" i="1"/>
  <c r="L20" i="1" s="1"/>
  <c r="L25" i="1"/>
  <c r="I41" i="1"/>
  <c r="G42" i="2"/>
  <c r="G40" i="2" s="1"/>
  <c r="K15" i="1"/>
  <c r="I10" i="1"/>
  <c r="I23" i="1" s="1"/>
  <c r="G44" i="2"/>
  <c r="H35" i="2"/>
  <c r="M15" i="2" l="1"/>
  <c r="N15" i="2" s="1"/>
  <c r="O15" i="2" s="1"/>
  <c r="P15" i="2" s="1"/>
  <c r="Q15" i="2" s="1"/>
  <c r="R15" i="2" s="1"/>
  <c r="M56" i="2"/>
  <c r="K24" i="1"/>
  <c r="K17" i="1"/>
  <c r="I15" i="1"/>
  <c r="G48" i="2"/>
  <c r="G17" i="2"/>
  <c r="M58" i="2" l="1"/>
  <c r="I24" i="1"/>
  <c r="I17" i="1"/>
  <c r="K25" i="1"/>
  <c r="K19" i="1"/>
  <c r="K20" i="1" s="1"/>
  <c r="I19" i="1" l="1"/>
  <c r="I25" i="1"/>
  <c r="I20" i="1" l="1"/>
  <c r="H42" i="1"/>
  <c r="L30" i="1"/>
  <c r="L27" i="1"/>
  <c r="J50" i="1"/>
  <c r="J29" i="1"/>
  <c r="J28" i="1"/>
  <c r="J14" i="1"/>
  <c r="H10" i="1" l="1"/>
  <c r="H14" i="1"/>
  <c r="H33" i="1"/>
  <c r="H41" i="1"/>
  <c r="J10" i="1"/>
  <c r="K30" i="1"/>
  <c r="G56" i="2"/>
  <c r="F44" i="2"/>
  <c r="F41" i="2"/>
  <c r="J30" i="1"/>
  <c r="F45" i="2"/>
  <c r="F42" i="2"/>
  <c r="F46" i="2"/>
  <c r="I28" i="2"/>
  <c r="J28" i="2" s="1"/>
  <c r="K28" i="2" s="1"/>
  <c r="L28" i="2" s="1"/>
  <c r="M28" i="2" s="1"/>
  <c r="N28" i="2" s="1"/>
  <c r="O28" i="2" s="1"/>
  <c r="P28" i="2" s="1"/>
  <c r="Q28" i="2" s="1"/>
  <c r="G9" i="2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l="1"/>
  <c r="S9" i="2" s="1"/>
  <c r="T9" i="2" s="1"/>
  <c r="U9" i="2" s="1"/>
  <c r="V9" i="2" s="1"/>
  <c r="W9" i="2" s="1"/>
  <c r="R28" i="2"/>
  <c r="S28" i="2" s="1"/>
  <c r="T28" i="2" s="1"/>
  <c r="U28" i="2" s="1"/>
  <c r="V28" i="2" s="1"/>
  <c r="W28" i="2" s="1"/>
  <c r="K27" i="1"/>
  <c r="J31" i="1"/>
  <c r="J27" i="1"/>
  <c r="H15" i="1"/>
  <c r="H17" i="1" s="1"/>
  <c r="H19" i="1" s="1"/>
  <c r="L31" i="1"/>
  <c r="F40" i="2"/>
  <c r="J15" i="1"/>
  <c r="J23" i="1"/>
  <c r="F49" i="2"/>
  <c r="F48" i="2"/>
  <c r="C6" i="2"/>
  <c r="C7" i="2" s="1"/>
  <c r="G21" i="2" l="1"/>
  <c r="G22" i="2" s="1"/>
  <c r="G24" i="2" s="1"/>
  <c r="H20" i="1"/>
  <c r="K31" i="1"/>
  <c r="J24" i="1"/>
  <c r="J17" i="1"/>
  <c r="G36" i="2"/>
  <c r="F17" i="2"/>
  <c r="F21" i="2"/>
  <c r="J19" i="1" l="1"/>
  <c r="M44" i="1" s="1"/>
  <c r="J25" i="1"/>
  <c r="G35" i="2"/>
  <c r="H36" i="2"/>
  <c r="H23" i="1"/>
  <c r="G37" i="2"/>
  <c r="F22" i="2"/>
  <c r="F30" i="2"/>
  <c r="G38" i="2"/>
  <c r="M46" i="1" l="1"/>
  <c r="M47" i="1"/>
  <c r="M48" i="1"/>
  <c r="M45" i="1"/>
  <c r="L44" i="1"/>
  <c r="K44" i="1"/>
  <c r="J20" i="1"/>
  <c r="H24" i="1"/>
  <c r="H37" i="2"/>
  <c r="I36" i="2"/>
  <c r="G34" i="2"/>
  <c r="F31" i="2"/>
  <c r="F24" i="2"/>
  <c r="H38" i="2"/>
  <c r="I44" i="1" l="1"/>
  <c r="K48" i="1"/>
  <c r="K45" i="1"/>
  <c r="K47" i="1"/>
  <c r="K46" i="1"/>
  <c r="L48" i="1"/>
  <c r="L46" i="1"/>
  <c r="L47" i="1"/>
  <c r="L45" i="1"/>
  <c r="H44" i="1"/>
  <c r="I38" i="2"/>
  <c r="I35" i="2"/>
  <c r="G30" i="2"/>
  <c r="I37" i="2"/>
  <c r="J36" i="2"/>
  <c r="F32" i="2"/>
  <c r="F26" i="2"/>
  <c r="H47" i="1" l="1"/>
  <c r="H45" i="1"/>
  <c r="H48" i="1"/>
  <c r="H46" i="1"/>
  <c r="I48" i="1"/>
  <c r="I46" i="1"/>
  <c r="I47" i="1"/>
  <c r="I45" i="1"/>
  <c r="J21" i="2"/>
  <c r="J38" i="2" s="1"/>
  <c r="F54" i="2"/>
  <c r="F53" i="2"/>
  <c r="F51" i="2"/>
  <c r="J35" i="2"/>
  <c r="I34" i="2"/>
  <c r="H25" i="1"/>
  <c r="F27" i="2"/>
  <c r="F52" i="2"/>
  <c r="K36" i="2"/>
  <c r="G31" i="2"/>
  <c r="J37" i="2"/>
  <c r="H31" i="2" l="1"/>
  <c r="K21" i="2"/>
  <c r="K38" i="2" s="1"/>
  <c r="K35" i="2"/>
  <c r="G32" i="2"/>
  <c r="J34" i="2"/>
  <c r="L36" i="2"/>
  <c r="K37" i="2"/>
  <c r="I16" i="2" l="1"/>
  <c r="I30" i="2"/>
  <c r="J17" i="2" s="1"/>
  <c r="S35" i="2"/>
  <c r="G26" i="2"/>
  <c r="L35" i="2"/>
  <c r="K34" i="2"/>
  <c r="L37" i="2"/>
  <c r="L21" i="2"/>
  <c r="L38" i="2" s="1"/>
  <c r="M36" i="2"/>
  <c r="I31" i="2"/>
  <c r="J16" i="2" l="1"/>
  <c r="J22" i="2"/>
  <c r="J31" i="2" s="1"/>
  <c r="T35" i="2"/>
  <c r="G27" i="2"/>
  <c r="G51" i="2"/>
  <c r="G53" i="2"/>
  <c r="G52" i="2"/>
  <c r="G54" i="2"/>
  <c r="M35" i="2"/>
  <c r="N21" i="2"/>
  <c r="M37" i="2"/>
  <c r="L34" i="2"/>
  <c r="M21" i="2"/>
  <c r="M38" i="2" s="1"/>
  <c r="N36" i="2"/>
  <c r="J30" i="2" l="1"/>
  <c r="K17" i="2" s="1"/>
  <c r="R34" i="2"/>
  <c r="S15" i="2"/>
  <c r="T15" i="2" s="1"/>
  <c r="U15" i="2" s="1"/>
  <c r="V15" i="2" s="1"/>
  <c r="W15" i="2" s="1"/>
  <c r="U35" i="2"/>
  <c r="N35" i="2"/>
  <c r="H32" i="2"/>
  <c r="M34" i="2"/>
  <c r="N38" i="2"/>
  <c r="O36" i="2"/>
  <c r="N37" i="2"/>
  <c r="W34" i="2" l="1"/>
  <c r="V35" i="2"/>
  <c r="H26" i="2"/>
  <c r="O35" i="2"/>
  <c r="N34" i="2"/>
  <c r="P36" i="2"/>
  <c r="O37" i="2"/>
  <c r="O21" i="2"/>
  <c r="O38" i="2" s="1"/>
  <c r="K22" i="2" l="1"/>
  <c r="K31" i="2" s="1"/>
  <c r="K30" i="2"/>
  <c r="L17" i="2" s="1"/>
  <c r="K16" i="2"/>
  <c r="H52" i="2"/>
  <c r="H53" i="2"/>
  <c r="H51" i="2"/>
  <c r="H54" i="2"/>
  <c r="H27" i="2"/>
  <c r="P35" i="2"/>
  <c r="P37" i="2"/>
  <c r="P21" i="2"/>
  <c r="P38" i="2" s="1"/>
  <c r="Q36" i="2"/>
  <c r="O34" i="2"/>
  <c r="R37" i="2" l="1"/>
  <c r="R21" i="2"/>
  <c r="Q21" i="2"/>
  <c r="Q38" i="2" s="1"/>
  <c r="S20" i="2"/>
  <c r="S21" i="2" s="1"/>
  <c r="S36" i="2"/>
  <c r="Q35" i="2"/>
  <c r="P34" i="2"/>
  <c r="I23" i="2"/>
  <c r="I24" i="2" s="1"/>
  <c r="Q37" i="2"/>
  <c r="L30" i="2" l="1"/>
  <c r="M17" i="2" s="1"/>
  <c r="L22" i="2"/>
  <c r="L31" i="2" s="1"/>
  <c r="L16" i="2"/>
  <c r="R38" i="2"/>
  <c r="S38" i="2"/>
  <c r="T36" i="2"/>
  <c r="S37" i="2"/>
  <c r="T20" i="2"/>
  <c r="I32" i="2"/>
  <c r="Q34" i="2"/>
  <c r="T21" i="2" l="1"/>
  <c r="T38" i="2" s="1"/>
  <c r="U20" i="2"/>
  <c r="U21" i="2" s="1"/>
  <c r="T37" i="2"/>
  <c r="U36" i="2"/>
  <c r="S34" i="2"/>
  <c r="I26" i="2"/>
  <c r="M22" i="2" l="1"/>
  <c r="M31" i="2" s="1"/>
  <c r="M16" i="2"/>
  <c r="M30" i="2"/>
  <c r="N17" i="2" s="1"/>
  <c r="W36" i="2"/>
  <c r="U38" i="2"/>
  <c r="U37" i="2"/>
  <c r="V20" i="2"/>
  <c r="V36" i="2"/>
  <c r="T34" i="2"/>
  <c r="I27" i="2"/>
  <c r="I40" i="2"/>
  <c r="J23" i="2" s="1"/>
  <c r="J24" i="2" s="1"/>
  <c r="N22" i="2" l="1"/>
  <c r="N31" i="2" s="1"/>
  <c r="N16" i="2"/>
  <c r="N30" i="2"/>
  <c r="O17" i="2" s="1"/>
  <c r="V37" i="2"/>
  <c r="W20" i="2"/>
  <c r="V21" i="2"/>
  <c r="U34" i="2"/>
  <c r="J32" i="2"/>
  <c r="O22" i="2" l="1"/>
  <c r="O31" i="2" s="1"/>
  <c r="O16" i="2"/>
  <c r="O30" i="2"/>
  <c r="P17" i="2" s="1"/>
  <c r="W37" i="2"/>
  <c r="W21" i="2"/>
  <c r="W38" i="2" s="1"/>
  <c r="V38" i="2"/>
  <c r="V34" i="2"/>
  <c r="J26" i="2"/>
  <c r="P16" i="2" l="1"/>
  <c r="P22" i="2"/>
  <c r="P31" i="2" s="1"/>
  <c r="P30" i="2"/>
  <c r="Q17" i="2" s="1"/>
  <c r="J40" i="2"/>
  <c r="K23" i="2" s="1"/>
  <c r="K24" i="2" s="1"/>
  <c r="K25" i="2" s="1"/>
  <c r="J27" i="2"/>
  <c r="Q30" i="2" l="1"/>
  <c r="R17" i="2" s="1"/>
  <c r="Q16" i="2"/>
  <c r="Q22" i="2"/>
  <c r="Q31" i="2" s="1"/>
  <c r="K32" i="2"/>
  <c r="R30" i="2" l="1"/>
  <c r="S17" i="2" s="1"/>
  <c r="R16" i="2"/>
  <c r="R22" i="2"/>
  <c r="R31" i="2" s="1"/>
  <c r="K26" i="2"/>
  <c r="S30" i="2" l="1"/>
  <c r="T17" i="2" s="1"/>
  <c r="S22" i="2"/>
  <c r="S31" i="2" s="1"/>
  <c r="S16" i="2"/>
  <c r="K27" i="2"/>
  <c r="K40" i="2"/>
  <c r="L23" i="2" s="1"/>
  <c r="L24" i="2" s="1"/>
  <c r="L25" i="2" s="1"/>
  <c r="T16" i="2" l="1"/>
  <c r="T30" i="2"/>
  <c r="U17" i="2" s="1"/>
  <c r="T22" i="2"/>
  <c r="T31" i="2" s="1"/>
  <c r="L32" i="2"/>
  <c r="U22" i="2" l="1"/>
  <c r="U31" i="2" s="1"/>
  <c r="U16" i="2"/>
  <c r="U30" i="2"/>
  <c r="V17" i="2" s="1"/>
  <c r="L26" i="2"/>
  <c r="L27" i="2" s="1"/>
  <c r="L40" i="2" l="1"/>
  <c r="V30" i="2"/>
  <c r="W17" i="2" s="1"/>
  <c r="V22" i="2"/>
  <c r="V31" i="2" s="1"/>
  <c r="V16" i="2"/>
  <c r="M23" i="2"/>
  <c r="M24" i="2" s="1"/>
  <c r="M25" i="2" s="1"/>
  <c r="W30" i="2" l="1"/>
  <c r="W16" i="2"/>
  <c r="W22" i="2"/>
  <c r="W31" i="2" s="1"/>
  <c r="M32" i="2"/>
  <c r="M26" i="2" l="1"/>
  <c r="M27" i="2" s="1"/>
  <c r="M40" i="2" l="1"/>
  <c r="N23" i="2"/>
  <c r="N24" i="2" s="1"/>
  <c r="N25" i="2" s="1"/>
  <c r="N32" i="2" l="1"/>
  <c r="N26" i="2" l="1"/>
  <c r="N27" i="2" l="1"/>
  <c r="N40" i="2"/>
  <c r="O23" i="2" l="1"/>
  <c r="O24" i="2" s="1"/>
  <c r="O25" i="2" s="1"/>
  <c r="O32" i="2" l="1"/>
  <c r="O26" i="2" l="1"/>
  <c r="O27" i="2" s="1"/>
  <c r="O40" i="2" l="1"/>
  <c r="P23" i="2" s="1"/>
  <c r="P24" i="2" s="1"/>
  <c r="P25" i="2" s="1"/>
  <c r="P32" i="2" l="1"/>
  <c r="P26" i="2" l="1"/>
  <c r="P27" i="2" s="1"/>
  <c r="P40" i="2" l="1"/>
  <c r="Q23" i="2" s="1"/>
  <c r="Q24" i="2" s="1"/>
  <c r="Q25" i="2" s="1"/>
  <c r="Q32" i="2" l="1"/>
  <c r="Q26" i="2" l="1"/>
  <c r="Q27" i="2" l="1"/>
  <c r="Q40" i="2"/>
  <c r="R23" i="2" l="1"/>
  <c r="R24" i="2" s="1"/>
  <c r="R25" i="2" s="1"/>
  <c r="R32" i="2" l="1"/>
  <c r="R26" i="2" l="1"/>
  <c r="R27" i="2"/>
  <c r="R40" i="2"/>
  <c r="S23" i="2" s="1"/>
  <c r="S24" i="2" s="1"/>
  <c r="S25" i="2" l="1"/>
  <c r="S32" i="2" s="1"/>
  <c r="S26" i="2" l="1"/>
  <c r="S27" i="2" l="1"/>
  <c r="S40" i="2"/>
  <c r="T23" i="2" s="1"/>
  <c r="T24" i="2" s="1"/>
  <c r="T25" i="2" s="1"/>
  <c r="T32" i="2" s="1"/>
  <c r="T26" i="2"/>
  <c r="T27" i="2" l="1"/>
  <c r="T40" i="2"/>
  <c r="U23" i="2" l="1"/>
  <c r="U24" i="2" s="1"/>
  <c r="U25" i="2" s="1"/>
  <c r="U32" i="2" l="1"/>
  <c r="U26" i="2" l="1"/>
  <c r="U27" i="2" s="1"/>
  <c r="U40" i="2" l="1"/>
  <c r="V23" i="2" s="1"/>
  <c r="V24" i="2" s="1"/>
  <c r="V25" i="2" s="1"/>
  <c r="V32" i="2" l="1"/>
  <c r="V26" i="2" l="1"/>
  <c r="V27" i="2" l="1"/>
  <c r="V40" i="2"/>
  <c r="W23" i="2" l="1"/>
  <c r="W24" i="2" s="1"/>
  <c r="W25" i="2" s="1"/>
  <c r="W32" i="2" l="1"/>
  <c r="W26" i="2" l="1"/>
  <c r="W27" i="2" s="1"/>
  <c r="W40" i="2"/>
  <c r="X26" i="2"/>
  <c r="Y26" i="2" l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EF26" i="2" s="1"/>
  <c r="EG26" i="2" s="1"/>
  <c r="EH26" i="2" s="1"/>
  <c r="EI26" i="2" s="1"/>
  <c r="EJ26" i="2" s="1"/>
  <c r="EK26" i="2" s="1"/>
  <c r="EL26" i="2" s="1"/>
  <c r="EM26" i="2" s="1"/>
  <c r="EN26" i="2" s="1"/>
  <c r="EO26" i="2" s="1"/>
  <c r="EP26" i="2" s="1"/>
  <c r="EQ26" i="2" s="1"/>
  <c r="ER26" i="2" s="1"/>
  <c r="ES26" i="2" s="1"/>
  <c r="ET26" i="2" s="1"/>
  <c r="EU26" i="2" s="1"/>
  <c r="EV26" i="2" s="1"/>
  <c r="EW26" i="2" s="1"/>
  <c r="EX26" i="2" s="1"/>
  <c r="EY26" i="2" s="1"/>
  <c r="EZ26" i="2" s="1"/>
  <c r="FA26" i="2" s="1"/>
  <c r="FB26" i="2" s="1"/>
  <c r="FC26" i="2" s="1"/>
  <c r="FD26" i="2" s="1"/>
  <c r="FE26" i="2" s="1"/>
  <c r="FF26" i="2" s="1"/>
  <c r="FG26" i="2" s="1"/>
  <c r="FH26" i="2" s="1"/>
  <c r="FI26" i="2" s="1"/>
  <c r="FJ26" i="2" s="1"/>
  <c r="FK26" i="2" s="1"/>
  <c r="FL26" i="2" s="1"/>
  <c r="FM26" i="2" s="1"/>
  <c r="FN26" i="2" s="1"/>
  <c r="FO26" i="2" s="1"/>
  <c r="FP26" i="2" s="1"/>
  <c r="FQ26" i="2" s="1"/>
  <c r="FR26" i="2" s="1"/>
  <c r="FS26" i="2" s="1"/>
  <c r="FT26" i="2" s="1"/>
  <c r="FU26" i="2" s="1"/>
  <c r="FV26" i="2" s="1"/>
  <c r="FW26" i="2" s="1"/>
  <c r="FX26" i="2" s="1"/>
  <c r="FY26" i="2" s="1"/>
  <c r="FZ26" i="2" s="1"/>
  <c r="GA26" i="2" s="1"/>
  <c r="GB26" i="2" s="1"/>
  <c r="GC26" i="2" s="1"/>
  <c r="GD26" i="2" s="1"/>
  <c r="GE26" i="2" s="1"/>
  <c r="GF26" i="2" s="1"/>
  <c r="GG26" i="2" s="1"/>
  <c r="GH26" i="2" s="1"/>
  <c r="GI26" i="2" s="1"/>
  <c r="GJ26" i="2" s="1"/>
  <c r="GK26" i="2" s="1"/>
  <c r="GL26" i="2" s="1"/>
  <c r="GM26" i="2" s="1"/>
  <c r="GN26" i="2" s="1"/>
  <c r="GO26" i="2" s="1"/>
  <c r="GP26" i="2" s="1"/>
  <c r="GQ26" i="2" s="1"/>
  <c r="GR26" i="2" s="1"/>
  <c r="GS26" i="2" s="1"/>
  <c r="F5" i="2" l="1"/>
  <c r="F6" i="2" s="1"/>
  <c r="F7" i="2" s="1"/>
  <c r="G7" i="2" s="1"/>
</calcChain>
</file>

<file path=xl/sharedStrings.xml><?xml version="1.0" encoding="utf-8"?>
<sst xmlns="http://schemas.openxmlformats.org/spreadsheetml/2006/main" count="153" uniqueCount="99">
  <si>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</si>
  <si>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</si>
  <si>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</si>
  <si>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</si>
  <si>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</si>
  <si>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</si>
  <si>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</si>
  <si>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</si>
  <si>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</si>
  <si>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</si>
  <si>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</si>
  <si>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</si>
  <si>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</si>
  <si>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</si>
  <si>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</si>
  <si>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</si>
  <si>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</si>
  <si>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</si>
  <si>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</si>
  <si>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</si>
  <si>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</si>
  <si>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</si>
  <si>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</si>
  <si>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</si>
  <si>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</si>
  <si>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</si>
  <si>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</si>
  <si>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</si>
  <si>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</si>
  <si>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</si>
  <si>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</si>
  <si>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</si>
  <si>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</si>
  <si>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</si>
  <si>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</si>
  <si>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</si>
  <si>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</si>
  <si>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</si>
  <si>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</si>
  <si>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</si>
  <si>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Q119</t>
  </si>
  <si>
    <t>Q219</t>
  </si>
  <si>
    <t>Q319</t>
  </si>
  <si>
    <t>Q419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</si>
  <si>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</si>
  <si>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</si>
  <si>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</si>
  <si>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</si>
  <si>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</si>
  <si>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</si>
  <si>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</si>
  <si>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</si>
  <si>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</si>
  <si>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</si>
  <si>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</si>
  <si>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Expected return on invested capital (innovation grade)</t>
  </si>
  <si>
    <t>Subscription</t>
  </si>
  <si>
    <t>Subscription y/y</t>
  </si>
  <si>
    <t>Operating Expenses y/y</t>
  </si>
  <si>
    <t>Q120</t>
  </si>
  <si>
    <t>Q420</t>
  </si>
  <si>
    <t>Risk-free rate + market premium (opportunity cost)</t>
  </si>
  <si>
    <t>http://www.worldgovernmentbonds.com/country/united-states/</t>
  </si>
  <si>
    <t>Net present value on future net income (terminal value)</t>
  </si>
  <si>
    <t>Q220</t>
  </si>
  <si>
    <t>Q320</t>
  </si>
  <si>
    <t>Palantir Technologies (PLTR)</t>
  </si>
  <si>
    <t>Alex Karp</t>
  </si>
  <si>
    <t>Peter Thiel</t>
  </si>
  <si>
    <t>Gotham</t>
  </si>
  <si>
    <t>Foundry</t>
  </si>
  <si>
    <t>Data management</t>
  </si>
  <si>
    <t>Apollo</t>
  </si>
  <si>
    <t>CDS</t>
  </si>
  <si>
    <t>Products</t>
  </si>
  <si>
    <t>Data analytics and pattern detection</t>
  </si>
  <si>
    <t>ML for public applications (non-technical)</t>
  </si>
  <si>
    <t>Data safety and security</t>
  </si>
  <si>
    <t>Government</t>
  </si>
  <si>
    <t>Commercial</t>
  </si>
  <si>
    <t>Government y/y</t>
  </si>
  <si>
    <t>Commercial y/y</t>
  </si>
  <si>
    <t>US Army Research Lab</t>
  </si>
  <si>
    <t>NCATS</t>
  </si>
  <si>
    <t>FDA</t>
  </si>
  <si>
    <t>Army Vantage</t>
  </si>
  <si>
    <t>NHS</t>
  </si>
  <si>
    <t>Japan Business</t>
  </si>
  <si>
    <t>Fujitsu</t>
  </si>
  <si>
    <t>Commercial TAM</t>
  </si>
  <si>
    <t>Government TAM</t>
  </si>
  <si>
    <t>10% of TAM</t>
  </si>
  <si>
    <t>CONTRACTS</t>
  </si>
  <si>
    <t>in millions</t>
  </si>
  <si>
    <t>Rio Tinto</t>
  </si>
  <si>
    <t>PG&amp;E</t>
  </si>
  <si>
    <t>bp</t>
  </si>
  <si>
    <t>US Air Force</t>
  </si>
  <si>
    <t>35%+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</si>
</sst>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0" xfId="4" applyFont="1" applyBorder="1"/>
    <xf numFmtId="0" fontId="5" fillId="0" borderId="0" xfId="0" applyFont="1"/>
    <xf numFmtId="0" fontId="6" fillId="0" borderId="0" xfId="0" applyFont="1"/>
    <xf numFmtId="4" fontId="6" fillId="0" borderId="0" xfId="0" applyNumberFormat="1" applyFont="1" applyBorder="1"/>
    <xf numFmtId="0" fontId="7" fillId="0" borderId="0" xfId="0" applyFont="1"/>
    <xf numFmtId="0" fontId="6" fillId="0" borderId="0" xfId="0" applyFont="1" applyBorder="1"/>
    <xf numFmtId="10" fontId="6" fillId="0" borderId="0" xfId="0" applyNumberFormat="1" applyFont="1"/>
    <xf numFmtId="3" fontId="6" fillId="0" borderId="0" xfId="0" applyNumberFormat="1" applyFont="1" applyBorder="1"/>
    <xf numFmtId="0" fontId="4" fillId="0" borderId="0" xfId="4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0" fontId="5" fillId="0" borderId="0" xfId="0" applyFont="1" applyBorder="1"/>
    <xf numFmtId="164" fontId="5" fillId="2" borderId="0" xfId="0" applyNumberFormat="1" applyFont="1" applyFill="1"/>
    <xf numFmtId="0" fontId="7" fillId="0" borderId="0" xfId="0" applyFont="1" applyBorder="1"/>
    <xf numFmtId="164" fontId="6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Border="1"/>
    <xf numFmtId="0" fontId="6" fillId="0" borderId="0" xfId="0" applyFont="1" applyFill="1" applyBorder="1"/>
    <xf numFmtId="9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4" fontId="6" fillId="2" borderId="0" xfId="0" applyNumberFormat="1" applyFont="1" applyFill="1"/>
    <xf numFmtId="4" fontId="6" fillId="2" borderId="0" xfId="0" applyNumberFormat="1" applyFont="1" applyFill="1" applyBorder="1"/>
    <xf numFmtId="9" fontId="7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9" fontId="5" fillId="0" borderId="0" xfId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9" fontId="6" fillId="0" borderId="0" xfId="0" applyNumberFormat="1" applyFont="1" applyAlignment="1">
      <alignment horizontal="right"/>
    </xf>
    <xf numFmtId="0" fontId="7" fillId="0" borderId="1" xfId="0" applyFont="1" applyBorder="1" applyAlignment="1">
      <alignment horizontal="right"/>
    </xf>
    <xf numFmtId="14" fontId="6" fillId="0" borderId="0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4" fontId="6" fillId="2" borderId="0" xfId="0" applyNumberFormat="1" applyFont="1" applyFill="1" applyBorder="1" applyAlignment="1">
      <alignment horizontal="right"/>
    </xf>
    <xf numFmtId="4" fontId="6" fillId="2" borderId="1" xfId="0" applyNumberFormat="1" applyFont="1" applyFill="1" applyBorder="1" applyAlignment="1">
      <alignment horizontal="right"/>
    </xf>
    <xf numFmtId="3" fontId="6" fillId="0" borderId="0" xfId="0" applyNumberFormat="1" applyFont="1" applyFill="1" applyBorder="1"/>
    <xf numFmtId="3" fontId="5" fillId="0" borderId="0" xfId="0" applyNumberFormat="1" applyFont="1" applyFill="1" applyBorder="1"/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4"/>
    <xf numFmtId="0" fontId="4" fillId="0" borderId="0" xfId="4" applyBorder="1"/>
    <xf numFmtId="3" fontId="4" fillId="0" borderId="0" xfId="4" applyNumberFormat="1" applyFont="1" applyBorder="1"/>
    <xf numFmtId="9" fontId="6" fillId="0" borderId="0" xfId="0" applyNumberFormat="1" applyFont="1" applyBorder="1"/>
    <xf numFmtId="0" fontId="8" fillId="0" borderId="0" xfId="0" applyFont="1"/>
    <xf numFmtId="0" fontId="7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9" fontId="7" fillId="0" borderId="0" xfId="1" applyFont="1" applyBorder="1" applyAlignment="1">
      <alignment horizontal="right"/>
    </xf>
    <xf numFmtId="0" fontId="7" fillId="0" borderId="0" xfId="0" applyFont="1" applyBorder="1" applyAlignment="1">
      <alignment horizontal="left"/>
    </xf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7</xdr:row>
      <xdr:rowOff>152400</xdr:rowOff>
    </xdr:from>
    <xdr:to>
      <xdr:col>8</xdr:col>
      <xdr:colOff>114300</xdr:colOff>
      <xdr:row>60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429500" y="1290320"/>
          <a:ext cx="0" cy="84632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239184</xdr:colOff>
      <xdr:row>0</xdr:row>
      <xdr:rowOff>152400</xdr:rowOff>
    </xdr:from>
    <xdr:to>
      <xdr:col>13</xdr:col>
      <xdr:colOff>239184</xdr:colOff>
      <xdr:row>54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1690351" y="152400"/>
          <a:ext cx="0" cy="916093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lex_Karp" TargetMode="External"/><Relationship Id="rId2" Type="http://schemas.openxmlformats.org/officeDocument/2006/relationships/hyperlink" Target="http://www.worldgovernmentbonds.com/country/united-states/" TargetMode="External"/><Relationship Id="rId1" Type="http://schemas.openxmlformats.org/officeDocument/2006/relationships/hyperlink" Target="https://investors.palantir.com/home/default.aspx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n.wikipedia.org/wiki/Peter_Thiel" TargetMode="External"/><Relationship Id="rId4" Type="http://schemas.openxmlformats.org/officeDocument/2006/relationships/hyperlink" Target="https://en.wikipedia.org/wiki/Alex_Kar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IK=1321655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59"/>
  <sheetViews>
    <sheetView tabSelected="1" zoomScale="125" zoomScaleNormal="125" workbookViewId="0">
      <pane xSplit="1" ySplit="9" topLeftCell="C10" activePane="bottomRight" state="frozen"/>
      <selection pane="topRight" activeCell="B1" sqref="B1"/>
      <selection pane="bottomLeft" activeCell="A11" sqref="A11"/>
      <selection pane="bottomRight" activeCell="J25" sqref="J25"/>
    </sheetView>
  </sheetViews>
  <sheetFormatPr baseColWidth="10" defaultRowHeight="13" x14ac:dyDescent="0.15"/>
  <cols>
    <col min="1" max="1" width="20.33203125" style="3" bestFit="1" customWidth="1"/>
    <col min="2" max="7" width="10.83203125" style="3"/>
    <col min="8" max="8" width="10.83203125" style="3" customWidth="1"/>
    <col min="9" max="16384" width="10.83203125" style="3"/>
  </cols>
  <sheetData>
    <row r="1" spans="1:118" x14ac:dyDescent="0.15">
      <c r="A1" s="64" t="s">
        <v>54</v>
      </c>
      <c r="B1" s="2" t="s">
        <v>66</v>
      </c>
    </row>
    <row r="2" spans="1:118" x14ac:dyDescent="0.15">
      <c r="B2" s="3" t="s">
        <v>36</v>
      </c>
      <c r="C2" s="4">
        <v>23.9</v>
      </c>
      <c r="D2" s="61">
        <v>44253</v>
      </c>
      <c r="E2" s="6" t="s">
        <v>21</v>
      </c>
      <c r="F2" s="7">
        <v>0.01</v>
      </c>
      <c r="I2" s="16"/>
      <c r="L2" s="2"/>
    </row>
    <row r="3" spans="1:118" x14ac:dyDescent="0.15">
      <c r="A3" s="2" t="s">
        <v>34</v>
      </c>
      <c r="B3" s="3" t="s">
        <v>13</v>
      </c>
      <c r="C3" s="8">
        <f>Reports!M21</f>
        <v>1763.5139220000001</v>
      </c>
      <c r="D3" s="62" t="s">
        <v>60</v>
      </c>
      <c r="E3" s="6" t="s">
        <v>22</v>
      </c>
      <c r="F3" s="7">
        <v>0.05</v>
      </c>
      <c r="G3" s="5" t="s">
        <v>55</v>
      </c>
      <c r="I3" s="16"/>
    </row>
    <row r="4" spans="1:118" x14ac:dyDescent="0.15">
      <c r="A4" s="63" t="s">
        <v>67</v>
      </c>
      <c r="B4" s="3" t="s">
        <v>37</v>
      </c>
      <c r="C4" s="10">
        <f>C2*C3</f>
        <v>42147.982735799997</v>
      </c>
      <c r="D4" s="62"/>
      <c r="E4" s="6" t="s">
        <v>23</v>
      </c>
      <c r="F4" s="7">
        <v>7.0000000000000007E-2</v>
      </c>
      <c r="G4" s="5" t="s">
        <v>61</v>
      </c>
      <c r="I4" s="19"/>
      <c r="L4" s="9" t="s">
        <v>62</v>
      </c>
    </row>
    <row r="5" spans="1:118" x14ac:dyDescent="0.15">
      <c r="B5" s="3" t="s">
        <v>18</v>
      </c>
      <c r="C5" s="8">
        <f>Reports!M33</f>
        <v>1850</v>
      </c>
      <c r="D5" s="62" t="s">
        <v>60</v>
      </c>
      <c r="E5" s="6" t="s">
        <v>24</v>
      </c>
      <c r="F5" s="11">
        <f>NPV(F4,I26:GS26)</f>
        <v>142499.56399175106</v>
      </c>
      <c r="G5" s="5" t="s">
        <v>63</v>
      </c>
      <c r="I5" s="19"/>
    </row>
    <row r="6" spans="1:118" x14ac:dyDescent="0.15">
      <c r="A6" s="2" t="s">
        <v>35</v>
      </c>
      <c r="B6" s="3" t="s">
        <v>38</v>
      </c>
      <c r="C6" s="10">
        <f>C4-C5</f>
        <v>40297.982735799997</v>
      </c>
      <c r="D6" s="62"/>
      <c r="E6" s="12" t="s">
        <v>25</v>
      </c>
      <c r="F6" s="13">
        <f>F5+C5</f>
        <v>144349.56399175106</v>
      </c>
      <c r="I6" s="19"/>
    </row>
    <row r="7" spans="1:118" x14ac:dyDescent="0.15">
      <c r="A7" s="63" t="s">
        <v>68</v>
      </c>
      <c r="B7" s="5" t="s">
        <v>39</v>
      </c>
      <c r="C7" s="43">
        <f>C6/C3</f>
        <v>22.850958097397996</v>
      </c>
      <c r="D7" s="62"/>
      <c r="E7" s="14" t="s">
        <v>39</v>
      </c>
      <c r="F7" s="42">
        <f>F6/C3</f>
        <v>81.85337364847355</v>
      </c>
      <c r="G7" s="19">
        <f>F7/C2-1</f>
        <v>2.4248273493085168</v>
      </c>
    </row>
    <row r="8" spans="1:118" x14ac:dyDescent="0.15">
      <c r="A8" s="63" t="s">
        <v>67</v>
      </c>
      <c r="F8" s="6"/>
      <c r="G8" s="15"/>
    </row>
    <row r="9" spans="1:118" x14ac:dyDescent="0.15">
      <c r="B9" s="38">
        <v>2014</v>
      </c>
      <c r="C9" s="38">
        <v>2015</v>
      </c>
      <c r="D9" s="38">
        <v>2016</v>
      </c>
      <c r="E9" s="38">
        <v>2017</v>
      </c>
      <c r="F9" s="38">
        <f>2018</f>
        <v>2018</v>
      </c>
      <c r="G9" s="38">
        <f t="shared" ref="G9:W9" si="0">F9+1</f>
        <v>2019</v>
      </c>
      <c r="H9" s="38">
        <f t="shared" si="0"/>
        <v>2020</v>
      </c>
      <c r="I9" s="38">
        <f t="shared" si="0"/>
        <v>2021</v>
      </c>
      <c r="J9" s="38">
        <f t="shared" si="0"/>
        <v>2022</v>
      </c>
      <c r="K9" s="38">
        <f t="shared" si="0"/>
        <v>2023</v>
      </c>
      <c r="L9" s="38">
        <f t="shared" si="0"/>
        <v>2024</v>
      </c>
      <c r="M9" s="38">
        <f t="shared" si="0"/>
        <v>2025</v>
      </c>
      <c r="N9" s="38">
        <f t="shared" si="0"/>
        <v>2026</v>
      </c>
      <c r="O9" s="38">
        <f t="shared" si="0"/>
        <v>2027</v>
      </c>
      <c r="P9" s="38">
        <f t="shared" si="0"/>
        <v>2028</v>
      </c>
      <c r="Q9" s="38">
        <f t="shared" si="0"/>
        <v>2029</v>
      </c>
      <c r="R9" s="38">
        <f t="shared" si="0"/>
        <v>2030</v>
      </c>
      <c r="S9" s="38">
        <f t="shared" si="0"/>
        <v>2031</v>
      </c>
      <c r="T9" s="38">
        <f t="shared" si="0"/>
        <v>2032</v>
      </c>
      <c r="U9" s="38">
        <f t="shared" si="0"/>
        <v>2033</v>
      </c>
      <c r="V9" s="38">
        <f t="shared" si="0"/>
        <v>2034</v>
      </c>
      <c r="W9" s="38">
        <f t="shared" si="0"/>
        <v>2035</v>
      </c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</row>
    <row r="10" spans="1:118" s="16" customFormat="1" x14ac:dyDescent="0.15">
      <c r="A10" s="16" t="s">
        <v>78</v>
      </c>
      <c r="G10" s="16">
        <v>346</v>
      </c>
      <c r="H10" s="16">
        <v>610</v>
      </c>
      <c r="I10" s="16">
        <f>H10*(1+H58-0.08)</f>
        <v>1026.6335260115607</v>
      </c>
      <c r="J10" s="16">
        <f t="shared" ref="J10:M10" si="1">I10*(1+I58-0.08)</f>
        <v>1645.6994764943699</v>
      </c>
      <c r="K10" s="16">
        <f t="shared" si="1"/>
        <v>2506.4098154146623</v>
      </c>
      <c r="L10" s="16">
        <f t="shared" si="1"/>
        <v>3616.7638515613653</v>
      </c>
      <c r="M10" s="16">
        <f t="shared" si="1"/>
        <v>4929.6700358275712</v>
      </c>
    </row>
    <row r="11" spans="1:118" s="16" customFormat="1" x14ac:dyDescent="0.15">
      <c r="A11" s="16" t="s">
        <v>79</v>
      </c>
      <c r="G11" s="16">
        <v>397</v>
      </c>
      <c r="H11" s="16">
        <v>482</v>
      </c>
      <c r="I11" s="16">
        <f>H11*1.2</f>
        <v>578.4</v>
      </c>
      <c r="J11" s="16">
        <f t="shared" ref="J11:M11" si="2">I11*1.2</f>
        <v>694.07999999999993</v>
      </c>
      <c r="K11" s="16">
        <f t="shared" si="2"/>
        <v>832.89599999999984</v>
      </c>
      <c r="L11" s="16">
        <f t="shared" si="2"/>
        <v>999.47519999999975</v>
      </c>
      <c r="M11" s="16">
        <f t="shared" si="2"/>
        <v>1199.3702399999997</v>
      </c>
    </row>
    <row r="12" spans="1:118" x14ac:dyDescent="0.15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</row>
    <row r="13" spans="1:118" x14ac:dyDescent="0.15">
      <c r="A13" s="8" t="s">
        <v>56</v>
      </c>
      <c r="B13" s="37">
        <v>235</v>
      </c>
      <c r="C13" s="37">
        <v>364</v>
      </c>
      <c r="D13" s="37">
        <v>466</v>
      </c>
      <c r="E13" s="37">
        <v>515</v>
      </c>
      <c r="F13" s="37">
        <v>595.40899999999999</v>
      </c>
      <c r="G13" s="37">
        <f>SUM(Reports!F6:I6)</f>
        <v>742.55500000000006</v>
      </c>
      <c r="H13" s="37">
        <f>SUM(Reports!J6:M6)</f>
        <v>1092.673</v>
      </c>
      <c r="I13" s="37">
        <f>H13*1.4</f>
        <v>1529.7421999999999</v>
      </c>
      <c r="J13" s="37">
        <f t="shared" ref="J13:M13" si="3">I13*1.4</f>
        <v>2141.6390799999999</v>
      </c>
      <c r="K13" s="37">
        <f t="shared" si="3"/>
        <v>2998.2947119999999</v>
      </c>
      <c r="L13" s="37">
        <f t="shared" si="3"/>
        <v>4197.6125967999997</v>
      </c>
      <c r="M13" s="37">
        <f t="shared" si="3"/>
        <v>5876.6576355199995</v>
      </c>
      <c r="N13" s="37"/>
      <c r="O13" s="37"/>
      <c r="P13" s="37"/>
      <c r="Q13" s="37"/>
      <c r="R13" s="37"/>
      <c r="S13" s="37"/>
      <c r="T13" s="37"/>
      <c r="U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</row>
    <row r="14" spans="1:118" s="70" customFormat="1" x14ac:dyDescent="0.15">
      <c r="H14" s="70">
        <v>1070</v>
      </c>
      <c r="M14" s="70">
        <v>4000</v>
      </c>
      <c r="V14" s="70" t="s">
        <v>91</v>
      </c>
    </row>
    <row r="15" spans="1:118" x14ac:dyDescent="0.15">
      <c r="A15" s="2" t="s">
        <v>0</v>
      </c>
      <c r="B15" s="24">
        <f t="shared" ref="B15" si="4">SUM(B13:B13)</f>
        <v>235</v>
      </c>
      <c r="C15" s="24">
        <f t="shared" ref="C15" si="5">SUM(C13:C13)</f>
        <v>364</v>
      </c>
      <c r="D15" s="24">
        <f t="shared" ref="D15:F15" si="6">SUM(D13:D13)</f>
        <v>466</v>
      </c>
      <c r="E15" s="24">
        <f>SUM(E13:E13)</f>
        <v>515</v>
      </c>
      <c r="F15" s="24">
        <f t="shared" si="6"/>
        <v>595.40899999999999</v>
      </c>
      <c r="G15" s="24">
        <f>SUM(G13:G13)</f>
        <v>742.55500000000006</v>
      </c>
      <c r="H15" s="24">
        <f>SUM(H13:H13)</f>
        <v>1092.673</v>
      </c>
      <c r="I15" s="45">
        <f>SUM(I10:I11)</f>
        <v>1605.0335260115608</v>
      </c>
      <c r="J15" s="45">
        <f>SUM(J10:J11)</f>
        <v>2339.7794764943701</v>
      </c>
      <c r="K15" s="45">
        <f>SUM(K10:K11)</f>
        <v>3339.305815414662</v>
      </c>
      <c r="L15" s="45">
        <f>SUM(L10:L11)</f>
        <v>4616.2390515613652</v>
      </c>
      <c r="M15" s="45">
        <f>SUM(M10:M11)</f>
        <v>6129.0402758275704</v>
      </c>
      <c r="N15" s="45">
        <f>M15*1.2</f>
        <v>7354.8483309930843</v>
      </c>
      <c r="O15" s="45">
        <f t="shared" ref="O15:R15" si="7">N15*1.2</f>
        <v>8825.8179971917016</v>
      </c>
      <c r="P15" s="45">
        <f t="shared" si="7"/>
        <v>10590.981596630041</v>
      </c>
      <c r="Q15" s="45">
        <f t="shared" si="7"/>
        <v>12709.177915956048</v>
      </c>
      <c r="R15" s="45">
        <f t="shared" si="7"/>
        <v>15251.013499147257</v>
      </c>
      <c r="S15" s="45">
        <f t="shared" ref="S15:W15" si="8">R15*1.1</f>
        <v>16776.114849061985</v>
      </c>
      <c r="T15" s="45">
        <f t="shared" si="8"/>
        <v>18453.726333968185</v>
      </c>
      <c r="U15" s="45">
        <f t="shared" si="8"/>
        <v>20299.098967365004</v>
      </c>
      <c r="V15" s="45">
        <f t="shared" si="8"/>
        <v>22329.008864101506</v>
      </c>
      <c r="W15" s="45">
        <f t="shared" si="8"/>
        <v>24561.909750511659</v>
      </c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</row>
    <row r="16" spans="1:118" x14ac:dyDescent="0.15">
      <c r="A16" s="3" t="s">
        <v>1</v>
      </c>
      <c r="B16" s="23"/>
      <c r="C16" s="23"/>
      <c r="D16" s="23"/>
      <c r="E16" s="23"/>
      <c r="F16" s="37">
        <v>165.40100000000001</v>
      </c>
      <c r="G16" s="37">
        <f>SUM(Reports!F9:I9)</f>
        <v>242.37299999999999</v>
      </c>
      <c r="H16" s="37">
        <f>SUM(Reports!J9:M9)</f>
        <v>258.18653999999998</v>
      </c>
      <c r="I16" s="23">
        <f t="shared" ref="I16" si="9">I15-I17</f>
        <v>363.20132801418958</v>
      </c>
      <c r="J16" s="23">
        <f t="shared" ref="J16:Q16" si="10">J15-J17</f>
        <v>506.0684122337625</v>
      </c>
      <c r="K16" s="23">
        <f t="shared" si="10"/>
        <v>688.86184191097664</v>
      </c>
      <c r="L16" s="23">
        <f>L15-L17</f>
        <v>906.11664936174111</v>
      </c>
      <c r="M16" s="23">
        <f t="shared" si="10"/>
        <v>1141.7723885106507</v>
      </c>
      <c r="N16" s="23">
        <f t="shared" si="10"/>
        <v>1370.1268662127804</v>
      </c>
      <c r="O16" s="23">
        <f t="shared" si="10"/>
        <v>1644.1522394553367</v>
      </c>
      <c r="P16" s="23">
        <f t="shared" si="10"/>
        <v>1972.9826873464044</v>
      </c>
      <c r="Q16" s="23">
        <f t="shared" si="10"/>
        <v>2367.5792248156849</v>
      </c>
      <c r="R16" s="23">
        <f t="shared" ref="R16" si="11">R15-R17</f>
        <v>2841.0950697788212</v>
      </c>
      <c r="S16" s="23">
        <f t="shared" ref="S16:V16" si="12">S15-S17</f>
        <v>3125.2045767567033</v>
      </c>
      <c r="T16" s="23">
        <f t="shared" si="12"/>
        <v>3437.7250344323747</v>
      </c>
      <c r="U16" s="23">
        <f t="shared" si="12"/>
        <v>3781.4975378756099</v>
      </c>
      <c r="V16" s="23">
        <f t="shared" si="12"/>
        <v>4159.6472916631719</v>
      </c>
      <c r="W16" s="23">
        <f t="shared" ref="W16" si="13">W15-W17</f>
        <v>4575.6120208294924</v>
      </c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</row>
    <row r="17" spans="1:201" x14ac:dyDescent="0.15">
      <c r="A17" s="3" t="s">
        <v>2</v>
      </c>
      <c r="B17" s="23"/>
      <c r="C17" s="23"/>
      <c r="D17" s="23"/>
      <c r="E17" s="23"/>
      <c r="F17" s="26">
        <f>F15-F16</f>
        <v>430.00799999999998</v>
      </c>
      <c r="G17" s="26">
        <f>G15-G16</f>
        <v>500.18200000000007</v>
      </c>
      <c r="H17" s="26">
        <f>H15-H16</f>
        <v>834.48646000000008</v>
      </c>
      <c r="I17" s="23">
        <f>I15*(H30+0.01)</f>
        <v>1241.8321979973712</v>
      </c>
      <c r="J17" s="23">
        <f t="shared" ref="J17:M17" si="14">J15*(I30+0.01)</f>
        <v>1833.7110642606076</v>
      </c>
      <c r="K17" s="23">
        <f t="shared" si="14"/>
        <v>2650.4439735036854</v>
      </c>
      <c r="L17" s="23">
        <f t="shared" si="14"/>
        <v>3710.122402199624</v>
      </c>
      <c r="M17" s="23">
        <f t="shared" si="14"/>
        <v>4987.2678873169198</v>
      </c>
      <c r="N17" s="23">
        <f>N15*M30</f>
        <v>5984.7214647803039</v>
      </c>
      <c r="O17" s="23">
        <f>O15*N30</f>
        <v>7181.6657577363649</v>
      </c>
      <c r="P17" s="23">
        <f>P15*O30</f>
        <v>8617.9989092836367</v>
      </c>
      <c r="Q17" s="23">
        <f>Q15*P30</f>
        <v>10341.598691140363</v>
      </c>
      <c r="R17" s="23">
        <f>R15*Q30</f>
        <v>12409.918429368436</v>
      </c>
      <c r="S17" s="23">
        <f>S15*R30</f>
        <v>13650.910272305282</v>
      </c>
      <c r="T17" s="23">
        <f>T15*S30</f>
        <v>15016.00129953581</v>
      </c>
      <c r="U17" s="23">
        <f>U15*T30</f>
        <v>16517.601429489394</v>
      </c>
      <c r="V17" s="23">
        <f>V15*U30</f>
        <v>18169.361572438334</v>
      </c>
      <c r="W17" s="23">
        <f>W15*V30</f>
        <v>19986.297729682166</v>
      </c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</row>
    <row r="18" spans="1:201" x14ac:dyDescent="0.15">
      <c r="A18" s="3" t="s">
        <v>3</v>
      </c>
      <c r="B18" s="23"/>
      <c r="C18" s="23"/>
      <c r="D18" s="23"/>
      <c r="E18" s="23"/>
      <c r="F18" s="37">
        <v>285</v>
      </c>
      <c r="G18" s="37">
        <f>SUM(Reports!F11:I11)</f>
        <v>306</v>
      </c>
      <c r="H18" s="37">
        <f>SUM(Reports!J11:M11)</f>
        <v>338.2</v>
      </c>
      <c r="I18" s="23">
        <f>H18*1.2</f>
        <v>405.84</v>
      </c>
      <c r="J18" s="23">
        <f t="shared" ref="J18:M18" si="15">I18*1.2</f>
        <v>487.00799999999992</v>
      </c>
      <c r="K18" s="23">
        <f t="shared" si="15"/>
        <v>584.40959999999984</v>
      </c>
      <c r="L18" s="23">
        <f t="shared" si="15"/>
        <v>701.29151999999976</v>
      </c>
      <c r="M18" s="23">
        <f t="shared" si="15"/>
        <v>841.54982399999972</v>
      </c>
      <c r="N18" s="23">
        <f>M18*1.15</f>
        <v>967.78229759999965</v>
      </c>
      <c r="O18" s="23">
        <f t="shared" ref="O18:R18" si="16">N18*1.15</f>
        <v>1112.9496422399995</v>
      </c>
      <c r="P18" s="23">
        <f t="shared" si="16"/>
        <v>1279.8920885759994</v>
      </c>
      <c r="Q18" s="23">
        <f t="shared" si="16"/>
        <v>1471.8759018623991</v>
      </c>
      <c r="R18" s="23">
        <f t="shared" si="16"/>
        <v>1692.6572871417588</v>
      </c>
      <c r="S18" s="23">
        <f>R18*1.1</f>
        <v>1861.9230158559349</v>
      </c>
      <c r="T18" s="23">
        <f t="shared" ref="T18:W18" si="17">S18*1.1</f>
        <v>2048.1153174415285</v>
      </c>
      <c r="U18" s="23">
        <f t="shared" si="17"/>
        <v>2252.9268491856815</v>
      </c>
      <c r="V18" s="23">
        <f t="shared" si="17"/>
        <v>2478.2195341042498</v>
      </c>
      <c r="W18" s="23">
        <f t="shared" si="17"/>
        <v>2726.0414875146748</v>
      </c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</row>
    <row r="19" spans="1:201" x14ac:dyDescent="0.15">
      <c r="A19" s="3" t="s">
        <v>4</v>
      </c>
      <c r="B19" s="23"/>
      <c r="C19" s="23"/>
      <c r="D19" s="23"/>
      <c r="E19" s="23"/>
      <c r="F19" s="37">
        <v>462</v>
      </c>
      <c r="G19" s="37">
        <f>SUM(Reports!F12:I12)</f>
        <v>451</v>
      </c>
      <c r="H19" s="37">
        <f>SUM(Reports!J12:M12)</f>
        <v>488</v>
      </c>
      <c r="I19" s="23">
        <f>H19*1.15</f>
        <v>561.19999999999993</v>
      </c>
      <c r="J19" s="23">
        <f t="shared" ref="J19:M19" si="18">I19*1.15</f>
        <v>645.37999999999988</v>
      </c>
      <c r="K19" s="23">
        <f t="shared" si="18"/>
        <v>742.18699999999978</v>
      </c>
      <c r="L19" s="23">
        <f t="shared" si="18"/>
        <v>853.51504999999963</v>
      </c>
      <c r="M19" s="23">
        <f t="shared" si="18"/>
        <v>981.54230749999954</v>
      </c>
      <c r="N19" s="23">
        <f>M19*1.1</f>
        <v>1079.6965382499995</v>
      </c>
      <c r="O19" s="23">
        <f t="shared" ref="O19:R19" si="19">N19*1.1</f>
        <v>1187.6661920749996</v>
      </c>
      <c r="P19" s="23">
        <f t="shared" si="19"/>
        <v>1306.4328112824996</v>
      </c>
      <c r="Q19" s="23">
        <f t="shared" si="19"/>
        <v>1437.0760924107497</v>
      </c>
      <c r="R19" s="23">
        <f t="shared" si="19"/>
        <v>1580.7837016518247</v>
      </c>
      <c r="S19" s="23">
        <f>R19*0.95</f>
        <v>1501.7445165692334</v>
      </c>
      <c r="T19" s="23">
        <f t="shared" ref="T19:W19" si="20">S19*0.95</f>
        <v>1426.6572907407717</v>
      </c>
      <c r="U19" s="23">
        <f t="shared" si="20"/>
        <v>1355.3244262037331</v>
      </c>
      <c r="V19" s="23">
        <f t="shared" si="20"/>
        <v>1287.5582048935464</v>
      </c>
      <c r="W19" s="23">
        <f t="shared" si="20"/>
        <v>1223.180294648869</v>
      </c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</row>
    <row r="20" spans="1:201" x14ac:dyDescent="0.15">
      <c r="A20" s="3" t="s">
        <v>5</v>
      </c>
      <c r="B20" s="23"/>
      <c r="C20" s="23"/>
      <c r="D20" s="23"/>
      <c r="E20" s="23"/>
      <c r="F20" s="37">
        <v>306</v>
      </c>
      <c r="G20" s="37">
        <f>SUM(Reports!F13:I13)</f>
        <v>321</v>
      </c>
      <c r="H20" s="37">
        <f>SUM(Reports!J13:M13)</f>
        <v>433.6</v>
      </c>
      <c r="I20" s="23">
        <f>H20*1.2</f>
        <v>520.32000000000005</v>
      </c>
      <c r="J20" s="23">
        <f t="shared" ref="J20:M20" si="21">I20*1.2</f>
        <v>624.38400000000001</v>
      </c>
      <c r="K20" s="23">
        <f t="shared" si="21"/>
        <v>749.26080000000002</v>
      </c>
      <c r="L20" s="23">
        <f t="shared" si="21"/>
        <v>899.11296000000004</v>
      </c>
      <c r="M20" s="23">
        <f t="shared" si="21"/>
        <v>1078.9355519999999</v>
      </c>
      <c r="N20" s="23">
        <f>M20*0.95</f>
        <v>1024.9887743999998</v>
      </c>
      <c r="O20" s="23">
        <f t="shared" ref="O20:R20" si="22">N20*0.95</f>
        <v>973.73933567999973</v>
      </c>
      <c r="P20" s="23">
        <f t="shared" si="22"/>
        <v>925.05236889599973</v>
      </c>
      <c r="Q20" s="23">
        <f t="shared" si="22"/>
        <v>878.79975045119966</v>
      </c>
      <c r="R20" s="23">
        <f t="shared" si="22"/>
        <v>834.85976292863961</v>
      </c>
      <c r="S20" s="23">
        <f t="shared" ref="S20:W20" si="23">R20*0.98</f>
        <v>818.16256767006678</v>
      </c>
      <c r="T20" s="23">
        <f t="shared" si="23"/>
        <v>801.79931631666545</v>
      </c>
      <c r="U20" s="23">
        <f t="shared" si="23"/>
        <v>785.76332999033218</v>
      </c>
      <c r="V20" s="23">
        <f t="shared" si="23"/>
        <v>770.0480633905255</v>
      </c>
      <c r="W20" s="23">
        <f t="shared" si="23"/>
        <v>754.64710212271495</v>
      </c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</row>
    <row r="21" spans="1:201" x14ac:dyDescent="0.15">
      <c r="A21" s="3" t="s">
        <v>6</v>
      </c>
      <c r="B21" s="23"/>
      <c r="C21" s="23"/>
      <c r="D21" s="23"/>
      <c r="E21" s="23"/>
      <c r="F21" s="26">
        <f>SUM(F18:F20)</f>
        <v>1053</v>
      </c>
      <c r="G21" s="26">
        <f>SUM(G18:G20)</f>
        <v>1078</v>
      </c>
      <c r="H21" s="26">
        <f>SUM(H18:H20)</f>
        <v>1259.8000000000002</v>
      </c>
      <c r="I21" s="23">
        <f>SUM(I18:I20)</f>
        <v>1487.3600000000001</v>
      </c>
      <c r="J21" s="23">
        <f>SUM(J18:J20)</f>
        <v>1756.7719999999999</v>
      </c>
      <c r="K21" s="23">
        <f>SUM(K18:K20)</f>
        <v>2075.8573999999999</v>
      </c>
      <c r="L21" s="23">
        <f>SUM(L18:L20)</f>
        <v>2453.9195299999992</v>
      </c>
      <c r="M21" s="23">
        <f>SUM(M18:M20)</f>
        <v>2902.0276834999991</v>
      </c>
      <c r="N21" s="23">
        <f>SUM(N18:N20)</f>
        <v>3072.4676102499989</v>
      </c>
      <c r="O21" s="23">
        <f>SUM(O18:O20)</f>
        <v>3274.355169994999</v>
      </c>
      <c r="P21" s="23">
        <f>SUM(P18:P20)</f>
        <v>3511.3772687544988</v>
      </c>
      <c r="Q21" s="23">
        <f>SUM(Q18:Q20)</f>
        <v>3787.7517447243481</v>
      </c>
      <c r="R21" s="23">
        <f>SUM(R18:R20)</f>
        <v>4108.3007517222231</v>
      </c>
      <c r="S21" s="23">
        <f>SUM(S18:S20)</f>
        <v>4181.8301000952351</v>
      </c>
      <c r="T21" s="23">
        <f>SUM(T18:T20)</f>
        <v>4276.5719244989659</v>
      </c>
      <c r="U21" s="23">
        <f>SUM(U18:U20)</f>
        <v>4394.0146053797462</v>
      </c>
      <c r="V21" s="23">
        <f>SUM(V18:V20)</f>
        <v>4535.8258023883218</v>
      </c>
      <c r="W21" s="23">
        <f>SUM(W18:W20)</f>
        <v>4703.8688842862593</v>
      </c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</row>
    <row r="22" spans="1:201" x14ac:dyDescent="0.15">
      <c r="A22" s="3" t="s">
        <v>7</v>
      </c>
      <c r="B22" s="23"/>
      <c r="C22" s="23"/>
      <c r="D22" s="23"/>
      <c r="E22" s="23"/>
      <c r="F22" s="26">
        <f>F17-F21</f>
        <v>-622.99199999999996</v>
      </c>
      <c r="G22" s="26">
        <f>G17-G21</f>
        <v>-577.81799999999998</v>
      </c>
      <c r="H22" s="26">
        <f>H17-H21</f>
        <v>-425.3135400000001</v>
      </c>
      <c r="I22" s="23">
        <f>I17-I21</f>
        <v>-245.52780200262896</v>
      </c>
      <c r="J22" s="23">
        <f>J17-J21</f>
        <v>76.939064260607665</v>
      </c>
      <c r="K22" s="23">
        <f>K17-K21</f>
        <v>574.58657350368549</v>
      </c>
      <c r="L22" s="23">
        <f>L17-L21</f>
        <v>1256.2028721996248</v>
      </c>
      <c r="M22" s="23">
        <f>M17-M21</f>
        <v>2085.2402038169207</v>
      </c>
      <c r="N22" s="23">
        <f>N17-N21</f>
        <v>2912.253854530305</v>
      </c>
      <c r="O22" s="23">
        <f>O17-O21</f>
        <v>3907.3105877413659</v>
      </c>
      <c r="P22" s="23">
        <f>P17-P21</f>
        <v>5106.6216405291379</v>
      </c>
      <c r="Q22" s="23">
        <f>Q17-Q21</f>
        <v>6553.8469464160153</v>
      </c>
      <c r="R22" s="23">
        <f>R17-R21</f>
        <v>8301.6176776462125</v>
      </c>
      <c r="S22" s="23">
        <f>S17-S21</f>
        <v>9469.0801722100477</v>
      </c>
      <c r="T22" s="23">
        <f>T17-T21</f>
        <v>10739.429375036845</v>
      </c>
      <c r="U22" s="23">
        <f>U17-U21</f>
        <v>12123.586824109647</v>
      </c>
      <c r="V22" s="23">
        <f>V17-V21</f>
        <v>13633.535770050014</v>
      </c>
      <c r="W22" s="23">
        <f>W17-W21</f>
        <v>15282.428845395907</v>
      </c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</row>
    <row r="23" spans="1:201" x14ac:dyDescent="0.15">
      <c r="A23" s="3" t="s">
        <v>8</v>
      </c>
      <c r="B23" s="23"/>
      <c r="C23" s="23"/>
      <c r="D23" s="23"/>
      <c r="E23" s="23"/>
      <c r="F23" s="23">
        <f>10-3+48-3</f>
        <v>52</v>
      </c>
      <c r="G23" s="37">
        <f>SUM(Reports!F16:I16)</f>
        <v>7</v>
      </c>
      <c r="H23" s="37">
        <f>SUM(Reports!J16:M16)</f>
        <v>-7</v>
      </c>
      <c r="I23" s="23">
        <f t="shared" ref="I23:W23" si="24">H40*$F$3</f>
        <v>92.5</v>
      </c>
      <c r="J23" s="23">
        <f t="shared" si="24"/>
        <v>84.848609899868563</v>
      </c>
      <c r="K23" s="23">
        <f t="shared" si="24"/>
        <v>91.724586051688789</v>
      </c>
      <c r="L23" s="23">
        <f t="shared" si="24"/>
        <v>120.0428103327922</v>
      </c>
      <c r="M23" s="23">
        <f t="shared" si="24"/>
        <v>178.53325184041992</v>
      </c>
      <c r="N23" s="23">
        <f t="shared" si="24"/>
        <v>274.74362370585686</v>
      </c>
      <c r="O23" s="23">
        <f t="shared" si="24"/>
        <v>410.19101653089376</v>
      </c>
      <c r="P23" s="23">
        <f t="shared" si="24"/>
        <v>593.68483471246486</v>
      </c>
      <c r="Q23" s="23">
        <f t="shared" si="24"/>
        <v>835.94785991023298</v>
      </c>
      <c r="R23" s="23">
        <f t="shared" si="24"/>
        <v>1150.0141391790985</v>
      </c>
      <c r="S23" s="23">
        <f t="shared" si="24"/>
        <v>1551.7084913941744</v>
      </c>
      <c r="T23" s="23">
        <f t="shared" si="24"/>
        <v>2020.092009597354</v>
      </c>
      <c r="U23" s="23">
        <f t="shared" si="24"/>
        <v>2562.3716684443079</v>
      </c>
      <c r="V23" s="23">
        <f t="shared" si="24"/>
        <v>3186.5249043778508</v>
      </c>
      <c r="W23" s="23">
        <f t="shared" si="24"/>
        <v>3901.3774830410348</v>
      </c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</row>
    <row r="24" spans="1:201" x14ac:dyDescent="0.15">
      <c r="A24" s="3" t="s">
        <v>9</v>
      </c>
      <c r="B24" s="23"/>
      <c r="C24" s="23"/>
      <c r="D24" s="23"/>
      <c r="E24" s="23"/>
      <c r="F24" s="26">
        <f>F22+F23</f>
        <v>-570.99199999999996</v>
      </c>
      <c r="G24" s="26">
        <f>G22+G23</f>
        <v>-570.81799999999998</v>
      </c>
      <c r="H24" s="26">
        <f>H22+H23</f>
        <v>-432.3135400000001</v>
      </c>
      <c r="I24" s="23">
        <f>I22+I23</f>
        <v>-153.02780200262896</v>
      </c>
      <c r="J24" s="23">
        <f t="shared" ref="J24" si="25">J22+J23</f>
        <v>161.78767416047623</v>
      </c>
      <c r="K24" s="23">
        <f t="shared" ref="K24" si="26">K22+K23</f>
        <v>666.31115955537427</v>
      </c>
      <c r="L24" s="23">
        <f t="shared" ref="L24" si="27">L22+L23</f>
        <v>1376.245682532417</v>
      </c>
      <c r="M24" s="23">
        <f t="shared" ref="M24" si="28">M22+M23</f>
        <v>2263.7734556573405</v>
      </c>
      <c r="N24" s="23">
        <f t="shared" ref="N24" si="29">N22+N23</f>
        <v>3186.9974782361619</v>
      </c>
      <c r="O24" s="23">
        <f t="shared" ref="O24" si="30">O22+O23</f>
        <v>4317.50160427226</v>
      </c>
      <c r="P24" s="23">
        <f t="shared" ref="P24" si="31">P22+P23</f>
        <v>5700.306475241603</v>
      </c>
      <c r="Q24" s="23">
        <f t="shared" ref="Q24" si="32">Q22+Q23</f>
        <v>7389.7948063262484</v>
      </c>
      <c r="R24" s="23">
        <f t="shared" ref="R24" si="33">R22+R23</f>
        <v>9451.631816825311</v>
      </c>
      <c r="S24" s="23">
        <f t="shared" ref="S24:V24" si="34">S22+S23</f>
        <v>11020.788663604222</v>
      </c>
      <c r="T24" s="23">
        <f t="shared" si="34"/>
        <v>12759.521384634199</v>
      </c>
      <c r="U24" s="23">
        <f t="shared" si="34"/>
        <v>14685.958492553955</v>
      </c>
      <c r="V24" s="23">
        <f t="shared" si="34"/>
        <v>16820.060674427863</v>
      </c>
      <c r="W24" s="23">
        <f t="shared" ref="W24" si="35">W22+W23</f>
        <v>19183.806328436942</v>
      </c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</row>
    <row r="25" spans="1:201" x14ac:dyDescent="0.15">
      <c r="A25" s="3" t="s">
        <v>10</v>
      </c>
      <c r="B25" s="23"/>
      <c r="C25" s="23"/>
      <c r="D25" s="23"/>
      <c r="E25" s="23"/>
      <c r="F25" s="23">
        <v>9</v>
      </c>
      <c r="G25" s="37">
        <f>SUM(Reports!F18:I18)</f>
        <v>12</v>
      </c>
      <c r="H25" s="37">
        <f>SUM(Reports!J18:M18)</f>
        <v>-13</v>
      </c>
      <c r="I25" s="23">
        <v>0</v>
      </c>
      <c r="J25" s="23">
        <f>J24*0.15</f>
        <v>24.268151124071434</v>
      </c>
      <c r="K25" s="23">
        <f t="shared" ref="K25:W25" si="36">K24*0.15</f>
        <v>99.946673933306144</v>
      </c>
      <c r="L25" s="23">
        <f t="shared" si="36"/>
        <v>206.43685237986256</v>
      </c>
      <c r="M25" s="23">
        <f t="shared" si="36"/>
        <v>339.56601834860106</v>
      </c>
      <c r="N25" s="23">
        <f t="shared" si="36"/>
        <v>478.04962173542424</v>
      </c>
      <c r="O25" s="23">
        <f t="shared" si="36"/>
        <v>647.62524064083902</v>
      </c>
      <c r="P25" s="23">
        <f t="shared" si="36"/>
        <v>855.04597128624039</v>
      </c>
      <c r="Q25" s="23">
        <f t="shared" si="36"/>
        <v>1108.4692209489372</v>
      </c>
      <c r="R25" s="23">
        <f t="shared" si="36"/>
        <v>1417.7447725237967</v>
      </c>
      <c r="S25" s="23">
        <f t="shared" si="36"/>
        <v>1653.1182995406332</v>
      </c>
      <c r="T25" s="23">
        <f t="shared" si="36"/>
        <v>1913.9282076951299</v>
      </c>
      <c r="U25" s="23">
        <f t="shared" si="36"/>
        <v>2202.8937738830932</v>
      </c>
      <c r="V25" s="23">
        <f t="shared" si="36"/>
        <v>2523.0091011641794</v>
      </c>
      <c r="W25" s="23">
        <f t="shared" si="36"/>
        <v>2877.570949265541</v>
      </c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</row>
    <row r="26" spans="1:201" s="2" customFormat="1" x14ac:dyDescent="0.15">
      <c r="A26" s="2" t="s">
        <v>11</v>
      </c>
      <c r="B26" s="23"/>
      <c r="C26" s="23"/>
      <c r="D26" s="23"/>
      <c r="E26" s="23"/>
      <c r="F26" s="24">
        <f>F24-F25</f>
        <v>-579.99199999999996</v>
      </c>
      <c r="G26" s="24">
        <f t="shared" ref="G26:I26" si="37">G24-G25</f>
        <v>-582.81799999999998</v>
      </c>
      <c r="H26" s="24">
        <f>H24-H25</f>
        <v>-419.3135400000001</v>
      </c>
      <c r="I26" s="24">
        <f t="shared" si="37"/>
        <v>-153.02780200262896</v>
      </c>
      <c r="J26" s="24">
        <f t="shared" ref="J26:Q26" si="38">J24-J25</f>
        <v>137.51952303640479</v>
      </c>
      <c r="K26" s="24">
        <f t="shared" si="38"/>
        <v>566.36448562206817</v>
      </c>
      <c r="L26" s="24">
        <f t="shared" si="38"/>
        <v>1169.8088301525545</v>
      </c>
      <c r="M26" s="24">
        <f t="shared" si="38"/>
        <v>1924.2074373087394</v>
      </c>
      <c r="N26" s="24">
        <f t="shared" si="38"/>
        <v>2708.9478565007375</v>
      </c>
      <c r="O26" s="24">
        <f t="shared" si="38"/>
        <v>3669.8763636314211</v>
      </c>
      <c r="P26" s="24">
        <f t="shared" si="38"/>
        <v>4845.2605039553628</v>
      </c>
      <c r="Q26" s="24">
        <f t="shared" si="38"/>
        <v>6281.3255853773117</v>
      </c>
      <c r="R26" s="24">
        <f t="shared" ref="R26" si="39">R24-R25</f>
        <v>8033.8870443015148</v>
      </c>
      <c r="S26" s="24">
        <f t="shared" ref="S26:V26" si="40">S24-S25</f>
        <v>9367.6703640635897</v>
      </c>
      <c r="T26" s="24">
        <f t="shared" si="40"/>
        <v>10845.59317693907</v>
      </c>
      <c r="U26" s="24">
        <f t="shared" si="40"/>
        <v>12483.064718670861</v>
      </c>
      <c r="V26" s="24">
        <f t="shared" si="40"/>
        <v>14297.051573263683</v>
      </c>
      <c r="W26" s="24">
        <f t="shared" ref="W26" si="41">W24-W25</f>
        <v>16306.235379171401</v>
      </c>
      <c r="X26" s="24">
        <f t="shared" ref="X26:BC26" si="42">W26*($F$2+1)</f>
        <v>16469.297732963114</v>
      </c>
      <c r="Y26" s="24">
        <f t="shared" si="42"/>
        <v>16633.990710292746</v>
      </c>
      <c r="Z26" s="24">
        <f t="shared" si="42"/>
        <v>16800.330617395673</v>
      </c>
      <c r="AA26" s="24">
        <f t="shared" si="42"/>
        <v>16968.333923569629</v>
      </c>
      <c r="AB26" s="24">
        <f t="shared" si="42"/>
        <v>17138.017262805326</v>
      </c>
      <c r="AC26" s="24">
        <f t="shared" si="42"/>
        <v>17309.39743543338</v>
      </c>
      <c r="AD26" s="24">
        <f t="shared" si="42"/>
        <v>17482.491409787715</v>
      </c>
      <c r="AE26" s="24">
        <f t="shared" si="42"/>
        <v>17657.316323885592</v>
      </c>
      <c r="AF26" s="24">
        <f t="shared" si="42"/>
        <v>17833.889487124448</v>
      </c>
      <c r="AG26" s="24">
        <f t="shared" si="42"/>
        <v>18012.228381995694</v>
      </c>
      <c r="AH26" s="24">
        <f t="shared" si="42"/>
        <v>18192.350665815651</v>
      </c>
      <c r="AI26" s="24">
        <f t="shared" si="42"/>
        <v>18374.274172473808</v>
      </c>
      <c r="AJ26" s="24">
        <f t="shared" si="42"/>
        <v>18558.016914198546</v>
      </c>
      <c r="AK26" s="24">
        <f t="shared" si="42"/>
        <v>18743.597083340534</v>
      </c>
      <c r="AL26" s="24">
        <f t="shared" si="42"/>
        <v>18931.033054173939</v>
      </c>
      <c r="AM26" s="24">
        <f t="shared" si="42"/>
        <v>19120.343384715678</v>
      </c>
      <c r="AN26" s="24">
        <f t="shared" si="42"/>
        <v>19311.546818562834</v>
      </c>
      <c r="AO26" s="24">
        <f t="shared" si="42"/>
        <v>19504.662286748462</v>
      </c>
      <c r="AP26" s="24">
        <f t="shared" si="42"/>
        <v>19699.708909615947</v>
      </c>
      <c r="AQ26" s="24">
        <f t="shared" si="42"/>
        <v>19896.705998712107</v>
      </c>
      <c r="AR26" s="24">
        <f t="shared" si="42"/>
        <v>20095.673058699227</v>
      </c>
      <c r="AS26" s="24">
        <f t="shared" si="42"/>
        <v>20296.62978928622</v>
      </c>
      <c r="AT26" s="24">
        <f t="shared" si="42"/>
        <v>20499.596087179081</v>
      </c>
      <c r="AU26" s="24">
        <f t="shared" si="42"/>
        <v>20704.592048050872</v>
      </c>
      <c r="AV26" s="24">
        <f t="shared" si="42"/>
        <v>20911.63796853138</v>
      </c>
      <c r="AW26" s="24">
        <f t="shared" si="42"/>
        <v>21120.754348216695</v>
      </c>
      <c r="AX26" s="24">
        <f t="shared" si="42"/>
        <v>21331.961891698862</v>
      </c>
      <c r="AY26" s="24">
        <f t="shared" si="42"/>
        <v>21545.281510615852</v>
      </c>
      <c r="AZ26" s="24">
        <f t="shared" si="42"/>
        <v>21760.734325722013</v>
      </c>
      <c r="BA26" s="24">
        <f t="shared" si="42"/>
        <v>21978.341668979232</v>
      </c>
      <c r="BB26" s="24">
        <f t="shared" si="42"/>
        <v>22198.125085669024</v>
      </c>
      <c r="BC26" s="24">
        <f t="shared" si="42"/>
        <v>22420.106336525714</v>
      </c>
      <c r="BD26" s="24">
        <f t="shared" ref="BD26:CI26" si="43">BC26*($F$2+1)</f>
        <v>22644.307399890971</v>
      </c>
      <c r="BE26" s="24">
        <f t="shared" si="43"/>
        <v>22870.750473889882</v>
      </c>
      <c r="BF26" s="24">
        <f t="shared" si="43"/>
        <v>23099.457978628783</v>
      </c>
      <c r="BG26" s="24">
        <f t="shared" si="43"/>
        <v>23330.452558415072</v>
      </c>
      <c r="BH26" s="24">
        <f t="shared" si="43"/>
        <v>23563.757083999222</v>
      </c>
      <c r="BI26" s="24">
        <f t="shared" si="43"/>
        <v>23799.394654839216</v>
      </c>
      <c r="BJ26" s="24">
        <f t="shared" si="43"/>
        <v>24037.388601387607</v>
      </c>
      <c r="BK26" s="24">
        <f t="shared" si="43"/>
        <v>24277.762487401484</v>
      </c>
      <c r="BL26" s="24">
        <f t="shared" si="43"/>
        <v>24520.540112275499</v>
      </c>
      <c r="BM26" s="24">
        <f t="shared" si="43"/>
        <v>24765.745513398255</v>
      </c>
      <c r="BN26" s="24">
        <f t="shared" si="43"/>
        <v>25013.402968532238</v>
      </c>
      <c r="BO26" s="24">
        <f t="shared" si="43"/>
        <v>25263.536998217562</v>
      </c>
      <c r="BP26" s="24">
        <f t="shared" si="43"/>
        <v>25516.172368199739</v>
      </c>
      <c r="BQ26" s="24">
        <f t="shared" si="43"/>
        <v>25771.334091881738</v>
      </c>
      <c r="BR26" s="24">
        <f t="shared" si="43"/>
        <v>26029.047432800555</v>
      </c>
      <c r="BS26" s="24">
        <f t="shared" si="43"/>
        <v>26289.33790712856</v>
      </c>
      <c r="BT26" s="24">
        <f t="shared" si="43"/>
        <v>26552.231286199847</v>
      </c>
      <c r="BU26" s="24">
        <f t="shared" si="43"/>
        <v>26817.753599061845</v>
      </c>
      <c r="BV26" s="24">
        <f t="shared" si="43"/>
        <v>27085.931135052462</v>
      </c>
      <c r="BW26" s="24">
        <f t="shared" si="43"/>
        <v>27356.790446402985</v>
      </c>
      <c r="BX26" s="24">
        <f t="shared" si="43"/>
        <v>27630.358350867016</v>
      </c>
      <c r="BY26" s="24">
        <f t="shared" si="43"/>
        <v>27906.661934375687</v>
      </c>
      <c r="BZ26" s="24">
        <f t="shared" si="43"/>
        <v>28185.728553719444</v>
      </c>
      <c r="CA26" s="24">
        <f t="shared" si="43"/>
        <v>28467.585839256637</v>
      </c>
      <c r="CB26" s="24">
        <f t="shared" si="43"/>
        <v>28752.261697649203</v>
      </c>
      <c r="CC26" s="24">
        <f t="shared" si="43"/>
        <v>29039.784314625696</v>
      </c>
      <c r="CD26" s="24">
        <f t="shared" si="43"/>
        <v>29330.182157771953</v>
      </c>
      <c r="CE26" s="24">
        <f t="shared" si="43"/>
        <v>29623.483979349672</v>
      </c>
      <c r="CF26" s="24">
        <f t="shared" si="43"/>
        <v>29919.718819143171</v>
      </c>
      <c r="CG26" s="24">
        <f t="shared" si="43"/>
        <v>30218.916007334603</v>
      </c>
      <c r="CH26" s="24">
        <f t="shared" si="43"/>
        <v>30521.10516740795</v>
      </c>
      <c r="CI26" s="24">
        <f t="shared" si="43"/>
        <v>30826.316219082029</v>
      </c>
      <c r="CJ26" s="24">
        <f t="shared" ref="CJ26:DO26" si="44">CI26*($F$2+1)</f>
        <v>31134.579381272852</v>
      </c>
      <c r="CK26" s="24">
        <f t="shared" si="44"/>
        <v>31445.92517508558</v>
      </c>
      <c r="CL26" s="24">
        <f t="shared" si="44"/>
        <v>31760.384426836437</v>
      </c>
      <c r="CM26" s="24">
        <f t="shared" si="44"/>
        <v>32077.988271104801</v>
      </c>
      <c r="CN26" s="24">
        <f t="shared" si="44"/>
        <v>32398.76815381585</v>
      </c>
      <c r="CO26" s="24">
        <f t="shared" si="44"/>
        <v>32722.755835354008</v>
      </c>
      <c r="CP26" s="24">
        <f t="shared" si="44"/>
        <v>33049.983393707545</v>
      </c>
      <c r="CQ26" s="24">
        <f t="shared" si="44"/>
        <v>33380.483227644618</v>
      </c>
      <c r="CR26" s="24">
        <f t="shared" si="44"/>
        <v>33714.288059921062</v>
      </c>
      <c r="CS26" s="24">
        <f t="shared" si="44"/>
        <v>34051.430940520273</v>
      </c>
      <c r="CT26" s="24">
        <f t="shared" si="44"/>
        <v>34391.945249925477</v>
      </c>
      <c r="CU26" s="24">
        <f t="shared" si="44"/>
        <v>34735.864702424733</v>
      </c>
      <c r="CV26" s="24">
        <f t="shared" si="44"/>
        <v>35083.223349448977</v>
      </c>
      <c r="CW26" s="24">
        <f t="shared" si="44"/>
        <v>35434.055582943467</v>
      </c>
      <c r="CX26" s="24">
        <f t="shared" si="44"/>
        <v>35788.3961387729</v>
      </c>
      <c r="CY26" s="24">
        <f t="shared" si="44"/>
        <v>36146.280100160628</v>
      </c>
      <c r="CZ26" s="24">
        <f t="shared" si="44"/>
        <v>36507.742901162237</v>
      </c>
      <c r="DA26" s="24">
        <f t="shared" si="44"/>
        <v>36872.820330173861</v>
      </c>
      <c r="DB26" s="24">
        <f t="shared" si="44"/>
        <v>37241.548533475601</v>
      </c>
      <c r="DC26" s="24">
        <f t="shared" si="44"/>
        <v>37613.964018810359</v>
      </c>
      <c r="DD26" s="24">
        <f t="shared" si="44"/>
        <v>37990.103658998465</v>
      </c>
      <c r="DE26" s="24">
        <f t="shared" si="44"/>
        <v>38370.004695588454</v>
      </c>
      <c r="DF26" s="24">
        <f t="shared" si="44"/>
        <v>38753.704742544338</v>
      </c>
      <c r="DG26" s="24">
        <f t="shared" si="44"/>
        <v>39141.241789969783</v>
      </c>
      <c r="DH26" s="24">
        <f t="shared" si="44"/>
        <v>39532.654207869484</v>
      </c>
      <c r="DI26" s="24">
        <f t="shared" si="44"/>
        <v>39927.980749948176</v>
      </c>
      <c r="DJ26" s="24">
        <f t="shared" si="44"/>
        <v>40327.260557447655</v>
      </c>
      <c r="DK26" s="24">
        <f t="shared" si="44"/>
        <v>40730.533163022134</v>
      </c>
      <c r="DL26" s="24">
        <f t="shared" si="44"/>
        <v>41137.838494652358</v>
      </c>
      <c r="DM26" s="24">
        <f t="shared" si="44"/>
        <v>41549.216879598884</v>
      </c>
      <c r="DN26" s="24">
        <f t="shared" si="44"/>
        <v>41964.70904839487</v>
      </c>
      <c r="DO26" s="24">
        <f t="shared" si="44"/>
        <v>42384.356138878822</v>
      </c>
      <c r="DP26" s="24">
        <f t="shared" ref="DP26:EU26" si="45">DO26*($F$2+1)</f>
        <v>42808.199700267607</v>
      </c>
      <c r="DQ26" s="24">
        <f t="shared" si="45"/>
        <v>43236.281697270286</v>
      </c>
      <c r="DR26" s="24">
        <f t="shared" si="45"/>
        <v>43668.644514242987</v>
      </c>
      <c r="DS26" s="24">
        <f t="shared" si="45"/>
        <v>44105.330959385421</v>
      </c>
      <c r="DT26" s="24">
        <f t="shared" si="45"/>
        <v>44546.384268979273</v>
      </c>
      <c r="DU26" s="24">
        <f t="shared" si="45"/>
        <v>44991.848111669067</v>
      </c>
      <c r="DV26" s="24">
        <f t="shared" si="45"/>
        <v>45441.76659278576</v>
      </c>
      <c r="DW26" s="24">
        <f t="shared" si="45"/>
        <v>45896.18425871362</v>
      </c>
      <c r="DX26" s="24">
        <f t="shared" si="45"/>
        <v>46355.146101300757</v>
      </c>
      <c r="DY26" s="24">
        <f t="shared" si="45"/>
        <v>46818.697562313762</v>
      </c>
      <c r="DZ26" s="24">
        <f t="shared" si="45"/>
        <v>47286.884537936901</v>
      </c>
      <c r="EA26" s="24">
        <f t="shared" si="45"/>
        <v>47759.753383316274</v>
      </c>
      <c r="EB26" s="24">
        <f t="shared" si="45"/>
        <v>48237.350917149437</v>
      </c>
      <c r="EC26" s="24">
        <f t="shared" si="45"/>
        <v>48719.724426320929</v>
      </c>
      <c r="ED26" s="24">
        <f t="shared" si="45"/>
        <v>49206.921670584139</v>
      </c>
      <c r="EE26" s="24">
        <f t="shared" si="45"/>
        <v>49698.990887289983</v>
      </c>
      <c r="EF26" s="24">
        <f t="shared" si="45"/>
        <v>50195.980796162883</v>
      </c>
      <c r="EG26" s="24">
        <f t="shared" si="45"/>
        <v>50697.940604124509</v>
      </c>
      <c r="EH26" s="24">
        <f t="shared" si="45"/>
        <v>51204.920010165755</v>
      </c>
      <c r="EI26" s="24">
        <f t="shared" si="45"/>
        <v>51716.969210267416</v>
      </c>
      <c r="EJ26" s="24">
        <f t="shared" si="45"/>
        <v>52234.13890237009</v>
      </c>
      <c r="EK26" s="24">
        <f t="shared" si="45"/>
        <v>52756.480291393789</v>
      </c>
      <c r="EL26" s="24">
        <f t="shared" si="45"/>
        <v>53284.04509430773</v>
      </c>
      <c r="EM26" s="24">
        <f t="shared" si="45"/>
        <v>53816.885545250807</v>
      </c>
      <c r="EN26" s="24">
        <f t="shared" si="45"/>
        <v>54355.054400703317</v>
      </c>
      <c r="EO26" s="24">
        <f t="shared" si="45"/>
        <v>54898.604944710351</v>
      </c>
      <c r="EP26" s="24">
        <f t="shared" si="45"/>
        <v>55447.590994157457</v>
      </c>
      <c r="EQ26" s="24">
        <f t="shared" si="45"/>
        <v>56002.066904099032</v>
      </c>
      <c r="ER26" s="24">
        <f t="shared" si="45"/>
        <v>56562.087573140023</v>
      </c>
      <c r="ES26" s="24">
        <f t="shared" si="45"/>
        <v>57127.708448871424</v>
      </c>
      <c r="ET26" s="24">
        <f t="shared" si="45"/>
        <v>57698.985533360137</v>
      </c>
      <c r="EU26" s="24">
        <f t="shared" si="45"/>
        <v>58275.97538869374</v>
      </c>
      <c r="EV26" s="24">
        <f t="shared" ref="EV26:GA26" si="46">EU26*($F$2+1)</f>
        <v>58858.735142580677</v>
      </c>
      <c r="EW26" s="24">
        <f t="shared" si="46"/>
        <v>59447.322494006483</v>
      </c>
      <c r="EX26" s="24">
        <f t="shared" si="46"/>
        <v>60041.795718946545</v>
      </c>
      <c r="EY26" s="24">
        <f t="shared" si="46"/>
        <v>60642.213676136009</v>
      </c>
      <c r="EZ26" s="24">
        <f t="shared" si="46"/>
        <v>61248.635812897366</v>
      </c>
      <c r="FA26" s="24">
        <f t="shared" si="46"/>
        <v>61861.122171026342</v>
      </c>
      <c r="FB26" s="24">
        <f t="shared" si="46"/>
        <v>62479.733392736605</v>
      </c>
      <c r="FC26" s="24">
        <f t="shared" si="46"/>
        <v>63104.530726663972</v>
      </c>
      <c r="FD26" s="24">
        <f t="shared" si="46"/>
        <v>63735.576033930614</v>
      </c>
      <c r="FE26" s="24">
        <f t="shared" si="46"/>
        <v>64372.93179426992</v>
      </c>
      <c r="FF26" s="24">
        <f t="shared" si="46"/>
        <v>65016.66111221262</v>
      </c>
      <c r="FG26" s="24">
        <f t="shared" si="46"/>
        <v>65666.827723334747</v>
      </c>
      <c r="FH26" s="24">
        <f t="shared" si="46"/>
        <v>66323.496000568091</v>
      </c>
      <c r="FI26" s="24">
        <f t="shared" si="46"/>
        <v>66986.730960573768</v>
      </c>
      <c r="FJ26" s="24">
        <f t="shared" si="46"/>
        <v>67656.5982701795</v>
      </c>
      <c r="FK26" s="24">
        <f t="shared" si="46"/>
        <v>68333.164252881295</v>
      </c>
      <c r="FL26" s="24">
        <f t="shared" si="46"/>
        <v>69016.495895410102</v>
      </c>
      <c r="FM26" s="24">
        <f t="shared" si="46"/>
        <v>69706.660854364207</v>
      </c>
      <c r="FN26" s="24">
        <f t="shared" si="46"/>
        <v>70403.727462907846</v>
      </c>
      <c r="FO26" s="24">
        <f t="shared" si="46"/>
        <v>71107.764737536927</v>
      </c>
      <c r="FP26" s="24">
        <f t="shared" si="46"/>
        <v>71818.842384912292</v>
      </c>
      <c r="FQ26" s="24">
        <f t="shared" si="46"/>
        <v>72537.03080876141</v>
      </c>
      <c r="FR26" s="24">
        <f t="shared" si="46"/>
        <v>73262.401116849025</v>
      </c>
      <c r="FS26" s="24">
        <f t="shared" si="46"/>
        <v>73995.025128017514</v>
      </c>
      <c r="FT26" s="24">
        <f t="shared" si="46"/>
        <v>74734.975379297684</v>
      </c>
      <c r="FU26" s="24">
        <f t="shared" si="46"/>
        <v>75482.325133090664</v>
      </c>
      <c r="FV26" s="24">
        <f t="shared" si="46"/>
        <v>76237.148384421569</v>
      </c>
      <c r="FW26" s="24">
        <f t="shared" si="46"/>
        <v>76999.519868265779</v>
      </c>
      <c r="FX26" s="24">
        <f t="shared" si="46"/>
        <v>77769.515066948443</v>
      </c>
      <c r="FY26" s="24">
        <f t="shared" si="46"/>
        <v>78547.210217617932</v>
      </c>
      <c r="FZ26" s="24">
        <f t="shared" si="46"/>
        <v>79332.682319794112</v>
      </c>
      <c r="GA26" s="24">
        <f t="shared" si="46"/>
        <v>80126.009142992058</v>
      </c>
      <c r="GB26" s="24">
        <f t="shared" ref="GB26:GS26" si="47">GA26*($F$2+1)</f>
        <v>80927.269234421983</v>
      </c>
      <c r="GC26" s="24">
        <f t="shared" si="47"/>
        <v>81736.541926766207</v>
      </c>
      <c r="GD26" s="24">
        <f t="shared" si="47"/>
        <v>82553.90734603387</v>
      </c>
      <c r="GE26" s="24">
        <f t="shared" si="47"/>
        <v>83379.446419494212</v>
      </c>
      <c r="GF26" s="24">
        <f t="shared" si="47"/>
        <v>84213.240883689155</v>
      </c>
      <c r="GG26" s="24">
        <f t="shared" si="47"/>
        <v>85055.373292526041</v>
      </c>
      <c r="GH26" s="24">
        <f t="shared" si="47"/>
        <v>85905.927025451296</v>
      </c>
      <c r="GI26" s="24">
        <f t="shared" si="47"/>
        <v>86764.986295705807</v>
      </c>
      <c r="GJ26" s="24">
        <f t="shared" si="47"/>
        <v>87632.636158662863</v>
      </c>
      <c r="GK26" s="24">
        <f t="shared" si="47"/>
        <v>88508.962520249494</v>
      </c>
      <c r="GL26" s="24">
        <f t="shared" si="47"/>
        <v>89394.052145451991</v>
      </c>
      <c r="GM26" s="24">
        <f t="shared" si="47"/>
        <v>90287.992666906517</v>
      </c>
      <c r="GN26" s="24">
        <f t="shared" si="47"/>
        <v>91190.872593575579</v>
      </c>
      <c r="GO26" s="24">
        <f t="shared" si="47"/>
        <v>92102.781319511341</v>
      </c>
      <c r="GP26" s="24">
        <f t="shared" si="47"/>
        <v>93023.809132706461</v>
      </c>
      <c r="GQ26" s="24">
        <f t="shared" si="47"/>
        <v>93954.047224033522</v>
      </c>
      <c r="GR26" s="24">
        <f t="shared" si="47"/>
        <v>94893.587696273855</v>
      </c>
      <c r="GS26" s="24">
        <f t="shared" si="47"/>
        <v>95842.523573236598</v>
      </c>
    </row>
    <row r="27" spans="1:201" x14ac:dyDescent="0.15">
      <c r="A27" s="3" t="s">
        <v>12</v>
      </c>
      <c r="B27" s="46"/>
      <c r="C27" s="46"/>
      <c r="D27" s="46"/>
      <c r="E27" s="46"/>
      <c r="F27" s="28">
        <f t="shared" ref="F27:H27" si="48">F26/F28</f>
        <v>-1.0661335572421149</v>
      </c>
      <c r="G27" s="28">
        <f t="shared" si="48"/>
        <v>-1.0101557380481536</v>
      </c>
      <c r="H27" s="46">
        <f t="shared" si="48"/>
        <v>-0.23777160745317896</v>
      </c>
      <c r="I27" s="46">
        <f t="shared" ref="I27" si="49">I26/I28</f>
        <v>-8.6774365710184029E-2</v>
      </c>
      <c r="J27" s="46">
        <f t="shared" ref="J27:Q27" si="50">J26/J28</f>
        <v>7.7980401130286509E-2</v>
      </c>
      <c r="K27" s="46">
        <f t="shared" si="50"/>
        <v>0.3211567986827995</v>
      </c>
      <c r="L27" s="46">
        <f t="shared" si="50"/>
        <v>0.66333971938586966</v>
      </c>
      <c r="M27" s="46">
        <f t="shared" si="50"/>
        <v>1.0911212059650184</v>
      </c>
      <c r="N27" s="46">
        <f t="shared" si="50"/>
        <v>1.5361080072611626</v>
      </c>
      <c r="O27" s="46">
        <f t="shared" si="50"/>
        <v>2.0810022069286624</v>
      </c>
      <c r="P27" s="46">
        <f t="shared" si="50"/>
        <v>2.7475034041468498</v>
      </c>
      <c r="Q27" s="46">
        <f t="shared" si="50"/>
        <v>3.5618236448361373</v>
      </c>
      <c r="R27" s="46">
        <f t="shared" ref="R27" si="51">R26/R28</f>
        <v>4.555613054185752</v>
      </c>
      <c r="S27" s="46">
        <f t="shared" ref="S27:V27" si="52">S26/S28</f>
        <v>5.3119344549544127</v>
      </c>
      <c r="T27" s="46">
        <f t="shared" si="52"/>
        <v>6.1499901087478168</v>
      </c>
      <c r="U27" s="46">
        <f t="shared" si="52"/>
        <v>7.0785178177180619</v>
      </c>
      <c r="V27" s="46">
        <f t="shared" si="52"/>
        <v>8.1071384778462114</v>
      </c>
      <c r="W27" s="46">
        <f t="shared" ref="W27" si="53">W26/W28</f>
        <v>9.2464455061848962</v>
      </c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</row>
    <row r="28" spans="1:201" s="16" customFormat="1" x14ac:dyDescent="0.15">
      <c r="A28" s="16" t="s">
        <v>13</v>
      </c>
      <c r="B28" s="23"/>
      <c r="C28" s="23"/>
      <c r="D28" s="23"/>
      <c r="E28" s="23"/>
      <c r="F28" s="23">
        <v>544.01439300000004</v>
      </c>
      <c r="G28" s="23">
        <v>576.95856000000003</v>
      </c>
      <c r="H28" s="23">
        <f>Reports!M21</f>
        <v>1763.5139220000001</v>
      </c>
      <c r="I28" s="23">
        <f t="shared" ref="I28" si="54">H28</f>
        <v>1763.5139220000001</v>
      </c>
      <c r="J28" s="23">
        <f t="shared" ref="J28" si="55">I28</f>
        <v>1763.5139220000001</v>
      </c>
      <c r="K28" s="23">
        <f t="shared" ref="K28" si="56">J28</f>
        <v>1763.5139220000001</v>
      </c>
      <c r="L28" s="23">
        <f t="shared" ref="L28" si="57">K28</f>
        <v>1763.5139220000001</v>
      </c>
      <c r="M28" s="23">
        <f t="shared" ref="M28" si="58">L28</f>
        <v>1763.5139220000001</v>
      </c>
      <c r="N28" s="23">
        <f t="shared" ref="N28" si="59">M28</f>
        <v>1763.5139220000001</v>
      </c>
      <c r="O28" s="23">
        <f t="shared" ref="O28" si="60">N28</f>
        <v>1763.5139220000001</v>
      </c>
      <c r="P28" s="23">
        <f t="shared" ref="P28" si="61">O28</f>
        <v>1763.5139220000001</v>
      </c>
      <c r="Q28" s="23">
        <f t="shared" ref="Q28:W28" si="62">P28</f>
        <v>1763.5139220000001</v>
      </c>
      <c r="R28" s="23">
        <f t="shared" si="62"/>
        <v>1763.5139220000001</v>
      </c>
      <c r="S28" s="23">
        <f t="shared" si="62"/>
        <v>1763.5139220000001</v>
      </c>
      <c r="T28" s="23">
        <f t="shared" si="62"/>
        <v>1763.5139220000001</v>
      </c>
      <c r="U28" s="23">
        <f t="shared" si="62"/>
        <v>1763.5139220000001</v>
      </c>
      <c r="V28" s="23">
        <f t="shared" si="62"/>
        <v>1763.5139220000001</v>
      </c>
      <c r="W28" s="23">
        <f t="shared" si="62"/>
        <v>1763.5139220000001</v>
      </c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</row>
    <row r="29" spans="1:201" x14ac:dyDescent="0.1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</row>
    <row r="30" spans="1:201" x14ac:dyDescent="0.15">
      <c r="A30" s="3" t="s">
        <v>15</v>
      </c>
      <c r="B30" s="33"/>
      <c r="C30" s="33"/>
      <c r="D30" s="33"/>
      <c r="E30" s="33"/>
      <c r="F30" s="33">
        <f>IFERROR(F17/F15,0)</f>
        <v>0.72220608019025578</v>
      </c>
      <c r="G30" s="33">
        <f>IFERROR(G17/G15,0)</f>
        <v>0.67359589525355024</v>
      </c>
      <c r="H30" s="33">
        <f>IFERROR(H17/H15,0)</f>
        <v>0.76371106451792992</v>
      </c>
      <c r="I30" s="33">
        <f>IFERROR(I17/I15,0)</f>
        <v>0.77371106451792993</v>
      </c>
      <c r="J30" s="33">
        <f>IFERROR(J17/J15,0)</f>
        <v>0.78371106451792993</v>
      </c>
      <c r="K30" s="33">
        <f>IFERROR(K17/K15,0)</f>
        <v>0.79371106451792994</v>
      </c>
      <c r="L30" s="33">
        <f>IFERROR(L17/L15,0)</f>
        <v>0.80371106451792995</v>
      </c>
      <c r="M30" s="33">
        <f>IFERROR(M17/M15,0)</f>
        <v>0.81371106451793007</v>
      </c>
      <c r="N30" s="33">
        <f>IFERROR(N17/N15,0)</f>
        <v>0.81371106451793007</v>
      </c>
      <c r="O30" s="33">
        <f>IFERROR(O17/O15,0)</f>
        <v>0.81371106451793007</v>
      </c>
      <c r="P30" s="33">
        <f>IFERROR(P17/P15,0)</f>
        <v>0.81371106451792996</v>
      </c>
      <c r="Q30" s="33">
        <f>IFERROR(Q17/Q15,0)</f>
        <v>0.81371106451793007</v>
      </c>
      <c r="R30" s="33">
        <f>IFERROR(R17/R15,0)</f>
        <v>0.81371106451793007</v>
      </c>
      <c r="S30" s="33">
        <f>IFERROR(S17/S15,0)</f>
        <v>0.81371106451793007</v>
      </c>
      <c r="T30" s="33">
        <f>IFERROR(T17/T15,0)</f>
        <v>0.81371106451793007</v>
      </c>
      <c r="U30" s="33">
        <f>IFERROR(U17/U15,0)</f>
        <v>0.81371106451793018</v>
      </c>
      <c r="V30" s="33">
        <f>IFERROR(V17/V15,0)</f>
        <v>0.81371106451793007</v>
      </c>
      <c r="W30" s="33">
        <f>IFERROR(W17/W15,0)</f>
        <v>0.81371106451792996</v>
      </c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</row>
    <row r="31" spans="1:201" x14ac:dyDescent="0.15">
      <c r="A31" s="3" t="s">
        <v>16</v>
      </c>
      <c r="B31" s="35"/>
      <c r="C31" s="35"/>
      <c r="D31" s="35"/>
      <c r="E31" s="35"/>
      <c r="F31" s="35">
        <f>IFERROR(F22/F15,0)</f>
        <v>-1.0463261388390166</v>
      </c>
      <c r="G31" s="35">
        <f>IFERROR(G22/G15,0)</f>
        <v>-0.77814841998235817</v>
      </c>
      <c r="H31" s="35">
        <f>IFERROR(H22/H15,0)</f>
        <v>-0.38924137413480531</v>
      </c>
      <c r="I31" s="35">
        <f>IFERROR(I22/I15,0)</f>
        <v>-0.15297362829096472</v>
      </c>
      <c r="J31" s="35">
        <f>IFERROR(J22/J15,0)</f>
        <v>3.2883040916267647E-2</v>
      </c>
      <c r="K31" s="35">
        <f>IFERROR(K22/K15,0)</f>
        <v>0.17206767072704768</v>
      </c>
      <c r="L31" s="35">
        <f>IFERROR(L22/L15,0)</f>
        <v>0.27212691070986356</v>
      </c>
      <c r="M31" s="35">
        <f>IFERROR(M22/M15,0)</f>
        <v>0.34022295660887336</v>
      </c>
      <c r="N31" s="35">
        <f>IFERROR(N22/N15,0)</f>
        <v>0.39596382188578449</v>
      </c>
      <c r="O31" s="35">
        <f>IFERROR(O22/O15,0)</f>
        <v>0.44271370528880588</v>
      </c>
      <c r="P31" s="35">
        <f>IFERROR(P22/P15,0)</f>
        <v>0.48216698272368075</v>
      </c>
      <c r="Q31" s="35">
        <f>IFERROR(Q22/Q15,0)</f>
        <v>0.51567827516112019</v>
      </c>
      <c r="R31" s="35">
        <f>IFERROR(R22/R15,0)</f>
        <v>0.54433219655273324</v>
      </c>
      <c r="S31" s="35">
        <f>IFERROR(S22/S15,0)</f>
        <v>0.56443820618809715</v>
      </c>
      <c r="T31" s="35">
        <f>IFERROR(T22/T15,0)</f>
        <v>0.58196535380870684</v>
      </c>
      <c r="U31" s="35">
        <f>IFERROR(U22/U15,0)</f>
        <v>0.59724753515418683</v>
      </c>
      <c r="V31" s="35">
        <f>IFERROR(V22/V15,0)</f>
        <v>0.6105750529737457</v>
      </c>
      <c r="W31" s="35">
        <f>IFERROR(W22/W15,0)</f>
        <v>0.62220035007976338</v>
      </c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</row>
    <row r="32" spans="1:201" x14ac:dyDescent="0.15">
      <c r="A32" s="3" t="s">
        <v>17</v>
      </c>
      <c r="B32" s="35"/>
      <c r="C32" s="35"/>
      <c r="D32" s="35"/>
      <c r="E32" s="35"/>
      <c r="F32" s="35">
        <f>IFERROR(F25/F24,0)</f>
        <v>-1.5762042200240984E-2</v>
      </c>
      <c r="G32" s="35">
        <f t="shared" ref="G32:Q32" si="63">IFERROR(G25/G24,0)</f>
        <v>-2.1022462501182514E-2</v>
      </c>
      <c r="H32" s="35">
        <f t="shared" si="63"/>
        <v>3.0070767619260773E-2</v>
      </c>
      <c r="I32" s="35">
        <f t="shared" si="63"/>
        <v>0</v>
      </c>
      <c r="J32" s="35">
        <f t="shared" si="63"/>
        <v>0.15</v>
      </c>
      <c r="K32" s="35">
        <f t="shared" si="63"/>
        <v>0.15</v>
      </c>
      <c r="L32" s="35">
        <f t="shared" si="63"/>
        <v>0.15</v>
      </c>
      <c r="M32" s="35">
        <f t="shared" si="63"/>
        <v>0.15</v>
      </c>
      <c r="N32" s="35">
        <f t="shared" si="63"/>
        <v>0.15</v>
      </c>
      <c r="O32" s="35">
        <f t="shared" si="63"/>
        <v>0.15</v>
      </c>
      <c r="P32" s="35">
        <f t="shared" si="63"/>
        <v>0.15</v>
      </c>
      <c r="Q32" s="35">
        <f t="shared" si="63"/>
        <v>0.15</v>
      </c>
      <c r="R32" s="35">
        <f t="shared" ref="R32" si="64">IFERROR(R25/R24,0)</f>
        <v>0.15</v>
      </c>
      <c r="S32" s="35">
        <f t="shared" ref="S32:V32" si="65">IFERROR(S25/S24,0)</f>
        <v>0.15</v>
      </c>
      <c r="T32" s="35">
        <f t="shared" si="65"/>
        <v>0.15</v>
      </c>
      <c r="U32" s="35">
        <f t="shared" si="65"/>
        <v>0.15</v>
      </c>
      <c r="V32" s="35">
        <f t="shared" si="65"/>
        <v>0.15</v>
      </c>
      <c r="W32" s="35">
        <f t="shared" ref="W32" si="66">IFERROR(W25/W24,0)</f>
        <v>0.15</v>
      </c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</row>
    <row r="33" spans="1:118" s="5" customFormat="1" x14ac:dyDescent="0.15">
      <c r="B33" s="71"/>
      <c r="C33" s="71"/>
      <c r="D33" s="71"/>
      <c r="E33" s="71"/>
      <c r="F33" s="71"/>
      <c r="G33" s="71"/>
      <c r="H33" s="71">
        <v>0.44</v>
      </c>
      <c r="I33" s="71" t="s">
        <v>98</v>
      </c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</row>
    <row r="34" spans="1:118" x14ac:dyDescent="0.15">
      <c r="A34" s="2" t="s">
        <v>14</v>
      </c>
      <c r="B34" s="35"/>
      <c r="C34" s="47">
        <f>C15/B15-1</f>
        <v>0.54893617021276597</v>
      </c>
      <c r="D34" s="47">
        <f>D15/C15-1</f>
        <v>0.28021978021978011</v>
      </c>
      <c r="E34" s="47">
        <f>E15/D15-1</f>
        <v>0.10515021459227469</v>
      </c>
      <c r="F34" s="47">
        <f>F15/E15-1</f>
        <v>0.15613398058252415</v>
      </c>
      <c r="G34" s="47">
        <f>G15/F15-1</f>
        <v>0.24713432279323966</v>
      </c>
      <c r="H34" s="47">
        <f>H15/G15-1</f>
        <v>0.47150446768252841</v>
      </c>
      <c r="I34" s="47">
        <f>I15/H15-1</f>
        <v>0.46890563417560482</v>
      </c>
      <c r="J34" s="47">
        <f>J15/I15-1</f>
        <v>0.45777607668334586</v>
      </c>
      <c r="K34" s="47">
        <f>K15/J15-1</f>
        <v>0.42718826665573451</v>
      </c>
      <c r="L34" s="47">
        <f>L15/K15-1</f>
        <v>0.38239481698627786</v>
      </c>
      <c r="M34" s="47">
        <f>M15/L15-1</f>
        <v>0.32771292980473476</v>
      </c>
      <c r="N34" s="47">
        <f>N15/M15-1</f>
        <v>0.19999999999999996</v>
      </c>
      <c r="O34" s="47">
        <f>O15/N15-1</f>
        <v>0.19999999999999996</v>
      </c>
      <c r="P34" s="47">
        <f>P15/O15-1</f>
        <v>0.19999999999999996</v>
      </c>
      <c r="Q34" s="47">
        <f>Q15/P15-1</f>
        <v>0.19999999999999996</v>
      </c>
      <c r="R34" s="47">
        <f>R15/Q15-1</f>
        <v>0.19999999999999996</v>
      </c>
      <c r="S34" s="47">
        <f>S15/R15-1</f>
        <v>0.10000000000000009</v>
      </c>
      <c r="T34" s="47">
        <f>T15/S15-1</f>
        <v>0.10000000000000009</v>
      </c>
      <c r="U34" s="47">
        <f>U15/T15-1</f>
        <v>0.10000000000000009</v>
      </c>
      <c r="V34" s="47">
        <f>V15/U15-1</f>
        <v>0.10000000000000009</v>
      </c>
      <c r="W34" s="47">
        <f>W15/V15-1</f>
        <v>0.10000000000000009</v>
      </c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</row>
    <row r="35" spans="1:118" x14ac:dyDescent="0.15">
      <c r="A35" s="3" t="s">
        <v>30</v>
      </c>
      <c r="B35" s="35"/>
      <c r="C35" s="35"/>
      <c r="D35" s="35"/>
      <c r="E35" s="35"/>
      <c r="F35" s="35"/>
      <c r="G35" s="35">
        <f>G18/F18-1</f>
        <v>7.3684210526315796E-2</v>
      </c>
      <c r="H35" s="35">
        <f>H18/G18-1</f>
        <v>0.10522875816993471</v>
      </c>
      <c r="I35" s="35">
        <f>I18/H18-1</f>
        <v>0.19999999999999996</v>
      </c>
      <c r="J35" s="35">
        <f>J18/I18-1</f>
        <v>0.19999999999999996</v>
      </c>
      <c r="K35" s="35">
        <f>K18/J18-1</f>
        <v>0.19999999999999996</v>
      </c>
      <c r="L35" s="35">
        <f>L18/K18-1</f>
        <v>0.19999999999999996</v>
      </c>
      <c r="M35" s="35">
        <f>M18/L18-1</f>
        <v>0.19999999999999996</v>
      </c>
      <c r="N35" s="35">
        <f>N18/M18-1</f>
        <v>0.14999999999999991</v>
      </c>
      <c r="O35" s="35">
        <f>O18/N18-1</f>
        <v>0.14999999999999991</v>
      </c>
      <c r="P35" s="35">
        <f>P18/O18-1</f>
        <v>0.14999999999999991</v>
      </c>
      <c r="Q35" s="35">
        <f>Q18/P18-1</f>
        <v>0.14999999999999991</v>
      </c>
      <c r="R35" s="35">
        <f>R18/Q18-1</f>
        <v>0.14999999999999991</v>
      </c>
      <c r="S35" s="35">
        <f>S18/R18-1</f>
        <v>0.10000000000000009</v>
      </c>
      <c r="T35" s="35">
        <f>T18/S18-1</f>
        <v>0.10000000000000009</v>
      </c>
      <c r="U35" s="35">
        <f>U18/T18-1</f>
        <v>0.10000000000000009</v>
      </c>
      <c r="V35" s="35">
        <f>V18/U18-1</f>
        <v>0.10000000000000009</v>
      </c>
      <c r="W35" s="35">
        <f>W18/V18-1</f>
        <v>0.10000000000000009</v>
      </c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</row>
    <row r="36" spans="1:118" x14ac:dyDescent="0.15">
      <c r="A36" s="3" t="s">
        <v>31</v>
      </c>
      <c r="B36" s="35"/>
      <c r="C36" s="35"/>
      <c r="D36" s="35"/>
      <c r="E36" s="35"/>
      <c r="F36" s="35"/>
      <c r="G36" s="35">
        <f>G19/F19-1</f>
        <v>-2.3809523809523836E-2</v>
      </c>
      <c r="H36" s="35">
        <f>H19/G19-1</f>
        <v>8.2039911308203983E-2</v>
      </c>
      <c r="I36" s="35">
        <f>I19/H19-1</f>
        <v>0.14999999999999991</v>
      </c>
      <c r="J36" s="35">
        <f>J19/I19-1</f>
        <v>0.14999999999999991</v>
      </c>
      <c r="K36" s="35">
        <f>K19/J19-1</f>
        <v>0.14999999999999991</v>
      </c>
      <c r="L36" s="35">
        <f>L19/K19-1</f>
        <v>0.14999999999999991</v>
      </c>
      <c r="M36" s="35">
        <f>M19/L19-1</f>
        <v>0.14999999999999991</v>
      </c>
      <c r="N36" s="35">
        <f>N19/M19-1</f>
        <v>0.10000000000000009</v>
      </c>
      <c r="O36" s="35">
        <f>O19/N19-1</f>
        <v>0.10000000000000009</v>
      </c>
      <c r="P36" s="35">
        <f>P19/O19-1</f>
        <v>0.10000000000000009</v>
      </c>
      <c r="Q36" s="35">
        <f>Q19/P19-1</f>
        <v>0.10000000000000009</v>
      </c>
      <c r="R36" s="35">
        <f>R19/Q19-1</f>
        <v>0.10000000000000009</v>
      </c>
      <c r="S36" s="35">
        <f>S19/R19-1</f>
        <v>-5.0000000000000044E-2</v>
      </c>
      <c r="T36" s="35">
        <f>T19/S19-1</f>
        <v>-5.0000000000000044E-2</v>
      </c>
      <c r="U36" s="35">
        <f>U19/T19-1</f>
        <v>-5.0000000000000044E-2</v>
      </c>
      <c r="V36" s="35">
        <f>V19/U19-1</f>
        <v>-5.0000000000000044E-2</v>
      </c>
      <c r="W36" s="35">
        <f>W19/V19-1</f>
        <v>-5.0000000000000044E-2</v>
      </c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</row>
    <row r="37" spans="1:118" x14ac:dyDescent="0.15">
      <c r="A37" s="3" t="s">
        <v>32</v>
      </c>
      <c r="B37" s="35"/>
      <c r="C37" s="35"/>
      <c r="D37" s="35"/>
      <c r="E37" s="35"/>
      <c r="F37" s="35"/>
      <c r="G37" s="35">
        <f>G20/F20-1</f>
        <v>4.9019607843137303E-2</v>
      </c>
      <c r="H37" s="35">
        <f>H20/G20-1</f>
        <v>0.35077881619937701</v>
      </c>
      <c r="I37" s="35">
        <f>I20/H20-1</f>
        <v>0.19999999999999996</v>
      </c>
      <c r="J37" s="35">
        <f>J20/I20-1</f>
        <v>0.19999999999999996</v>
      </c>
      <c r="K37" s="35">
        <f>K20/J20-1</f>
        <v>0.19999999999999996</v>
      </c>
      <c r="L37" s="35">
        <f>L20/K20-1</f>
        <v>0.19999999999999996</v>
      </c>
      <c r="M37" s="35">
        <f>M20/L20-1</f>
        <v>0.19999999999999996</v>
      </c>
      <c r="N37" s="35">
        <f>N20/M20-1</f>
        <v>-5.0000000000000155E-2</v>
      </c>
      <c r="O37" s="35">
        <f>O20/N20-1</f>
        <v>-5.0000000000000044E-2</v>
      </c>
      <c r="P37" s="35">
        <f>P20/O20-1</f>
        <v>-5.0000000000000044E-2</v>
      </c>
      <c r="Q37" s="35">
        <f>Q20/P20-1</f>
        <v>-5.0000000000000044E-2</v>
      </c>
      <c r="R37" s="35">
        <f>R20/Q20-1</f>
        <v>-5.0000000000000044E-2</v>
      </c>
      <c r="S37" s="35">
        <f>S20/R20-1</f>
        <v>-2.0000000000000018E-2</v>
      </c>
      <c r="T37" s="35">
        <f>T20/S20-1</f>
        <v>-2.0000000000000018E-2</v>
      </c>
      <c r="U37" s="35">
        <f>U20/T20-1</f>
        <v>-1.9999999999999907E-2</v>
      </c>
      <c r="V37" s="35">
        <f>V20/U20-1</f>
        <v>-2.0000000000000018E-2</v>
      </c>
      <c r="W37" s="35">
        <f>W20/V20-1</f>
        <v>-2.0000000000000018E-2</v>
      </c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</row>
    <row r="38" spans="1:118" x14ac:dyDescent="0.15">
      <c r="A38" s="6" t="s">
        <v>58</v>
      </c>
      <c r="B38" s="44"/>
      <c r="C38" s="44"/>
      <c r="D38" s="44"/>
      <c r="E38" s="44"/>
      <c r="F38" s="44"/>
      <c r="G38" s="44">
        <f t="shared" ref="G38:W38" si="67">G21/F21-1</f>
        <v>2.3741690408357163E-2</v>
      </c>
      <c r="H38" s="44">
        <f t="shared" si="67"/>
        <v>0.16864564007421157</v>
      </c>
      <c r="I38" s="44">
        <f t="shared" si="67"/>
        <v>0.18063184632481333</v>
      </c>
      <c r="J38" s="44">
        <f t="shared" si="67"/>
        <v>0.18113435886402729</v>
      </c>
      <c r="K38" s="44">
        <f t="shared" si="67"/>
        <v>0.18163165168843753</v>
      </c>
      <c r="L38" s="44">
        <f t="shared" si="67"/>
        <v>0.18212336261633366</v>
      </c>
      <c r="M38" s="44">
        <f>M21/L21-1</f>
        <v>0.182609147537939</v>
      </c>
      <c r="N38" s="44">
        <f t="shared" si="67"/>
        <v>5.8731323522193346E-2</v>
      </c>
      <c r="O38" s="44">
        <f t="shared" si="67"/>
        <v>6.5708604729139308E-2</v>
      </c>
      <c r="P38" s="44">
        <f t="shared" si="67"/>
        <v>7.2387412621417457E-2</v>
      </c>
      <c r="Q38" s="44">
        <f t="shared" si="67"/>
        <v>7.8708283051533323E-2</v>
      </c>
      <c r="R38" s="44">
        <f t="shared" si="67"/>
        <v>8.4627776211664729E-2</v>
      </c>
      <c r="S38" s="44">
        <f t="shared" si="67"/>
        <v>1.7897752091832198E-2</v>
      </c>
      <c r="T38" s="44">
        <f t="shared" si="67"/>
        <v>2.2655589092816841E-2</v>
      </c>
      <c r="U38" s="44">
        <f t="shared" si="67"/>
        <v>2.7461874359692828E-2</v>
      </c>
      <c r="V38" s="44">
        <f t="shared" si="67"/>
        <v>3.2273719990586924E-2</v>
      </c>
      <c r="W38" s="44">
        <f t="shared" si="67"/>
        <v>3.7047957575763846E-2</v>
      </c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</row>
    <row r="39" spans="1:118" x14ac:dyDescent="0.15"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</row>
    <row r="40" spans="1:118" x14ac:dyDescent="0.15">
      <c r="A40" s="2" t="s">
        <v>18</v>
      </c>
      <c r="B40" s="48"/>
      <c r="C40" s="48"/>
      <c r="D40" s="48"/>
      <c r="E40" s="48"/>
      <c r="F40" s="24">
        <f>F41-F42</f>
        <v>1126</v>
      </c>
      <c r="G40" s="24">
        <f>G41-G42</f>
        <v>735</v>
      </c>
      <c r="H40" s="24">
        <f>H41-H42</f>
        <v>1850</v>
      </c>
      <c r="I40" s="48">
        <f>H40+I26</f>
        <v>1696.972197997371</v>
      </c>
      <c r="J40" s="48">
        <f t="shared" ref="J40:W40" si="68">I40+J26</f>
        <v>1834.4917210337758</v>
      </c>
      <c r="K40" s="48">
        <f t="shared" si="68"/>
        <v>2400.8562066558438</v>
      </c>
      <c r="L40" s="48">
        <f t="shared" si="68"/>
        <v>3570.6650368083983</v>
      </c>
      <c r="M40" s="48">
        <f t="shared" si="68"/>
        <v>5494.8724741171372</v>
      </c>
      <c r="N40" s="48">
        <f t="shared" si="68"/>
        <v>8203.8203306178748</v>
      </c>
      <c r="O40" s="48">
        <f t="shared" si="68"/>
        <v>11873.696694249296</v>
      </c>
      <c r="P40" s="48">
        <f t="shared" si="68"/>
        <v>16718.957198204658</v>
      </c>
      <c r="Q40" s="48">
        <f t="shared" si="68"/>
        <v>23000.28278358197</v>
      </c>
      <c r="R40" s="48">
        <f t="shared" si="68"/>
        <v>31034.169827883485</v>
      </c>
      <c r="S40" s="48">
        <f t="shared" si="68"/>
        <v>40401.840191947078</v>
      </c>
      <c r="T40" s="48">
        <f t="shared" si="68"/>
        <v>51247.433368886152</v>
      </c>
      <c r="U40" s="48">
        <f t="shared" si="68"/>
        <v>63730.498087557011</v>
      </c>
      <c r="V40" s="48">
        <f t="shared" si="68"/>
        <v>78027.549660820689</v>
      </c>
      <c r="W40" s="48">
        <f t="shared" si="68"/>
        <v>94333.785039992086</v>
      </c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</row>
    <row r="41" spans="1:118" x14ac:dyDescent="0.15">
      <c r="A41" s="3" t="s">
        <v>19</v>
      </c>
      <c r="B41" s="49"/>
      <c r="C41" s="49"/>
      <c r="D41" s="49"/>
      <c r="E41" s="49"/>
      <c r="F41" s="49">
        <f>Reports!E34</f>
        <v>1126</v>
      </c>
      <c r="G41" s="49">
        <f>Reports!I34</f>
        <v>1131</v>
      </c>
      <c r="H41" s="49">
        <f>Reports!M34</f>
        <v>2048</v>
      </c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</row>
    <row r="42" spans="1:118" x14ac:dyDescent="0.15">
      <c r="A42" s="3" t="s">
        <v>20</v>
      </c>
      <c r="B42" s="49"/>
      <c r="C42" s="49"/>
      <c r="D42" s="49"/>
      <c r="E42" s="49"/>
      <c r="F42" s="49">
        <f>Reports!E35</f>
        <v>0</v>
      </c>
      <c r="G42" s="49">
        <f>Reports!I35</f>
        <v>396</v>
      </c>
      <c r="H42" s="49">
        <f>Reports!M35</f>
        <v>198</v>
      </c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</row>
    <row r="43" spans="1:118" x14ac:dyDescent="0.15"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</row>
    <row r="44" spans="1:118" x14ac:dyDescent="0.15">
      <c r="A44" s="3" t="s">
        <v>44</v>
      </c>
      <c r="B44" s="51"/>
      <c r="C44" s="51"/>
      <c r="D44" s="51"/>
      <c r="E44" s="51"/>
      <c r="F44" s="49">
        <f>Reports!E37</f>
        <v>23</v>
      </c>
      <c r="G44" s="49">
        <f>Reports!I37</f>
        <v>51</v>
      </c>
      <c r="H44" s="49">
        <f>Reports!M37</f>
        <v>217</v>
      </c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</row>
    <row r="45" spans="1:118" x14ac:dyDescent="0.15">
      <c r="A45" s="3" t="s">
        <v>45</v>
      </c>
      <c r="B45" s="51"/>
      <c r="C45" s="51"/>
      <c r="D45" s="51"/>
      <c r="E45" s="51"/>
      <c r="F45" s="49">
        <f>Reports!E38</f>
        <v>1431</v>
      </c>
      <c r="G45" s="49">
        <f>Reports!I38</f>
        <v>1594</v>
      </c>
      <c r="H45" s="49">
        <f>Reports!M38</f>
        <v>2691</v>
      </c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</row>
    <row r="46" spans="1:118" x14ac:dyDescent="0.15">
      <c r="A46" s="3" t="s">
        <v>46</v>
      </c>
      <c r="B46" s="51"/>
      <c r="C46" s="51"/>
      <c r="D46" s="51"/>
      <c r="E46" s="51"/>
      <c r="F46" s="49">
        <f>Reports!E39</f>
        <v>923</v>
      </c>
      <c r="G46" s="49">
        <f>Reports!I39</f>
        <v>1447</v>
      </c>
      <c r="H46" s="49">
        <f>Reports!M39</f>
        <v>1168</v>
      </c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</row>
    <row r="47" spans="1:118" x14ac:dyDescent="0.15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</row>
    <row r="48" spans="1:118" x14ac:dyDescent="0.15">
      <c r="A48" s="3" t="s">
        <v>47</v>
      </c>
      <c r="B48" s="37"/>
      <c r="C48" s="37"/>
      <c r="D48" s="37"/>
      <c r="E48" s="37"/>
      <c r="F48" s="52">
        <f>F45-F44-F41</f>
        <v>282</v>
      </c>
      <c r="G48" s="52">
        <f>G45-G44-G41</f>
        <v>412</v>
      </c>
      <c r="H48" s="52">
        <f>H45-H44-H41</f>
        <v>426</v>
      </c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</row>
    <row r="49" spans="1:118" x14ac:dyDescent="0.15">
      <c r="A49" s="3" t="s">
        <v>48</v>
      </c>
      <c r="B49" s="37"/>
      <c r="C49" s="37"/>
      <c r="D49" s="37"/>
      <c r="E49" s="37"/>
      <c r="F49" s="52">
        <f>F45-F46</f>
        <v>508</v>
      </c>
      <c r="G49" s="52">
        <f>G45-G46</f>
        <v>147</v>
      </c>
      <c r="H49" s="52">
        <f>H45-H46</f>
        <v>1523</v>
      </c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</row>
    <row r="50" spans="1:118" x14ac:dyDescent="0.15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</row>
    <row r="51" spans="1:118" x14ac:dyDescent="0.15">
      <c r="A51" s="18" t="s">
        <v>50</v>
      </c>
      <c r="B51" s="38"/>
      <c r="C51" s="38"/>
      <c r="D51" s="38"/>
      <c r="E51" s="38"/>
      <c r="F51" s="53">
        <f>F26/F49</f>
        <v>-1.1417165354330707</v>
      </c>
      <c r="G51" s="53">
        <f>G26/G49</f>
        <v>-3.9647482993197278</v>
      </c>
      <c r="H51" s="53">
        <f>H26/H49</f>
        <v>-0.27532077478660544</v>
      </c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</row>
    <row r="52" spans="1:118" x14ac:dyDescent="0.15">
      <c r="A52" s="18" t="s">
        <v>51</v>
      </c>
      <c r="B52" s="38"/>
      <c r="C52" s="38"/>
      <c r="D52" s="38"/>
      <c r="E52" s="38"/>
      <c r="F52" s="53">
        <f>F26/F45</f>
        <v>-0.40530538085255063</v>
      </c>
      <c r="G52" s="53">
        <f>G26/G45</f>
        <v>-0.3656323713927227</v>
      </c>
      <c r="H52" s="53">
        <f>H26/H45</f>
        <v>-0.15582071348940918</v>
      </c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</row>
    <row r="53" spans="1:118" x14ac:dyDescent="0.15">
      <c r="A53" s="18" t="s">
        <v>52</v>
      </c>
      <c r="B53" s="38"/>
      <c r="C53" s="38"/>
      <c r="D53" s="38"/>
      <c r="E53" s="38"/>
      <c r="F53" s="53">
        <f>F26/(F49-F44)</f>
        <v>-1.1958597938144329</v>
      </c>
      <c r="G53" s="53">
        <f>G26/(G49-G44)</f>
        <v>-6.0710208333333329</v>
      </c>
      <c r="H53" s="53">
        <f>H26/(H49-H44)</f>
        <v>-0.32106702909647789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</row>
    <row r="54" spans="1:118" x14ac:dyDescent="0.15">
      <c r="A54" s="18" t="s">
        <v>53</v>
      </c>
      <c r="B54" s="38"/>
      <c r="C54" s="38"/>
      <c r="D54" s="38"/>
      <c r="E54" s="38"/>
      <c r="F54" s="53">
        <f>F26/F48</f>
        <v>-2.0567092198581558</v>
      </c>
      <c r="G54" s="53">
        <f>G26/G48</f>
        <v>-1.4146067961165047</v>
      </c>
      <c r="H54" s="53">
        <f>H26/H48</f>
        <v>-0.98430408450704254</v>
      </c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</row>
    <row r="55" spans="1:118" x14ac:dyDescent="0.15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</row>
    <row r="56" spans="1:118" x14ac:dyDescent="0.15">
      <c r="A56" s="6" t="s">
        <v>57</v>
      </c>
      <c r="B56" s="38"/>
      <c r="C56" s="38"/>
      <c r="D56" s="38"/>
      <c r="E56" s="38"/>
      <c r="F56" s="53"/>
      <c r="G56" s="53">
        <f t="shared" ref="G56" si="69">G13/F13-1</f>
        <v>0.24713432279323966</v>
      </c>
      <c r="H56" s="53">
        <f>H13/G13-1</f>
        <v>0.47150446768252841</v>
      </c>
      <c r="I56" s="53">
        <f t="shared" ref="I56:M56" si="70">I13/H13-1</f>
        <v>0.39999999999999991</v>
      </c>
      <c r="J56" s="53">
        <f t="shared" si="70"/>
        <v>0.40000000000000013</v>
      </c>
      <c r="K56" s="53">
        <f t="shared" si="70"/>
        <v>0.39999999999999991</v>
      </c>
      <c r="L56" s="53">
        <f t="shared" si="70"/>
        <v>0.39999999999999991</v>
      </c>
      <c r="M56" s="53">
        <f t="shared" si="70"/>
        <v>0.39999999999999991</v>
      </c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</row>
    <row r="58" spans="1:118" s="19" customFormat="1" x14ac:dyDescent="0.15">
      <c r="A58" s="19" t="s">
        <v>80</v>
      </c>
      <c r="H58" s="19">
        <f>H10/G10-1</f>
        <v>0.76300578034682087</v>
      </c>
      <c r="I58" s="19">
        <f>I10/H10-1</f>
        <v>0.6830057803468208</v>
      </c>
      <c r="J58" s="19">
        <f t="shared" ref="J58:M58" si="71">J10/I10-1</f>
        <v>0.60300578034682073</v>
      </c>
      <c r="K58" s="19">
        <f t="shared" si="71"/>
        <v>0.52300578034682066</v>
      </c>
      <c r="L58" s="19">
        <f t="shared" si="71"/>
        <v>0.44300578034682059</v>
      </c>
      <c r="M58" s="19">
        <f t="shared" si="71"/>
        <v>0.36300578034682052</v>
      </c>
    </row>
    <row r="59" spans="1:118" s="19" customFormat="1" x14ac:dyDescent="0.15">
      <c r="A59" s="19" t="s">
        <v>81</v>
      </c>
      <c r="H59" s="19">
        <f>H11/G11-1</f>
        <v>0.21410579345088165</v>
      </c>
      <c r="I59" s="19">
        <f t="shared" ref="I59:M59" si="72">I11/H11-1</f>
        <v>0.19999999999999996</v>
      </c>
      <c r="J59" s="19">
        <f t="shared" si="72"/>
        <v>0.19999999999999996</v>
      </c>
      <c r="K59" s="19">
        <f t="shared" si="72"/>
        <v>0.19999999999999996</v>
      </c>
      <c r="L59" s="19">
        <f t="shared" si="72"/>
        <v>0.19999999999999996</v>
      </c>
      <c r="M59" s="19">
        <f t="shared" si="72"/>
        <v>0.19999999999999996</v>
      </c>
    </row>
  </sheetData>
  <hyperlinks>
    <hyperlink ref="A1" r:id="rId1" xr:uid="{00000000-0004-0000-0000-000000000000}"/>
    <hyperlink ref="L4" r:id="rId2" xr:uid="{CBCA994A-BC74-CB48-8009-AD2DE8254A02}"/>
    <hyperlink ref="A4" r:id="rId3" xr:uid="{741A8B4D-19A2-5A48-9F00-2808126CAB69}"/>
    <hyperlink ref="A8" r:id="rId4" xr:uid="{5AAA0731-2696-3C4C-85B5-10147C1B3A1B}"/>
    <hyperlink ref="A7" r:id="rId5" xr:uid="{F2473224-43D8-9D42-9A8B-40E31A9FA9BD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5"/>
  <sheetViews>
    <sheetView zoomScale="120" zoomScaleNormal="12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P30" sqref="P30"/>
    </sheetView>
  </sheetViews>
  <sheetFormatPr baseColWidth="10" defaultRowHeight="13" x14ac:dyDescent="0.15"/>
  <cols>
    <col min="1" max="1" width="20.33203125" style="6" bestFit="1" customWidth="1"/>
    <col min="2" max="2" width="10.83203125" style="21"/>
    <col min="3" max="5" width="10.83203125" style="20"/>
    <col min="6" max="6" width="10.83203125" style="21"/>
    <col min="7" max="9" width="10.83203125" style="20"/>
    <col min="10" max="10" width="10.83203125" style="21"/>
    <col min="11" max="13" width="10.83203125" style="20"/>
    <col min="14" max="16384" width="10.83203125" style="6"/>
  </cols>
  <sheetData>
    <row r="1" spans="1:14" x14ac:dyDescent="0.15">
      <c r="A1" s="64" t="s">
        <v>33</v>
      </c>
      <c r="B1" s="22" t="s">
        <v>26</v>
      </c>
      <c r="C1" s="23" t="s">
        <v>27</v>
      </c>
      <c r="D1" s="23" t="s">
        <v>28</v>
      </c>
      <c r="E1" s="23" t="s">
        <v>29</v>
      </c>
      <c r="F1" s="22" t="s">
        <v>40</v>
      </c>
      <c r="G1" s="23" t="s">
        <v>41</v>
      </c>
      <c r="H1" s="23" t="s">
        <v>42</v>
      </c>
      <c r="I1" s="23" t="s">
        <v>43</v>
      </c>
      <c r="J1" s="22" t="s">
        <v>59</v>
      </c>
      <c r="K1" s="23" t="s">
        <v>64</v>
      </c>
      <c r="L1" s="23" t="s">
        <v>65</v>
      </c>
      <c r="M1" s="23" t="s">
        <v>60</v>
      </c>
    </row>
    <row r="2" spans="1:14" s="20" customFormat="1" x14ac:dyDescent="0.15">
      <c r="A2" s="1"/>
      <c r="B2" s="21"/>
      <c r="E2" s="55">
        <v>43465</v>
      </c>
      <c r="F2" s="56">
        <v>43555</v>
      </c>
      <c r="G2" s="55">
        <v>43646</v>
      </c>
      <c r="H2" s="55">
        <v>43738</v>
      </c>
      <c r="I2" s="55">
        <v>43830</v>
      </c>
      <c r="J2" s="56">
        <v>43921</v>
      </c>
      <c r="K2" s="55">
        <v>44012</v>
      </c>
      <c r="L2" s="55">
        <v>44104</v>
      </c>
      <c r="M2" s="55">
        <v>44196</v>
      </c>
    </row>
    <row r="3" spans="1:14" s="23" customFormat="1" x14ac:dyDescent="0.15">
      <c r="A3" s="8" t="s">
        <v>78</v>
      </c>
      <c r="B3" s="22"/>
      <c r="E3" s="39"/>
      <c r="F3" s="22"/>
      <c r="H3" s="23">
        <v>96.801000000000002</v>
      </c>
      <c r="I3" s="23">
        <v>102.5</v>
      </c>
      <c r="J3" s="22"/>
      <c r="L3" s="23">
        <v>162.56100000000001</v>
      </c>
      <c r="M3" s="23">
        <v>190</v>
      </c>
    </row>
    <row r="4" spans="1:14" s="23" customFormat="1" x14ac:dyDescent="0.15">
      <c r="A4" s="8" t="s">
        <v>79</v>
      </c>
      <c r="B4" s="22"/>
      <c r="E4" s="39"/>
      <c r="F4" s="22"/>
      <c r="H4" s="23">
        <v>93.74</v>
      </c>
      <c r="I4" s="23">
        <v>127</v>
      </c>
      <c r="J4" s="22"/>
      <c r="L4" s="23">
        <v>126.80500000000001</v>
      </c>
      <c r="M4" s="23">
        <v>132</v>
      </c>
    </row>
    <row r="5" spans="1:14" s="23" customFormat="1" x14ac:dyDescent="0.15">
      <c r="A5" s="65"/>
      <c r="B5" s="22"/>
      <c r="E5" s="39"/>
      <c r="F5" s="22"/>
      <c r="J5" s="22"/>
    </row>
    <row r="6" spans="1:14" s="8" customFormat="1" x14ac:dyDescent="0.15">
      <c r="A6" s="8" t="s">
        <v>56</v>
      </c>
      <c r="B6" s="22"/>
      <c r="C6" s="23"/>
      <c r="D6" s="23"/>
      <c r="E6" s="39"/>
      <c r="F6" s="22">
        <v>146.33600000000001</v>
      </c>
      <c r="G6" s="23">
        <v>176.32</v>
      </c>
      <c r="H6" s="23">
        <v>190.541</v>
      </c>
      <c r="I6" s="23">
        <v>229.358</v>
      </c>
      <c r="J6" s="22">
        <v>229.327</v>
      </c>
      <c r="K6" s="23">
        <v>251.88900000000001</v>
      </c>
      <c r="L6" s="23">
        <v>289.36599999999999</v>
      </c>
      <c r="M6" s="23">
        <v>322.09100000000001</v>
      </c>
    </row>
    <row r="7" spans="1:14" s="39" customFormat="1" x14ac:dyDescent="0.15">
      <c r="F7" s="40"/>
      <c r="J7" s="40"/>
      <c r="M7" s="39">
        <v>299</v>
      </c>
    </row>
    <row r="8" spans="1:14" s="17" customFormat="1" x14ac:dyDescent="0.15">
      <c r="A8" s="17" t="s">
        <v>0</v>
      </c>
      <c r="B8" s="39"/>
      <c r="C8" s="39"/>
      <c r="D8" s="39"/>
      <c r="E8" s="39"/>
      <c r="F8" s="25">
        <f>SUM(F6:F6)</f>
        <v>146.33600000000001</v>
      </c>
      <c r="G8" s="24">
        <f t="shared" ref="G8:K8" si="0">SUM(G6:G6)</f>
        <v>176.32</v>
      </c>
      <c r="H8" s="24">
        <f>SUM(H3:H4)</f>
        <v>190.541</v>
      </c>
      <c r="I8" s="24">
        <f t="shared" si="0"/>
        <v>229.358</v>
      </c>
      <c r="J8" s="25">
        <f>SUM(J6:J6)</f>
        <v>229.327</v>
      </c>
      <c r="K8" s="24">
        <f t="shared" si="0"/>
        <v>251.88900000000001</v>
      </c>
      <c r="L8" s="24">
        <f>SUM(L3:L4)</f>
        <v>289.36599999999999</v>
      </c>
      <c r="M8" s="24">
        <f>M6</f>
        <v>322.09100000000001</v>
      </c>
      <c r="N8" s="17">
        <v>332</v>
      </c>
    </row>
    <row r="9" spans="1:14" s="8" customFormat="1" x14ac:dyDescent="0.15">
      <c r="A9" s="8" t="s">
        <v>1</v>
      </c>
      <c r="B9" s="39"/>
      <c r="C9" s="39"/>
      <c r="D9" s="39"/>
      <c r="E9" s="39"/>
      <c r="F9" s="22">
        <v>44.808999999999997</v>
      </c>
      <c r="G9" s="23">
        <v>56.588999999999999</v>
      </c>
      <c r="H9" s="49">
        <v>65.072999999999993</v>
      </c>
      <c r="I9" s="49">
        <v>75.902000000000001</v>
      </c>
      <c r="J9" s="22">
        <v>64.293999999999997</v>
      </c>
      <c r="K9" s="49">
        <v>68.41</v>
      </c>
      <c r="L9" s="49">
        <f>L8-L10</f>
        <v>54.979539999999986</v>
      </c>
      <c r="M9" s="49">
        <v>70.503</v>
      </c>
    </row>
    <row r="10" spans="1:14" s="8" customFormat="1" x14ac:dyDescent="0.15">
      <c r="A10" s="8" t="s">
        <v>2</v>
      </c>
      <c r="B10" s="39"/>
      <c r="C10" s="39"/>
      <c r="D10" s="39"/>
      <c r="E10" s="39"/>
      <c r="F10" s="27">
        <f t="shared" ref="F10" si="1">F8-F9</f>
        <v>101.52700000000002</v>
      </c>
      <c r="G10" s="26">
        <f t="shared" ref="G10:M10" si="2">G8-G9</f>
        <v>119.73099999999999</v>
      </c>
      <c r="H10" s="26">
        <f t="shared" si="2"/>
        <v>125.468</v>
      </c>
      <c r="I10" s="26">
        <f t="shared" si="2"/>
        <v>153.45600000000002</v>
      </c>
      <c r="J10" s="27">
        <f t="shared" ref="J10" si="3">J8-J9</f>
        <v>165.03300000000002</v>
      </c>
      <c r="K10" s="26">
        <f t="shared" si="2"/>
        <v>183.47900000000001</v>
      </c>
      <c r="L10" s="26">
        <f>L8*0.81</f>
        <v>234.38646</v>
      </c>
      <c r="M10" s="26">
        <f t="shared" si="2"/>
        <v>251.58800000000002</v>
      </c>
    </row>
    <row r="11" spans="1:14" s="8" customFormat="1" x14ac:dyDescent="0.15">
      <c r="A11" s="8" t="s">
        <v>3</v>
      </c>
      <c r="B11" s="39"/>
      <c r="C11" s="39"/>
      <c r="D11" s="39"/>
      <c r="E11" s="39"/>
      <c r="F11" s="22">
        <v>75</v>
      </c>
      <c r="G11" s="23">
        <v>79</v>
      </c>
      <c r="H11" s="49">
        <v>76</v>
      </c>
      <c r="I11" s="49">
        <v>76</v>
      </c>
      <c r="J11" s="22">
        <v>66</v>
      </c>
      <c r="K11" s="49">
        <v>87</v>
      </c>
      <c r="L11" s="49">
        <f>H11*1.2</f>
        <v>91.2</v>
      </c>
      <c r="M11" s="49">
        <v>94</v>
      </c>
    </row>
    <row r="12" spans="1:14" s="8" customFormat="1" x14ac:dyDescent="0.15">
      <c r="A12" s="8" t="s">
        <v>4</v>
      </c>
      <c r="B12" s="39"/>
      <c r="C12" s="39"/>
      <c r="D12" s="39"/>
      <c r="E12" s="39"/>
      <c r="F12" s="22">
        <v>107</v>
      </c>
      <c r="G12" s="23">
        <v>111</v>
      </c>
      <c r="H12" s="49">
        <v>120</v>
      </c>
      <c r="I12" s="49">
        <v>113</v>
      </c>
      <c r="J12" s="22">
        <v>99</v>
      </c>
      <c r="K12" s="49">
        <v>103</v>
      </c>
      <c r="L12" s="49">
        <f>H12*1.15</f>
        <v>138</v>
      </c>
      <c r="M12" s="49">
        <v>148</v>
      </c>
    </row>
    <row r="13" spans="1:14" s="8" customFormat="1" x14ac:dyDescent="0.15">
      <c r="A13" s="8" t="s">
        <v>5</v>
      </c>
      <c r="B13" s="39"/>
      <c r="C13" s="39"/>
      <c r="D13" s="39"/>
      <c r="E13" s="39"/>
      <c r="F13" s="22">
        <v>64</v>
      </c>
      <c r="G13" s="23">
        <v>71</v>
      </c>
      <c r="H13" s="49">
        <v>74</v>
      </c>
      <c r="I13" s="49">
        <v>112</v>
      </c>
      <c r="J13" s="22">
        <v>71</v>
      </c>
      <c r="K13" s="49">
        <v>93</v>
      </c>
      <c r="L13" s="49">
        <f>H13*1.4</f>
        <v>103.6</v>
      </c>
      <c r="M13" s="49">
        <v>166</v>
      </c>
    </row>
    <row r="14" spans="1:14" s="8" customFormat="1" x14ac:dyDescent="0.15">
      <c r="A14" s="8" t="s">
        <v>6</v>
      </c>
      <c r="B14" s="39"/>
      <c r="C14" s="39"/>
      <c r="D14" s="39"/>
      <c r="E14" s="39"/>
      <c r="F14" s="27">
        <f>SUM(F11:F13)</f>
        <v>246</v>
      </c>
      <c r="G14" s="26">
        <f>SUM(G11:G13)</f>
        <v>261</v>
      </c>
      <c r="H14" s="26">
        <f>SUM(H11:H13)</f>
        <v>270</v>
      </c>
      <c r="I14" s="26">
        <f>SUM(I11:I13)</f>
        <v>301</v>
      </c>
      <c r="J14" s="27">
        <f>SUM(J11:J13)</f>
        <v>236</v>
      </c>
      <c r="K14" s="26">
        <f>SUM(K11:K13)</f>
        <v>283</v>
      </c>
      <c r="L14" s="26">
        <f>SUM(L11:L13)</f>
        <v>332.79999999999995</v>
      </c>
      <c r="M14" s="26">
        <f>SUM(M11:M13)</f>
        <v>408</v>
      </c>
    </row>
    <row r="15" spans="1:14" s="8" customFormat="1" x14ac:dyDescent="0.15">
      <c r="A15" s="8" t="s">
        <v>7</v>
      </c>
      <c r="B15" s="39"/>
      <c r="C15" s="39"/>
      <c r="D15" s="39"/>
      <c r="E15" s="39"/>
      <c r="F15" s="27">
        <f>F10-F14</f>
        <v>-144.47299999999998</v>
      </c>
      <c r="G15" s="26">
        <f>G10-G14</f>
        <v>-141.26900000000001</v>
      </c>
      <c r="H15" s="26">
        <f>H10-H14</f>
        <v>-144.53199999999998</v>
      </c>
      <c r="I15" s="26">
        <f>I10-I14</f>
        <v>-147.54399999999998</v>
      </c>
      <c r="J15" s="27">
        <f>J10-J14</f>
        <v>-70.966999999999985</v>
      </c>
      <c r="K15" s="26">
        <f>K10-K14</f>
        <v>-99.520999999999987</v>
      </c>
      <c r="L15" s="26">
        <f>L10-L14</f>
        <v>-98.413539999999955</v>
      </c>
      <c r="M15" s="26">
        <f>M10-M14</f>
        <v>-156.41199999999998</v>
      </c>
    </row>
    <row r="16" spans="1:14" s="8" customFormat="1" x14ac:dyDescent="0.15">
      <c r="A16" s="8" t="s">
        <v>8</v>
      </c>
      <c r="B16" s="39"/>
      <c r="C16" s="39"/>
      <c r="D16" s="39"/>
      <c r="E16" s="39"/>
      <c r="F16" s="22">
        <f>5-0-2</f>
        <v>3</v>
      </c>
      <c r="G16" s="23">
        <f>4-0+2+1</f>
        <v>7</v>
      </c>
      <c r="H16" s="49">
        <f>3+1+2</f>
        <v>6</v>
      </c>
      <c r="I16" s="49">
        <f>2-3-3-5</f>
        <v>-9</v>
      </c>
      <c r="J16" s="22">
        <f>3-5+14+6</f>
        <v>18</v>
      </c>
      <c r="K16" s="49">
        <f>1-6-4-2</f>
        <v>-11</v>
      </c>
      <c r="L16" s="49">
        <f>-2-9-3</f>
        <v>-14</v>
      </c>
      <c r="M16" s="49">
        <f>0-2+2</f>
        <v>0</v>
      </c>
    </row>
    <row r="17" spans="1:14" s="8" customFormat="1" x14ac:dyDescent="0.15">
      <c r="A17" s="8" t="s">
        <v>9</v>
      </c>
      <c r="B17" s="39"/>
      <c r="C17" s="39"/>
      <c r="D17" s="39"/>
      <c r="E17" s="39"/>
      <c r="F17" s="27">
        <f t="shared" ref="F17:H17" si="4">F15+F16</f>
        <v>-141.47299999999998</v>
      </c>
      <c r="G17" s="26">
        <f t="shared" si="4"/>
        <v>-134.26900000000001</v>
      </c>
      <c r="H17" s="26">
        <f t="shared" si="4"/>
        <v>-138.53199999999998</v>
      </c>
      <c r="I17" s="26">
        <f t="shared" ref="I17" si="5">I15+I16</f>
        <v>-156.54399999999998</v>
      </c>
      <c r="J17" s="27">
        <f t="shared" ref="J17:M17" si="6">J15+J16</f>
        <v>-52.966999999999985</v>
      </c>
      <c r="K17" s="26">
        <f t="shared" si="6"/>
        <v>-110.52099999999999</v>
      </c>
      <c r="L17" s="26">
        <f t="shared" si="6"/>
        <v>-112.41353999999995</v>
      </c>
      <c r="M17" s="26">
        <f t="shared" si="6"/>
        <v>-156.41199999999998</v>
      </c>
    </row>
    <row r="18" spans="1:14" s="8" customFormat="1" x14ac:dyDescent="0.15">
      <c r="A18" s="8" t="s">
        <v>10</v>
      </c>
      <c r="B18" s="39"/>
      <c r="C18" s="39"/>
      <c r="D18" s="39"/>
      <c r="E18" s="39"/>
      <c r="F18" s="22">
        <v>5</v>
      </c>
      <c r="G18" s="23">
        <v>1</v>
      </c>
      <c r="H18" s="23">
        <v>2</v>
      </c>
      <c r="I18" s="23">
        <v>4</v>
      </c>
      <c r="J18" s="22">
        <v>3</v>
      </c>
      <c r="K18" s="23">
        <v>1</v>
      </c>
      <c r="L18" s="23">
        <v>-9</v>
      </c>
      <c r="M18" s="23">
        <v>-8</v>
      </c>
    </row>
    <row r="19" spans="1:14" s="17" customFormat="1" x14ac:dyDescent="0.15">
      <c r="A19" s="17" t="s">
        <v>11</v>
      </c>
      <c r="B19" s="39"/>
      <c r="C19" s="39"/>
      <c r="D19" s="39"/>
      <c r="E19" s="39"/>
      <c r="F19" s="25">
        <f t="shared" ref="F19:M19" si="7">F17-F18</f>
        <v>-146.47299999999998</v>
      </c>
      <c r="G19" s="24">
        <f t="shared" si="7"/>
        <v>-135.26900000000001</v>
      </c>
      <c r="H19" s="24">
        <f t="shared" si="7"/>
        <v>-140.53199999999998</v>
      </c>
      <c r="I19" s="24">
        <f t="shared" si="7"/>
        <v>-160.54399999999998</v>
      </c>
      <c r="J19" s="25">
        <f t="shared" si="7"/>
        <v>-55.966999999999985</v>
      </c>
      <c r="K19" s="24">
        <f t="shared" si="7"/>
        <v>-111.52099999999999</v>
      </c>
      <c r="L19" s="24">
        <f t="shared" si="7"/>
        <v>-103.41353999999995</v>
      </c>
      <c r="M19" s="24">
        <f t="shared" si="7"/>
        <v>-148.41199999999998</v>
      </c>
    </row>
    <row r="20" spans="1:14" s="4" customFormat="1" x14ac:dyDescent="0.15">
      <c r="A20" s="4" t="s">
        <v>12</v>
      </c>
      <c r="B20" s="39"/>
      <c r="C20" s="39"/>
      <c r="D20" s="39"/>
      <c r="E20" s="39"/>
      <c r="F20" s="58">
        <f t="shared" ref="F20:G20" si="8">IFERROR(F19/F21,0)</f>
        <v>0</v>
      </c>
      <c r="G20" s="57">
        <f t="shared" si="8"/>
        <v>0</v>
      </c>
      <c r="H20" s="57">
        <f t="shared" ref="H20:I20" si="9">IFERROR(H19/H21,0)</f>
        <v>-0.24225275994332926</v>
      </c>
      <c r="I20" s="57">
        <f t="shared" si="9"/>
        <v>-0.27456431274480081</v>
      </c>
      <c r="J20" s="58">
        <f t="shared" ref="J20:L20" si="10">IFERROR(J19/J21,0)</f>
        <v>0</v>
      </c>
      <c r="K20" s="57">
        <f t="shared" si="10"/>
        <v>0</v>
      </c>
      <c r="L20" s="57">
        <f t="shared" si="10"/>
        <v>-0.11421079941277708</v>
      </c>
      <c r="M20" s="57">
        <f t="shared" ref="M20" si="11">IFERROR(M19/M21,0)</f>
        <v>-8.4156976675118053E-2</v>
      </c>
    </row>
    <row r="21" spans="1:14" s="8" customFormat="1" x14ac:dyDescent="0.15">
      <c r="A21" s="8" t="s">
        <v>13</v>
      </c>
      <c r="B21" s="39"/>
      <c r="C21" s="39"/>
      <c r="D21" s="39"/>
      <c r="E21" s="39"/>
      <c r="F21" s="22"/>
      <c r="G21" s="23"/>
      <c r="H21" s="49">
        <v>580.10484599999995</v>
      </c>
      <c r="I21" s="49">
        <v>584.72275000000002</v>
      </c>
      <c r="J21" s="22"/>
      <c r="K21" s="49"/>
      <c r="L21" s="49">
        <v>905.46200999999996</v>
      </c>
      <c r="M21" s="49">
        <v>1763.5139220000001</v>
      </c>
    </row>
    <row r="22" spans="1:14" s="41" customFormat="1" x14ac:dyDescent="0.15">
      <c r="B22" s="39"/>
      <c r="C22" s="39"/>
      <c r="D22" s="39"/>
      <c r="E22" s="39"/>
      <c r="F22" s="54"/>
      <c r="J22" s="54"/>
    </row>
    <row r="23" spans="1:14" x14ac:dyDescent="0.15">
      <c r="A23" s="6" t="s">
        <v>15</v>
      </c>
      <c r="B23" s="39"/>
      <c r="C23" s="39"/>
      <c r="D23" s="39"/>
      <c r="E23" s="39"/>
      <c r="F23" s="34">
        <f>IFERROR(F10/F8,0)</f>
        <v>0.69379373496610541</v>
      </c>
      <c r="G23" s="33">
        <f>IFERROR(G10/G8,0)</f>
        <v>0.67905512704174231</v>
      </c>
      <c r="H23" s="33">
        <f>IFERROR(H10/H8,0)</f>
        <v>0.65848295117586242</v>
      </c>
      <c r="I23" s="33">
        <f>IFERROR(I10/I8,0)</f>
        <v>0.66906757122053739</v>
      </c>
      <c r="J23" s="34">
        <f>IFERROR(J10/J8,0)</f>
        <v>0.71964051332812973</v>
      </c>
      <c r="K23" s="33">
        <f>IFERROR(K10/K8,0)</f>
        <v>0.72841211803611916</v>
      </c>
      <c r="L23" s="33">
        <f>IFERROR(L10/L8,0)</f>
        <v>0.81</v>
      </c>
      <c r="M23" s="33">
        <f>IFERROR(M10/M8,0)</f>
        <v>0.78110844450791861</v>
      </c>
    </row>
    <row r="24" spans="1:14" x14ac:dyDescent="0.15">
      <c r="A24" s="6" t="s">
        <v>16</v>
      </c>
      <c r="B24" s="39"/>
      <c r="C24" s="39"/>
      <c r="D24" s="39"/>
      <c r="E24" s="39"/>
      <c r="F24" s="36">
        <f>IFERROR(F15/F8,0)</f>
        <v>-0.98726902471025568</v>
      </c>
      <c r="G24" s="35">
        <f>IFERROR(G15/G8,0)</f>
        <v>-0.80120803085299463</v>
      </c>
      <c r="H24" s="35">
        <f>IFERROR(H15/H8,0)</f>
        <v>-0.7585349084973837</v>
      </c>
      <c r="I24" s="35">
        <f>IFERROR(I15/I8,0)</f>
        <v>-0.64329127390367891</v>
      </c>
      <c r="J24" s="36">
        <f>IFERROR(J15/J8,0)</f>
        <v>-0.30945767397646151</v>
      </c>
      <c r="K24" s="35">
        <f>IFERROR(K15/K8,0)</f>
        <v>-0.3950986347160852</v>
      </c>
      <c r="L24" s="35">
        <f>IFERROR(L15/L8,0)</f>
        <v>-0.34010056468278915</v>
      </c>
      <c r="M24" s="35">
        <f>IFERROR(M15/M8,0)</f>
        <v>-0.4856143139671707</v>
      </c>
    </row>
    <row r="25" spans="1:14" x14ac:dyDescent="0.15">
      <c r="A25" s="6" t="s">
        <v>17</v>
      </c>
      <c r="B25" s="39"/>
      <c r="C25" s="39"/>
      <c r="D25" s="39"/>
      <c r="E25" s="39"/>
      <c r="F25" s="36">
        <f t="shared" ref="F25:M25" si="12">IFERROR(F18/F17,0)</f>
        <v>-3.5342432831706405E-2</v>
      </c>
      <c r="G25" s="35">
        <f t="shared" si="12"/>
        <v>-7.4477355160163551E-3</v>
      </c>
      <c r="H25" s="35">
        <f t="shared" si="12"/>
        <v>-1.4437097565905352E-2</v>
      </c>
      <c r="I25" s="35">
        <f t="shared" si="12"/>
        <v>-2.555192150449714E-2</v>
      </c>
      <c r="J25" s="36">
        <f t="shared" si="12"/>
        <v>-5.6639039401891758E-2</v>
      </c>
      <c r="K25" s="35">
        <f t="shared" si="12"/>
        <v>-9.0480542159408622E-3</v>
      </c>
      <c r="L25" s="35">
        <f t="shared" si="12"/>
        <v>8.0061529954487717E-2</v>
      </c>
      <c r="M25" s="35">
        <f t="shared" si="12"/>
        <v>5.1146970820653156E-2</v>
      </c>
    </row>
    <row r="26" spans="1:14" s="41" customFormat="1" x14ac:dyDescent="0.15">
      <c r="B26" s="39"/>
      <c r="C26" s="39"/>
      <c r="D26" s="39"/>
      <c r="E26" s="39"/>
      <c r="F26" s="54"/>
      <c r="J26" s="54"/>
      <c r="N26" s="44">
        <v>0.45</v>
      </c>
    </row>
    <row r="27" spans="1:14" s="12" customFormat="1" x14ac:dyDescent="0.15">
      <c r="A27" s="12" t="s">
        <v>14</v>
      </c>
      <c r="B27" s="39"/>
      <c r="C27" s="39"/>
      <c r="D27" s="39"/>
      <c r="E27" s="39"/>
      <c r="F27" s="30"/>
      <c r="G27" s="29"/>
      <c r="H27" s="29"/>
      <c r="I27" s="29"/>
      <c r="J27" s="30">
        <f>IFERROR((J8/F8)-1,0)</f>
        <v>0.56712633938333679</v>
      </c>
      <c r="K27" s="29">
        <f>IFERROR((K8/G8)-1,0)</f>
        <v>0.42859006352087126</v>
      </c>
      <c r="L27" s="29">
        <f>IFERROR((L8/H8)-1,0)</f>
        <v>0.51865477771188351</v>
      </c>
      <c r="M27" s="29">
        <f>IFERROR((M8/I8)-1,0)</f>
        <v>0.40431552420233863</v>
      </c>
      <c r="N27" s="29">
        <f>IFERROR((N8/J8)-1,0)</f>
        <v>0.44771439908950983</v>
      </c>
    </row>
    <row r="28" spans="1:14" s="12" customFormat="1" x14ac:dyDescent="0.15">
      <c r="A28" s="6" t="s">
        <v>30</v>
      </c>
      <c r="B28" s="39"/>
      <c r="C28" s="39"/>
      <c r="D28" s="39"/>
      <c r="E28" s="39"/>
      <c r="F28" s="32"/>
      <c r="G28" s="31"/>
      <c r="H28" s="31"/>
      <c r="I28" s="31"/>
      <c r="J28" s="32">
        <f>J11/F11-1</f>
        <v>-0.12</v>
      </c>
      <c r="K28" s="31">
        <f>K11/G11-1</f>
        <v>0.10126582278481022</v>
      </c>
      <c r="L28" s="31">
        <f>L11/H11-1</f>
        <v>0.19999999999999996</v>
      </c>
      <c r="M28" s="31">
        <f>M11/I11-1</f>
        <v>0.23684210526315796</v>
      </c>
    </row>
    <row r="29" spans="1:14" s="12" customFormat="1" x14ac:dyDescent="0.15">
      <c r="A29" s="6" t="s">
        <v>31</v>
      </c>
      <c r="B29" s="39"/>
      <c r="C29" s="39"/>
      <c r="D29" s="39"/>
      <c r="E29" s="39"/>
      <c r="F29" s="32"/>
      <c r="G29" s="31"/>
      <c r="H29" s="31"/>
      <c r="I29" s="31"/>
      <c r="J29" s="32">
        <f>J12/F12-1</f>
        <v>-7.4766355140186924E-2</v>
      </c>
      <c r="K29" s="31">
        <f>K12/G12-1</f>
        <v>-7.2072072072072113E-2</v>
      </c>
      <c r="L29" s="31">
        <f>L12/H12-1</f>
        <v>0.14999999999999991</v>
      </c>
      <c r="M29" s="31">
        <f>M12/I12-1</f>
        <v>0.30973451327433632</v>
      </c>
    </row>
    <row r="30" spans="1:14" s="12" customFormat="1" x14ac:dyDescent="0.15">
      <c r="A30" s="6" t="s">
        <v>32</v>
      </c>
      <c r="B30" s="39"/>
      <c r="C30" s="39"/>
      <c r="D30" s="39"/>
      <c r="E30" s="39"/>
      <c r="F30" s="32"/>
      <c r="G30" s="31"/>
      <c r="H30" s="31"/>
      <c r="I30" s="31"/>
      <c r="J30" s="32">
        <f>J13/F13-1</f>
        <v>0.109375</v>
      </c>
      <c r="K30" s="31">
        <f>K13/G13-1</f>
        <v>0.3098591549295775</v>
      </c>
      <c r="L30" s="31">
        <f>L13/H13-1</f>
        <v>0.39999999999999991</v>
      </c>
      <c r="M30" s="31">
        <f>M13/I13-1</f>
        <v>0.48214285714285721</v>
      </c>
    </row>
    <row r="31" spans="1:14" x14ac:dyDescent="0.15">
      <c r="A31" s="6" t="s">
        <v>58</v>
      </c>
      <c r="B31" s="39"/>
      <c r="C31" s="39"/>
      <c r="D31" s="39"/>
      <c r="E31" s="39"/>
      <c r="F31" s="34"/>
      <c r="G31" s="33"/>
      <c r="H31" s="33"/>
      <c r="I31" s="33"/>
      <c r="J31" s="34">
        <f t="shared" ref="J31:M31" si="13">J14/F14-1</f>
        <v>-4.065040650406504E-2</v>
      </c>
      <c r="K31" s="33">
        <f t="shared" si="13"/>
        <v>8.4291187739463647E-2</v>
      </c>
      <c r="L31" s="33">
        <f t="shared" si="13"/>
        <v>0.23259259259259246</v>
      </c>
      <c r="M31" s="33">
        <f t="shared" si="13"/>
        <v>0.35548172757475083</v>
      </c>
    </row>
    <row r="32" spans="1:14" x14ac:dyDescent="0.15">
      <c r="B32" s="39"/>
      <c r="C32" s="39"/>
      <c r="D32" s="39"/>
      <c r="E32" s="39"/>
      <c r="G32" s="44"/>
    </row>
    <row r="33" spans="1:13" s="17" customFormat="1" x14ac:dyDescent="0.15">
      <c r="A33" s="17" t="s">
        <v>18</v>
      </c>
      <c r="B33" s="39"/>
      <c r="C33" s="39"/>
      <c r="D33" s="39"/>
      <c r="E33" s="24">
        <f t="shared" ref="E33" si="14">E34-E35</f>
        <v>1126</v>
      </c>
      <c r="F33" s="21"/>
      <c r="G33" s="44"/>
      <c r="H33" s="24">
        <f t="shared" ref="H33" si="15">H34-H35</f>
        <v>735</v>
      </c>
      <c r="I33" s="24">
        <f t="shared" ref="I33" si="16">I34-I35</f>
        <v>735</v>
      </c>
      <c r="J33" s="22"/>
      <c r="K33" s="24">
        <f t="shared" ref="K33:M33" si="17">K34-K35</f>
        <v>1237</v>
      </c>
      <c r="L33" s="24">
        <f t="shared" si="17"/>
        <v>1646</v>
      </c>
      <c r="M33" s="24">
        <f t="shared" si="17"/>
        <v>1850</v>
      </c>
    </row>
    <row r="34" spans="1:13" s="8" customFormat="1" x14ac:dyDescent="0.15">
      <c r="A34" s="8" t="s">
        <v>19</v>
      </c>
      <c r="B34" s="39"/>
      <c r="C34" s="39"/>
      <c r="D34" s="39"/>
      <c r="E34" s="23">
        <f>1116+10</f>
        <v>1126</v>
      </c>
      <c r="F34" s="22"/>
      <c r="G34" s="23"/>
      <c r="H34" s="23">
        <f>1079+52</f>
        <v>1131</v>
      </c>
      <c r="I34" s="23">
        <f>1079+52</f>
        <v>1131</v>
      </c>
      <c r="J34" s="22"/>
      <c r="K34" s="23">
        <f>1498+37</f>
        <v>1535</v>
      </c>
      <c r="L34" s="23">
        <f>1800+44</f>
        <v>1844</v>
      </c>
      <c r="M34" s="23">
        <f>2011+37</f>
        <v>2048</v>
      </c>
    </row>
    <row r="35" spans="1:13" s="8" customFormat="1" x14ac:dyDescent="0.15">
      <c r="A35" s="8" t="s">
        <v>20</v>
      </c>
      <c r="B35" s="39"/>
      <c r="C35" s="39"/>
      <c r="D35" s="39"/>
      <c r="E35" s="23">
        <v>0</v>
      </c>
      <c r="F35" s="22"/>
      <c r="G35" s="23"/>
      <c r="H35" s="23">
        <v>396</v>
      </c>
      <c r="I35" s="23">
        <v>396</v>
      </c>
      <c r="J35" s="22"/>
      <c r="K35" s="23">
        <v>298</v>
      </c>
      <c r="L35" s="23">
        <v>198</v>
      </c>
      <c r="M35" s="23">
        <v>198</v>
      </c>
    </row>
    <row r="36" spans="1:13" s="8" customFormat="1" x14ac:dyDescent="0.15">
      <c r="B36" s="39"/>
      <c r="C36" s="39"/>
      <c r="D36" s="39"/>
      <c r="E36" s="23"/>
      <c r="F36" s="22"/>
      <c r="G36" s="23"/>
      <c r="H36" s="23"/>
      <c r="I36" s="23"/>
      <c r="J36" s="22"/>
      <c r="K36" s="23"/>
      <c r="L36" s="23"/>
      <c r="M36" s="23"/>
    </row>
    <row r="37" spans="1:13" s="8" customFormat="1" x14ac:dyDescent="0.15">
      <c r="A37" s="59" t="s">
        <v>44</v>
      </c>
      <c r="B37" s="39"/>
      <c r="C37" s="39"/>
      <c r="D37" s="39"/>
      <c r="E37" s="23">
        <v>23</v>
      </c>
      <c r="F37" s="22"/>
      <c r="G37" s="23"/>
      <c r="H37" s="23">
        <v>78</v>
      </c>
      <c r="I37" s="23">
        <v>51</v>
      </c>
      <c r="J37" s="22"/>
      <c r="K37" s="23">
        <v>55</v>
      </c>
      <c r="L37" s="23">
        <v>94</v>
      </c>
      <c r="M37" s="23">
        <v>217</v>
      </c>
    </row>
    <row r="38" spans="1:13" s="8" customFormat="1" x14ac:dyDescent="0.15">
      <c r="A38" s="59" t="s">
        <v>45</v>
      </c>
      <c r="B38" s="39"/>
      <c r="C38" s="39"/>
      <c r="D38" s="39"/>
      <c r="E38" s="23">
        <v>1431</v>
      </c>
      <c r="F38" s="22"/>
      <c r="G38" s="23"/>
      <c r="H38" s="23">
        <v>1594</v>
      </c>
      <c r="I38" s="23">
        <v>1594</v>
      </c>
      <c r="J38" s="22"/>
      <c r="K38" s="23">
        <v>1892</v>
      </c>
      <c r="L38" s="23">
        <v>2604</v>
      </c>
      <c r="M38" s="23">
        <v>2691</v>
      </c>
    </row>
    <row r="39" spans="1:13" s="8" customFormat="1" x14ac:dyDescent="0.15">
      <c r="A39" s="59" t="s">
        <v>46</v>
      </c>
      <c r="B39" s="39"/>
      <c r="C39" s="39"/>
      <c r="D39" s="39"/>
      <c r="E39" s="23">
        <v>923</v>
      </c>
      <c r="F39" s="22"/>
      <c r="G39" s="23"/>
      <c r="H39" s="23">
        <v>1447</v>
      </c>
      <c r="I39" s="23">
        <v>1447</v>
      </c>
      <c r="J39" s="22"/>
      <c r="K39" s="23">
        <v>1163</v>
      </c>
      <c r="L39" s="23">
        <v>1352</v>
      </c>
      <c r="M39" s="23">
        <v>1168</v>
      </c>
    </row>
    <row r="40" spans="1:13" s="8" customFormat="1" x14ac:dyDescent="0.15">
      <c r="B40" s="39"/>
      <c r="C40" s="39"/>
      <c r="D40" s="39"/>
      <c r="E40" s="23"/>
      <c r="F40" s="22"/>
      <c r="G40" s="23"/>
      <c r="H40" s="23"/>
      <c r="I40" s="23"/>
      <c r="J40" s="22"/>
      <c r="K40" s="23"/>
      <c r="L40" s="23"/>
      <c r="M40" s="23"/>
    </row>
    <row r="41" spans="1:13" s="8" customFormat="1" x14ac:dyDescent="0.15">
      <c r="A41" s="59" t="s">
        <v>47</v>
      </c>
      <c r="B41" s="39"/>
      <c r="C41" s="39"/>
      <c r="D41" s="39"/>
      <c r="E41" s="26">
        <f t="shared" ref="E41:I41" si="18">E38-E34-E37</f>
        <v>282</v>
      </c>
      <c r="F41" s="21"/>
      <c r="G41" s="44"/>
      <c r="H41" s="26">
        <f t="shared" si="18"/>
        <v>385</v>
      </c>
      <c r="I41" s="26">
        <f t="shared" si="18"/>
        <v>412</v>
      </c>
      <c r="J41" s="22"/>
      <c r="K41" s="26">
        <f t="shared" ref="K41:L41" si="19">K38-K34-K37</f>
        <v>302</v>
      </c>
      <c r="L41" s="26">
        <f t="shared" si="19"/>
        <v>666</v>
      </c>
      <c r="M41" s="26">
        <f t="shared" ref="M41" si="20">M38-M34-M37</f>
        <v>426</v>
      </c>
    </row>
    <row r="42" spans="1:13" s="8" customFormat="1" x14ac:dyDescent="0.15">
      <c r="A42" s="59" t="s">
        <v>48</v>
      </c>
      <c r="B42" s="39"/>
      <c r="C42" s="39"/>
      <c r="D42" s="39"/>
      <c r="E42" s="26">
        <f t="shared" ref="E42" si="21">E38-E39</f>
        <v>508</v>
      </c>
      <c r="F42" s="21"/>
      <c r="G42" s="44"/>
      <c r="H42" s="26">
        <f>H38-H39</f>
        <v>147</v>
      </c>
      <c r="I42" s="26">
        <f>I38-I39</f>
        <v>147</v>
      </c>
      <c r="J42" s="22"/>
      <c r="K42" s="26">
        <f>K38-K39</f>
        <v>729</v>
      </c>
      <c r="L42" s="26">
        <f>L38-L39</f>
        <v>1252</v>
      </c>
      <c r="M42" s="26">
        <f>M38-M39</f>
        <v>1523</v>
      </c>
    </row>
    <row r="43" spans="1:13" s="8" customFormat="1" x14ac:dyDescent="0.15">
      <c r="B43" s="39"/>
      <c r="C43" s="39"/>
      <c r="D43" s="39"/>
      <c r="E43" s="23"/>
      <c r="F43" s="21"/>
      <c r="G43" s="44"/>
      <c r="H43" s="23"/>
      <c r="I43" s="23"/>
      <c r="J43" s="22"/>
      <c r="K43" s="23"/>
      <c r="L43" s="23"/>
      <c r="M43" s="23"/>
    </row>
    <row r="44" spans="1:13" s="17" customFormat="1" x14ac:dyDescent="0.15">
      <c r="A44" s="60" t="s">
        <v>49</v>
      </c>
      <c r="B44" s="39"/>
      <c r="C44" s="39"/>
      <c r="D44" s="39"/>
      <c r="E44" s="23"/>
      <c r="F44" s="21"/>
      <c r="G44" s="44"/>
      <c r="H44" s="24">
        <f t="shared" ref="H44:I44" si="22">SUM(E19:H19)</f>
        <v>-422.27399999999994</v>
      </c>
      <c r="I44" s="24">
        <f t="shared" si="22"/>
        <v>-582.81799999999998</v>
      </c>
      <c r="J44" s="22"/>
      <c r="K44" s="24">
        <f>SUM(H19:K19)</f>
        <v>-468.56399999999996</v>
      </c>
      <c r="L44" s="24">
        <f>SUM(I19:L19)</f>
        <v>-431.44553999999988</v>
      </c>
      <c r="M44" s="24">
        <f>SUM(J19:M19)</f>
        <v>-419.31353999999993</v>
      </c>
    </row>
    <row r="45" spans="1:13" x14ac:dyDescent="0.15">
      <c r="A45" s="18" t="s">
        <v>50</v>
      </c>
      <c r="B45" s="39"/>
      <c r="C45" s="39"/>
      <c r="D45" s="39"/>
      <c r="E45" s="23"/>
      <c r="G45" s="44"/>
      <c r="H45" s="33">
        <f t="shared" ref="H45:I45" si="23">H44/H42</f>
        <v>-2.872612244897959</v>
      </c>
      <c r="I45" s="33">
        <f t="shared" si="23"/>
        <v>-3.9647482993197278</v>
      </c>
      <c r="J45" s="22"/>
      <c r="K45" s="33">
        <f t="shared" ref="K45:L45" si="24">K44/K42</f>
        <v>-0.64274897119341556</v>
      </c>
      <c r="L45" s="33">
        <f t="shared" si="24"/>
        <v>-0.34460506389776346</v>
      </c>
      <c r="M45" s="33">
        <f t="shared" ref="M45" si="25">M44/M42</f>
        <v>-0.27532077478660533</v>
      </c>
    </row>
    <row r="46" spans="1:13" x14ac:dyDescent="0.15">
      <c r="A46" s="18" t="s">
        <v>51</v>
      </c>
      <c r="B46" s="39"/>
      <c r="C46" s="39"/>
      <c r="D46" s="39"/>
      <c r="E46" s="23"/>
      <c r="G46" s="44"/>
      <c r="H46" s="33">
        <f t="shared" ref="H46:I46" si="26">H44/H38</f>
        <v>-0.26491468005018814</v>
      </c>
      <c r="I46" s="33">
        <f t="shared" si="26"/>
        <v>-0.3656323713927227</v>
      </c>
      <c r="J46" s="22"/>
      <c r="K46" s="33">
        <f t="shared" ref="K46:L46" si="27">K44/K38</f>
        <v>-0.24765539112050738</v>
      </c>
      <c r="L46" s="33">
        <f t="shared" si="27"/>
        <v>-0.1656856912442396</v>
      </c>
      <c r="M46" s="33">
        <f t="shared" ref="M46" si="28">M44/M38</f>
        <v>-0.15582071348940912</v>
      </c>
    </row>
    <row r="47" spans="1:13" x14ac:dyDescent="0.15">
      <c r="A47" s="18" t="s">
        <v>52</v>
      </c>
      <c r="B47" s="39"/>
      <c r="C47" s="39"/>
      <c r="D47" s="39"/>
      <c r="E47" s="23"/>
      <c r="G47" s="44"/>
      <c r="H47" s="33">
        <f t="shared" ref="H47:I47" si="29">H44/(H42-H37)</f>
        <v>-6.1199130434782605</v>
      </c>
      <c r="I47" s="33">
        <f t="shared" si="29"/>
        <v>-6.0710208333333329</v>
      </c>
      <c r="J47" s="22"/>
      <c r="K47" s="33">
        <f t="shared" ref="K47:L47" si="30">K44/(K42-K37)</f>
        <v>-0.69519881305637976</v>
      </c>
      <c r="L47" s="33">
        <f t="shared" si="30"/>
        <v>-0.37257818652849728</v>
      </c>
      <c r="M47" s="33">
        <f t="shared" ref="M47" si="31">M44/(M42-M37)</f>
        <v>-0.32106702909647772</v>
      </c>
    </row>
    <row r="48" spans="1:13" x14ac:dyDescent="0.15">
      <c r="A48" s="18" t="s">
        <v>53</v>
      </c>
      <c r="B48" s="39"/>
      <c r="C48" s="39"/>
      <c r="D48" s="39"/>
      <c r="E48" s="23"/>
      <c r="G48" s="44"/>
      <c r="H48" s="33">
        <f t="shared" ref="H48:I48" si="32">H44/H41</f>
        <v>-1.0968155844155842</v>
      </c>
      <c r="I48" s="33">
        <f t="shared" si="32"/>
        <v>-1.4146067961165047</v>
      </c>
      <c r="J48" s="22"/>
      <c r="K48" s="33">
        <f t="shared" ref="K48:L48" si="33">K44/K41</f>
        <v>-1.5515364238410594</v>
      </c>
      <c r="L48" s="33">
        <f t="shared" si="33"/>
        <v>-0.64781612612612594</v>
      </c>
      <c r="M48" s="33">
        <f t="shared" ref="M48" si="34">M44/M41</f>
        <v>-0.9843040845070421</v>
      </c>
    </row>
    <row r="49" spans="1:13" x14ac:dyDescent="0.15">
      <c r="B49" s="39"/>
      <c r="C49" s="39"/>
      <c r="D49" s="39"/>
      <c r="E49" s="23"/>
      <c r="G49" s="44"/>
    </row>
    <row r="50" spans="1:13" x14ac:dyDescent="0.15">
      <c r="A50" s="6" t="s">
        <v>57</v>
      </c>
      <c r="B50" s="39"/>
      <c r="C50" s="39"/>
      <c r="D50" s="39"/>
      <c r="E50" s="23"/>
      <c r="G50" s="44"/>
      <c r="H50" s="33"/>
      <c r="I50" s="33"/>
      <c r="J50" s="34">
        <f t="shared" ref="J50:L50" si="35">J6/F6-1</f>
        <v>0.56712633938333679</v>
      </c>
      <c r="K50" s="33">
        <f t="shared" si="35"/>
        <v>0.42859006352087126</v>
      </c>
      <c r="L50" s="33">
        <f t="shared" si="35"/>
        <v>0.51865477771188351</v>
      </c>
      <c r="M50" s="33">
        <f>M6/I6-1</f>
        <v>0.40431552420233863</v>
      </c>
    </row>
    <row r="51" spans="1:13" x14ac:dyDescent="0.15">
      <c r="B51" s="39"/>
      <c r="C51" s="39"/>
      <c r="D51" s="39"/>
    </row>
    <row r="52" spans="1:13" s="66" customFormat="1" x14ac:dyDescent="0.15">
      <c r="A52" s="66" t="s">
        <v>80</v>
      </c>
      <c r="B52" s="34"/>
      <c r="C52" s="33"/>
      <c r="D52" s="33"/>
      <c r="E52" s="33"/>
      <c r="F52" s="34"/>
      <c r="G52" s="33"/>
      <c r="H52" s="33"/>
      <c r="I52" s="33"/>
      <c r="J52" s="34"/>
      <c r="K52" s="33"/>
      <c r="L52" s="33">
        <f>L3/H3-1</f>
        <v>0.67933182508445156</v>
      </c>
      <c r="M52" s="33">
        <f>M3/I3-1</f>
        <v>0.85365853658536595</v>
      </c>
    </row>
    <row r="53" spans="1:13" s="66" customFormat="1" x14ac:dyDescent="0.15">
      <c r="A53" s="66" t="s">
        <v>81</v>
      </c>
      <c r="B53" s="34"/>
      <c r="C53" s="33"/>
      <c r="D53" s="33"/>
      <c r="E53" s="33"/>
      <c r="F53" s="34"/>
      <c r="G53" s="33"/>
      <c r="H53" s="33"/>
      <c r="I53" s="33"/>
      <c r="J53" s="34"/>
      <c r="K53" s="33"/>
      <c r="L53" s="33">
        <f>L4/H4-1</f>
        <v>0.35273095796885023</v>
      </c>
      <c r="M53" s="33">
        <f>M4/I4-1</f>
        <v>3.937007874015741E-2</v>
      </c>
    </row>
    <row r="55" spans="1:13" s="14" customFormat="1" x14ac:dyDescent="0.15">
      <c r="B55" s="54"/>
      <c r="C55" s="41"/>
      <c r="D55" s="41"/>
      <c r="E55" s="41"/>
      <c r="F55" s="54"/>
      <c r="G55" s="41"/>
      <c r="H55" s="41"/>
      <c r="I55" s="41"/>
      <c r="J55" s="54"/>
      <c r="K55" s="41"/>
      <c r="L55" s="72"/>
      <c r="M55" s="41"/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47"/>
  <sheetViews>
    <sheetView zoomScale="120" zoomScaleNormal="120" workbookViewId="0">
      <selection activeCell="C12" sqref="C12"/>
    </sheetView>
  </sheetViews>
  <sheetFormatPr baseColWidth="10" defaultRowHeight="13" x14ac:dyDescent="0.15"/>
  <cols>
    <col min="1" max="1" width="10.83203125" style="3"/>
    <col min="2" max="2" width="19.33203125" style="3" bestFit="1" customWidth="1"/>
    <col min="3" max="3" width="29.6640625" style="3" bestFit="1" customWidth="1"/>
    <col min="4" max="4" width="35.33203125" style="3" bestFit="1" customWidth="1"/>
    <col min="5" max="16384" width="10.83203125" style="3"/>
  </cols>
  <sheetData>
    <row r="3" spans="2:4" x14ac:dyDescent="0.15">
      <c r="B3" s="67" t="s">
        <v>74</v>
      </c>
    </row>
    <row r="5" spans="2:4" x14ac:dyDescent="0.15">
      <c r="B5" s="3" t="s">
        <v>69</v>
      </c>
      <c r="C5" s="3" t="s">
        <v>75</v>
      </c>
      <c r="D5" s="2" t="s">
        <v>76</v>
      </c>
    </row>
    <row r="6" spans="2:4" x14ac:dyDescent="0.15">
      <c r="B6" s="3" t="s">
        <v>70</v>
      </c>
      <c r="C6" s="3" t="s">
        <v>71</v>
      </c>
      <c r="D6" s="2" t="s">
        <v>77</v>
      </c>
    </row>
    <row r="7" spans="2:4" x14ac:dyDescent="0.15">
      <c r="B7" s="3" t="s">
        <v>72</v>
      </c>
      <c r="C7" s="3" t="s">
        <v>73</v>
      </c>
    </row>
    <row r="10" spans="2:4" x14ac:dyDescent="0.15">
      <c r="B10" s="3" t="s">
        <v>89</v>
      </c>
      <c r="C10" s="16">
        <v>158000</v>
      </c>
    </row>
    <row r="11" spans="2:4" x14ac:dyDescent="0.15">
      <c r="B11" s="3" t="s">
        <v>90</v>
      </c>
      <c r="C11" s="16">
        <v>63000</v>
      </c>
    </row>
    <row r="12" spans="2:4" x14ac:dyDescent="0.15">
      <c r="C12" s="16">
        <f>SUM(C10:C11)</f>
        <v>221000</v>
      </c>
    </row>
    <row r="17" spans="2:4" x14ac:dyDescent="0.15">
      <c r="B17" s="67" t="s">
        <v>92</v>
      </c>
      <c r="C17" s="68" t="s">
        <v>93</v>
      </c>
      <c r="D17" s="38"/>
    </row>
    <row r="18" spans="2:4" x14ac:dyDescent="0.15">
      <c r="C18" s="38"/>
      <c r="D18" s="38"/>
    </row>
    <row r="19" spans="2:4" x14ac:dyDescent="0.15">
      <c r="B19" s="3" t="s">
        <v>82</v>
      </c>
      <c r="C19" s="38">
        <v>91</v>
      </c>
      <c r="D19" s="69">
        <v>43840</v>
      </c>
    </row>
    <row r="20" spans="2:4" x14ac:dyDescent="0.15">
      <c r="B20" s="3" t="s">
        <v>83</v>
      </c>
      <c r="C20" s="38">
        <v>36</v>
      </c>
      <c r="D20" s="69">
        <v>43871</v>
      </c>
    </row>
    <row r="21" spans="2:4" x14ac:dyDescent="0.15">
      <c r="B21" s="3" t="s">
        <v>84</v>
      </c>
      <c r="C21" s="38">
        <v>44</v>
      </c>
      <c r="D21" s="69">
        <v>44055</v>
      </c>
    </row>
    <row r="22" spans="2:4" x14ac:dyDescent="0.15">
      <c r="B22" s="3" t="s">
        <v>85</v>
      </c>
      <c r="C22" s="38">
        <v>114</v>
      </c>
      <c r="D22" s="69">
        <v>44186</v>
      </c>
    </row>
    <row r="23" spans="2:4" x14ac:dyDescent="0.15">
      <c r="B23" s="3" t="s">
        <v>86</v>
      </c>
      <c r="C23" s="38">
        <v>32</v>
      </c>
      <c r="D23" s="69">
        <v>44188</v>
      </c>
    </row>
    <row r="24" spans="2:4" x14ac:dyDescent="0.15">
      <c r="B24" s="3" t="s">
        <v>87</v>
      </c>
      <c r="C24" s="38">
        <v>23</v>
      </c>
      <c r="D24" s="69">
        <v>44200</v>
      </c>
    </row>
    <row r="25" spans="2:4" x14ac:dyDescent="0.15">
      <c r="B25" s="3" t="s">
        <v>88</v>
      </c>
      <c r="C25" s="38">
        <v>8</v>
      </c>
      <c r="D25" s="69">
        <v>44202</v>
      </c>
    </row>
    <row r="26" spans="2:4" x14ac:dyDescent="0.15">
      <c r="B26" s="3" t="s">
        <v>94</v>
      </c>
      <c r="C26" s="38"/>
      <c r="D26" s="38" t="s">
        <v>60</v>
      </c>
    </row>
    <row r="27" spans="2:4" x14ac:dyDescent="0.15">
      <c r="B27" s="3" t="s">
        <v>95</v>
      </c>
      <c r="C27" s="38"/>
      <c r="D27" s="38" t="s">
        <v>60</v>
      </c>
    </row>
    <row r="28" spans="2:4" x14ac:dyDescent="0.15">
      <c r="B28" s="3" t="s">
        <v>96</v>
      </c>
      <c r="C28" s="38"/>
      <c r="D28" s="38" t="s">
        <v>60</v>
      </c>
    </row>
    <row r="29" spans="2:4" x14ac:dyDescent="0.15">
      <c r="B29" s="3" t="s">
        <v>97</v>
      </c>
      <c r="C29" s="38"/>
      <c r="D29" s="38" t="s">
        <v>60</v>
      </c>
    </row>
    <row r="30" spans="2:4" x14ac:dyDescent="0.15">
      <c r="B30" s="3" t="s">
        <v>84</v>
      </c>
      <c r="C30" s="38">
        <v>44</v>
      </c>
      <c r="D30" s="38" t="s">
        <v>60</v>
      </c>
    </row>
    <row r="31" spans="2:4" x14ac:dyDescent="0.15">
      <c r="B31" s="3" t="s">
        <v>86</v>
      </c>
      <c r="C31" s="38">
        <v>31</v>
      </c>
      <c r="D31" s="38" t="s">
        <v>60</v>
      </c>
    </row>
    <row r="32" spans="2:4" x14ac:dyDescent="0.15">
      <c r="C32" s="38"/>
      <c r="D32" s="38"/>
    </row>
    <row r="33" spans="3:4" x14ac:dyDescent="0.15">
      <c r="C33" s="38"/>
      <c r="D33" s="38"/>
    </row>
    <row r="34" spans="3:4" x14ac:dyDescent="0.15">
      <c r="C34" s="38"/>
      <c r="D34" s="38"/>
    </row>
    <row r="35" spans="3:4" x14ac:dyDescent="0.15">
      <c r="C35" s="38"/>
      <c r="D35" s="38"/>
    </row>
    <row r="36" spans="3:4" x14ac:dyDescent="0.15">
      <c r="C36" s="38"/>
      <c r="D36" s="38"/>
    </row>
    <row r="37" spans="3:4" x14ac:dyDescent="0.15">
      <c r="C37" s="38"/>
      <c r="D37" s="38"/>
    </row>
    <row r="38" spans="3:4" x14ac:dyDescent="0.15">
      <c r="C38" s="38"/>
      <c r="D38" s="38"/>
    </row>
    <row r="39" spans="3:4" x14ac:dyDescent="0.15">
      <c r="C39" s="38"/>
      <c r="D39" s="38"/>
    </row>
    <row r="40" spans="3:4" x14ac:dyDescent="0.15">
      <c r="C40" s="38"/>
      <c r="D40" s="38"/>
    </row>
    <row r="41" spans="3:4" x14ac:dyDescent="0.15">
      <c r="C41" s="38"/>
      <c r="D41" s="38"/>
    </row>
    <row r="42" spans="3:4" x14ac:dyDescent="0.15">
      <c r="C42" s="38"/>
      <c r="D42" s="38"/>
    </row>
    <row r="43" spans="3:4" x14ac:dyDescent="0.15">
      <c r="C43" s="38"/>
      <c r="D43" s="38"/>
    </row>
    <row r="44" spans="3:4" x14ac:dyDescent="0.15">
      <c r="C44" s="38"/>
      <c r="D44" s="38"/>
    </row>
    <row r="45" spans="3:4" x14ac:dyDescent="0.15">
      <c r="C45" s="38"/>
      <c r="D45" s="38"/>
    </row>
    <row r="46" spans="3:4" x14ac:dyDescent="0.15">
      <c r="C46" s="38"/>
      <c r="D46" s="38"/>
    </row>
    <row r="47" spans="3:4" x14ac:dyDescent="0.15">
      <c r="C47" s="38"/>
      <c r="D47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2021-02-27T11:12:30Z</dcterms:modified>
</cp:coreProperties>
</file>