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123D2F6-F3C9-674B-92C4-482A8373F9C8}" xr6:coauthVersionLast="46" xr6:coauthVersionMax="46" xr10:uidLastSave="{00000000-0000-0000-0000-000000000000}"/>
  <bookViews>
    <workbookView xWindow="-51300" yWindow="-5940" windowWidth="256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I19" i="2"/>
  <c r="I18" i="2"/>
  <c r="H22" i="2"/>
  <c r="H21" i="2"/>
  <c r="L15" i="1"/>
  <c r="L14" i="1"/>
  <c r="K15" i="1"/>
  <c r="L16" i="1"/>
  <c r="N28" i="1"/>
  <c r="H16" i="2"/>
  <c r="H13" i="2"/>
  <c r="M51" i="1"/>
  <c r="C12" i="3"/>
  <c r="J11" i="2"/>
  <c r="K11" i="2" s="1"/>
  <c r="L11" i="2" s="1"/>
  <c r="M11" i="2" s="1"/>
  <c r="I11" i="2"/>
  <c r="W9" i="2"/>
  <c r="R9" i="2"/>
  <c r="M10" i="2"/>
  <c r="L10" i="2"/>
  <c r="K10" i="2"/>
  <c r="J10" i="2"/>
  <c r="J59" i="2"/>
  <c r="I10" i="2"/>
  <c r="I59" i="2"/>
  <c r="C5" i="2"/>
  <c r="C3" i="2"/>
  <c r="C4" i="2" s="1"/>
  <c r="H29" i="2"/>
  <c r="H15" i="2"/>
  <c r="H60" i="2"/>
  <c r="H59" i="2"/>
  <c r="H47" i="2"/>
  <c r="H46" i="2"/>
  <c r="H50" i="2" s="1"/>
  <c r="H45" i="2"/>
  <c r="H43" i="2"/>
  <c r="H42" i="2"/>
  <c r="H26" i="2"/>
  <c r="H24" i="2"/>
  <c r="H20" i="2"/>
  <c r="H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H18" i="2"/>
  <c r="G26" i="2"/>
  <c r="G24" i="2"/>
  <c r="G20" i="2"/>
  <c r="G19" i="2"/>
  <c r="G18" i="2"/>
  <c r="G16" i="2"/>
  <c r="G13" i="2"/>
  <c r="G15" i="2" s="1"/>
  <c r="K17" i="1"/>
  <c r="J17" i="1"/>
  <c r="J8" i="1"/>
  <c r="H8" i="1"/>
  <c r="F8" i="1"/>
  <c r="G17" i="1"/>
  <c r="F17" i="1"/>
  <c r="M54" i="1"/>
  <c r="M53" i="1"/>
  <c r="E15" i="2"/>
  <c r="M43" i="1"/>
  <c r="M42" i="1"/>
  <c r="M35" i="1"/>
  <c r="M34" i="1"/>
  <c r="I17" i="1"/>
  <c r="M31" i="1"/>
  <c r="M30" i="1"/>
  <c r="M29" i="1"/>
  <c r="M26" i="1"/>
  <c r="M25" i="1"/>
  <c r="M24" i="1"/>
  <c r="M20" i="1"/>
  <c r="M21" i="1" s="1"/>
  <c r="M17" i="1"/>
  <c r="M15" i="1"/>
  <c r="M8" i="1"/>
  <c r="M10" i="1" s="1"/>
  <c r="C35" i="2"/>
  <c r="B15" i="2"/>
  <c r="C15" i="2"/>
  <c r="D15" i="2"/>
  <c r="D35" i="2" s="1"/>
  <c r="L54" i="1"/>
  <c r="L53" i="1"/>
  <c r="L8" i="1"/>
  <c r="F9" i="2"/>
  <c r="G8" i="1"/>
  <c r="G10" i="1" s="1"/>
  <c r="G15" i="1"/>
  <c r="F10" i="1"/>
  <c r="F15" i="1"/>
  <c r="E35" i="1"/>
  <c r="E34" i="1" s="1"/>
  <c r="E43" i="1"/>
  <c r="J20" i="2" l="1"/>
  <c r="K20" i="2" s="1"/>
  <c r="L20" i="2" s="1"/>
  <c r="M20" i="2" s="1"/>
  <c r="N20" i="2" s="1"/>
  <c r="O20" i="2" s="1"/>
  <c r="P20" i="2" s="1"/>
  <c r="Q20" i="2" s="1"/>
  <c r="R20" i="2" s="1"/>
  <c r="H41" i="2"/>
  <c r="M60" i="2"/>
  <c r="I60" i="2"/>
  <c r="J60" i="2"/>
  <c r="L60" i="2"/>
  <c r="K60" i="2"/>
  <c r="K59" i="2"/>
  <c r="H17" i="2"/>
  <c r="E35" i="2"/>
  <c r="H49" i="2"/>
  <c r="I13" i="2"/>
  <c r="H57" i="2"/>
  <c r="R37" i="2"/>
  <c r="E42" i="1"/>
  <c r="M16" i="1"/>
  <c r="M18" i="1" s="1"/>
  <c r="F16" i="1"/>
  <c r="F24" i="1"/>
  <c r="G16" i="1"/>
  <c r="G24" i="1"/>
  <c r="F24" i="2"/>
  <c r="F15" i="2"/>
  <c r="F35" i="2" s="1"/>
  <c r="K35" i="1"/>
  <c r="I35" i="1"/>
  <c r="G42" i="2" s="1"/>
  <c r="H35" i="1"/>
  <c r="H17" i="1"/>
  <c r="L35" i="1"/>
  <c r="L17" i="1"/>
  <c r="J18" i="2" l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I22" i="2"/>
  <c r="J13" i="2"/>
  <c r="I15" i="2"/>
  <c r="I57" i="2"/>
  <c r="H23" i="2"/>
  <c r="H25" i="2" s="1"/>
  <c r="H31" i="2"/>
  <c r="I17" i="2" s="1"/>
  <c r="L59" i="2"/>
  <c r="G18" i="1"/>
  <c r="G25" i="1"/>
  <c r="F18" i="1"/>
  <c r="F25" i="1"/>
  <c r="L51" i="1"/>
  <c r="L43" i="1"/>
  <c r="L34" i="1"/>
  <c r="L30" i="1"/>
  <c r="L29" i="1"/>
  <c r="L10" i="1"/>
  <c r="L24" i="1" s="1"/>
  <c r="I23" i="2" l="1"/>
  <c r="K13" i="2"/>
  <c r="J15" i="2"/>
  <c r="J57" i="2"/>
  <c r="R36" i="2"/>
  <c r="M59" i="2"/>
  <c r="F20" i="1"/>
  <c r="F21" i="1" s="1"/>
  <c r="F26" i="1"/>
  <c r="G20" i="1"/>
  <c r="G21" i="1" s="1"/>
  <c r="G26" i="1"/>
  <c r="L42" i="1"/>
  <c r="K51" i="1"/>
  <c r="K43" i="1"/>
  <c r="K34" i="1"/>
  <c r="K30" i="1"/>
  <c r="K29" i="1"/>
  <c r="K8" i="1"/>
  <c r="K10" i="1" s="1"/>
  <c r="K24" i="1" s="1"/>
  <c r="L13" i="2" l="1"/>
  <c r="K15" i="2"/>
  <c r="K57" i="2"/>
  <c r="W36" i="2"/>
  <c r="K42" i="1"/>
  <c r="L18" i="1"/>
  <c r="L25" i="1"/>
  <c r="G47" i="2"/>
  <c r="G46" i="2"/>
  <c r="I43" i="1"/>
  <c r="I15" i="1"/>
  <c r="M32" i="1" s="1"/>
  <c r="I8" i="1"/>
  <c r="M28" i="1" s="1"/>
  <c r="G50" i="2" l="1"/>
  <c r="L15" i="2"/>
  <c r="M13" i="2"/>
  <c r="L57" i="2"/>
  <c r="I34" i="1"/>
  <c r="L20" i="1"/>
  <c r="L21" i="1" s="1"/>
  <c r="L26" i="1"/>
  <c r="I42" i="1"/>
  <c r="G43" i="2"/>
  <c r="G41" i="2" s="1"/>
  <c r="K16" i="1"/>
  <c r="I10" i="1"/>
  <c r="I24" i="1" s="1"/>
  <c r="G45" i="2"/>
  <c r="H36" i="2"/>
  <c r="M15" i="2" l="1"/>
  <c r="N15" i="2" s="1"/>
  <c r="M57" i="2"/>
  <c r="K25" i="1"/>
  <c r="K18" i="1"/>
  <c r="I16" i="1"/>
  <c r="G49" i="2"/>
  <c r="G17" i="2"/>
  <c r="I25" i="1" l="1"/>
  <c r="I18" i="1"/>
  <c r="K26" i="1"/>
  <c r="K20" i="1"/>
  <c r="K21" i="1" s="1"/>
  <c r="I20" i="1" l="1"/>
  <c r="I26" i="1"/>
  <c r="I21" i="1" l="1"/>
  <c r="H43" i="1"/>
  <c r="L31" i="1"/>
  <c r="L28" i="1"/>
  <c r="J51" i="1"/>
  <c r="J30" i="1"/>
  <c r="J29" i="1"/>
  <c r="J15" i="1"/>
  <c r="H10" i="1" l="1"/>
  <c r="H15" i="1"/>
  <c r="H34" i="1"/>
  <c r="H42" i="1"/>
  <c r="J10" i="1"/>
  <c r="K31" i="1"/>
  <c r="G57" i="2"/>
  <c r="F45" i="2"/>
  <c r="F42" i="2"/>
  <c r="J31" i="1"/>
  <c r="F46" i="2"/>
  <c r="F43" i="2"/>
  <c r="F47" i="2"/>
  <c r="I29" i="2"/>
  <c r="J29" i="2" s="1"/>
  <c r="K29" i="2" s="1"/>
  <c r="L29" i="2" s="1"/>
  <c r="M29" i="2" s="1"/>
  <c r="N29" i="2" s="1"/>
  <c r="O29" i="2" s="1"/>
  <c r="P29" i="2" s="1"/>
  <c r="Q29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S9" i="2" s="1"/>
  <c r="T9" i="2" s="1"/>
  <c r="U9" i="2" s="1"/>
  <c r="V9" i="2" s="1"/>
  <c r="R29" i="2" l="1"/>
  <c r="S29" i="2" s="1"/>
  <c r="T29" i="2" s="1"/>
  <c r="U29" i="2" s="1"/>
  <c r="V29" i="2" s="1"/>
  <c r="W29" i="2" s="1"/>
  <c r="K28" i="1"/>
  <c r="J32" i="1"/>
  <c r="J28" i="1"/>
  <c r="H16" i="1"/>
  <c r="H18" i="1" s="1"/>
  <c r="H20" i="1" s="1"/>
  <c r="L32" i="1"/>
  <c r="F41" i="2"/>
  <c r="J16" i="1"/>
  <c r="J24" i="1"/>
  <c r="F50" i="2"/>
  <c r="F49" i="2"/>
  <c r="C6" i="2"/>
  <c r="C7" i="2" s="1"/>
  <c r="G22" i="2" l="1"/>
  <c r="G23" i="2" s="1"/>
  <c r="G25" i="2" s="1"/>
  <c r="H21" i="1"/>
  <c r="K32" i="1"/>
  <c r="J25" i="1"/>
  <c r="J18" i="1"/>
  <c r="G37" i="2"/>
  <c r="F17" i="2"/>
  <c r="F22" i="2"/>
  <c r="J20" i="1" l="1"/>
  <c r="M45" i="1" s="1"/>
  <c r="J26" i="1"/>
  <c r="G36" i="2"/>
  <c r="H37" i="2"/>
  <c r="H24" i="1"/>
  <c r="G38" i="2"/>
  <c r="F23" i="2"/>
  <c r="F31" i="2"/>
  <c r="G39" i="2"/>
  <c r="M47" i="1" l="1"/>
  <c r="M48" i="1"/>
  <c r="M49" i="1"/>
  <c r="M46" i="1"/>
  <c r="L45" i="1"/>
  <c r="K45" i="1"/>
  <c r="J21" i="1"/>
  <c r="H25" i="1"/>
  <c r="H38" i="2"/>
  <c r="I37" i="2"/>
  <c r="G35" i="2"/>
  <c r="F32" i="2"/>
  <c r="F25" i="2"/>
  <c r="H39" i="2"/>
  <c r="I45" i="1" l="1"/>
  <c r="K49" i="1"/>
  <c r="K46" i="1"/>
  <c r="K48" i="1"/>
  <c r="K47" i="1"/>
  <c r="L49" i="1"/>
  <c r="L47" i="1"/>
  <c r="L48" i="1"/>
  <c r="L46" i="1"/>
  <c r="H45" i="1"/>
  <c r="I39" i="2"/>
  <c r="I36" i="2"/>
  <c r="G31" i="2"/>
  <c r="I38" i="2"/>
  <c r="J37" i="2"/>
  <c r="H35" i="2"/>
  <c r="F33" i="2"/>
  <c r="F27" i="2"/>
  <c r="H48" i="1" l="1"/>
  <c r="H46" i="1"/>
  <c r="H49" i="1"/>
  <c r="H47" i="1"/>
  <c r="I49" i="1"/>
  <c r="I47" i="1"/>
  <c r="I48" i="1"/>
  <c r="I46" i="1"/>
  <c r="J22" i="2"/>
  <c r="J39" i="2" s="1"/>
  <c r="F55" i="2"/>
  <c r="F54" i="2"/>
  <c r="F52" i="2"/>
  <c r="J36" i="2"/>
  <c r="I35" i="2"/>
  <c r="H26" i="1"/>
  <c r="F28" i="2"/>
  <c r="F53" i="2"/>
  <c r="K37" i="2"/>
  <c r="G32" i="2"/>
  <c r="J38" i="2"/>
  <c r="H32" i="2" l="1"/>
  <c r="K22" i="2"/>
  <c r="K39" i="2" s="1"/>
  <c r="K36" i="2"/>
  <c r="G33" i="2"/>
  <c r="J35" i="2"/>
  <c r="L37" i="2"/>
  <c r="K38" i="2"/>
  <c r="O15" i="2" l="1"/>
  <c r="P15" i="2" s="1"/>
  <c r="Q15" i="2" s="1"/>
  <c r="I16" i="2"/>
  <c r="I31" i="2"/>
  <c r="J17" i="2" s="1"/>
  <c r="J16" i="2" s="1"/>
  <c r="S36" i="2"/>
  <c r="G27" i="2"/>
  <c r="L36" i="2"/>
  <c r="K35" i="2"/>
  <c r="L38" i="2"/>
  <c r="L22" i="2"/>
  <c r="L39" i="2" s="1"/>
  <c r="M37" i="2"/>
  <c r="I32" i="2"/>
  <c r="R15" i="2" l="1"/>
  <c r="J31" i="2"/>
  <c r="K17" i="2" s="1"/>
  <c r="K16" i="2" s="1"/>
  <c r="J23" i="2"/>
  <c r="J32" i="2" s="1"/>
  <c r="T36" i="2"/>
  <c r="G28" i="2"/>
  <c r="G52" i="2"/>
  <c r="G54" i="2"/>
  <c r="G53" i="2"/>
  <c r="G55" i="2"/>
  <c r="M36" i="2"/>
  <c r="N22" i="2"/>
  <c r="M38" i="2"/>
  <c r="L35" i="2"/>
  <c r="M22" i="2"/>
  <c r="M39" i="2" s="1"/>
  <c r="N37" i="2"/>
  <c r="R35" i="2" l="1"/>
  <c r="S15" i="2"/>
  <c r="T15" i="2" s="1"/>
  <c r="U15" i="2" s="1"/>
  <c r="V15" i="2" s="1"/>
  <c r="W15" i="2" s="1"/>
  <c r="K23" i="2"/>
  <c r="K32" i="2" s="1"/>
  <c r="K31" i="2"/>
  <c r="L17" i="2" s="1"/>
  <c r="L16" i="2" s="1"/>
  <c r="U36" i="2"/>
  <c r="N36" i="2"/>
  <c r="H33" i="2"/>
  <c r="M35" i="2"/>
  <c r="N39" i="2"/>
  <c r="O37" i="2"/>
  <c r="N38" i="2"/>
  <c r="W35" i="2" l="1"/>
  <c r="L31" i="2"/>
  <c r="M17" i="2" s="1"/>
  <c r="M31" i="2" s="1"/>
  <c r="N17" i="2" s="1"/>
  <c r="L23" i="2"/>
  <c r="L32" i="2" s="1"/>
  <c r="V36" i="2"/>
  <c r="H27" i="2"/>
  <c r="O36" i="2"/>
  <c r="N35" i="2"/>
  <c r="P37" i="2"/>
  <c r="O38" i="2"/>
  <c r="O22" i="2"/>
  <c r="O39" i="2" s="1"/>
  <c r="H53" i="2" l="1"/>
  <c r="H54" i="2"/>
  <c r="H52" i="2"/>
  <c r="H55" i="2"/>
  <c r="M23" i="2"/>
  <c r="M32" i="2" s="1"/>
  <c r="M16" i="2"/>
  <c r="H28" i="2"/>
  <c r="P36" i="2"/>
  <c r="N23" i="2"/>
  <c r="N31" i="2"/>
  <c r="O17" i="2" s="1"/>
  <c r="N16" i="2"/>
  <c r="P38" i="2"/>
  <c r="P22" i="2"/>
  <c r="P39" i="2" s="1"/>
  <c r="Q37" i="2"/>
  <c r="O35" i="2"/>
  <c r="R38" i="2" l="1"/>
  <c r="R22" i="2"/>
  <c r="Q22" i="2"/>
  <c r="S20" i="2"/>
  <c r="S22" i="2" s="1"/>
  <c r="S37" i="2"/>
  <c r="Q36" i="2"/>
  <c r="O31" i="2"/>
  <c r="P17" i="2" s="1"/>
  <c r="P16" i="2" s="1"/>
  <c r="O23" i="2"/>
  <c r="O16" i="2"/>
  <c r="P35" i="2"/>
  <c r="Q39" i="2"/>
  <c r="I24" i="2"/>
  <c r="I25" i="2" s="1"/>
  <c r="Q38" i="2"/>
  <c r="N32" i="2"/>
  <c r="R39" i="2" l="1"/>
  <c r="S39" i="2"/>
  <c r="T37" i="2"/>
  <c r="S38" i="2"/>
  <c r="T20" i="2"/>
  <c r="I33" i="2"/>
  <c r="O32" i="2"/>
  <c r="Q35" i="2"/>
  <c r="P23" i="2"/>
  <c r="P31" i="2"/>
  <c r="Q17" i="2" s="1"/>
  <c r="T22" i="2" l="1"/>
  <c r="T39" i="2" s="1"/>
  <c r="U20" i="2"/>
  <c r="U22" i="2" s="1"/>
  <c r="T38" i="2"/>
  <c r="U37" i="2"/>
  <c r="S35" i="2"/>
  <c r="I27" i="2"/>
  <c r="Q23" i="2"/>
  <c r="Q31" i="2"/>
  <c r="R17" i="2" s="1"/>
  <c r="Q16" i="2"/>
  <c r="P32" i="2"/>
  <c r="W37" i="2" l="1"/>
  <c r="R31" i="2"/>
  <c r="R23" i="2"/>
  <c r="R16" i="2"/>
  <c r="U39" i="2"/>
  <c r="U38" i="2"/>
  <c r="V20" i="2"/>
  <c r="V37" i="2"/>
  <c r="S17" i="2"/>
  <c r="T35" i="2"/>
  <c r="I28" i="2"/>
  <c r="I41" i="2"/>
  <c r="J24" i="2" s="1"/>
  <c r="J25" i="2" s="1"/>
  <c r="Q32" i="2"/>
  <c r="V38" i="2" l="1"/>
  <c r="W20" i="2"/>
  <c r="R32" i="2"/>
  <c r="V22" i="2"/>
  <c r="U35" i="2"/>
  <c r="S31" i="2"/>
  <c r="T17" i="2" s="1"/>
  <c r="S23" i="2"/>
  <c r="S16" i="2"/>
  <c r="J33" i="2"/>
  <c r="W38" i="2" l="1"/>
  <c r="W22" i="2"/>
  <c r="V39" i="2"/>
  <c r="W39" i="2"/>
  <c r="S32" i="2"/>
  <c r="T31" i="2"/>
  <c r="U17" i="2" s="1"/>
  <c r="T23" i="2"/>
  <c r="T16" i="2"/>
  <c r="V35" i="2"/>
  <c r="J27" i="2"/>
  <c r="J41" i="2" l="1"/>
  <c r="K24" i="2" s="1"/>
  <c r="K25" i="2" s="1"/>
  <c r="T32" i="2"/>
  <c r="U16" i="2"/>
  <c r="U31" i="2"/>
  <c r="V17" i="2" s="1"/>
  <c r="U23" i="2"/>
  <c r="J28" i="2"/>
  <c r="U32" i="2" l="1"/>
  <c r="V31" i="2"/>
  <c r="W17" i="2" s="1"/>
  <c r="V23" i="2"/>
  <c r="V16" i="2"/>
  <c r="K33" i="2"/>
  <c r="W23" i="2" l="1"/>
  <c r="W31" i="2"/>
  <c r="W16" i="2"/>
  <c r="V32" i="2"/>
  <c r="K27" i="2"/>
  <c r="W32" i="2" l="1"/>
  <c r="K28" i="2"/>
  <c r="K41" i="2"/>
  <c r="L24" i="2" s="1"/>
  <c r="L25" i="2" s="1"/>
  <c r="L26" i="2" s="1"/>
  <c r="L33" i="2" l="1"/>
  <c r="L27" i="2" l="1"/>
  <c r="L28" i="2"/>
  <c r="L41" i="2"/>
  <c r="M24" i="2" l="1"/>
  <c r="M25" i="2" s="1"/>
  <c r="M26" i="2" s="1"/>
  <c r="M33" i="2" l="1"/>
  <c r="M27" i="2" l="1"/>
  <c r="M28" i="2" s="1"/>
  <c r="M41" i="2" l="1"/>
  <c r="N24" i="2"/>
  <c r="N25" i="2" s="1"/>
  <c r="N26" i="2" s="1"/>
  <c r="N33" i="2" l="1"/>
  <c r="N27" i="2" l="1"/>
  <c r="N28" i="2" l="1"/>
  <c r="N41" i="2"/>
  <c r="O24" i="2" l="1"/>
  <c r="O25" i="2" s="1"/>
  <c r="O26" i="2" s="1"/>
  <c r="O33" i="2" l="1"/>
  <c r="O27" i="2" l="1"/>
  <c r="O28" i="2" s="1"/>
  <c r="O41" i="2" l="1"/>
  <c r="P24" i="2" s="1"/>
  <c r="P25" i="2" s="1"/>
  <c r="P26" i="2" l="1"/>
  <c r="P33" i="2" s="1"/>
  <c r="P27" i="2" l="1"/>
  <c r="P28" i="2" s="1"/>
  <c r="P41" i="2" l="1"/>
  <c r="Q24" i="2" s="1"/>
  <c r="Q25" i="2" s="1"/>
  <c r="Q26" i="2" l="1"/>
  <c r="Q33" i="2" s="1"/>
  <c r="Q27" i="2" l="1"/>
  <c r="Q28" i="2" l="1"/>
  <c r="Q41" i="2"/>
  <c r="R24" i="2" l="1"/>
  <c r="R25" i="2" s="1"/>
  <c r="R26" i="2" l="1"/>
  <c r="R33" i="2" s="1"/>
  <c r="R27" i="2"/>
  <c r="R28" i="2" l="1"/>
  <c r="R41" i="2"/>
  <c r="S24" i="2" s="1"/>
  <c r="S25" i="2" s="1"/>
  <c r="S26" i="2" s="1"/>
  <c r="S33" i="2" s="1"/>
  <c r="S27" i="2" l="1"/>
  <c r="S28" i="2" s="1"/>
  <c r="S41" i="2"/>
  <c r="T24" i="2" s="1"/>
  <c r="T25" i="2" s="1"/>
  <c r="T26" i="2" l="1"/>
  <c r="T33" i="2" s="1"/>
  <c r="T27" i="2" l="1"/>
  <c r="T28" i="2" l="1"/>
  <c r="T41" i="2"/>
  <c r="U24" i="2" l="1"/>
  <c r="U25" i="2" s="1"/>
  <c r="U26" i="2" l="1"/>
  <c r="U33" i="2" s="1"/>
  <c r="U27" i="2" l="1"/>
  <c r="U28" i="2" s="1"/>
  <c r="U41" i="2" l="1"/>
  <c r="V24" i="2" s="1"/>
  <c r="V25" i="2" s="1"/>
  <c r="V26" i="2" l="1"/>
  <c r="V33" i="2" s="1"/>
  <c r="V27" i="2" l="1"/>
  <c r="V28" i="2" l="1"/>
  <c r="V41" i="2"/>
  <c r="W24" i="2" l="1"/>
  <c r="W25" i="2" s="1"/>
  <c r="W26" i="2" l="1"/>
  <c r="W33" i="2" s="1"/>
  <c r="W27" i="2"/>
  <c r="W28" i="2" l="1"/>
  <c r="W41" i="2"/>
  <c r="X27" i="2"/>
  <c r="Y27" i="2" l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<sst xmlns="http://schemas.openxmlformats.org/spreadsheetml/2006/main" count="154" uniqueCount="99">
  <si>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</si>
  <si>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</si>
  <si>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</si>
  <si>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</si>
  <si>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</si>
  <si>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</si>
  <si>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</si>
  <si>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</si>
  <si>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</si>
  <si>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</si>
  <si>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</si>
  <si>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</si>
  <si>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</si>
  <si>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</si>
  <si>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</si>
  <si>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</si>
  <si>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</si>
  <si>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</si>
  <si>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</si>
  <si>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</si>
  <si>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</si>
  <si>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</si>
  <si>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</si>
  <si>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</si>
  <si>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</si>
  <si>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</si>
  <si>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</si>
  <si>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</si>
  <si>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</si>
  <si>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</si>
  <si>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</si>
  <si>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</si>
  <si>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</si>
  <si>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</si>
  <si>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</si>
  <si>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</si>
  <si>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</si>
  <si>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</si>
  <si>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</si>
  <si>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</si>
  <si>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</si>
  <si>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</si>
  <si>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</si>
  <si>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</si>
  <si>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</si>
  <si>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</si>
  <si>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</si>
  <si>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</si>
  <si>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</si>
  <si>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</si>
  <si>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</si>
  <si>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</si>
  <si>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</si>
  <si>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</si>
  <si>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</si>
  <si>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</si>
  <si>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Subscription</t>
  </si>
  <si>
    <t>Subscription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</si>
  <si>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</si>
  <si>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</si>
  <si>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</si>
  <si>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</si>
  <si>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</si>
  <si>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</si>
  <si>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</si>
  <si>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</si>
  <si>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Palantir Technologies (PLTR)</t>
  </si>
  <si>
    <t>Alex Karp</t>
  </si>
  <si>
    <t>Peter Thiel</t>
  </si>
  <si>
    <t>Gotham</t>
  </si>
  <si>
    <t>Foundry</t>
  </si>
  <si>
    <t>Data management</t>
  </si>
  <si>
    <t>Apollo</t>
  </si>
  <si>
    <t>CDS</t>
  </si>
  <si>
    <t>Products</t>
  </si>
  <si>
    <t>Data analytics and pattern detection</t>
  </si>
  <si>
    <t>ML for public applications (non-technical)</t>
  </si>
  <si>
    <t>Data safety and security</t>
  </si>
  <si>
    <t>Government</t>
  </si>
  <si>
    <t>Commercial</t>
  </si>
  <si>
    <t>Government y/y</t>
  </si>
  <si>
    <t>Commercial y/y</t>
  </si>
  <si>
    <t>US Army Research Lab</t>
  </si>
  <si>
    <t>NCATS</t>
  </si>
  <si>
    <t>FDA</t>
  </si>
  <si>
    <t>Army Vantage</t>
  </si>
  <si>
    <t>NHS</t>
  </si>
  <si>
    <t>Japan Business</t>
  </si>
  <si>
    <t>Fujitsu</t>
  </si>
  <si>
    <t>Commercial TAM</t>
  </si>
  <si>
    <t>Government TAM</t>
  </si>
  <si>
    <t>10% of TAM</t>
  </si>
  <si>
    <t>CONTRACTS</t>
  </si>
  <si>
    <t>in millions</t>
  </si>
  <si>
    <t>Rio Tinto</t>
  </si>
  <si>
    <t>PG&amp;E</t>
  </si>
  <si>
    <t>bp</t>
  </si>
  <si>
    <t>US Air Force</t>
  </si>
  <si>
    <t>Stock-based 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</si>
</sst>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4" fillId="0" borderId="0" xfId="4" applyBorder="1"/>
    <xf numFmtId="3" fontId="4" fillId="0" borderId="0" xfId="4" applyNumberFormat="1" applyFont="1" applyBorder="1"/>
    <xf numFmtId="9" fontId="6" fillId="0" borderId="0" xfId="0" applyNumberFormat="1" applyFont="1" applyBorder="1"/>
    <xf numFmtId="0" fontId="8" fillId="0" borderId="0" xfId="0" applyFont="1"/>
    <xf numFmtId="0" fontId="7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9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3" fontId="7" fillId="0" borderId="0" xfId="0" applyNumberFormat="1" applyFont="1" applyBorder="1"/>
    <xf numFmtId="3" fontId="7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152400</xdr:rowOff>
    </xdr:from>
    <xdr:to>
      <xdr:col>8</xdr:col>
      <xdr:colOff>114300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429500" y="1290320"/>
          <a:ext cx="0" cy="84632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239184</xdr:colOff>
      <xdr:row>0</xdr:row>
      <xdr:rowOff>152400</xdr:rowOff>
    </xdr:from>
    <xdr:to>
      <xdr:col>13</xdr:col>
      <xdr:colOff>239184</xdr:colOff>
      <xdr:row>55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1690351" y="152400"/>
          <a:ext cx="0" cy="91609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ex_Karp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palantir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Peter_Thiel" TargetMode="External"/><Relationship Id="rId4" Type="http://schemas.openxmlformats.org/officeDocument/2006/relationships/hyperlink" Target="https://en.wikipedia.org/wiki/Alex_Kar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2165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0"/>
  <sheetViews>
    <sheetView tabSelected="1" zoomScale="125" zoomScaleNormal="125" workbookViewId="0">
      <pane xSplit="1" ySplit="9" topLeftCell="D10" activePane="bottomRight" state="frozen"/>
      <selection pane="topRight" activeCell="B1" sqref="B1"/>
      <selection pane="bottomLeft" activeCell="A11" sqref="A11"/>
      <selection pane="bottomRight" activeCell="K49" sqref="K49"/>
    </sheetView>
  </sheetViews>
  <sheetFormatPr baseColWidth="10" defaultRowHeight="13" x14ac:dyDescent="0.15"/>
  <cols>
    <col min="1" max="1" width="20.33203125" style="3" bestFit="1" customWidth="1"/>
    <col min="2" max="7" width="10.83203125" style="3"/>
    <col min="8" max="8" width="10.83203125" style="3" customWidth="1"/>
    <col min="9" max="16384" width="10.83203125" style="3"/>
  </cols>
  <sheetData>
    <row r="1" spans="1:118" x14ac:dyDescent="0.15">
      <c r="A1" s="64" t="s">
        <v>54</v>
      </c>
      <c r="B1" s="2" t="s">
        <v>66</v>
      </c>
    </row>
    <row r="2" spans="1:118" x14ac:dyDescent="0.15">
      <c r="B2" s="3" t="s">
        <v>36</v>
      </c>
      <c r="C2" s="4">
        <v>28.95</v>
      </c>
      <c r="D2" s="61">
        <v>44243</v>
      </c>
      <c r="E2" s="6" t="s">
        <v>21</v>
      </c>
      <c r="F2" s="7">
        <v>0.01</v>
      </c>
      <c r="I2" s="16"/>
      <c r="L2" s="2"/>
    </row>
    <row r="3" spans="1:118" x14ac:dyDescent="0.15">
      <c r="A3" s="2" t="s">
        <v>34</v>
      </c>
      <c r="B3" s="3" t="s">
        <v>13</v>
      </c>
      <c r="C3" s="8">
        <f>Reports!M22</f>
        <v>1763.5139220000001</v>
      </c>
      <c r="D3" s="62" t="s">
        <v>60</v>
      </c>
      <c r="E3" s="6" t="s">
        <v>22</v>
      </c>
      <c r="F3" s="7">
        <v>0.05</v>
      </c>
      <c r="G3" s="5" t="s">
        <v>55</v>
      </c>
      <c r="I3" s="16"/>
    </row>
    <row r="4" spans="1:118" x14ac:dyDescent="0.15">
      <c r="A4" s="63" t="s">
        <v>67</v>
      </c>
      <c r="B4" s="3" t="s">
        <v>37</v>
      </c>
      <c r="C4" s="10">
        <f>C2*C3</f>
        <v>51053.728041900002</v>
      </c>
      <c r="D4" s="62"/>
      <c r="E4" s="6" t="s">
        <v>23</v>
      </c>
      <c r="F4" s="7">
        <v>7.0000000000000007E-2</v>
      </c>
      <c r="G4" s="5" t="s">
        <v>61</v>
      </c>
      <c r="I4" s="19"/>
      <c r="L4" s="9" t="s">
        <v>62</v>
      </c>
    </row>
    <row r="5" spans="1:118" x14ac:dyDescent="0.15">
      <c r="B5" s="3" t="s">
        <v>18</v>
      </c>
      <c r="C5" s="8">
        <f>Reports!M34</f>
        <v>1850</v>
      </c>
      <c r="D5" s="62" t="s">
        <v>60</v>
      </c>
      <c r="E5" s="6" t="s">
        <v>24</v>
      </c>
      <c r="F5" s="11">
        <f>NPV(F4,I27:GS27)</f>
        <v>100874.29580296055</v>
      </c>
      <c r="G5" s="5" t="s">
        <v>63</v>
      </c>
      <c r="I5" s="19"/>
    </row>
    <row r="6" spans="1:118" x14ac:dyDescent="0.15">
      <c r="A6" s="2" t="s">
        <v>35</v>
      </c>
      <c r="B6" s="3" t="s">
        <v>38</v>
      </c>
      <c r="C6" s="10">
        <f>C4-C5</f>
        <v>49203.728041900002</v>
      </c>
      <c r="D6" s="62"/>
      <c r="E6" s="12" t="s">
        <v>25</v>
      </c>
      <c r="F6" s="13">
        <f>F5+C5</f>
        <v>102724.29580296055</v>
      </c>
      <c r="I6" s="19"/>
    </row>
    <row r="7" spans="1:118" x14ac:dyDescent="0.15">
      <c r="A7" s="63" t="s">
        <v>68</v>
      </c>
      <c r="B7" s="5" t="s">
        <v>39</v>
      </c>
      <c r="C7" s="43">
        <f>C6/C3</f>
        <v>27.900958097397996</v>
      </c>
      <c r="D7" s="62"/>
      <c r="E7" s="14" t="s">
        <v>39</v>
      </c>
      <c r="F7" s="42">
        <f>F6/C3</f>
        <v>58.249778763561437</v>
      </c>
      <c r="G7" s="19">
        <f>F7/C2-1</f>
        <v>1.0120821679986678</v>
      </c>
    </row>
    <row r="8" spans="1:118" x14ac:dyDescent="0.15">
      <c r="A8" s="63" t="s">
        <v>67</v>
      </c>
      <c r="F8" s="6"/>
      <c r="G8" s="15"/>
    </row>
    <row r="9" spans="1:118" x14ac:dyDescent="0.15">
      <c r="B9" s="38">
        <v>2014</v>
      </c>
      <c r="C9" s="38">
        <v>2015</v>
      </c>
      <c r="D9" s="38">
        <v>2016</v>
      </c>
      <c r="E9" s="38">
        <v>2017</v>
      </c>
      <c r="F9" s="38">
        <f>2018</f>
        <v>2018</v>
      </c>
      <c r="G9" s="38">
        <f t="shared" ref="G9:W9" si="0">F9+1</f>
        <v>2019</v>
      </c>
      <c r="H9" s="38">
        <f t="shared" si="0"/>
        <v>2020</v>
      </c>
      <c r="I9" s="38">
        <f t="shared" si="0"/>
        <v>2021</v>
      </c>
      <c r="J9" s="38">
        <f t="shared" si="0"/>
        <v>2022</v>
      </c>
      <c r="K9" s="38">
        <f t="shared" si="0"/>
        <v>2023</v>
      </c>
      <c r="L9" s="38">
        <f t="shared" si="0"/>
        <v>2024</v>
      </c>
      <c r="M9" s="38">
        <f t="shared" si="0"/>
        <v>2025</v>
      </c>
      <c r="N9" s="38">
        <f t="shared" si="0"/>
        <v>2026</v>
      </c>
      <c r="O9" s="38">
        <f t="shared" si="0"/>
        <v>2027</v>
      </c>
      <c r="P9" s="38">
        <f t="shared" si="0"/>
        <v>2028</v>
      </c>
      <c r="Q9" s="38">
        <f t="shared" si="0"/>
        <v>2029</v>
      </c>
      <c r="R9" s="38">
        <f t="shared" si="0"/>
        <v>2030</v>
      </c>
      <c r="S9" s="38">
        <f t="shared" si="0"/>
        <v>2031</v>
      </c>
      <c r="T9" s="38">
        <f t="shared" si="0"/>
        <v>2032</v>
      </c>
      <c r="U9" s="38">
        <f t="shared" si="0"/>
        <v>2033</v>
      </c>
      <c r="V9" s="38">
        <f t="shared" si="0"/>
        <v>2034</v>
      </c>
      <c r="W9" s="38">
        <f t="shared" si="0"/>
        <v>2035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</row>
    <row r="10" spans="1:118" s="16" customFormat="1" x14ac:dyDescent="0.15">
      <c r="A10" s="16" t="s">
        <v>78</v>
      </c>
      <c r="G10" s="16">
        <v>346</v>
      </c>
      <c r="H10" s="16">
        <v>610</v>
      </c>
      <c r="I10" s="16">
        <f>H10*1.6</f>
        <v>976</v>
      </c>
      <c r="J10" s="16">
        <f>I10*1.5</f>
        <v>1464</v>
      </c>
      <c r="K10" s="16">
        <f>J10*1.4</f>
        <v>2049.6</v>
      </c>
      <c r="L10" s="16">
        <f>K10*1.35</f>
        <v>2766.96</v>
      </c>
      <c r="M10" s="16">
        <f>L10*1.3</f>
        <v>3597.0480000000002</v>
      </c>
    </row>
    <row r="11" spans="1:118" s="16" customFormat="1" x14ac:dyDescent="0.15">
      <c r="A11" s="16" t="s">
        <v>79</v>
      </c>
      <c r="G11" s="16">
        <v>397</v>
      </c>
      <c r="H11" s="16">
        <v>482</v>
      </c>
      <c r="I11" s="16">
        <f>H11*1.2</f>
        <v>578.4</v>
      </c>
      <c r="J11" s="16">
        <f t="shared" ref="J11:M11" si="1">I11*1.2</f>
        <v>694.07999999999993</v>
      </c>
      <c r="K11" s="16">
        <f t="shared" si="1"/>
        <v>832.89599999999984</v>
      </c>
      <c r="L11" s="16">
        <f t="shared" si="1"/>
        <v>999.47519999999975</v>
      </c>
      <c r="M11" s="16">
        <f t="shared" si="1"/>
        <v>1199.3702399999997</v>
      </c>
    </row>
    <row r="12" spans="1:118" x14ac:dyDescent="0.1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</row>
    <row r="13" spans="1:118" x14ac:dyDescent="0.15">
      <c r="A13" s="8" t="s">
        <v>56</v>
      </c>
      <c r="B13" s="37">
        <v>235</v>
      </c>
      <c r="C13" s="37">
        <v>364</v>
      </c>
      <c r="D13" s="37">
        <v>466</v>
      </c>
      <c r="E13" s="37">
        <v>515</v>
      </c>
      <c r="F13" s="37">
        <v>595.40899999999999</v>
      </c>
      <c r="G13" s="37">
        <f>SUM(Reports!F6:I6)</f>
        <v>742.55500000000006</v>
      </c>
      <c r="H13" s="37">
        <f>SUM(Reports!J6:M6)</f>
        <v>1092.673</v>
      </c>
      <c r="I13" s="37">
        <f t="shared" ref="I13:M13" si="2">H13*1.4</f>
        <v>1529.7421999999999</v>
      </c>
      <c r="J13" s="37">
        <f t="shared" si="2"/>
        <v>2141.6390799999999</v>
      </c>
      <c r="K13" s="37">
        <f t="shared" si="2"/>
        <v>2998.2947119999999</v>
      </c>
      <c r="L13" s="37">
        <f t="shared" si="2"/>
        <v>4197.6125967999997</v>
      </c>
      <c r="M13" s="37">
        <f t="shared" si="2"/>
        <v>5876.6576355199995</v>
      </c>
      <c r="N13" s="37"/>
      <c r="O13" s="37"/>
      <c r="P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</row>
    <row r="14" spans="1:118" s="70" customFormat="1" x14ac:dyDescent="0.15">
      <c r="H14" s="70">
        <v>1070</v>
      </c>
      <c r="M14" s="70">
        <v>4000</v>
      </c>
      <c r="V14" s="70" t="s">
        <v>91</v>
      </c>
    </row>
    <row r="15" spans="1:118" x14ac:dyDescent="0.15">
      <c r="A15" s="2" t="s">
        <v>0</v>
      </c>
      <c r="B15" s="24">
        <f t="shared" ref="B15" si="3">SUM(B13:B13)</f>
        <v>235</v>
      </c>
      <c r="C15" s="24">
        <f t="shared" ref="C15" si="4">SUM(C13:C13)</f>
        <v>364</v>
      </c>
      <c r="D15" s="24">
        <f t="shared" ref="D15:F15" si="5">SUM(D13:D13)</f>
        <v>466</v>
      </c>
      <c r="E15" s="24">
        <f>SUM(E13:E13)</f>
        <v>515</v>
      </c>
      <c r="F15" s="24">
        <f t="shared" si="5"/>
        <v>595.40899999999999</v>
      </c>
      <c r="G15" s="24">
        <f>SUM(G13:G13)</f>
        <v>742.55500000000006</v>
      </c>
      <c r="H15" s="24">
        <f>SUM(H13:H13)</f>
        <v>1092.673</v>
      </c>
      <c r="I15" s="45">
        <f>SUM(I13)</f>
        <v>1529.7421999999999</v>
      </c>
      <c r="J15" s="45">
        <f>SUM(J13)</f>
        <v>2141.6390799999999</v>
      </c>
      <c r="K15" s="45">
        <f>SUM(K13)</f>
        <v>2998.2947119999999</v>
      </c>
      <c r="L15" s="45">
        <f>SUM(L13)</f>
        <v>4197.6125967999997</v>
      </c>
      <c r="M15" s="45">
        <f>SUM(M13)</f>
        <v>5876.6576355199995</v>
      </c>
      <c r="N15" s="45">
        <f>M15*1.2</f>
        <v>7051.9891626239996</v>
      </c>
      <c r="O15" s="45">
        <f t="shared" ref="O15:R15" si="6">N15*1.2</f>
        <v>8462.3869951487995</v>
      </c>
      <c r="P15" s="45">
        <f t="shared" si="6"/>
        <v>10154.864394178559</v>
      </c>
      <c r="Q15" s="45">
        <f t="shared" si="6"/>
        <v>12185.837273014271</v>
      </c>
      <c r="R15" s="45">
        <f t="shared" si="6"/>
        <v>14623.004727617124</v>
      </c>
      <c r="S15" s="45">
        <f t="shared" ref="S15:W15" si="7">R15*1.1</f>
        <v>16085.305200378838</v>
      </c>
      <c r="T15" s="45">
        <f t="shared" si="7"/>
        <v>17693.835720416722</v>
      </c>
      <c r="U15" s="45">
        <f t="shared" si="7"/>
        <v>19463.219292458398</v>
      </c>
      <c r="V15" s="45">
        <f t="shared" si="7"/>
        <v>21409.541221704239</v>
      </c>
      <c r="W15" s="45">
        <f t="shared" si="7"/>
        <v>23550.495343874667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</row>
    <row r="16" spans="1:118" x14ac:dyDescent="0.15">
      <c r="A16" s="3" t="s">
        <v>1</v>
      </c>
      <c r="B16" s="23"/>
      <c r="C16" s="23"/>
      <c r="D16" s="23"/>
      <c r="E16" s="23"/>
      <c r="F16" s="37">
        <v>165.40100000000001</v>
      </c>
      <c r="G16" s="37">
        <f>SUM(Reports!F9:I9)</f>
        <v>242.37299999999999</v>
      </c>
      <c r="H16" s="37">
        <f>SUM(Reports!J9:M9)</f>
        <v>352.54699999999997</v>
      </c>
      <c r="I16" s="23">
        <f t="shared" ref="I16" si="8">I15-I17</f>
        <v>493.56580000000008</v>
      </c>
      <c r="J16" s="23">
        <f t="shared" ref="J16:Q16" si="9">J15-J17</f>
        <v>690.99212000000011</v>
      </c>
      <c r="K16" s="23">
        <f t="shared" si="9"/>
        <v>967.38896799999998</v>
      </c>
      <c r="L16" s="23">
        <f>L15-L17</f>
        <v>1354.3445551999998</v>
      </c>
      <c r="M16" s="23">
        <f t="shared" si="9"/>
        <v>1896.0823772799999</v>
      </c>
      <c r="N16" s="23">
        <f t="shared" si="9"/>
        <v>2275.2988527360003</v>
      </c>
      <c r="O16" s="23">
        <f t="shared" si="9"/>
        <v>2730.3586232832004</v>
      </c>
      <c r="P16" s="23">
        <f t="shared" si="9"/>
        <v>3276.4303479398404</v>
      </c>
      <c r="Q16" s="23">
        <f t="shared" si="9"/>
        <v>3931.7164175278085</v>
      </c>
      <c r="R16" s="23">
        <f t="shared" ref="R16" si="10">R15-R17</f>
        <v>4718.0597010333695</v>
      </c>
      <c r="S16" s="23">
        <f t="shared" ref="S16:V16" si="11">S15-S17</f>
        <v>5189.8656711367057</v>
      </c>
      <c r="T16" s="23">
        <f t="shared" si="11"/>
        <v>5708.8522382503779</v>
      </c>
      <c r="U16" s="23">
        <f t="shared" si="11"/>
        <v>6279.7374620754163</v>
      </c>
      <c r="V16" s="23">
        <f t="shared" si="11"/>
        <v>6907.711208282959</v>
      </c>
      <c r="W16" s="23">
        <f t="shared" ref="W16" si="12">W15-W17</f>
        <v>7598.4823291112552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</row>
    <row r="17" spans="1:201" x14ac:dyDescent="0.15">
      <c r="A17" s="3" t="s">
        <v>2</v>
      </c>
      <c r="B17" s="23"/>
      <c r="C17" s="23"/>
      <c r="D17" s="23"/>
      <c r="E17" s="23"/>
      <c r="F17" s="26">
        <f>F15-F16</f>
        <v>430.00799999999998</v>
      </c>
      <c r="G17" s="26">
        <f>G15-G16</f>
        <v>500.18200000000007</v>
      </c>
      <c r="H17" s="26">
        <f>H15-H16</f>
        <v>740.12599999999998</v>
      </c>
      <c r="I17" s="23">
        <f>I15*H31</f>
        <v>1036.1763999999998</v>
      </c>
      <c r="J17" s="23">
        <f t="shared" ref="J17:W17" si="13">J15*I31</f>
        <v>1450.6469599999998</v>
      </c>
      <c r="K17" s="23">
        <f t="shared" si="13"/>
        <v>2030.9057439999999</v>
      </c>
      <c r="L17" s="23">
        <f>L15*K31</f>
        <v>2843.2680415999998</v>
      </c>
      <c r="M17" s="23">
        <f t="shared" si="13"/>
        <v>3980.5752582399996</v>
      </c>
      <c r="N17" s="23">
        <f t="shared" si="13"/>
        <v>4776.6903098879993</v>
      </c>
      <c r="O17" s="23">
        <f t="shared" si="13"/>
        <v>5732.0283718655992</v>
      </c>
      <c r="P17" s="23">
        <f t="shared" si="13"/>
        <v>6878.434046238719</v>
      </c>
      <c r="Q17" s="23">
        <f t="shared" si="13"/>
        <v>8254.1208554864625</v>
      </c>
      <c r="R17" s="23">
        <f t="shared" si="13"/>
        <v>9904.945026583755</v>
      </c>
      <c r="S17" s="23">
        <f t="shared" si="13"/>
        <v>10895.439529242132</v>
      </c>
      <c r="T17" s="23">
        <f t="shared" si="13"/>
        <v>11984.983482166344</v>
      </c>
      <c r="U17" s="23">
        <f t="shared" si="13"/>
        <v>13183.481830382982</v>
      </c>
      <c r="V17" s="23">
        <f t="shared" si="13"/>
        <v>14501.83001342128</v>
      </c>
      <c r="W17" s="23">
        <f t="shared" si="13"/>
        <v>15952.013014763412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</row>
    <row r="18" spans="1:201" x14ac:dyDescent="0.15">
      <c r="A18" s="3" t="s">
        <v>3</v>
      </c>
      <c r="B18" s="23"/>
      <c r="C18" s="23"/>
      <c r="D18" s="23"/>
      <c r="E18" s="23"/>
      <c r="F18" s="37">
        <v>285</v>
      </c>
      <c r="G18" s="37">
        <f>SUM(Reports!F11:I11)</f>
        <v>306</v>
      </c>
      <c r="H18" s="37">
        <f>SUM(Reports!J11:M11)</f>
        <v>561</v>
      </c>
      <c r="I18" s="23">
        <f>H18*0.7</f>
        <v>392.7</v>
      </c>
      <c r="J18" s="23">
        <f>I18*1.25</f>
        <v>490.875</v>
      </c>
      <c r="K18" s="23">
        <f t="shared" ref="K18:M18" si="14">J18*1.25</f>
        <v>613.59375</v>
      </c>
      <c r="L18" s="23">
        <f t="shared" si="14"/>
        <v>766.9921875</v>
      </c>
      <c r="M18" s="23">
        <f t="shared" si="14"/>
        <v>958.740234375</v>
      </c>
      <c r="N18" s="23">
        <f>M18*1.2</f>
        <v>1150.48828125</v>
      </c>
      <c r="O18" s="23">
        <f t="shared" ref="O18:R18" si="15">N18*1.2</f>
        <v>1380.5859375</v>
      </c>
      <c r="P18" s="23">
        <f t="shared" si="15"/>
        <v>1656.703125</v>
      </c>
      <c r="Q18" s="23">
        <f t="shared" si="15"/>
        <v>1988.0437499999998</v>
      </c>
      <c r="R18" s="23">
        <f t="shared" si="15"/>
        <v>2385.6524999999997</v>
      </c>
      <c r="S18" s="23">
        <f>R18*1.1</f>
        <v>2624.2177499999998</v>
      </c>
      <c r="T18" s="23">
        <f t="shared" ref="T18:W18" si="16">S18*1.1</f>
        <v>2886.639525</v>
      </c>
      <c r="U18" s="23">
        <f t="shared" si="16"/>
        <v>3175.3034775000001</v>
      </c>
      <c r="V18" s="23">
        <f t="shared" si="16"/>
        <v>3492.8338252500002</v>
      </c>
      <c r="W18" s="23">
        <f t="shared" si="16"/>
        <v>3842.1172077750007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</row>
    <row r="19" spans="1:201" x14ac:dyDescent="0.15">
      <c r="A19" s="3" t="s">
        <v>4</v>
      </c>
      <c r="B19" s="23"/>
      <c r="C19" s="23"/>
      <c r="D19" s="23"/>
      <c r="E19" s="23"/>
      <c r="F19" s="37">
        <v>462</v>
      </c>
      <c r="G19" s="37">
        <f>SUM(Reports!F12:I12)</f>
        <v>451</v>
      </c>
      <c r="H19" s="37">
        <f>SUM(Reports!J12:M12)</f>
        <v>685</v>
      </c>
      <c r="I19" s="23">
        <f>H19*0.7</f>
        <v>479.49999999999994</v>
      </c>
      <c r="J19" s="23">
        <f t="shared" ref="J19:M19" si="17">I19*1.2</f>
        <v>575.39999999999986</v>
      </c>
      <c r="K19" s="23">
        <f t="shared" si="17"/>
        <v>690.47999999999979</v>
      </c>
      <c r="L19" s="23">
        <f t="shared" si="17"/>
        <v>828.57599999999968</v>
      </c>
      <c r="M19" s="23">
        <f t="shared" si="17"/>
        <v>994.29119999999955</v>
      </c>
      <c r="N19" s="23">
        <f>M19*1.1</f>
        <v>1093.7203199999997</v>
      </c>
      <c r="O19" s="23">
        <f t="shared" ref="O19:R19" si="18">N19*1.1</f>
        <v>1203.0923519999997</v>
      </c>
      <c r="P19" s="23">
        <f t="shared" si="18"/>
        <v>1323.4015871999998</v>
      </c>
      <c r="Q19" s="23">
        <f t="shared" si="18"/>
        <v>1455.7417459199999</v>
      </c>
      <c r="R19" s="23">
        <f t="shared" si="18"/>
        <v>1601.315920512</v>
      </c>
      <c r="S19" s="23">
        <f>R19*0.95</f>
        <v>1521.2501244864</v>
      </c>
      <c r="T19" s="23">
        <f t="shared" ref="T19:W19" si="19">S19*0.95</f>
        <v>1445.1876182620799</v>
      </c>
      <c r="U19" s="23">
        <f t="shared" si="19"/>
        <v>1372.9282373489759</v>
      </c>
      <c r="V19" s="23">
        <f t="shared" si="19"/>
        <v>1304.281825481527</v>
      </c>
      <c r="W19" s="23">
        <f t="shared" si="19"/>
        <v>1239.0677342074505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</row>
    <row r="20" spans="1:201" x14ac:dyDescent="0.15">
      <c r="A20" s="3" t="s">
        <v>5</v>
      </c>
      <c r="B20" s="23"/>
      <c r="C20" s="23"/>
      <c r="D20" s="23"/>
      <c r="E20" s="23"/>
      <c r="F20" s="37">
        <v>306</v>
      </c>
      <c r="G20" s="37">
        <f>SUM(Reports!F13:I13)</f>
        <v>321</v>
      </c>
      <c r="H20" s="37">
        <f>SUM(Reports!J13:M13)</f>
        <v>669</v>
      </c>
      <c r="I20" s="23">
        <f>H20*0.5</f>
        <v>334.5</v>
      </c>
      <c r="J20" s="23">
        <f>I20*1.15</f>
        <v>384.67499999999995</v>
      </c>
      <c r="K20" s="23">
        <f t="shared" ref="K20:M20" si="20">J20*1.15</f>
        <v>442.37624999999991</v>
      </c>
      <c r="L20" s="23">
        <f t="shared" si="20"/>
        <v>508.73268749999988</v>
      </c>
      <c r="M20" s="23">
        <f t="shared" si="20"/>
        <v>585.04259062499978</v>
      </c>
      <c r="N20" s="23">
        <f>M20*1.05</f>
        <v>614.29472015624981</v>
      </c>
      <c r="O20" s="23">
        <f t="shared" ref="O20:R20" si="21">N20*1.05</f>
        <v>645.00945616406227</v>
      </c>
      <c r="P20" s="23">
        <f t="shared" si="21"/>
        <v>677.25992897226547</v>
      </c>
      <c r="Q20" s="23">
        <f t="shared" si="21"/>
        <v>711.1229254208788</v>
      </c>
      <c r="R20" s="23">
        <f t="shared" si="21"/>
        <v>746.67907169192279</v>
      </c>
      <c r="S20" s="23">
        <f t="shared" ref="S20:W20" si="22">R20*0.98</f>
        <v>731.74549025808437</v>
      </c>
      <c r="T20" s="23">
        <f t="shared" si="22"/>
        <v>717.1105804529227</v>
      </c>
      <c r="U20" s="23">
        <f t="shared" si="22"/>
        <v>702.76836884386421</v>
      </c>
      <c r="V20" s="23">
        <f t="shared" si="22"/>
        <v>688.71300146698695</v>
      </c>
      <c r="W20" s="23">
        <f t="shared" si="22"/>
        <v>674.9387414376472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</row>
    <row r="21" spans="1:201" s="5" customFormat="1" x14ac:dyDescent="0.15">
      <c r="A21" s="5" t="s">
        <v>98</v>
      </c>
      <c r="B21" s="39"/>
      <c r="C21" s="39"/>
      <c r="D21" s="39"/>
      <c r="E21" s="39"/>
      <c r="F21" s="70"/>
      <c r="G21" s="70"/>
      <c r="H21" s="70">
        <f>SUM(Reports!J14:M14)</f>
        <v>778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</row>
    <row r="22" spans="1:201" x14ac:dyDescent="0.15">
      <c r="A22" s="3" t="s">
        <v>6</v>
      </c>
      <c r="B22" s="23"/>
      <c r="C22" s="23"/>
      <c r="D22" s="23"/>
      <c r="E22" s="23"/>
      <c r="F22" s="26">
        <f>SUM(F18:F20)</f>
        <v>1053</v>
      </c>
      <c r="G22" s="26">
        <f>SUM(G18:G20)</f>
        <v>1078</v>
      </c>
      <c r="H22" s="26">
        <f>SUM(H18:H20)-H21</f>
        <v>1137</v>
      </c>
      <c r="I22" s="23">
        <f>SUM(I18:I20)</f>
        <v>1206.6999999999998</v>
      </c>
      <c r="J22" s="23">
        <f t="shared" ref="J22:Q22" si="23">SUM(J18:J20)</f>
        <v>1450.9499999999998</v>
      </c>
      <c r="K22" s="23">
        <f t="shared" si="23"/>
        <v>1746.4499999999998</v>
      </c>
      <c r="L22" s="23">
        <f t="shared" si="23"/>
        <v>2104.3008749999995</v>
      </c>
      <c r="M22" s="23">
        <f t="shared" si="23"/>
        <v>2538.0740249999994</v>
      </c>
      <c r="N22" s="23">
        <f t="shared" si="23"/>
        <v>2858.5033214062491</v>
      </c>
      <c r="O22" s="23">
        <f t="shared" si="23"/>
        <v>3228.6877456640618</v>
      </c>
      <c r="P22" s="23">
        <f t="shared" si="23"/>
        <v>3657.3646411722657</v>
      </c>
      <c r="Q22" s="23">
        <f t="shared" si="23"/>
        <v>4154.9084213408787</v>
      </c>
      <c r="R22" s="23">
        <f t="shared" ref="R22" si="24">SUM(R18:R20)</f>
        <v>4733.6474922039224</v>
      </c>
      <c r="S22" s="23">
        <f t="shared" ref="S22:V22" si="25">SUM(S18:S20)</f>
        <v>4877.2133647444844</v>
      </c>
      <c r="T22" s="23">
        <f t="shared" si="25"/>
        <v>5048.9377237150029</v>
      </c>
      <c r="U22" s="23">
        <f t="shared" si="25"/>
        <v>5251.0000836928411</v>
      </c>
      <c r="V22" s="23">
        <f t="shared" si="25"/>
        <v>5485.8286521985137</v>
      </c>
      <c r="W22" s="23">
        <f t="shared" ref="W22" si="26">SUM(W18:W20)</f>
        <v>5756.1236834200981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</row>
    <row r="23" spans="1:201" x14ac:dyDescent="0.15">
      <c r="A23" s="3" t="s">
        <v>7</v>
      </c>
      <c r="B23" s="23"/>
      <c r="C23" s="23"/>
      <c r="D23" s="23"/>
      <c r="E23" s="23"/>
      <c r="F23" s="26">
        <f>F17-F22</f>
        <v>-622.99199999999996</v>
      </c>
      <c r="G23" s="26">
        <f>G17-G22</f>
        <v>-577.81799999999998</v>
      </c>
      <c r="H23" s="26">
        <f>H17-H22</f>
        <v>-396.87400000000002</v>
      </c>
      <c r="I23" s="23">
        <f>I17-I22</f>
        <v>-170.52359999999999</v>
      </c>
      <c r="J23" s="23">
        <f t="shared" ref="J23:Q23" si="27">J17-J22</f>
        <v>-0.30304000000000997</v>
      </c>
      <c r="K23" s="23">
        <f t="shared" si="27"/>
        <v>284.4557440000001</v>
      </c>
      <c r="L23" s="23">
        <f t="shared" si="27"/>
        <v>738.96716660000038</v>
      </c>
      <c r="M23" s="23">
        <f t="shared" si="27"/>
        <v>1442.5012332400001</v>
      </c>
      <c r="N23" s="23">
        <f t="shared" si="27"/>
        <v>1918.1869884817502</v>
      </c>
      <c r="O23" s="23">
        <f t="shared" si="27"/>
        <v>2503.3406262015374</v>
      </c>
      <c r="P23" s="23">
        <f t="shared" si="27"/>
        <v>3221.0694050664533</v>
      </c>
      <c r="Q23" s="23">
        <f t="shared" si="27"/>
        <v>4099.2124341455838</v>
      </c>
      <c r="R23" s="23">
        <f t="shared" ref="R23" si="28">R17-R22</f>
        <v>5171.2975343798325</v>
      </c>
      <c r="S23" s="23">
        <f t="shared" ref="S23:V23" si="29">S17-S22</f>
        <v>6018.2261644976479</v>
      </c>
      <c r="T23" s="23">
        <f t="shared" si="29"/>
        <v>6936.0457584513415</v>
      </c>
      <c r="U23" s="23">
        <f t="shared" si="29"/>
        <v>7932.4817466901404</v>
      </c>
      <c r="V23" s="23">
        <f t="shared" si="29"/>
        <v>9016.0013612227667</v>
      </c>
      <c r="W23" s="23">
        <f t="shared" ref="W23" si="30">W17-W22</f>
        <v>10195.889331343315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</row>
    <row r="24" spans="1:201" x14ac:dyDescent="0.15">
      <c r="A24" s="3" t="s">
        <v>8</v>
      </c>
      <c r="B24" s="23"/>
      <c r="C24" s="23"/>
      <c r="D24" s="23"/>
      <c r="E24" s="23"/>
      <c r="F24" s="23">
        <f>10-3+48-3</f>
        <v>52</v>
      </c>
      <c r="G24" s="37">
        <f>SUM(Reports!F17:I17)</f>
        <v>7</v>
      </c>
      <c r="H24" s="37">
        <f>SUM(Reports!J17:M17)</f>
        <v>-7</v>
      </c>
      <c r="I24" s="23">
        <f t="shared" ref="I24:W24" si="31">H41*$F$3</f>
        <v>92.5</v>
      </c>
      <c r="J24" s="23">
        <f t="shared" si="31"/>
        <v>88.598820000000003</v>
      </c>
      <c r="K24" s="23">
        <f t="shared" si="31"/>
        <v>93.013609000000002</v>
      </c>
      <c r="L24" s="23">
        <f t="shared" si="31"/>
        <v>111.88707665</v>
      </c>
      <c r="M24" s="23">
        <f t="shared" si="31"/>
        <v>150.17551759625002</v>
      </c>
      <c r="N24" s="23">
        <f t="shared" si="31"/>
        <v>221.84597138388128</v>
      </c>
      <c r="O24" s="23">
        <f t="shared" si="31"/>
        <v>318.14745457783465</v>
      </c>
      <c r="P24" s="23">
        <f t="shared" si="31"/>
        <v>445.1144182129064</v>
      </c>
      <c r="Q24" s="23">
        <f t="shared" si="31"/>
        <v>610.09269026047753</v>
      </c>
      <c r="R24" s="23">
        <f t="shared" si="31"/>
        <v>822.0114208587504</v>
      </c>
      <c r="S24" s="23">
        <f t="shared" si="31"/>
        <v>1091.7103238444868</v>
      </c>
      <c r="T24" s="23">
        <f t="shared" si="31"/>
        <v>1411.6574658198829</v>
      </c>
      <c r="U24" s="23">
        <f t="shared" si="31"/>
        <v>1787.3041109120882</v>
      </c>
      <c r="V24" s="23">
        <f t="shared" si="31"/>
        <v>2224.6944745041883</v>
      </c>
      <c r="W24" s="23">
        <f t="shared" si="31"/>
        <v>2730.5257871119011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</row>
    <row r="25" spans="1:201" x14ac:dyDescent="0.15">
      <c r="A25" s="3" t="s">
        <v>9</v>
      </c>
      <c r="B25" s="23"/>
      <c r="C25" s="23"/>
      <c r="D25" s="23"/>
      <c r="E25" s="23"/>
      <c r="F25" s="26">
        <f>F23+F24</f>
        <v>-570.99199999999996</v>
      </c>
      <c r="G25" s="26">
        <f>G23+G24</f>
        <v>-570.81799999999998</v>
      </c>
      <c r="H25" s="26">
        <f>H23+H24</f>
        <v>-403.87400000000002</v>
      </c>
      <c r="I25" s="23">
        <f>I23+I24</f>
        <v>-78.023599999999988</v>
      </c>
      <c r="J25" s="23">
        <f t="shared" ref="J25" si="32">J23+J24</f>
        <v>88.295779999999993</v>
      </c>
      <c r="K25" s="23">
        <f t="shared" ref="K25" si="33">K23+K24</f>
        <v>377.46935300000007</v>
      </c>
      <c r="L25" s="23">
        <f t="shared" ref="L25" si="34">L23+L24</f>
        <v>850.85424325000042</v>
      </c>
      <c r="M25" s="23">
        <f t="shared" ref="M25" si="35">M23+M24</f>
        <v>1592.6767508362502</v>
      </c>
      <c r="N25" s="23">
        <f t="shared" ref="N25" si="36">N23+N24</f>
        <v>2140.0329598656313</v>
      </c>
      <c r="O25" s="23">
        <f t="shared" ref="O25" si="37">O23+O24</f>
        <v>2821.488080779372</v>
      </c>
      <c r="P25" s="23">
        <f t="shared" ref="P25" si="38">P23+P24</f>
        <v>3666.1838232793598</v>
      </c>
      <c r="Q25" s="23">
        <f t="shared" ref="Q25" si="39">Q23+Q24</f>
        <v>4709.3051244060616</v>
      </c>
      <c r="R25" s="23">
        <f t="shared" ref="R25" si="40">R23+R24</f>
        <v>5993.3089552385827</v>
      </c>
      <c r="S25" s="23">
        <f t="shared" ref="S25:V25" si="41">S23+S24</f>
        <v>7109.9364883421349</v>
      </c>
      <c r="T25" s="23">
        <f t="shared" si="41"/>
        <v>8347.7032242712248</v>
      </c>
      <c r="U25" s="23">
        <f t="shared" si="41"/>
        <v>9719.7858576022281</v>
      </c>
      <c r="V25" s="23">
        <f t="shared" si="41"/>
        <v>11240.695835726954</v>
      </c>
      <c r="W25" s="23">
        <f t="shared" ref="W25" si="42">W23+W24</f>
        <v>12926.415118455216</v>
      </c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</row>
    <row r="26" spans="1:201" x14ac:dyDescent="0.15">
      <c r="A26" s="3" t="s">
        <v>10</v>
      </c>
      <c r="B26" s="23"/>
      <c r="C26" s="23"/>
      <c r="D26" s="23"/>
      <c r="E26" s="23"/>
      <c r="F26" s="23">
        <v>9</v>
      </c>
      <c r="G26" s="37">
        <f>SUM(Reports!F19:I19)</f>
        <v>12</v>
      </c>
      <c r="H26" s="37">
        <f>SUM(Reports!J19:M19)</f>
        <v>-13</v>
      </c>
      <c r="I26" s="23">
        <v>0</v>
      </c>
      <c r="J26" s="23">
        <v>0</v>
      </c>
      <c r="K26" s="23">
        <v>0</v>
      </c>
      <c r="L26" s="23">
        <f t="shared" ref="L26:Q26" si="43">L25*0.1</f>
        <v>85.085424325000048</v>
      </c>
      <c r="M26" s="23">
        <f t="shared" si="43"/>
        <v>159.26767508362502</v>
      </c>
      <c r="N26" s="23">
        <f t="shared" si="43"/>
        <v>214.00329598656313</v>
      </c>
      <c r="O26" s="23">
        <f t="shared" si="43"/>
        <v>282.14880807793719</v>
      </c>
      <c r="P26" s="23">
        <f t="shared" si="43"/>
        <v>366.61838232793599</v>
      </c>
      <c r="Q26" s="23">
        <f t="shared" si="43"/>
        <v>470.93051244060621</v>
      </c>
      <c r="R26" s="23">
        <f t="shared" ref="R26" si="44">R25*0.1</f>
        <v>599.33089552385832</v>
      </c>
      <c r="S26" s="23">
        <f t="shared" ref="S26:V26" si="45">S25*0.1</f>
        <v>710.99364883421356</v>
      </c>
      <c r="T26" s="23">
        <f t="shared" si="45"/>
        <v>834.77032242712255</v>
      </c>
      <c r="U26" s="23">
        <f t="shared" si="45"/>
        <v>971.97858576022281</v>
      </c>
      <c r="V26" s="23">
        <f t="shared" si="45"/>
        <v>1124.0695835726954</v>
      </c>
      <c r="W26" s="23">
        <f t="shared" ref="W26" si="46">W25*0.1</f>
        <v>1292.6415118455216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</row>
    <row r="27" spans="1:201" s="2" customFormat="1" x14ac:dyDescent="0.15">
      <c r="A27" s="2" t="s">
        <v>11</v>
      </c>
      <c r="B27" s="23"/>
      <c r="C27" s="23"/>
      <c r="D27" s="23"/>
      <c r="E27" s="23"/>
      <c r="F27" s="24">
        <f>F25-F26</f>
        <v>-579.99199999999996</v>
      </c>
      <c r="G27" s="24">
        <f t="shared" ref="G27:I27" si="47">G25-G26</f>
        <v>-582.81799999999998</v>
      </c>
      <c r="H27" s="24">
        <f>H25-H26</f>
        <v>-390.87400000000002</v>
      </c>
      <c r="I27" s="24">
        <f t="shared" si="47"/>
        <v>-78.023599999999988</v>
      </c>
      <c r="J27" s="24">
        <f t="shared" ref="J27:Q27" si="48">J25-J26</f>
        <v>88.295779999999993</v>
      </c>
      <c r="K27" s="24">
        <f t="shared" si="48"/>
        <v>377.46935300000007</v>
      </c>
      <c r="L27" s="24">
        <f t="shared" si="48"/>
        <v>765.76881892500035</v>
      </c>
      <c r="M27" s="24">
        <f t="shared" si="48"/>
        <v>1433.4090757526251</v>
      </c>
      <c r="N27" s="24">
        <f t="shared" si="48"/>
        <v>1926.029663879068</v>
      </c>
      <c r="O27" s="24">
        <f t="shared" si="48"/>
        <v>2539.3392727014348</v>
      </c>
      <c r="P27" s="24">
        <f t="shared" si="48"/>
        <v>3299.5654409514236</v>
      </c>
      <c r="Q27" s="24">
        <f t="shared" si="48"/>
        <v>4238.3746119654552</v>
      </c>
      <c r="R27" s="24">
        <f t="shared" ref="R27" si="49">R25-R26</f>
        <v>5393.9780597147246</v>
      </c>
      <c r="S27" s="24">
        <f t="shared" ref="S27:V27" si="50">S25-S26</f>
        <v>6398.9428395079212</v>
      </c>
      <c r="T27" s="24">
        <f t="shared" si="50"/>
        <v>7512.9329018441022</v>
      </c>
      <c r="U27" s="24">
        <f t="shared" si="50"/>
        <v>8747.8072718420044</v>
      </c>
      <c r="V27" s="24">
        <f t="shared" si="50"/>
        <v>10116.626252154259</v>
      </c>
      <c r="W27" s="24">
        <f t="shared" ref="W27" si="51">W25-W26</f>
        <v>11633.773606609695</v>
      </c>
      <c r="X27" s="24">
        <f t="shared" ref="X27:BC27" si="52">W27*($F$2+1)</f>
        <v>11750.111342675793</v>
      </c>
      <c r="Y27" s="24">
        <f t="shared" si="52"/>
        <v>11867.612456102552</v>
      </c>
      <c r="Z27" s="24">
        <f t="shared" si="52"/>
        <v>11986.288580663577</v>
      </c>
      <c r="AA27" s="24">
        <f t="shared" si="52"/>
        <v>12106.151466470214</v>
      </c>
      <c r="AB27" s="24">
        <f t="shared" si="52"/>
        <v>12227.212981134915</v>
      </c>
      <c r="AC27" s="24">
        <f t="shared" si="52"/>
        <v>12349.485110946263</v>
      </c>
      <c r="AD27" s="24">
        <f t="shared" si="52"/>
        <v>12472.979962055726</v>
      </c>
      <c r="AE27" s="24">
        <f t="shared" si="52"/>
        <v>12597.709761676284</v>
      </c>
      <c r="AF27" s="24">
        <f t="shared" si="52"/>
        <v>12723.686859293048</v>
      </c>
      <c r="AG27" s="24">
        <f t="shared" si="52"/>
        <v>12850.923727885978</v>
      </c>
      <c r="AH27" s="24">
        <f t="shared" si="52"/>
        <v>12979.432965164839</v>
      </c>
      <c r="AI27" s="24">
        <f t="shared" si="52"/>
        <v>13109.227294816486</v>
      </c>
      <c r="AJ27" s="24">
        <f t="shared" si="52"/>
        <v>13240.319567764651</v>
      </c>
      <c r="AK27" s="24">
        <f t="shared" si="52"/>
        <v>13372.722763442298</v>
      </c>
      <c r="AL27" s="24">
        <f t="shared" si="52"/>
        <v>13506.449991076721</v>
      </c>
      <c r="AM27" s="24">
        <f t="shared" si="52"/>
        <v>13641.514490987489</v>
      </c>
      <c r="AN27" s="24">
        <f t="shared" si="52"/>
        <v>13777.929635897364</v>
      </c>
      <c r="AO27" s="24">
        <f t="shared" si="52"/>
        <v>13915.708932256339</v>
      </c>
      <c r="AP27" s="24">
        <f t="shared" si="52"/>
        <v>14054.866021578902</v>
      </c>
      <c r="AQ27" s="24">
        <f t="shared" si="52"/>
        <v>14195.414681794691</v>
      </c>
      <c r="AR27" s="24">
        <f t="shared" si="52"/>
        <v>14337.368828612638</v>
      </c>
      <c r="AS27" s="24">
        <f t="shared" si="52"/>
        <v>14480.742516898765</v>
      </c>
      <c r="AT27" s="24">
        <f t="shared" si="52"/>
        <v>14625.549942067753</v>
      </c>
      <c r="AU27" s="24">
        <f t="shared" si="52"/>
        <v>14771.805441488432</v>
      </c>
      <c r="AV27" s="24">
        <f t="shared" si="52"/>
        <v>14919.523495903317</v>
      </c>
      <c r="AW27" s="24">
        <f t="shared" si="52"/>
        <v>15068.718730862351</v>
      </c>
      <c r="AX27" s="24">
        <f t="shared" si="52"/>
        <v>15219.405918170974</v>
      </c>
      <c r="AY27" s="24">
        <f t="shared" si="52"/>
        <v>15371.599977352684</v>
      </c>
      <c r="AZ27" s="24">
        <f t="shared" si="52"/>
        <v>15525.315977126211</v>
      </c>
      <c r="BA27" s="24">
        <f t="shared" si="52"/>
        <v>15680.569136897473</v>
      </c>
      <c r="BB27" s="24">
        <f t="shared" si="52"/>
        <v>15837.374828266447</v>
      </c>
      <c r="BC27" s="24">
        <f t="shared" si="52"/>
        <v>15995.748576549113</v>
      </c>
      <c r="BD27" s="24">
        <f t="shared" ref="BD27:CI27" si="53">BC27*($F$2+1)</f>
        <v>16155.706062314604</v>
      </c>
      <c r="BE27" s="24">
        <f t="shared" si="53"/>
        <v>16317.263122937751</v>
      </c>
      <c r="BF27" s="24">
        <f t="shared" si="53"/>
        <v>16480.435754167127</v>
      </c>
      <c r="BG27" s="24">
        <f t="shared" si="53"/>
        <v>16645.240111708797</v>
      </c>
      <c r="BH27" s="24">
        <f t="shared" si="53"/>
        <v>16811.692512825884</v>
      </c>
      <c r="BI27" s="24">
        <f t="shared" si="53"/>
        <v>16979.809437954144</v>
      </c>
      <c r="BJ27" s="24">
        <f t="shared" si="53"/>
        <v>17149.607532333685</v>
      </c>
      <c r="BK27" s="24">
        <f t="shared" si="53"/>
        <v>17321.10360765702</v>
      </c>
      <c r="BL27" s="24">
        <f t="shared" si="53"/>
        <v>17494.314643733589</v>
      </c>
      <c r="BM27" s="24">
        <f t="shared" si="53"/>
        <v>17669.257790170926</v>
      </c>
      <c r="BN27" s="24">
        <f t="shared" si="53"/>
        <v>17845.950368072638</v>
      </c>
      <c r="BO27" s="24">
        <f t="shared" si="53"/>
        <v>18024.409871753363</v>
      </c>
      <c r="BP27" s="24">
        <f t="shared" si="53"/>
        <v>18204.653970470896</v>
      </c>
      <c r="BQ27" s="24">
        <f t="shared" si="53"/>
        <v>18386.700510175604</v>
      </c>
      <c r="BR27" s="24">
        <f t="shared" si="53"/>
        <v>18570.567515277362</v>
      </c>
      <c r="BS27" s="24">
        <f t="shared" si="53"/>
        <v>18756.273190430136</v>
      </c>
      <c r="BT27" s="24">
        <f t="shared" si="53"/>
        <v>18943.835922334438</v>
      </c>
      <c r="BU27" s="24">
        <f t="shared" si="53"/>
        <v>19133.274281557784</v>
      </c>
      <c r="BV27" s="24">
        <f t="shared" si="53"/>
        <v>19324.607024373363</v>
      </c>
      <c r="BW27" s="24">
        <f t="shared" si="53"/>
        <v>19517.853094617098</v>
      </c>
      <c r="BX27" s="24">
        <f t="shared" si="53"/>
        <v>19713.031625563268</v>
      </c>
      <c r="BY27" s="24">
        <f t="shared" si="53"/>
        <v>19910.1619418189</v>
      </c>
      <c r="BZ27" s="24">
        <f t="shared" si="53"/>
        <v>20109.26356123709</v>
      </c>
      <c r="CA27" s="24">
        <f t="shared" si="53"/>
        <v>20310.356196849461</v>
      </c>
      <c r="CB27" s="24">
        <f t="shared" si="53"/>
        <v>20513.459758817957</v>
      </c>
      <c r="CC27" s="24">
        <f t="shared" si="53"/>
        <v>20718.594356406138</v>
      </c>
      <c r="CD27" s="24">
        <f t="shared" si="53"/>
        <v>20925.7802999702</v>
      </c>
      <c r="CE27" s="24">
        <f t="shared" si="53"/>
        <v>21135.038102969902</v>
      </c>
      <c r="CF27" s="24">
        <f t="shared" si="53"/>
        <v>21346.388483999603</v>
      </c>
      <c r="CG27" s="24">
        <f t="shared" si="53"/>
        <v>21559.852368839598</v>
      </c>
      <c r="CH27" s="24">
        <f t="shared" si="53"/>
        <v>21775.450892527995</v>
      </c>
      <c r="CI27" s="24">
        <f t="shared" si="53"/>
        <v>21993.205401453277</v>
      </c>
      <c r="CJ27" s="24">
        <f t="shared" ref="CJ27:DO27" si="54">CI27*($F$2+1)</f>
        <v>22213.137455467811</v>
      </c>
      <c r="CK27" s="24">
        <f t="shared" si="54"/>
        <v>22435.268830022491</v>
      </c>
      <c r="CL27" s="24">
        <f t="shared" si="54"/>
        <v>22659.621518322718</v>
      </c>
      <c r="CM27" s="24">
        <f t="shared" si="54"/>
        <v>22886.217733505946</v>
      </c>
      <c r="CN27" s="24">
        <f t="shared" si="54"/>
        <v>23115.079910841006</v>
      </c>
      <c r="CO27" s="24">
        <f t="shared" si="54"/>
        <v>23346.230709949417</v>
      </c>
      <c r="CP27" s="24">
        <f t="shared" si="54"/>
        <v>23579.69301704891</v>
      </c>
      <c r="CQ27" s="24">
        <f t="shared" si="54"/>
        <v>23815.489947219401</v>
      </c>
      <c r="CR27" s="24">
        <f t="shared" si="54"/>
        <v>24053.644846691594</v>
      </c>
      <c r="CS27" s="24">
        <f t="shared" si="54"/>
        <v>24294.181295158509</v>
      </c>
      <c r="CT27" s="24">
        <f t="shared" si="54"/>
        <v>24537.123108110096</v>
      </c>
      <c r="CU27" s="24">
        <f t="shared" si="54"/>
        <v>24782.494339191198</v>
      </c>
      <c r="CV27" s="24">
        <f t="shared" si="54"/>
        <v>25030.31928258311</v>
      </c>
      <c r="CW27" s="24">
        <f t="shared" si="54"/>
        <v>25280.622475408942</v>
      </c>
      <c r="CX27" s="24">
        <f t="shared" si="54"/>
        <v>25533.428700163033</v>
      </c>
      <c r="CY27" s="24">
        <f t="shared" si="54"/>
        <v>25788.762987164664</v>
      </c>
      <c r="CZ27" s="24">
        <f t="shared" si="54"/>
        <v>26046.65061703631</v>
      </c>
      <c r="DA27" s="24">
        <f t="shared" si="54"/>
        <v>26307.117123206674</v>
      </c>
      <c r="DB27" s="24">
        <f t="shared" si="54"/>
        <v>26570.18829443874</v>
      </c>
      <c r="DC27" s="24">
        <f t="shared" si="54"/>
        <v>26835.890177383128</v>
      </c>
      <c r="DD27" s="24">
        <f t="shared" si="54"/>
        <v>27104.249079156958</v>
      </c>
      <c r="DE27" s="24">
        <f t="shared" si="54"/>
        <v>27375.291569948527</v>
      </c>
      <c r="DF27" s="24">
        <f t="shared" si="54"/>
        <v>27649.044485648014</v>
      </c>
      <c r="DG27" s="24">
        <f t="shared" si="54"/>
        <v>27925.534930504495</v>
      </c>
      <c r="DH27" s="24">
        <f t="shared" si="54"/>
        <v>28204.790279809538</v>
      </c>
      <c r="DI27" s="24">
        <f t="shared" si="54"/>
        <v>28486.838182607633</v>
      </c>
      <c r="DJ27" s="24">
        <f t="shared" si="54"/>
        <v>28771.706564433709</v>
      </c>
      <c r="DK27" s="24">
        <f t="shared" si="54"/>
        <v>29059.423630078047</v>
      </c>
      <c r="DL27" s="24">
        <f t="shared" si="54"/>
        <v>29350.017866378828</v>
      </c>
      <c r="DM27" s="24">
        <f t="shared" si="54"/>
        <v>29643.518045042616</v>
      </c>
      <c r="DN27" s="24">
        <f t="shared" si="54"/>
        <v>29939.953225493042</v>
      </c>
      <c r="DO27" s="24">
        <f t="shared" si="54"/>
        <v>30239.352757747973</v>
      </c>
      <c r="DP27" s="24">
        <f t="shared" ref="DP27:EU27" si="55">DO27*($F$2+1)</f>
        <v>30541.746285325451</v>
      </c>
      <c r="DQ27" s="24">
        <f t="shared" si="55"/>
        <v>30847.163748178707</v>
      </c>
      <c r="DR27" s="24">
        <f t="shared" si="55"/>
        <v>31155.635385660495</v>
      </c>
      <c r="DS27" s="24">
        <f t="shared" si="55"/>
        <v>31467.1917395171</v>
      </c>
      <c r="DT27" s="24">
        <f t="shared" si="55"/>
        <v>31781.863656912272</v>
      </c>
      <c r="DU27" s="24">
        <f t="shared" si="55"/>
        <v>32099.682293481394</v>
      </c>
      <c r="DV27" s="24">
        <f t="shared" si="55"/>
        <v>32420.67911641621</v>
      </c>
      <c r="DW27" s="24">
        <f t="shared" si="55"/>
        <v>32744.88590758037</v>
      </c>
      <c r="DX27" s="24">
        <f t="shared" si="55"/>
        <v>33072.334766656175</v>
      </c>
      <c r="DY27" s="24">
        <f t="shared" si="55"/>
        <v>33403.058114322739</v>
      </c>
      <c r="DZ27" s="24">
        <f t="shared" si="55"/>
        <v>33737.088695465965</v>
      </c>
      <c r="EA27" s="24">
        <f t="shared" si="55"/>
        <v>34074.459582420626</v>
      </c>
      <c r="EB27" s="24">
        <f t="shared" si="55"/>
        <v>34415.204178244836</v>
      </c>
      <c r="EC27" s="24">
        <f t="shared" si="55"/>
        <v>34759.356220027286</v>
      </c>
      <c r="ED27" s="24">
        <f t="shared" si="55"/>
        <v>35106.949782227559</v>
      </c>
      <c r="EE27" s="24">
        <f t="shared" si="55"/>
        <v>35458.019280049833</v>
      </c>
      <c r="EF27" s="24">
        <f t="shared" si="55"/>
        <v>35812.599472850336</v>
      </c>
      <c r="EG27" s="24">
        <f t="shared" si="55"/>
        <v>36170.725467578843</v>
      </c>
      <c r="EH27" s="24">
        <f t="shared" si="55"/>
        <v>36532.432722254634</v>
      </c>
      <c r="EI27" s="24">
        <f t="shared" si="55"/>
        <v>36897.757049477179</v>
      </c>
      <c r="EJ27" s="24">
        <f t="shared" si="55"/>
        <v>37266.734619971954</v>
      </c>
      <c r="EK27" s="24">
        <f t="shared" si="55"/>
        <v>37639.401966171674</v>
      </c>
      <c r="EL27" s="24">
        <f t="shared" si="55"/>
        <v>38015.795985833392</v>
      </c>
      <c r="EM27" s="24">
        <f t="shared" si="55"/>
        <v>38395.953945691726</v>
      </c>
      <c r="EN27" s="24">
        <f t="shared" si="55"/>
        <v>38779.913485148645</v>
      </c>
      <c r="EO27" s="24">
        <f t="shared" si="55"/>
        <v>39167.712620000129</v>
      </c>
      <c r="EP27" s="24">
        <f t="shared" si="55"/>
        <v>39559.389746200133</v>
      </c>
      <c r="EQ27" s="24">
        <f t="shared" si="55"/>
        <v>39954.983643662134</v>
      </c>
      <c r="ER27" s="24">
        <f t="shared" si="55"/>
        <v>40354.533480098755</v>
      </c>
      <c r="ES27" s="24">
        <f t="shared" si="55"/>
        <v>40758.078814899745</v>
      </c>
      <c r="ET27" s="24">
        <f t="shared" si="55"/>
        <v>41165.659603048742</v>
      </c>
      <c r="EU27" s="24">
        <f t="shared" si="55"/>
        <v>41577.316199079229</v>
      </c>
      <c r="EV27" s="24">
        <f t="shared" ref="EV27:GA27" si="56">EU27*($F$2+1)</f>
        <v>41993.089361070022</v>
      </c>
      <c r="EW27" s="24">
        <f t="shared" si="56"/>
        <v>42413.02025468072</v>
      </c>
      <c r="EX27" s="24">
        <f t="shared" si="56"/>
        <v>42837.15045722753</v>
      </c>
      <c r="EY27" s="24">
        <f t="shared" si="56"/>
        <v>43265.521961799808</v>
      </c>
      <c r="EZ27" s="24">
        <f t="shared" si="56"/>
        <v>43698.177181417806</v>
      </c>
      <c r="FA27" s="24">
        <f t="shared" si="56"/>
        <v>44135.158953231985</v>
      </c>
      <c r="FB27" s="24">
        <f t="shared" si="56"/>
        <v>44576.510542764307</v>
      </c>
      <c r="FC27" s="24">
        <f t="shared" si="56"/>
        <v>45022.27564819195</v>
      </c>
      <c r="FD27" s="24">
        <f t="shared" si="56"/>
        <v>45472.498404673868</v>
      </c>
      <c r="FE27" s="24">
        <f t="shared" si="56"/>
        <v>45927.223388720609</v>
      </c>
      <c r="FF27" s="24">
        <f t="shared" si="56"/>
        <v>46386.495622607814</v>
      </c>
      <c r="FG27" s="24">
        <f t="shared" si="56"/>
        <v>46850.36057883389</v>
      </c>
      <c r="FH27" s="24">
        <f t="shared" si="56"/>
        <v>47318.864184622231</v>
      </c>
      <c r="FI27" s="24">
        <f t="shared" si="56"/>
        <v>47792.052826468454</v>
      </c>
      <c r="FJ27" s="24">
        <f t="shared" si="56"/>
        <v>48269.973354733142</v>
      </c>
      <c r="FK27" s="24">
        <f t="shared" si="56"/>
        <v>48752.673088280477</v>
      </c>
      <c r="FL27" s="24">
        <f t="shared" si="56"/>
        <v>49240.199819163281</v>
      </c>
      <c r="FM27" s="24">
        <f t="shared" si="56"/>
        <v>49732.601817354916</v>
      </c>
      <c r="FN27" s="24">
        <f t="shared" si="56"/>
        <v>50229.92783552847</v>
      </c>
      <c r="FO27" s="24">
        <f t="shared" si="56"/>
        <v>50732.227113883753</v>
      </c>
      <c r="FP27" s="24">
        <f t="shared" si="56"/>
        <v>51239.54938502259</v>
      </c>
      <c r="FQ27" s="24">
        <f t="shared" si="56"/>
        <v>51751.944878872819</v>
      </c>
      <c r="FR27" s="24">
        <f t="shared" si="56"/>
        <v>52269.464327661546</v>
      </c>
      <c r="FS27" s="24">
        <f t="shared" si="56"/>
        <v>52792.158970938159</v>
      </c>
      <c r="FT27" s="24">
        <f t="shared" si="56"/>
        <v>53320.080560647541</v>
      </c>
      <c r="FU27" s="24">
        <f t="shared" si="56"/>
        <v>53853.281366254014</v>
      </c>
      <c r="FV27" s="24">
        <f t="shared" si="56"/>
        <v>54391.814179916553</v>
      </c>
      <c r="FW27" s="24">
        <f t="shared" si="56"/>
        <v>54935.732321715717</v>
      </c>
      <c r="FX27" s="24">
        <f t="shared" si="56"/>
        <v>55485.089644932872</v>
      </c>
      <c r="FY27" s="24">
        <f t="shared" si="56"/>
        <v>56039.940541382202</v>
      </c>
      <c r="FZ27" s="24">
        <f t="shared" si="56"/>
        <v>56600.339946796026</v>
      </c>
      <c r="GA27" s="24">
        <f t="shared" si="56"/>
        <v>57166.343346263988</v>
      </c>
      <c r="GB27" s="24">
        <f t="shared" ref="GB27:GS27" si="57">GA27*($F$2+1)</f>
        <v>57738.006779726631</v>
      </c>
      <c r="GC27" s="24">
        <f t="shared" si="57"/>
        <v>58315.3868475239</v>
      </c>
      <c r="GD27" s="24">
        <f t="shared" si="57"/>
        <v>58898.540715999137</v>
      </c>
      <c r="GE27" s="24">
        <f t="shared" si="57"/>
        <v>59487.526123159128</v>
      </c>
      <c r="GF27" s="24">
        <f t="shared" si="57"/>
        <v>60082.401384390723</v>
      </c>
      <c r="GG27" s="24">
        <f t="shared" si="57"/>
        <v>60683.22539823463</v>
      </c>
      <c r="GH27" s="24">
        <f t="shared" si="57"/>
        <v>61290.057652216979</v>
      </c>
      <c r="GI27" s="24">
        <f t="shared" si="57"/>
        <v>61902.958228739153</v>
      </c>
      <c r="GJ27" s="24">
        <f t="shared" si="57"/>
        <v>62521.987811026542</v>
      </c>
      <c r="GK27" s="24">
        <f t="shared" si="57"/>
        <v>63147.207689136805</v>
      </c>
      <c r="GL27" s="24">
        <f t="shared" si="57"/>
        <v>63778.679766028174</v>
      </c>
      <c r="GM27" s="24">
        <f t="shared" si="57"/>
        <v>64416.466563688453</v>
      </c>
      <c r="GN27" s="24">
        <f t="shared" si="57"/>
        <v>65060.631229325336</v>
      </c>
      <c r="GO27" s="24">
        <f t="shared" si="57"/>
        <v>65711.237541618597</v>
      </c>
      <c r="GP27" s="24">
        <f t="shared" si="57"/>
        <v>66368.349917034779</v>
      </c>
      <c r="GQ27" s="24">
        <f t="shared" si="57"/>
        <v>67032.033416205129</v>
      </c>
      <c r="GR27" s="24">
        <f t="shared" si="57"/>
        <v>67702.353750367183</v>
      </c>
      <c r="GS27" s="24">
        <f t="shared" si="57"/>
        <v>68379.377287870855</v>
      </c>
    </row>
    <row r="28" spans="1:201" x14ac:dyDescent="0.15">
      <c r="A28" s="3" t="s">
        <v>12</v>
      </c>
      <c r="B28" s="46"/>
      <c r="C28" s="46"/>
      <c r="D28" s="46"/>
      <c r="E28" s="46"/>
      <c r="F28" s="28">
        <f t="shared" ref="F28:H28" si="58">F27/F29</f>
        <v>-1.0661335572421149</v>
      </c>
      <c r="G28" s="28">
        <f t="shared" si="58"/>
        <v>-1.0101557380481536</v>
      </c>
      <c r="H28" s="46">
        <f t="shared" si="58"/>
        <v>-0.22164497547981366</v>
      </c>
      <c r="I28" s="46">
        <f t="shared" ref="I28" si="59">I27/I29</f>
        <v>-4.4243257184787894E-2</v>
      </c>
      <c r="J28" s="46">
        <f t="shared" ref="J28:Q28" si="60">J27/J29</f>
        <v>5.0068093536717762E-2</v>
      </c>
      <c r="K28" s="46">
        <f t="shared" si="60"/>
        <v>0.21404387472706329</v>
      </c>
      <c r="L28" s="46">
        <f t="shared" si="60"/>
        <v>0.43422896149101131</v>
      </c>
      <c r="M28" s="46">
        <f t="shared" si="60"/>
        <v>0.81281415353216868</v>
      </c>
      <c r="N28" s="46">
        <f t="shared" si="60"/>
        <v>1.0921544989532936</v>
      </c>
      <c r="O28" s="46">
        <f t="shared" si="60"/>
        <v>1.439931514587405</v>
      </c>
      <c r="P28" s="46">
        <f t="shared" si="60"/>
        <v>1.8710175178029718</v>
      </c>
      <c r="Q28" s="46">
        <f t="shared" si="60"/>
        <v>2.403368955068252</v>
      </c>
      <c r="R28" s="46">
        <f t="shared" ref="R28" si="61">R27/R29</f>
        <v>3.0586535169495104</v>
      </c>
      <c r="S28" s="46">
        <f t="shared" ref="S28:V28" si="62">S27/S29</f>
        <v>3.6285184708101901</v>
      </c>
      <c r="T28" s="46">
        <f t="shared" si="62"/>
        <v>4.2602061759306613</v>
      </c>
      <c r="U28" s="46">
        <f t="shared" si="62"/>
        <v>4.9604412886750113</v>
      </c>
      <c r="V28" s="46">
        <f t="shared" si="62"/>
        <v>5.7366296494450122</v>
      </c>
      <c r="W28" s="46">
        <f t="shared" ref="W28" si="63">W27/W29</f>
        <v>6.596927566875026</v>
      </c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</row>
    <row r="29" spans="1:201" s="16" customFormat="1" x14ac:dyDescent="0.15">
      <c r="A29" s="16" t="s">
        <v>13</v>
      </c>
      <c r="B29" s="23"/>
      <c r="C29" s="23"/>
      <c r="D29" s="23"/>
      <c r="E29" s="23"/>
      <c r="F29" s="23">
        <v>544.01439300000004</v>
      </c>
      <c r="G29" s="23">
        <v>576.95856000000003</v>
      </c>
      <c r="H29" s="23">
        <f>Reports!M22</f>
        <v>1763.5139220000001</v>
      </c>
      <c r="I29" s="23">
        <f t="shared" ref="I29" si="64">H29</f>
        <v>1763.5139220000001</v>
      </c>
      <c r="J29" s="23">
        <f t="shared" ref="J29" si="65">I29</f>
        <v>1763.5139220000001</v>
      </c>
      <c r="K29" s="23">
        <f t="shared" ref="K29" si="66">J29</f>
        <v>1763.5139220000001</v>
      </c>
      <c r="L29" s="23">
        <f t="shared" ref="L29" si="67">K29</f>
        <v>1763.5139220000001</v>
      </c>
      <c r="M29" s="23">
        <f t="shared" ref="M29" si="68">L29</f>
        <v>1763.5139220000001</v>
      </c>
      <c r="N29" s="23">
        <f t="shared" ref="N29" si="69">M29</f>
        <v>1763.5139220000001</v>
      </c>
      <c r="O29" s="23">
        <f t="shared" ref="O29" si="70">N29</f>
        <v>1763.5139220000001</v>
      </c>
      <c r="P29" s="23">
        <f t="shared" ref="P29" si="71">O29</f>
        <v>1763.5139220000001</v>
      </c>
      <c r="Q29" s="23">
        <f t="shared" ref="Q29:W29" si="72">P29</f>
        <v>1763.5139220000001</v>
      </c>
      <c r="R29" s="23">
        <f t="shared" si="72"/>
        <v>1763.5139220000001</v>
      </c>
      <c r="S29" s="23">
        <f t="shared" si="72"/>
        <v>1763.5139220000001</v>
      </c>
      <c r="T29" s="23">
        <f t="shared" si="72"/>
        <v>1763.5139220000001</v>
      </c>
      <c r="U29" s="23">
        <f t="shared" si="72"/>
        <v>1763.5139220000001</v>
      </c>
      <c r="V29" s="23">
        <f t="shared" si="72"/>
        <v>1763.5139220000001</v>
      </c>
      <c r="W29" s="23">
        <f t="shared" si="72"/>
        <v>1763.5139220000001</v>
      </c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</row>
    <row r="30" spans="1:201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</row>
    <row r="31" spans="1:201" x14ac:dyDescent="0.15">
      <c r="A31" s="3" t="s">
        <v>15</v>
      </c>
      <c r="B31" s="33"/>
      <c r="C31" s="33"/>
      <c r="D31" s="33"/>
      <c r="E31" s="33"/>
      <c r="F31" s="33">
        <f>IFERROR(F17/F15,0)</f>
        <v>0.72220608019025578</v>
      </c>
      <c r="G31" s="33">
        <f t="shared" ref="G31:Q31" si="73">IFERROR(G17/G15,0)</f>
        <v>0.67359589525355024</v>
      </c>
      <c r="H31" s="33">
        <f>IFERROR(H17/H15,0)</f>
        <v>0.67735360899372454</v>
      </c>
      <c r="I31" s="33">
        <f>IFERROR(I17/I15,0)</f>
        <v>0.67735360899372454</v>
      </c>
      <c r="J31" s="33">
        <f t="shared" si="73"/>
        <v>0.67735360899372454</v>
      </c>
      <c r="K31" s="33">
        <f t="shared" si="73"/>
        <v>0.67735360899372454</v>
      </c>
      <c r="L31" s="33">
        <f t="shared" si="73"/>
        <v>0.67735360899372454</v>
      </c>
      <c r="M31" s="33">
        <f t="shared" si="73"/>
        <v>0.67735360899372454</v>
      </c>
      <c r="N31" s="33">
        <f t="shared" si="73"/>
        <v>0.67735360899372454</v>
      </c>
      <c r="O31" s="33">
        <f t="shared" si="73"/>
        <v>0.67735360899372454</v>
      </c>
      <c r="P31" s="33">
        <f t="shared" si="73"/>
        <v>0.67735360899372454</v>
      </c>
      <c r="Q31" s="33">
        <f t="shared" si="73"/>
        <v>0.67735360899372454</v>
      </c>
      <c r="R31" s="33">
        <f t="shared" ref="R31" si="74">IFERROR(R17/R15,0)</f>
        <v>0.67735360899372454</v>
      </c>
      <c r="S31" s="33">
        <f t="shared" ref="S31:V31" si="75">IFERROR(S17/S15,0)</f>
        <v>0.67735360899372454</v>
      </c>
      <c r="T31" s="33">
        <f t="shared" si="75"/>
        <v>0.67735360899372454</v>
      </c>
      <c r="U31" s="33">
        <f t="shared" si="75"/>
        <v>0.67735360899372454</v>
      </c>
      <c r="V31" s="33">
        <f t="shared" si="75"/>
        <v>0.67735360899372454</v>
      </c>
      <c r="W31" s="33">
        <f t="shared" ref="W31" si="76">IFERROR(W17/W15,0)</f>
        <v>0.67735360899372454</v>
      </c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</row>
    <row r="32" spans="1:201" x14ac:dyDescent="0.15">
      <c r="A32" s="3" t="s">
        <v>16</v>
      </c>
      <c r="B32" s="35"/>
      <c r="C32" s="35"/>
      <c r="D32" s="35"/>
      <c r="E32" s="35"/>
      <c r="F32" s="35">
        <f>IFERROR(F23/F15,0)</f>
        <v>-1.0463261388390166</v>
      </c>
      <c r="G32" s="35">
        <f t="shared" ref="G32:Q32" si="77">IFERROR(G23/G15,0)</f>
        <v>-0.77814841998235817</v>
      </c>
      <c r="H32" s="35">
        <f>IFERROR(H23/H15,0)</f>
        <v>-0.36321388009038386</v>
      </c>
      <c r="I32" s="35">
        <f t="shared" si="77"/>
        <v>-0.11147211602059484</v>
      </c>
      <c r="J32" s="35">
        <f t="shared" si="77"/>
        <v>-1.4149909890512924E-4</v>
      </c>
      <c r="K32" s="35">
        <f t="shared" si="77"/>
        <v>9.4872509650745798E-2</v>
      </c>
      <c r="L32" s="35">
        <f t="shared" si="77"/>
        <v>0.17604463240922788</v>
      </c>
      <c r="M32" s="35">
        <f t="shared" si="77"/>
        <v>0.2454628672804009</v>
      </c>
      <c r="N32" s="35">
        <f t="shared" si="77"/>
        <v>0.27200651394194786</v>
      </c>
      <c r="O32" s="35">
        <f t="shared" si="77"/>
        <v>0.2958196815669879</v>
      </c>
      <c r="P32" s="35">
        <f t="shared" si="77"/>
        <v>0.31719472363540213</v>
      </c>
      <c r="Q32" s="35">
        <f t="shared" si="77"/>
        <v>0.33639152914206022</v>
      </c>
      <c r="R32" s="35">
        <f t="shared" ref="R32" si="78">IFERROR(R23/R15,0)</f>
        <v>0.35364124068244868</v>
      </c>
      <c r="S32" s="35">
        <f t="shared" ref="S32:V32" si="79">IFERROR(S23/S15,0)</f>
        <v>0.37414435657434142</v>
      </c>
      <c r="T32" s="35">
        <f t="shared" si="79"/>
        <v>0.39200351286453478</v>
      </c>
      <c r="U32" s="35">
        <f t="shared" si="79"/>
        <v>0.40756267642546762</v>
      </c>
      <c r="V32" s="35">
        <f t="shared" si="79"/>
        <v>0.42112071752769098</v>
      </c>
      <c r="W32" s="35">
        <f t="shared" ref="W32" si="80">IFERROR(W23/W15,0)</f>
        <v>0.43293736214322132</v>
      </c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</row>
    <row r="33" spans="1:118" x14ac:dyDescent="0.15">
      <c r="A33" s="3" t="s">
        <v>17</v>
      </c>
      <c r="B33" s="35"/>
      <c r="C33" s="35"/>
      <c r="D33" s="35"/>
      <c r="E33" s="35"/>
      <c r="F33" s="35">
        <f>IFERROR(F26/F25,0)</f>
        <v>-1.5762042200240984E-2</v>
      </c>
      <c r="G33" s="35">
        <f t="shared" ref="G33:Q33" si="81">IFERROR(G26/G25,0)</f>
        <v>-2.1022462501182514E-2</v>
      </c>
      <c r="H33" s="35">
        <f t="shared" si="81"/>
        <v>3.2188256733535703E-2</v>
      </c>
      <c r="I33" s="35">
        <f t="shared" si="81"/>
        <v>0</v>
      </c>
      <c r="J33" s="35">
        <f t="shared" si="81"/>
        <v>0</v>
      </c>
      <c r="K33" s="35">
        <f t="shared" si="81"/>
        <v>0</v>
      </c>
      <c r="L33" s="35">
        <f t="shared" si="81"/>
        <v>0.1</v>
      </c>
      <c r="M33" s="35">
        <f t="shared" si="81"/>
        <v>0.1</v>
      </c>
      <c r="N33" s="35">
        <f t="shared" si="81"/>
        <v>0.1</v>
      </c>
      <c r="O33" s="35">
        <f t="shared" si="81"/>
        <v>9.9999999999999992E-2</v>
      </c>
      <c r="P33" s="35">
        <f t="shared" si="81"/>
        <v>0.1</v>
      </c>
      <c r="Q33" s="35">
        <f t="shared" si="81"/>
        <v>0.1</v>
      </c>
      <c r="R33" s="35">
        <f t="shared" ref="R33" si="82">IFERROR(R26/R25,0)</f>
        <v>0.1</v>
      </c>
      <c r="S33" s="35">
        <f t="shared" ref="S33:V33" si="83">IFERROR(S26/S25,0)</f>
        <v>0.1</v>
      </c>
      <c r="T33" s="35">
        <f t="shared" si="83"/>
        <v>0.1</v>
      </c>
      <c r="U33" s="35">
        <f t="shared" si="83"/>
        <v>0.1</v>
      </c>
      <c r="V33" s="35">
        <f t="shared" si="83"/>
        <v>9.9999999999999992E-2</v>
      </c>
      <c r="W33" s="35">
        <f t="shared" ref="W33" si="84">IFERROR(W26/W25,0)</f>
        <v>0.1</v>
      </c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</row>
    <row r="34" spans="1:118" s="5" customFormat="1" x14ac:dyDescent="0.15">
      <c r="B34" s="71"/>
      <c r="C34" s="71"/>
      <c r="D34" s="71"/>
      <c r="E34" s="71"/>
      <c r="F34" s="71"/>
      <c r="G34" s="71"/>
      <c r="H34" s="71">
        <v>0.44</v>
      </c>
      <c r="I34" s="71">
        <v>0.35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</row>
    <row r="35" spans="1:118" x14ac:dyDescent="0.15">
      <c r="A35" s="2" t="s">
        <v>14</v>
      </c>
      <c r="B35" s="35"/>
      <c r="C35" s="47">
        <f>C15/B15-1</f>
        <v>0.54893617021276597</v>
      </c>
      <c r="D35" s="47">
        <f>D15/C15-1</f>
        <v>0.28021978021978011</v>
      </c>
      <c r="E35" s="47">
        <f>E15/D15-1</f>
        <v>0.10515021459227469</v>
      </c>
      <c r="F35" s="47">
        <f>F15/E15-1</f>
        <v>0.15613398058252415</v>
      </c>
      <c r="G35" s="47">
        <f>G15/F15-1</f>
        <v>0.24713432279323966</v>
      </c>
      <c r="H35" s="47">
        <f t="shared" ref="H35:W35" si="85">H15/G15-1</f>
        <v>0.47150446768252841</v>
      </c>
      <c r="I35" s="47">
        <f t="shared" si="85"/>
        <v>0.39999999999999991</v>
      </c>
      <c r="J35" s="47">
        <f t="shared" si="85"/>
        <v>0.40000000000000013</v>
      </c>
      <c r="K35" s="47">
        <f t="shared" si="85"/>
        <v>0.39999999999999991</v>
      </c>
      <c r="L35" s="47">
        <f t="shared" si="85"/>
        <v>0.39999999999999991</v>
      </c>
      <c r="M35" s="47">
        <f t="shared" si="85"/>
        <v>0.39999999999999991</v>
      </c>
      <c r="N35" s="47">
        <f t="shared" si="85"/>
        <v>0.19999999999999996</v>
      </c>
      <c r="O35" s="47">
        <f t="shared" si="85"/>
        <v>0.19999999999999996</v>
      </c>
      <c r="P35" s="47">
        <f t="shared" si="85"/>
        <v>0.19999999999999996</v>
      </c>
      <c r="Q35" s="47">
        <f t="shared" si="85"/>
        <v>0.19999999999999996</v>
      </c>
      <c r="R35" s="47">
        <f t="shared" si="85"/>
        <v>0.19999999999999996</v>
      </c>
      <c r="S35" s="47">
        <f t="shared" si="85"/>
        <v>0.10000000000000009</v>
      </c>
      <c r="T35" s="47">
        <f t="shared" si="85"/>
        <v>0.10000000000000009</v>
      </c>
      <c r="U35" s="47">
        <f t="shared" si="85"/>
        <v>0.10000000000000009</v>
      </c>
      <c r="V35" s="47">
        <f t="shared" si="85"/>
        <v>0.10000000000000009</v>
      </c>
      <c r="W35" s="47">
        <f t="shared" si="85"/>
        <v>0.10000000000000009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</row>
    <row r="36" spans="1:118" x14ac:dyDescent="0.15">
      <c r="A36" s="3" t="s">
        <v>30</v>
      </c>
      <c r="B36" s="35"/>
      <c r="C36" s="35"/>
      <c r="D36" s="35"/>
      <c r="E36" s="35"/>
      <c r="F36" s="35"/>
      <c r="G36" s="35">
        <f t="shared" ref="G36:W36" si="86">G18/F18-1</f>
        <v>7.3684210526315796E-2</v>
      </c>
      <c r="H36" s="35">
        <f t="shared" si="86"/>
        <v>0.83333333333333326</v>
      </c>
      <c r="I36" s="35">
        <f t="shared" si="86"/>
        <v>-0.30000000000000004</v>
      </c>
      <c r="J36" s="35">
        <f t="shared" si="86"/>
        <v>0.25</v>
      </c>
      <c r="K36" s="35">
        <f t="shared" si="86"/>
        <v>0.25</v>
      </c>
      <c r="L36" s="35">
        <f t="shared" si="86"/>
        <v>0.25</v>
      </c>
      <c r="M36" s="35">
        <f t="shared" si="86"/>
        <v>0.25</v>
      </c>
      <c r="N36" s="35">
        <f t="shared" si="86"/>
        <v>0.19999999999999996</v>
      </c>
      <c r="O36" s="35">
        <f t="shared" si="86"/>
        <v>0.19999999999999996</v>
      </c>
      <c r="P36" s="35">
        <f t="shared" si="86"/>
        <v>0.19999999999999996</v>
      </c>
      <c r="Q36" s="35">
        <f t="shared" si="86"/>
        <v>0.19999999999999996</v>
      </c>
      <c r="R36" s="35">
        <f t="shared" si="86"/>
        <v>0.19999999999999996</v>
      </c>
      <c r="S36" s="35">
        <f t="shared" si="86"/>
        <v>0.10000000000000009</v>
      </c>
      <c r="T36" s="35">
        <f t="shared" si="86"/>
        <v>0.10000000000000009</v>
      </c>
      <c r="U36" s="35">
        <f t="shared" si="86"/>
        <v>0.10000000000000009</v>
      </c>
      <c r="V36" s="35">
        <f t="shared" si="86"/>
        <v>0.10000000000000009</v>
      </c>
      <c r="W36" s="35">
        <f t="shared" si="86"/>
        <v>0.10000000000000009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</row>
    <row r="37" spans="1:118" x14ac:dyDescent="0.15">
      <c r="A37" s="3" t="s">
        <v>31</v>
      </c>
      <c r="B37" s="35"/>
      <c r="C37" s="35"/>
      <c r="D37" s="35"/>
      <c r="E37" s="35"/>
      <c r="F37" s="35"/>
      <c r="G37" s="35">
        <f t="shared" ref="G37:W37" si="87">G19/F19-1</f>
        <v>-2.3809523809523836E-2</v>
      </c>
      <c r="H37" s="35">
        <f t="shared" si="87"/>
        <v>0.51884700665188466</v>
      </c>
      <c r="I37" s="35">
        <f t="shared" si="87"/>
        <v>-0.30000000000000004</v>
      </c>
      <c r="J37" s="35">
        <f t="shared" si="87"/>
        <v>0.19999999999999996</v>
      </c>
      <c r="K37" s="35">
        <f t="shared" si="87"/>
        <v>0.19999999999999996</v>
      </c>
      <c r="L37" s="35">
        <f t="shared" si="87"/>
        <v>0.19999999999999996</v>
      </c>
      <c r="M37" s="35">
        <f t="shared" si="87"/>
        <v>0.19999999999999996</v>
      </c>
      <c r="N37" s="35">
        <f t="shared" si="87"/>
        <v>0.10000000000000009</v>
      </c>
      <c r="O37" s="35">
        <f t="shared" si="87"/>
        <v>0.10000000000000009</v>
      </c>
      <c r="P37" s="35">
        <f t="shared" si="87"/>
        <v>0.10000000000000009</v>
      </c>
      <c r="Q37" s="35">
        <f t="shared" si="87"/>
        <v>0.10000000000000009</v>
      </c>
      <c r="R37" s="35">
        <f t="shared" si="87"/>
        <v>0.10000000000000009</v>
      </c>
      <c r="S37" s="35">
        <f t="shared" si="87"/>
        <v>-5.0000000000000044E-2</v>
      </c>
      <c r="T37" s="35">
        <f t="shared" si="87"/>
        <v>-5.0000000000000044E-2</v>
      </c>
      <c r="U37" s="35">
        <f t="shared" si="87"/>
        <v>-5.0000000000000044E-2</v>
      </c>
      <c r="V37" s="35">
        <f t="shared" si="87"/>
        <v>-5.0000000000000044E-2</v>
      </c>
      <c r="W37" s="35">
        <f t="shared" si="87"/>
        <v>-5.0000000000000155E-2</v>
      </c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</row>
    <row r="38" spans="1:118" x14ac:dyDescent="0.15">
      <c r="A38" s="3" t="s">
        <v>32</v>
      </c>
      <c r="B38" s="35"/>
      <c r="C38" s="35"/>
      <c r="D38" s="35"/>
      <c r="E38" s="35"/>
      <c r="F38" s="35"/>
      <c r="G38" s="35">
        <f t="shared" ref="G38:W38" si="88">G20/F20-1</f>
        <v>4.9019607843137303E-2</v>
      </c>
      <c r="H38" s="35">
        <f t="shared" si="88"/>
        <v>1.0841121495327104</v>
      </c>
      <c r="I38" s="35">
        <f t="shared" si="88"/>
        <v>-0.5</v>
      </c>
      <c r="J38" s="35">
        <f t="shared" si="88"/>
        <v>0.14999999999999991</v>
      </c>
      <c r="K38" s="35">
        <f t="shared" si="88"/>
        <v>0.14999999999999991</v>
      </c>
      <c r="L38" s="35">
        <f t="shared" si="88"/>
        <v>0.14999999999999991</v>
      </c>
      <c r="M38" s="35">
        <f t="shared" si="88"/>
        <v>0.14999999999999991</v>
      </c>
      <c r="N38" s="35">
        <f t="shared" si="88"/>
        <v>5.0000000000000044E-2</v>
      </c>
      <c r="O38" s="35">
        <f t="shared" si="88"/>
        <v>5.0000000000000044E-2</v>
      </c>
      <c r="P38" s="35">
        <f t="shared" si="88"/>
        <v>5.0000000000000044E-2</v>
      </c>
      <c r="Q38" s="35">
        <f t="shared" si="88"/>
        <v>5.0000000000000044E-2</v>
      </c>
      <c r="R38" s="35">
        <f t="shared" si="88"/>
        <v>5.0000000000000044E-2</v>
      </c>
      <c r="S38" s="35">
        <f t="shared" si="88"/>
        <v>-1.9999999999999907E-2</v>
      </c>
      <c r="T38" s="35">
        <f t="shared" si="88"/>
        <v>-2.0000000000000018E-2</v>
      </c>
      <c r="U38" s="35">
        <f t="shared" si="88"/>
        <v>-2.0000000000000018E-2</v>
      </c>
      <c r="V38" s="35">
        <f t="shared" si="88"/>
        <v>-1.9999999999999907E-2</v>
      </c>
      <c r="W38" s="35">
        <f t="shared" si="88"/>
        <v>-2.0000000000000018E-2</v>
      </c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</row>
    <row r="39" spans="1:118" x14ac:dyDescent="0.15">
      <c r="A39" s="6" t="s">
        <v>58</v>
      </c>
      <c r="B39" s="44"/>
      <c r="C39" s="44"/>
      <c r="D39" s="44"/>
      <c r="E39" s="44"/>
      <c r="F39" s="44"/>
      <c r="G39" s="44">
        <f t="shared" ref="G39:W39" si="89">G22/F22-1</f>
        <v>2.3741690408357163E-2</v>
      </c>
      <c r="H39" s="44">
        <f t="shared" si="89"/>
        <v>5.4730983302411884E-2</v>
      </c>
      <c r="I39" s="44">
        <f t="shared" si="89"/>
        <v>6.1301671064203811E-2</v>
      </c>
      <c r="J39" s="44">
        <f t="shared" si="89"/>
        <v>0.20241153559293945</v>
      </c>
      <c r="K39" s="44">
        <f t="shared" si="89"/>
        <v>0.20365967124987083</v>
      </c>
      <c r="L39" s="44">
        <f t="shared" si="89"/>
        <v>0.20490187236966406</v>
      </c>
      <c r="M39" s="44">
        <f>M22/L22-1</f>
        <v>0.20613646800864438</v>
      </c>
      <c r="N39" s="44">
        <f t="shared" si="89"/>
        <v>0.1262489955966708</v>
      </c>
      <c r="O39" s="44">
        <f t="shared" si="89"/>
        <v>0.12950288407420829</v>
      </c>
      <c r="P39" s="44">
        <f t="shared" si="89"/>
        <v>0.13277124617699299</v>
      </c>
      <c r="Q39" s="44">
        <f t="shared" si="89"/>
        <v>0.13603887743857546</v>
      </c>
      <c r="R39" s="44">
        <f t="shared" si="89"/>
        <v>0.13929045171981724</v>
      </c>
      <c r="S39" s="44">
        <f t="shared" si="89"/>
        <v>3.0328805171278006E-2</v>
      </c>
      <c r="T39" s="44">
        <f t="shared" si="89"/>
        <v>3.5209523579970536E-2</v>
      </c>
      <c r="U39" s="44">
        <f t="shared" si="89"/>
        <v>4.0020766948410946E-2</v>
      </c>
      <c r="V39" s="44">
        <f t="shared" si="89"/>
        <v>4.4720732196318336E-2</v>
      </c>
      <c r="W39" s="44">
        <f t="shared" si="89"/>
        <v>4.9271504517965692E-2</v>
      </c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</row>
    <row r="40" spans="1:118" x14ac:dyDescent="0.15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</row>
    <row r="41" spans="1:118" x14ac:dyDescent="0.15">
      <c r="A41" s="2" t="s">
        <v>18</v>
      </c>
      <c r="B41" s="48"/>
      <c r="C41" s="48"/>
      <c r="D41" s="48"/>
      <c r="E41" s="48"/>
      <c r="F41" s="24">
        <f>F42-F43</f>
        <v>1126</v>
      </c>
      <c r="G41" s="24">
        <f>G42-G43</f>
        <v>735</v>
      </c>
      <c r="H41" s="24">
        <f>H42-H43</f>
        <v>1850</v>
      </c>
      <c r="I41" s="48">
        <f>H41+I27</f>
        <v>1771.9764</v>
      </c>
      <c r="J41" s="48">
        <f t="shared" ref="J41:W41" si="90">I41+J27</f>
        <v>1860.2721799999999</v>
      </c>
      <c r="K41" s="48">
        <f t="shared" si="90"/>
        <v>2237.7415329999999</v>
      </c>
      <c r="L41" s="48">
        <f t="shared" si="90"/>
        <v>3003.5103519250001</v>
      </c>
      <c r="M41" s="48">
        <f t="shared" si="90"/>
        <v>4436.9194276776252</v>
      </c>
      <c r="N41" s="48">
        <f t="shared" si="90"/>
        <v>6362.949091556693</v>
      </c>
      <c r="O41" s="48">
        <f t="shared" si="90"/>
        <v>8902.2883642581273</v>
      </c>
      <c r="P41" s="48">
        <f t="shared" si="90"/>
        <v>12201.85380520955</v>
      </c>
      <c r="Q41" s="48">
        <f t="shared" si="90"/>
        <v>16440.228417175007</v>
      </c>
      <c r="R41" s="48">
        <f t="shared" si="90"/>
        <v>21834.206476889733</v>
      </c>
      <c r="S41" s="48">
        <f t="shared" si="90"/>
        <v>28233.149316397656</v>
      </c>
      <c r="T41" s="48">
        <f t="shared" si="90"/>
        <v>35746.082218241761</v>
      </c>
      <c r="U41" s="48">
        <f t="shared" si="90"/>
        <v>44493.889490083762</v>
      </c>
      <c r="V41" s="48">
        <f t="shared" si="90"/>
        <v>54610.515742238022</v>
      </c>
      <c r="W41" s="48">
        <f t="shared" si="90"/>
        <v>66244.289348847713</v>
      </c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</row>
    <row r="42" spans="1:118" x14ac:dyDescent="0.15">
      <c r="A42" s="3" t="s">
        <v>19</v>
      </c>
      <c r="B42" s="49"/>
      <c r="C42" s="49"/>
      <c r="D42" s="49"/>
      <c r="E42" s="49"/>
      <c r="F42" s="49">
        <f>Reports!E35</f>
        <v>1126</v>
      </c>
      <c r="G42" s="49">
        <f>Reports!I35</f>
        <v>1131</v>
      </c>
      <c r="H42" s="49">
        <f>Reports!M35</f>
        <v>2048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</row>
    <row r="43" spans="1:118" x14ac:dyDescent="0.15">
      <c r="A43" s="3" t="s">
        <v>20</v>
      </c>
      <c r="B43" s="49"/>
      <c r="C43" s="49"/>
      <c r="D43" s="49"/>
      <c r="E43" s="49"/>
      <c r="F43" s="49">
        <f>Reports!E36</f>
        <v>0</v>
      </c>
      <c r="G43" s="49">
        <f>Reports!I36</f>
        <v>396</v>
      </c>
      <c r="H43" s="49">
        <f>Reports!M36</f>
        <v>198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</row>
    <row r="44" spans="1:118" x14ac:dyDescent="0.1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</row>
    <row r="45" spans="1:118" x14ac:dyDescent="0.15">
      <c r="A45" s="3" t="s">
        <v>44</v>
      </c>
      <c r="B45" s="51"/>
      <c r="C45" s="51"/>
      <c r="D45" s="51"/>
      <c r="E45" s="51"/>
      <c r="F45" s="49">
        <f>Reports!E38</f>
        <v>23</v>
      </c>
      <c r="G45" s="49">
        <f>Reports!I38</f>
        <v>51</v>
      </c>
      <c r="H45" s="49">
        <f>Reports!M38</f>
        <v>217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</row>
    <row r="46" spans="1:118" x14ac:dyDescent="0.15">
      <c r="A46" s="3" t="s">
        <v>45</v>
      </c>
      <c r="B46" s="51"/>
      <c r="C46" s="51"/>
      <c r="D46" s="51"/>
      <c r="E46" s="51"/>
      <c r="F46" s="49">
        <f>Reports!E39</f>
        <v>1431</v>
      </c>
      <c r="G46" s="49">
        <f>Reports!I39</f>
        <v>1594</v>
      </c>
      <c r="H46" s="49">
        <f>Reports!M39</f>
        <v>2691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</row>
    <row r="47" spans="1:118" x14ac:dyDescent="0.15">
      <c r="A47" s="3" t="s">
        <v>46</v>
      </c>
      <c r="B47" s="51"/>
      <c r="C47" s="51"/>
      <c r="D47" s="51"/>
      <c r="E47" s="51"/>
      <c r="F47" s="49">
        <f>Reports!E40</f>
        <v>923</v>
      </c>
      <c r="G47" s="49">
        <f>Reports!I40</f>
        <v>1447</v>
      </c>
      <c r="H47" s="49">
        <f>Reports!M40</f>
        <v>1168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</row>
    <row r="48" spans="1:118" x14ac:dyDescent="0.1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</row>
    <row r="49" spans="1:118" x14ac:dyDescent="0.15">
      <c r="A49" s="3" t="s">
        <v>47</v>
      </c>
      <c r="B49" s="37"/>
      <c r="C49" s="37"/>
      <c r="D49" s="37"/>
      <c r="E49" s="37"/>
      <c r="F49" s="52">
        <f>F46-F45-F42</f>
        <v>282</v>
      </c>
      <c r="G49" s="52">
        <f>G46-G45-G42</f>
        <v>412</v>
      </c>
      <c r="H49" s="52">
        <f>H46-H45-H42</f>
        <v>426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</row>
    <row r="50" spans="1:118" x14ac:dyDescent="0.15">
      <c r="A50" s="3" t="s">
        <v>48</v>
      </c>
      <c r="B50" s="37"/>
      <c r="C50" s="37"/>
      <c r="D50" s="37"/>
      <c r="E50" s="37"/>
      <c r="F50" s="52">
        <f>F46-F47</f>
        <v>508</v>
      </c>
      <c r="G50" s="52">
        <f>G46-G47</f>
        <v>147</v>
      </c>
      <c r="H50" s="52">
        <f>H46-H47</f>
        <v>1523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</row>
    <row r="51" spans="1:118" x14ac:dyDescent="0.1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</row>
    <row r="52" spans="1:118" x14ac:dyDescent="0.15">
      <c r="A52" s="18" t="s">
        <v>50</v>
      </c>
      <c r="B52" s="38"/>
      <c r="C52" s="38"/>
      <c r="D52" s="38"/>
      <c r="E52" s="38"/>
      <c r="F52" s="53">
        <f>F27/F50</f>
        <v>-1.1417165354330707</v>
      </c>
      <c r="G52" s="53">
        <f>G27/G50</f>
        <v>-3.9647482993197278</v>
      </c>
      <c r="H52" s="53">
        <f>H27/H50</f>
        <v>-0.25664740643466843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</row>
    <row r="53" spans="1:118" x14ac:dyDescent="0.15">
      <c r="A53" s="18" t="s">
        <v>51</v>
      </c>
      <c r="B53" s="38"/>
      <c r="C53" s="38"/>
      <c r="D53" s="38"/>
      <c r="E53" s="38"/>
      <c r="F53" s="53">
        <f>F27/F46</f>
        <v>-0.40530538085255063</v>
      </c>
      <c r="G53" s="53">
        <f>G27/G46</f>
        <v>-0.3656323713927227</v>
      </c>
      <c r="H53" s="53">
        <f>H27/H46</f>
        <v>-0.14525232255667039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</row>
    <row r="54" spans="1:118" x14ac:dyDescent="0.15">
      <c r="A54" s="18" t="s">
        <v>52</v>
      </c>
      <c r="B54" s="38"/>
      <c r="C54" s="38"/>
      <c r="D54" s="38"/>
      <c r="E54" s="38"/>
      <c r="F54" s="53">
        <f>F27/(F50-F45)</f>
        <v>-1.1958597938144329</v>
      </c>
      <c r="G54" s="53">
        <f>G27/(G50-G45)</f>
        <v>-6.0710208333333329</v>
      </c>
      <c r="H54" s="53">
        <f>H27/(H50-H45)</f>
        <v>-0.29929096477794798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</row>
    <row r="55" spans="1:118" x14ac:dyDescent="0.15">
      <c r="A55" s="18" t="s">
        <v>53</v>
      </c>
      <c r="B55" s="38"/>
      <c r="C55" s="38"/>
      <c r="D55" s="38"/>
      <c r="E55" s="38"/>
      <c r="F55" s="53">
        <f>F27/F49</f>
        <v>-2.0567092198581558</v>
      </c>
      <c r="G55" s="53">
        <f>G27/G49</f>
        <v>-1.4146067961165047</v>
      </c>
      <c r="H55" s="53">
        <f>H27/H49</f>
        <v>-0.91754460093896717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</row>
    <row r="56" spans="1:118" x14ac:dyDescent="0.1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</row>
    <row r="57" spans="1:118" x14ac:dyDescent="0.15">
      <c r="A57" s="6" t="s">
        <v>57</v>
      </c>
      <c r="B57" s="38"/>
      <c r="C57" s="38"/>
      <c r="D57" s="38"/>
      <c r="E57" s="38"/>
      <c r="F57" s="53"/>
      <c r="G57" s="53">
        <f t="shared" ref="G57" si="91">G13/F13-1</f>
        <v>0.24713432279323966</v>
      </c>
      <c r="H57" s="53">
        <f>H13/G13-1</f>
        <v>0.47150446768252841</v>
      </c>
      <c r="I57" s="53">
        <f t="shared" ref="I57:M57" si="92">I13/H13-1</f>
        <v>0.39999999999999991</v>
      </c>
      <c r="J57" s="53">
        <f t="shared" si="92"/>
        <v>0.40000000000000013</v>
      </c>
      <c r="K57" s="53">
        <f t="shared" si="92"/>
        <v>0.39999999999999991</v>
      </c>
      <c r="L57" s="53">
        <f t="shared" si="92"/>
        <v>0.39999999999999991</v>
      </c>
      <c r="M57" s="53">
        <f t="shared" si="92"/>
        <v>0.39999999999999991</v>
      </c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</row>
    <row r="59" spans="1:118" s="19" customFormat="1" x14ac:dyDescent="0.15">
      <c r="A59" s="19" t="s">
        <v>80</v>
      </c>
      <c r="H59" s="19">
        <f>H10/G10-1</f>
        <v>0.76300578034682087</v>
      </c>
      <c r="I59" s="19">
        <f t="shared" ref="I59:M59" si="93">I10/H10-1</f>
        <v>0.60000000000000009</v>
      </c>
      <c r="J59" s="19">
        <f t="shared" si="93"/>
        <v>0.5</v>
      </c>
      <c r="K59" s="19">
        <f t="shared" si="93"/>
        <v>0.39999999999999991</v>
      </c>
      <c r="L59" s="19">
        <f t="shared" si="93"/>
        <v>0.35000000000000009</v>
      </c>
      <c r="M59" s="19">
        <f t="shared" si="93"/>
        <v>0.30000000000000004</v>
      </c>
    </row>
    <row r="60" spans="1:118" s="19" customFormat="1" x14ac:dyDescent="0.15">
      <c r="A60" s="19" t="s">
        <v>81</v>
      </c>
      <c r="H60" s="19">
        <f>H11/G11-1</f>
        <v>0.21410579345088165</v>
      </c>
      <c r="I60" s="19">
        <f t="shared" ref="I60:M60" si="94">I11/H11-1</f>
        <v>0.19999999999999996</v>
      </c>
      <c r="J60" s="19">
        <f t="shared" si="94"/>
        <v>0.19999999999999996</v>
      </c>
      <c r="K60" s="19">
        <f t="shared" si="94"/>
        <v>0.19999999999999996</v>
      </c>
      <c r="L60" s="19">
        <f t="shared" si="94"/>
        <v>0.19999999999999996</v>
      </c>
      <c r="M60" s="19">
        <f t="shared" si="94"/>
        <v>0.19999999999999996</v>
      </c>
    </row>
  </sheetData>
  <hyperlinks>
    <hyperlink ref="A1" r:id="rId1" xr:uid="{00000000-0004-0000-0000-000000000000}"/>
    <hyperlink ref="L4" r:id="rId2" xr:uid="{CBCA994A-BC74-CB48-8009-AD2DE8254A02}"/>
    <hyperlink ref="A4" r:id="rId3" xr:uid="{741A8B4D-19A2-5A48-9F00-2808126CAB69}"/>
    <hyperlink ref="A8" r:id="rId4" xr:uid="{5AAA0731-2696-3C4C-85B5-10147C1B3A1B}"/>
    <hyperlink ref="A7" r:id="rId5" xr:uid="{F2473224-43D8-9D42-9A8B-40E31A9FA9B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zoomScale="120" zoomScaleNormal="12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L14" sqref="L14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6384" width="10.83203125" style="6"/>
  </cols>
  <sheetData>
    <row r="1" spans="1:14" x14ac:dyDescent="0.15">
      <c r="A1" s="64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59</v>
      </c>
      <c r="K1" s="23" t="s">
        <v>64</v>
      </c>
      <c r="L1" s="23" t="s">
        <v>65</v>
      </c>
      <c r="M1" s="23" t="s">
        <v>60</v>
      </c>
    </row>
    <row r="2" spans="1:14" s="20" customFormat="1" x14ac:dyDescent="0.15">
      <c r="A2" s="1"/>
      <c r="B2" s="21"/>
      <c r="E2" s="55">
        <v>43465</v>
      </c>
      <c r="F2" s="56">
        <v>43555</v>
      </c>
      <c r="G2" s="55">
        <v>43646</v>
      </c>
      <c r="H2" s="55">
        <v>43738</v>
      </c>
      <c r="I2" s="55">
        <v>43830</v>
      </c>
      <c r="J2" s="56">
        <v>43921</v>
      </c>
      <c r="K2" s="55">
        <v>44012</v>
      </c>
      <c r="L2" s="55">
        <v>44104</v>
      </c>
      <c r="M2" s="55">
        <v>44196</v>
      </c>
    </row>
    <row r="3" spans="1:14" s="23" customFormat="1" x14ac:dyDescent="0.15">
      <c r="A3" s="8" t="s">
        <v>78</v>
      </c>
      <c r="B3" s="22"/>
      <c r="E3" s="39"/>
      <c r="F3" s="22"/>
      <c r="H3" s="23">
        <v>96.801000000000002</v>
      </c>
      <c r="I3" s="23">
        <v>102.5</v>
      </c>
      <c r="J3" s="22"/>
      <c r="L3" s="23">
        <v>162.56100000000001</v>
      </c>
      <c r="M3" s="23">
        <v>190</v>
      </c>
    </row>
    <row r="4" spans="1:14" s="23" customFormat="1" x14ac:dyDescent="0.15">
      <c r="A4" s="8" t="s">
        <v>79</v>
      </c>
      <c r="B4" s="22"/>
      <c r="E4" s="39"/>
      <c r="F4" s="22"/>
      <c r="H4" s="23">
        <v>93.74</v>
      </c>
      <c r="I4" s="23">
        <v>127</v>
      </c>
      <c r="J4" s="22"/>
      <c r="L4" s="23">
        <v>126.80500000000001</v>
      </c>
      <c r="M4" s="23">
        <v>132</v>
      </c>
    </row>
    <row r="5" spans="1:14" s="23" customFormat="1" x14ac:dyDescent="0.15">
      <c r="A5" s="65"/>
      <c r="B5" s="22"/>
      <c r="E5" s="39"/>
      <c r="F5" s="22"/>
      <c r="J5" s="22"/>
    </row>
    <row r="6" spans="1:14" s="8" customFormat="1" x14ac:dyDescent="0.15">
      <c r="A6" s="8" t="s">
        <v>56</v>
      </c>
      <c r="B6" s="22"/>
      <c r="C6" s="23"/>
      <c r="D6" s="23"/>
      <c r="E6" s="39"/>
      <c r="F6" s="22">
        <v>146.33600000000001</v>
      </c>
      <c r="G6" s="23">
        <v>176.32</v>
      </c>
      <c r="H6" s="23">
        <v>190.541</v>
      </c>
      <c r="I6" s="23">
        <v>229.358</v>
      </c>
      <c r="J6" s="22">
        <v>229.327</v>
      </c>
      <c r="K6" s="23">
        <v>251.88900000000001</v>
      </c>
      <c r="L6" s="23">
        <v>289.36599999999999</v>
      </c>
      <c r="M6" s="23">
        <v>322.09100000000001</v>
      </c>
    </row>
    <row r="7" spans="1:14" s="39" customFormat="1" x14ac:dyDescent="0.15">
      <c r="F7" s="40"/>
      <c r="J7" s="40"/>
      <c r="M7" s="39">
        <v>299</v>
      </c>
    </row>
    <row r="8" spans="1:14" s="17" customFormat="1" x14ac:dyDescent="0.15">
      <c r="A8" s="17" t="s">
        <v>0</v>
      </c>
      <c r="B8" s="39"/>
      <c r="C8" s="39"/>
      <c r="D8" s="39"/>
      <c r="E8" s="39"/>
      <c r="F8" s="25">
        <f>SUM(F6:F6)</f>
        <v>146.33600000000001</v>
      </c>
      <c r="G8" s="24">
        <f t="shared" ref="G8:K8" si="0">SUM(G6:G6)</f>
        <v>176.32</v>
      </c>
      <c r="H8" s="24">
        <f>SUM(H3:H4)</f>
        <v>190.541</v>
      </c>
      <c r="I8" s="24">
        <f t="shared" si="0"/>
        <v>229.358</v>
      </c>
      <c r="J8" s="25">
        <f>SUM(J6:J6)</f>
        <v>229.327</v>
      </c>
      <c r="K8" s="24">
        <f t="shared" si="0"/>
        <v>251.88900000000001</v>
      </c>
      <c r="L8" s="24">
        <f>SUM(L3:L4)</f>
        <v>289.36599999999999</v>
      </c>
      <c r="M8" s="24">
        <f>M6</f>
        <v>322.09100000000001</v>
      </c>
      <c r="N8" s="17">
        <v>332</v>
      </c>
    </row>
    <row r="9" spans="1:14" s="8" customFormat="1" x14ac:dyDescent="0.15">
      <c r="A9" s="8" t="s">
        <v>1</v>
      </c>
      <c r="B9" s="39"/>
      <c r="C9" s="39"/>
      <c r="D9" s="39"/>
      <c r="E9" s="39"/>
      <c r="F9" s="22">
        <v>44.808999999999997</v>
      </c>
      <c r="G9" s="23">
        <v>56.588999999999999</v>
      </c>
      <c r="H9" s="49">
        <v>65.072999999999993</v>
      </c>
      <c r="I9" s="49">
        <v>75.902000000000001</v>
      </c>
      <c r="J9" s="22">
        <v>64.293999999999997</v>
      </c>
      <c r="K9" s="49">
        <v>68.41</v>
      </c>
      <c r="L9" s="49">
        <v>149.34</v>
      </c>
      <c r="M9" s="49">
        <v>70.503</v>
      </c>
    </row>
    <row r="10" spans="1:14" s="8" customFormat="1" x14ac:dyDescent="0.15">
      <c r="A10" s="8" t="s">
        <v>2</v>
      </c>
      <c r="B10" s="39"/>
      <c r="C10" s="39"/>
      <c r="D10" s="39"/>
      <c r="E10" s="39"/>
      <c r="F10" s="27">
        <f t="shared" ref="F10" si="1">F8-F9</f>
        <v>101.52700000000002</v>
      </c>
      <c r="G10" s="26">
        <f t="shared" ref="G10:M10" si="2">G8-G9</f>
        <v>119.73099999999999</v>
      </c>
      <c r="H10" s="26">
        <f t="shared" si="2"/>
        <v>125.468</v>
      </c>
      <c r="I10" s="26">
        <f t="shared" si="2"/>
        <v>153.45600000000002</v>
      </c>
      <c r="J10" s="27">
        <f t="shared" ref="J10" si="3">J8-J9</f>
        <v>165.03300000000002</v>
      </c>
      <c r="K10" s="26">
        <f t="shared" si="2"/>
        <v>183.47900000000001</v>
      </c>
      <c r="L10" s="26">
        <f t="shared" si="2"/>
        <v>140.02599999999998</v>
      </c>
      <c r="M10" s="26">
        <f t="shared" si="2"/>
        <v>251.58800000000002</v>
      </c>
    </row>
    <row r="11" spans="1:14" s="8" customFormat="1" x14ac:dyDescent="0.15">
      <c r="A11" s="8" t="s">
        <v>3</v>
      </c>
      <c r="B11" s="39"/>
      <c r="C11" s="39"/>
      <c r="D11" s="39"/>
      <c r="E11" s="39"/>
      <c r="F11" s="22">
        <v>75</v>
      </c>
      <c r="G11" s="23">
        <v>79</v>
      </c>
      <c r="H11" s="49">
        <v>76</v>
      </c>
      <c r="I11" s="49">
        <v>76</v>
      </c>
      <c r="J11" s="22">
        <v>66</v>
      </c>
      <c r="K11" s="49">
        <v>87</v>
      </c>
      <c r="L11" s="49">
        <v>314</v>
      </c>
      <c r="M11" s="49">
        <v>94</v>
      </c>
    </row>
    <row r="12" spans="1:14" s="8" customFormat="1" x14ac:dyDescent="0.15">
      <c r="A12" s="8" t="s">
        <v>4</v>
      </c>
      <c r="B12" s="39"/>
      <c r="C12" s="39"/>
      <c r="D12" s="39"/>
      <c r="E12" s="39"/>
      <c r="F12" s="22">
        <v>107</v>
      </c>
      <c r="G12" s="23">
        <v>111</v>
      </c>
      <c r="H12" s="49">
        <v>120</v>
      </c>
      <c r="I12" s="49">
        <v>113</v>
      </c>
      <c r="J12" s="22">
        <v>99</v>
      </c>
      <c r="K12" s="49">
        <v>103</v>
      </c>
      <c r="L12" s="49">
        <v>335</v>
      </c>
      <c r="M12" s="49">
        <v>148</v>
      </c>
    </row>
    <row r="13" spans="1:14" s="8" customFormat="1" x14ac:dyDescent="0.15">
      <c r="A13" s="8" t="s">
        <v>5</v>
      </c>
      <c r="B13" s="39"/>
      <c r="C13" s="39"/>
      <c r="D13" s="39"/>
      <c r="E13" s="39"/>
      <c r="F13" s="22">
        <v>64</v>
      </c>
      <c r="G13" s="23">
        <v>71</v>
      </c>
      <c r="H13" s="49">
        <v>74</v>
      </c>
      <c r="I13" s="49">
        <v>112</v>
      </c>
      <c r="J13" s="22">
        <v>71</v>
      </c>
      <c r="K13" s="49">
        <v>93</v>
      </c>
      <c r="L13" s="49">
        <v>339</v>
      </c>
      <c r="M13" s="49">
        <v>166</v>
      </c>
    </row>
    <row r="14" spans="1:14" s="73" customFormat="1" x14ac:dyDescent="0.15">
      <c r="A14" s="73" t="s">
        <v>98</v>
      </c>
      <c r="B14" s="39"/>
      <c r="C14" s="39"/>
      <c r="D14" s="39"/>
      <c r="E14" s="39"/>
      <c r="F14" s="40"/>
      <c r="G14" s="39"/>
      <c r="H14" s="74"/>
      <c r="I14" s="74"/>
      <c r="J14" s="40"/>
      <c r="K14" s="74"/>
      <c r="L14" s="74">
        <f>770+8</f>
        <v>778</v>
      </c>
      <c r="M14" s="74"/>
    </row>
    <row r="15" spans="1:14" s="8" customFormat="1" x14ac:dyDescent="0.15">
      <c r="A15" s="8" t="s">
        <v>6</v>
      </c>
      <c r="B15" s="39"/>
      <c r="C15" s="39"/>
      <c r="D15" s="39"/>
      <c r="E15" s="39"/>
      <c r="F15" s="27">
        <f t="shared" ref="F15:G15" si="4">SUM(F11:F13)</f>
        <v>246</v>
      </c>
      <c r="G15" s="26">
        <f t="shared" si="4"/>
        <v>261</v>
      </c>
      <c r="H15" s="26">
        <f t="shared" ref="H15:I15" si="5">SUM(H11:H13)</f>
        <v>270</v>
      </c>
      <c r="I15" s="26">
        <f t="shared" si="5"/>
        <v>301</v>
      </c>
      <c r="J15" s="27">
        <f t="shared" ref="J15:L15" si="6">SUM(J11:J13)</f>
        <v>236</v>
      </c>
      <c r="K15" s="26">
        <f t="shared" si="6"/>
        <v>283</v>
      </c>
      <c r="L15" s="26">
        <f>SUM(L11:L13)-L14</f>
        <v>210</v>
      </c>
      <c r="M15" s="26">
        <f t="shared" ref="M15" si="7">SUM(M11:M13)</f>
        <v>408</v>
      </c>
    </row>
    <row r="16" spans="1:14" s="8" customFormat="1" x14ac:dyDescent="0.15">
      <c r="A16" s="8" t="s">
        <v>7</v>
      </c>
      <c r="B16" s="39"/>
      <c r="C16" s="39"/>
      <c r="D16" s="39"/>
      <c r="E16" s="39"/>
      <c r="F16" s="27">
        <f t="shared" ref="F16:G16" si="8">F10-F15</f>
        <v>-144.47299999999998</v>
      </c>
      <c r="G16" s="26">
        <f t="shared" si="8"/>
        <v>-141.26900000000001</v>
      </c>
      <c r="H16" s="26">
        <f t="shared" ref="H16:I16" si="9">H10-H15</f>
        <v>-144.53199999999998</v>
      </c>
      <c r="I16" s="26">
        <f t="shared" si="9"/>
        <v>-147.54399999999998</v>
      </c>
      <c r="J16" s="27">
        <f t="shared" ref="J16:L16" si="10">J10-J15</f>
        <v>-70.966999999999985</v>
      </c>
      <c r="K16" s="26">
        <f t="shared" si="10"/>
        <v>-99.520999999999987</v>
      </c>
      <c r="L16" s="26">
        <f t="shared" si="10"/>
        <v>-69.974000000000018</v>
      </c>
      <c r="M16" s="26">
        <f t="shared" ref="M16" si="11">M10-M15</f>
        <v>-156.41199999999998</v>
      </c>
    </row>
    <row r="17" spans="1:14" s="8" customFormat="1" x14ac:dyDescent="0.15">
      <c r="A17" s="8" t="s">
        <v>8</v>
      </c>
      <c r="B17" s="39"/>
      <c r="C17" s="39"/>
      <c r="D17" s="39"/>
      <c r="E17" s="39"/>
      <c r="F17" s="22">
        <f>5-0-2</f>
        <v>3</v>
      </c>
      <c r="G17" s="23">
        <f>4-0+2+1</f>
        <v>7</v>
      </c>
      <c r="H17" s="49">
        <f>3+1+2</f>
        <v>6</v>
      </c>
      <c r="I17" s="49">
        <f>2-3-3-5</f>
        <v>-9</v>
      </c>
      <c r="J17" s="22">
        <f>3-5+14+6</f>
        <v>18</v>
      </c>
      <c r="K17" s="49">
        <f>1-6-4-2</f>
        <v>-11</v>
      </c>
      <c r="L17" s="49">
        <f>-2-9-3</f>
        <v>-14</v>
      </c>
      <c r="M17" s="49">
        <f>0-2+2</f>
        <v>0</v>
      </c>
    </row>
    <row r="18" spans="1:14" s="8" customFormat="1" x14ac:dyDescent="0.15">
      <c r="A18" s="8" t="s">
        <v>9</v>
      </c>
      <c r="B18" s="39"/>
      <c r="C18" s="39"/>
      <c r="D18" s="39"/>
      <c r="E18" s="39"/>
      <c r="F18" s="27">
        <f t="shared" ref="F18:H18" si="12">F16+F17</f>
        <v>-141.47299999999998</v>
      </c>
      <c r="G18" s="26">
        <f t="shared" si="12"/>
        <v>-134.26900000000001</v>
      </c>
      <c r="H18" s="26">
        <f t="shared" si="12"/>
        <v>-138.53199999999998</v>
      </c>
      <c r="I18" s="26">
        <f t="shared" ref="I18" si="13">I16+I17</f>
        <v>-156.54399999999998</v>
      </c>
      <c r="J18" s="27">
        <f t="shared" ref="J18:M18" si="14">J16+J17</f>
        <v>-52.966999999999985</v>
      </c>
      <c r="K18" s="26">
        <f t="shared" si="14"/>
        <v>-110.52099999999999</v>
      </c>
      <c r="L18" s="26">
        <f t="shared" si="14"/>
        <v>-83.974000000000018</v>
      </c>
      <c r="M18" s="26">
        <f t="shared" si="14"/>
        <v>-156.41199999999998</v>
      </c>
    </row>
    <row r="19" spans="1:14" s="8" customFormat="1" x14ac:dyDescent="0.15">
      <c r="A19" s="8" t="s">
        <v>10</v>
      </c>
      <c r="B19" s="39"/>
      <c r="C19" s="39"/>
      <c r="D19" s="39"/>
      <c r="E19" s="39"/>
      <c r="F19" s="22">
        <v>5</v>
      </c>
      <c r="G19" s="23">
        <v>1</v>
      </c>
      <c r="H19" s="23">
        <v>2</v>
      </c>
      <c r="I19" s="23">
        <v>4</v>
      </c>
      <c r="J19" s="22">
        <v>3</v>
      </c>
      <c r="K19" s="23">
        <v>1</v>
      </c>
      <c r="L19" s="23">
        <v>-9</v>
      </c>
      <c r="M19" s="23">
        <v>-8</v>
      </c>
    </row>
    <row r="20" spans="1:14" s="17" customFormat="1" x14ac:dyDescent="0.15">
      <c r="A20" s="17" t="s">
        <v>11</v>
      </c>
      <c r="B20" s="39"/>
      <c r="C20" s="39"/>
      <c r="D20" s="39"/>
      <c r="E20" s="39"/>
      <c r="F20" s="25">
        <f t="shared" ref="F20:M20" si="15">F18-F19</f>
        <v>-146.47299999999998</v>
      </c>
      <c r="G20" s="24">
        <f t="shared" si="15"/>
        <v>-135.26900000000001</v>
      </c>
      <c r="H20" s="24">
        <f t="shared" si="15"/>
        <v>-140.53199999999998</v>
      </c>
      <c r="I20" s="24">
        <f t="shared" si="15"/>
        <v>-160.54399999999998</v>
      </c>
      <c r="J20" s="25">
        <f t="shared" si="15"/>
        <v>-55.966999999999985</v>
      </c>
      <c r="K20" s="24">
        <f t="shared" si="15"/>
        <v>-111.52099999999999</v>
      </c>
      <c r="L20" s="24">
        <f t="shared" si="15"/>
        <v>-74.974000000000018</v>
      </c>
      <c r="M20" s="24">
        <f t="shared" si="15"/>
        <v>-148.41199999999998</v>
      </c>
    </row>
    <row r="21" spans="1:14" s="4" customFormat="1" x14ac:dyDescent="0.15">
      <c r="A21" s="4" t="s">
        <v>12</v>
      </c>
      <c r="B21" s="39"/>
      <c r="C21" s="39"/>
      <c r="D21" s="39"/>
      <c r="E21" s="39"/>
      <c r="F21" s="58">
        <f t="shared" ref="F21:G21" si="16">IFERROR(F20/F22,0)</f>
        <v>0</v>
      </c>
      <c r="G21" s="57">
        <f t="shared" si="16"/>
        <v>0</v>
      </c>
      <c r="H21" s="57">
        <f t="shared" ref="H21:I21" si="17">IFERROR(H20/H22,0)</f>
        <v>-0.24225275994332926</v>
      </c>
      <c r="I21" s="57">
        <f t="shared" si="17"/>
        <v>-0.27456431274480081</v>
      </c>
      <c r="J21" s="58">
        <f t="shared" ref="J21:L21" si="18">IFERROR(J20/J22,0)</f>
        <v>0</v>
      </c>
      <c r="K21" s="57">
        <f t="shared" si="18"/>
        <v>0</v>
      </c>
      <c r="L21" s="57">
        <f t="shared" si="18"/>
        <v>-8.280192782466933E-2</v>
      </c>
      <c r="M21" s="57">
        <f t="shared" ref="M21" si="19">IFERROR(M20/M22,0)</f>
        <v>-8.4156976675118053E-2</v>
      </c>
    </row>
    <row r="22" spans="1:14" s="8" customFormat="1" x14ac:dyDescent="0.15">
      <c r="A22" s="8" t="s">
        <v>13</v>
      </c>
      <c r="B22" s="39"/>
      <c r="C22" s="39"/>
      <c r="D22" s="39"/>
      <c r="E22" s="39"/>
      <c r="F22" s="22"/>
      <c r="G22" s="23"/>
      <c r="H22" s="49">
        <v>580.10484599999995</v>
      </c>
      <c r="I22" s="49">
        <v>584.72275000000002</v>
      </c>
      <c r="J22" s="22"/>
      <c r="K22" s="49"/>
      <c r="L22" s="49">
        <v>905.46200999999996</v>
      </c>
      <c r="M22" s="49">
        <v>1763.5139220000001</v>
      </c>
    </row>
    <row r="23" spans="1:14" s="41" customFormat="1" x14ac:dyDescent="0.15">
      <c r="B23" s="39"/>
      <c r="C23" s="39"/>
      <c r="D23" s="39"/>
      <c r="E23" s="39"/>
      <c r="F23" s="54"/>
      <c r="J23" s="54"/>
    </row>
    <row r="24" spans="1:14" x14ac:dyDescent="0.15">
      <c r="A24" s="6" t="s">
        <v>15</v>
      </c>
      <c r="B24" s="39"/>
      <c r="C24" s="39"/>
      <c r="D24" s="39"/>
      <c r="E24" s="39"/>
      <c r="F24" s="34">
        <f t="shared" ref="F24:M24" si="20">IFERROR(F10/F8,0)</f>
        <v>0.69379373496610541</v>
      </c>
      <c r="G24" s="33">
        <f t="shared" si="20"/>
        <v>0.67905512704174231</v>
      </c>
      <c r="H24" s="33">
        <f t="shared" si="20"/>
        <v>0.65848295117586242</v>
      </c>
      <c r="I24" s="33">
        <f t="shared" si="20"/>
        <v>0.66906757122053739</v>
      </c>
      <c r="J24" s="34">
        <f t="shared" si="20"/>
        <v>0.71964051332812973</v>
      </c>
      <c r="K24" s="33">
        <f t="shared" si="20"/>
        <v>0.72841211803611916</v>
      </c>
      <c r="L24" s="33">
        <f t="shared" si="20"/>
        <v>0.48390619492269304</v>
      </c>
      <c r="M24" s="33">
        <f t="shared" si="20"/>
        <v>0.78110844450791861</v>
      </c>
    </row>
    <row r="25" spans="1:14" x14ac:dyDescent="0.15">
      <c r="A25" s="6" t="s">
        <v>16</v>
      </c>
      <c r="B25" s="39"/>
      <c r="C25" s="39"/>
      <c r="D25" s="39"/>
      <c r="E25" s="39"/>
      <c r="F25" s="36">
        <f t="shared" ref="F25:M25" si="21">IFERROR(F16/F8,0)</f>
        <v>-0.98726902471025568</v>
      </c>
      <c r="G25" s="35">
        <f t="shared" si="21"/>
        <v>-0.80120803085299463</v>
      </c>
      <c r="H25" s="35">
        <f t="shared" si="21"/>
        <v>-0.7585349084973837</v>
      </c>
      <c r="I25" s="35">
        <f t="shared" si="21"/>
        <v>-0.64329127390367891</v>
      </c>
      <c r="J25" s="36">
        <f t="shared" si="21"/>
        <v>-0.30945767397646151</v>
      </c>
      <c r="K25" s="35">
        <f t="shared" si="21"/>
        <v>-0.3950986347160852</v>
      </c>
      <c r="L25" s="35">
        <f t="shared" si="21"/>
        <v>-0.24181832005142284</v>
      </c>
      <c r="M25" s="35">
        <f t="shared" si="21"/>
        <v>-0.4856143139671707</v>
      </c>
    </row>
    <row r="26" spans="1:14" x14ac:dyDescent="0.15">
      <c r="A26" s="6" t="s">
        <v>17</v>
      </c>
      <c r="B26" s="39"/>
      <c r="C26" s="39"/>
      <c r="D26" s="39"/>
      <c r="E26" s="39"/>
      <c r="F26" s="36">
        <f t="shared" ref="F26:M26" si="22">IFERROR(F19/F18,0)</f>
        <v>-3.5342432831706405E-2</v>
      </c>
      <c r="G26" s="35">
        <f t="shared" si="22"/>
        <v>-7.4477355160163551E-3</v>
      </c>
      <c r="H26" s="35">
        <f t="shared" si="22"/>
        <v>-1.4437097565905352E-2</v>
      </c>
      <c r="I26" s="35">
        <f t="shared" si="22"/>
        <v>-2.555192150449714E-2</v>
      </c>
      <c r="J26" s="36">
        <f t="shared" si="22"/>
        <v>-5.6639039401891758E-2</v>
      </c>
      <c r="K26" s="35">
        <f t="shared" si="22"/>
        <v>-9.0480542159408622E-3</v>
      </c>
      <c r="L26" s="35">
        <f t="shared" si="22"/>
        <v>0.10717603067616165</v>
      </c>
      <c r="M26" s="35">
        <f t="shared" si="22"/>
        <v>5.1146970820653156E-2</v>
      </c>
    </row>
    <row r="27" spans="1:14" s="41" customFormat="1" x14ac:dyDescent="0.15">
      <c r="B27" s="39"/>
      <c r="C27" s="39"/>
      <c r="D27" s="39"/>
      <c r="E27" s="39"/>
      <c r="F27" s="54"/>
      <c r="J27" s="54"/>
      <c r="N27" s="44">
        <v>0.45</v>
      </c>
    </row>
    <row r="28" spans="1:14" s="12" customFormat="1" x14ac:dyDescent="0.15">
      <c r="A28" s="12" t="s">
        <v>14</v>
      </c>
      <c r="B28" s="39"/>
      <c r="C28" s="39"/>
      <c r="D28" s="39"/>
      <c r="E28" s="39"/>
      <c r="F28" s="30"/>
      <c r="G28" s="29"/>
      <c r="H28" s="29"/>
      <c r="I28" s="29"/>
      <c r="J28" s="30">
        <f>IFERROR((J8/F8)-1,0)</f>
        <v>0.56712633938333679</v>
      </c>
      <c r="K28" s="29">
        <f>IFERROR((K8/G8)-1,0)</f>
        <v>0.42859006352087126</v>
      </c>
      <c r="L28" s="29">
        <f>IFERROR((L8/H8)-1,0)</f>
        <v>0.51865477771188351</v>
      </c>
      <c r="M28" s="29">
        <f>IFERROR((M8/I8)-1,0)</f>
        <v>0.40431552420233863</v>
      </c>
      <c r="N28" s="29">
        <f>IFERROR((N8/J8)-1,0)</f>
        <v>0.44771439908950983</v>
      </c>
    </row>
    <row r="29" spans="1:14" s="12" customFormat="1" x14ac:dyDescent="0.15">
      <c r="A29" s="6" t="s">
        <v>30</v>
      </c>
      <c r="B29" s="39"/>
      <c r="C29" s="39"/>
      <c r="D29" s="39"/>
      <c r="E29" s="39"/>
      <c r="F29" s="32"/>
      <c r="G29" s="31"/>
      <c r="H29" s="31"/>
      <c r="I29" s="31"/>
      <c r="J29" s="32">
        <f>J11/F11-1</f>
        <v>-0.12</v>
      </c>
      <c r="K29" s="31">
        <f>K11/G11-1</f>
        <v>0.10126582278481022</v>
      </c>
      <c r="L29" s="31">
        <f>L11/H11-1</f>
        <v>3.1315789473684212</v>
      </c>
      <c r="M29" s="31">
        <f>M11/I11-1</f>
        <v>0.23684210526315796</v>
      </c>
    </row>
    <row r="30" spans="1:14" s="12" customFormat="1" x14ac:dyDescent="0.15">
      <c r="A30" s="6" t="s">
        <v>31</v>
      </c>
      <c r="B30" s="39"/>
      <c r="C30" s="39"/>
      <c r="D30" s="39"/>
      <c r="E30" s="39"/>
      <c r="F30" s="32"/>
      <c r="G30" s="31"/>
      <c r="H30" s="31"/>
      <c r="I30" s="31"/>
      <c r="J30" s="32">
        <f>J12/F12-1</f>
        <v>-7.4766355140186924E-2</v>
      </c>
      <c r="K30" s="31">
        <f>K12/G12-1</f>
        <v>-7.2072072072072113E-2</v>
      </c>
      <c r="L30" s="31">
        <f>L12/H12-1</f>
        <v>1.7916666666666665</v>
      </c>
      <c r="M30" s="31">
        <f>M12/I12-1</f>
        <v>0.30973451327433632</v>
      </c>
    </row>
    <row r="31" spans="1:14" s="12" customFormat="1" x14ac:dyDescent="0.15">
      <c r="A31" s="6" t="s">
        <v>32</v>
      </c>
      <c r="B31" s="39"/>
      <c r="C31" s="39"/>
      <c r="D31" s="39"/>
      <c r="E31" s="39"/>
      <c r="F31" s="32"/>
      <c r="G31" s="31"/>
      <c r="H31" s="31"/>
      <c r="I31" s="31"/>
      <c r="J31" s="32">
        <f>J13/F13-1</f>
        <v>0.109375</v>
      </c>
      <c r="K31" s="31">
        <f>K13/G13-1</f>
        <v>0.3098591549295775</v>
      </c>
      <c r="L31" s="31">
        <f>L13/H13-1</f>
        <v>3.5810810810810807</v>
      </c>
      <c r="M31" s="31">
        <f>M13/I13-1</f>
        <v>0.48214285714285721</v>
      </c>
    </row>
    <row r="32" spans="1:14" x14ac:dyDescent="0.15">
      <c r="A32" s="6" t="s">
        <v>58</v>
      </c>
      <c r="B32" s="39"/>
      <c r="C32" s="39"/>
      <c r="D32" s="39"/>
      <c r="E32" s="39"/>
      <c r="F32" s="34"/>
      <c r="G32" s="33"/>
      <c r="H32" s="33"/>
      <c r="I32" s="33"/>
      <c r="J32" s="34">
        <f t="shared" ref="J32:M32" si="23">J15/F15-1</f>
        <v>-4.065040650406504E-2</v>
      </c>
      <c r="K32" s="33">
        <f t="shared" si="23"/>
        <v>8.4291187739463647E-2</v>
      </c>
      <c r="L32" s="33">
        <f t="shared" si="23"/>
        <v>-0.22222222222222221</v>
      </c>
      <c r="M32" s="33">
        <f t="shared" si="23"/>
        <v>0.35548172757475083</v>
      </c>
    </row>
    <row r="33" spans="1:13" x14ac:dyDescent="0.15">
      <c r="B33" s="39"/>
      <c r="C33" s="39"/>
      <c r="D33" s="39"/>
      <c r="E33" s="39"/>
      <c r="G33" s="44"/>
    </row>
    <row r="34" spans="1:13" s="17" customFormat="1" x14ac:dyDescent="0.15">
      <c r="A34" s="17" t="s">
        <v>18</v>
      </c>
      <c r="B34" s="39"/>
      <c r="C34" s="39"/>
      <c r="D34" s="39"/>
      <c r="E34" s="24">
        <f t="shared" ref="E34" si="24">E35-E36</f>
        <v>1126</v>
      </c>
      <c r="F34" s="21"/>
      <c r="G34" s="44"/>
      <c r="H34" s="24">
        <f t="shared" ref="H34" si="25">H35-H36</f>
        <v>735</v>
      </c>
      <c r="I34" s="24">
        <f t="shared" ref="I34" si="26">I35-I36</f>
        <v>735</v>
      </c>
      <c r="J34" s="22"/>
      <c r="K34" s="24">
        <f t="shared" ref="K34:M34" si="27">K35-K36</f>
        <v>1237</v>
      </c>
      <c r="L34" s="24">
        <f t="shared" si="27"/>
        <v>1646</v>
      </c>
      <c r="M34" s="24">
        <f t="shared" si="27"/>
        <v>1850</v>
      </c>
    </row>
    <row r="35" spans="1:13" s="8" customFormat="1" x14ac:dyDescent="0.15">
      <c r="A35" s="8" t="s">
        <v>19</v>
      </c>
      <c r="B35" s="39"/>
      <c r="C35" s="39"/>
      <c r="D35" s="39"/>
      <c r="E35" s="23">
        <f>1116+10</f>
        <v>1126</v>
      </c>
      <c r="F35" s="22"/>
      <c r="G35" s="23"/>
      <c r="H35" s="23">
        <f>1079+52</f>
        <v>1131</v>
      </c>
      <c r="I35" s="23">
        <f>1079+52</f>
        <v>1131</v>
      </c>
      <c r="J35" s="22"/>
      <c r="K35" s="23">
        <f>1498+37</f>
        <v>1535</v>
      </c>
      <c r="L35" s="23">
        <f>1800+44</f>
        <v>1844</v>
      </c>
      <c r="M35" s="23">
        <f>2011+37</f>
        <v>2048</v>
      </c>
    </row>
    <row r="36" spans="1:13" s="8" customFormat="1" x14ac:dyDescent="0.15">
      <c r="A36" s="8" t="s">
        <v>20</v>
      </c>
      <c r="B36" s="39"/>
      <c r="C36" s="39"/>
      <c r="D36" s="39"/>
      <c r="E36" s="23">
        <v>0</v>
      </c>
      <c r="F36" s="22"/>
      <c r="G36" s="23"/>
      <c r="H36" s="23">
        <v>396</v>
      </c>
      <c r="I36" s="23">
        <v>396</v>
      </c>
      <c r="J36" s="22"/>
      <c r="K36" s="23">
        <v>298</v>
      </c>
      <c r="L36" s="23">
        <v>198</v>
      </c>
      <c r="M36" s="23">
        <v>198</v>
      </c>
    </row>
    <row r="37" spans="1:13" s="8" customFormat="1" x14ac:dyDescent="0.15">
      <c r="B37" s="39"/>
      <c r="C37" s="39"/>
      <c r="D37" s="39"/>
      <c r="E37" s="23"/>
      <c r="F37" s="22"/>
      <c r="G37" s="23"/>
      <c r="H37" s="23"/>
      <c r="I37" s="23"/>
      <c r="J37" s="22"/>
      <c r="K37" s="23"/>
      <c r="L37" s="23"/>
      <c r="M37" s="23"/>
    </row>
    <row r="38" spans="1:13" s="8" customFormat="1" x14ac:dyDescent="0.15">
      <c r="A38" s="59" t="s">
        <v>44</v>
      </c>
      <c r="B38" s="39"/>
      <c r="C38" s="39"/>
      <c r="D38" s="39"/>
      <c r="E38" s="23">
        <v>23</v>
      </c>
      <c r="F38" s="22"/>
      <c r="G38" s="23"/>
      <c r="H38" s="23">
        <v>78</v>
      </c>
      <c r="I38" s="23">
        <v>51</v>
      </c>
      <c r="J38" s="22"/>
      <c r="K38" s="23">
        <v>55</v>
      </c>
      <c r="L38" s="23">
        <v>94</v>
      </c>
      <c r="M38" s="23">
        <v>217</v>
      </c>
    </row>
    <row r="39" spans="1:13" s="8" customFormat="1" x14ac:dyDescent="0.15">
      <c r="A39" s="59" t="s">
        <v>45</v>
      </c>
      <c r="B39" s="39"/>
      <c r="C39" s="39"/>
      <c r="D39" s="39"/>
      <c r="E39" s="23">
        <v>1431</v>
      </c>
      <c r="F39" s="22"/>
      <c r="G39" s="23"/>
      <c r="H39" s="23">
        <v>1594</v>
      </c>
      <c r="I39" s="23">
        <v>1594</v>
      </c>
      <c r="J39" s="22"/>
      <c r="K39" s="23">
        <v>1892</v>
      </c>
      <c r="L39" s="23">
        <v>2604</v>
      </c>
      <c r="M39" s="23">
        <v>2691</v>
      </c>
    </row>
    <row r="40" spans="1:13" s="8" customFormat="1" x14ac:dyDescent="0.15">
      <c r="A40" s="59" t="s">
        <v>46</v>
      </c>
      <c r="B40" s="39"/>
      <c r="C40" s="39"/>
      <c r="D40" s="39"/>
      <c r="E40" s="23">
        <v>923</v>
      </c>
      <c r="F40" s="22"/>
      <c r="G40" s="23"/>
      <c r="H40" s="23">
        <v>1447</v>
      </c>
      <c r="I40" s="23">
        <v>1447</v>
      </c>
      <c r="J40" s="22"/>
      <c r="K40" s="23">
        <v>1163</v>
      </c>
      <c r="L40" s="23">
        <v>1352</v>
      </c>
      <c r="M40" s="23">
        <v>1168</v>
      </c>
    </row>
    <row r="41" spans="1:13" s="8" customFormat="1" x14ac:dyDescent="0.15">
      <c r="B41" s="39"/>
      <c r="C41" s="39"/>
      <c r="D41" s="39"/>
      <c r="E41" s="23"/>
      <c r="F41" s="22"/>
      <c r="G41" s="23"/>
      <c r="H41" s="23"/>
      <c r="I41" s="23"/>
      <c r="J41" s="22"/>
      <c r="K41" s="23"/>
      <c r="L41" s="23"/>
      <c r="M41" s="23"/>
    </row>
    <row r="42" spans="1:13" s="8" customFormat="1" x14ac:dyDescent="0.15">
      <c r="A42" s="59" t="s">
        <v>47</v>
      </c>
      <c r="B42" s="39"/>
      <c r="C42" s="39"/>
      <c r="D42" s="39"/>
      <c r="E42" s="26">
        <f t="shared" ref="E42:I42" si="28">E39-E35-E38</f>
        <v>282</v>
      </c>
      <c r="F42" s="21"/>
      <c r="G42" s="44"/>
      <c r="H42" s="26">
        <f t="shared" si="28"/>
        <v>385</v>
      </c>
      <c r="I42" s="26">
        <f t="shared" si="28"/>
        <v>412</v>
      </c>
      <c r="J42" s="22"/>
      <c r="K42" s="26">
        <f t="shared" ref="K42:L42" si="29">K39-K35-K38</f>
        <v>302</v>
      </c>
      <c r="L42" s="26">
        <f t="shared" si="29"/>
        <v>666</v>
      </c>
      <c r="M42" s="26">
        <f t="shared" ref="M42" si="30">M39-M35-M38</f>
        <v>426</v>
      </c>
    </row>
    <row r="43" spans="1:13" s="8" customFormat="1" x14ac:dyDescent="0.15">
      <c r="A43" s="59" t="s">
        <v>48</v>
      </c>
      <c r="B43" s="39"/>
      <c r="C43" s="39"/>
      <c r="D43" s="39"/>
      <c r="E43" s="26">
        <f t="shared" ref="E43" si="31">E39-E40</f>
        <v>508</v>
      </c>
      <c r="F43" s="21"/>
      <c r="G43" s="44"/>
      <c r="H43" s="26">
        <f>H39-H40</f>
        <v>147</v>
      </c>
      <c r="I43" s="26">
        <f>I39-I40</f>
        <v>147</v>
      </c>
      <c r="J43" s="22"/>
      <c r="K43" s="26">
        <f>K39-K40</f>
        <v>729</v>
      </c>
      <c r="L43" s="26">
        <f>L39-L40</f>
        <v>1252</v>
      </c>
      <c r="M43" s="26">
        <f>M39-M40</f>
        <v>1523</v>
      </c>
    </row>
    <row r="44" spans="1:13" s="8" customFormat="1" x14ac:dyDescent="0.15">
      <c r="B44" s="39"/>
      <c r="C44" s="39"/>
      <c r="D44" s="39"/>
      <c r="E44" s="23"/>
      <c r="F44" s="21"/>
      <c r="G44" s="44"/>
      <c r="H44" s="23"/>
      <c r="I44" s="23"/>
      <c r="J44" s="22"/>
      <c r="K44" s="23"/>
      <c r="L44" s="23"/>
      <c r="M44" s="23"/>
    </row>
    <row r="45" spans="1:13" s="17" customFormat="1" x14ac:dyDescent="0.15">
      <c r="A45" s="60" t="s">
        <v>49</v>
      </c>
      <c r="B45" s="39"/>
      <c r="C45" s="39"/>
      <c r="D45" s="39"/>
      <c r="E45" s="23"/>
      <c r="F45" s="21"/>
      <c r="G45" s="44"/>
      <c r="H45" s="24">
        <f t="shared" ref="H45:I45" si="32">SUM(E20:H20)</f>
        <v>-422.27399999999994</v>
      </c>
      <c r="I45" s="24">
        <f t="shared" si="32"/>
        <v>-582.81799999999998</v>
      </c>
      <c r="J45" s="22"/>
      <c r="K45" s="24">
        <f>SUM(H20:K20)</f>
        <v>-468.56399999999996</v>
      </c>
      <c r="L45" s="24">
        <f>SUM(I20:L20)</f>
        <v>-403.00599999999997</v>
      </c>
      <c r="M45" s="24">
        <f>SUM(J20:M20)</f>
        <v>-390.87399999999997</v>
      </c>
    </row>
    <row r="46" spans="1:13" x14ac:dyDescent="0.15">
      <c r="A46" s="18" t="s">
        <v>50</v>
      </c>
      <c r="B46" s="39"/>
      <c r="C46" s="39"/>
      <c r="D46" s="39"/>
      <c r="E46" s="23"/>
      <c r="G46" s="44"/>
      <c r="H46" s="33">
        <f t="shared" ref="H46:I46" si="33">H45/H43</f>
        <v>-2.872612244897959</v>
      </c>
      <c r="I46" s="33">
        <f t="shared" si="33"/>
        <v>-3.9647482993197278</v>
      </c>
      <c r="J46" s="22"/>
      <c r="K46" s="33">
        <f t="shared" ref="K46:L46" si="34">K45/K43</f>
        <v>-0.64274897119341556</v>
      </c>
      <c r="L46" s="33">
        <f t="shared" si="34"/>
        <v>-0.32188977635782745</v>
      </c>
      <c r="M46" s="33">
        <f t="shared" ref="M46" si="35">M45/M43</f>
        <v>-0.25664740643466838</v>
      </c>
    </row>
    <row r="47" spans="1:13" x14ac:dyDescent="0.15">
      <c r="A47" s="18" t="s">
        <v>51</v>
      </c>
      <c r="B47" s="39"/>
      <c r="C47" s="39"/>
      <c r="D47" s="39"/>
      <c r="E47" s="23"/>
      <c r="G47" s="44"/>
      <c r="H47" s="33">
        <f t="shared" ref="H47:I47" si="36">H45/H39</f>
        <v>-0.26491468005018814</v>
      </c>
      <c r="I47" s="33">
        <f t="shared" si="36"/>
        <v>-0.3656323713927227</v>
      </c>
      <c r="J47" s="22"/>
      <c r="K47" s="33">
        <f t="shared" ref="K47:L47" si="37">K45/K39</f>
        <v>-0.24765539112050738</v>
      </c>
      <c r="L47" s="33">
        <f t="shared" si="37"/>
        <v>-0.15476420890937018</v>
      </c>
      <c r="M47" s="33">
        <f t="shared" ref="M47" si="38">M45/M39</f>
        <v>-0.14525232255667037</v>
      </c>
    </row>
    <row r="48" spans="1:13" x14ac:dyDescent="0.15">
      <c r="A48" s="18" t="s">
        <v>52</v>
      </c>
      <c r="B48" s="39"/>
      <c r="C48" s="39"/>
      <c r="D48" s="39"/>
      <c r="E48" s="23"/>
      <c r="G48" s="44"/>
      <c r="H48" s="33">
        <f t="shared" ref="H48:I48" si="39">H45/(H43-H38)</f>
        <v>-6.1199130434782605</v>
      </c>
      <c r="I48" s="33">
        <f t="shared" si="39"/>
        <v>-6.0710208333333329</v>
      </c>
      <c r="J48" s="22"/>
      <c r="K48" s="33">
        <f t="shared" ref="K48:L48" si="40">K45/(K43-K38)</f>
        <v>-0.69519881305637976</v>
      </c>
      <c r="L48" s="33">
        <f t="shared" si="40"/>
        <v>-0.34801899827288424</v>
      </c>
      <c r="M48" s="33">
        <f t="shared" ref="M48" si="41">M45/(M43-M38)</f>
        <v>-0.29929096477794792</v>
      </c>
    </row>
    <row r="49" spans="1:13" x14ac:dyDescent="0.15">
      <c r="A49" s="18" t="s">
        <v>53</v>
      </c>
      <c r="B49" s="39"/>
      <c r="C49" s="39"/>
      <c r="D49" s="39"/>
      <c r="E49" s="23"/>
      <c r="G49" s="44"/>
      <c r="H49" s="33">
        <f t="shared" ref="H49:I49" si="42">H45/H42</f>
        <v>-1.0968155844155842</v>
      </c>
      <c r="I49" s="33">
        <f t="shared" si="42"/>
        <v>-1.4146067961165047</v>
      </c>
      <c r="J49" s="22"/>
      <c r="K49" s="33">
        <f t="shared" ref="K49:L49" si="43">K45/K42</f>
        <v>-1.5515364238410594</v>
      </c>
      <c r="L49" s="33">
        <f t="shared" si="43"/>
        <v>-0.60511411411411409</v>
      </c>
      <c r="M49" s="33">
        <f t="shared" ref="M49" si="44">M45/M42</f>
        <v>-0.91754460093896706</v>
      </c>
    </row>
    <row r="50" spans="1:13" x14ac:dyDescent="0.15">
      <c r="B50" s="39"/>
      <c r="C50" s="39"/>
      <c r="D50" s="39"/>
      <c r="E50" s="23"/>
      <c r="G50" s="44"/>
    </row>
    <row r="51" spans="1:13" x14ac:dyDescent="0.15">
      <c r="A51" s="6" t="s">
        <v>57</v>
      </c>
      <c r="B51" s="39"/>
      <c r="C51" s="39"/>
      <c r="D51" s="39"/>
      <c r="E51" s="23"/>
      <c r="G51" s="44"/>
      <c r="H51" s="33"/>
      <c r="I51" s="33"/>
      <c r="J51" s="34">
        <f t="shared" ref="J51:L51" si="45">J6/F6-1</f>
        <v>0.56712633938333679</v>
      </c>
      <c r="K51" s="33">
        <f t="shared" si="45"/>
        <v>0.42859006352087126</v>
      </c>
      <c r="L51" s="33">
        <f t="shared" si="45"/>
        <v>0.51865477771188351</v>
      </c>
      <c r="M51" s="33">
        <f>M6/I6-1</f>
        <v>0.40431552420233863</v>
      </c>
    </row>
    <row r="52" spans="1:13" x14ac:dyDescent="0.15">
      <c r="B52" s="39"/>
      <c r="C52" s="39"/>
      <c r="D52" s="39"/>
    </row>
    <row r="53" spans="1:13" s="66" customFormat="1" x14ac:dyDescent="0.15">
      <c r="A53" s="66" t="s">
        <v>80</v>
      </c>
      <c r="B53" s="34"/>
      <c r="C53" s="33"/>
      <c r="D53" s="33"/>
      <c r="E53" s="33"/>
      <c r="F53" s="34"/>
      <c r="G53" s="33"/>
      <c r="H53" s="33"/>
      <c r="I53" s="33"/>
      <c r="J53" s="34"/>
      <c r="K53" s="33"/>
      <c r="L53" s="33">
        <f>L3/H3-1</f>
        <v>0.67933182508445156</v>
      </c>
      <c r="M53" s="33">
        <f>M3/I3-1</f>
        <v>0.85365853658536595</v>
      </c>
    </row>
    <row r="54" spans="1:13" s="66" customFormat="1" x14ac:dyDescent="0.15">
      <c r="A54" s="66" t="s">
        <v>81</v>
      </c>
      <c r="B54" s="34"/>
      <c r="C54" s="33"/>
      <c r="D54" s="33"/>
      <c r="E54" s="33"/>
      <c r="F54" s="34"/>
      <c r="G54" s="33"/>
      <c r="H54" s="33"/>
      <c r="I54" s="33"/>
      <c r="J54" s="34"/>
      <c r="K54" s="33"/>
      <c r="L54" s="33">
        <f>L4/H4-1</f>
        <v>0.35273095796885023</v>
      </c>
      <c r="M54" s="33">
        <f>M4/I4-1</f>
        <v>3.937007874015741E-2</v>
      </c>
    </row>
    <row r="56" spans="1:13" s="14" customFormat="1" x14ac:dyDescent="0.15">
      <c r="B56" s="54"/>
      <c r="C56" s="41"/>
      <c r="D56" s="41"/>
      <c r="E56" s="41"/>
      <c r="F56" s="54"/>
      <c r="G56" s="41"/>
      <c r="H56" s="41"/>
      <c r="I56" s="41"/>
      <c r="J56" s="54"/>
      <c r="K56" s="41"/>
      <c r="L56" s="72"/>
      <c r="M56" s="41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47"/>
  <sheetViews>
    <sheetView zoomScale="120" zoomScaleNormal="120" workbookViewId="0">
      <selection activeCell="C12" sqref="C12"/>
    </sheetView>
  </sheetViews>
  <sheetFormatPr baseColWidth="10" defaultRowHeight="13" x14ac:dyDescent="0.15"/>
  <cols>
    <col min="1" max="1" width="10.83203125" style="3"/>
    <col min="2" max="2" width="19.33203125" style="3" bestFit="1" customWidth="1"/>
    <col min="3" max="3" width="29.6640625" style="3" bestFit="1" customWidth="1"/>
    <col min="4" max="4" width="35.33203125" style="3" bestFit="1" customWidth="1"/>
    <col min="5" max="16384" width="10.83203125" style="3"/>
  </cols>
  <sheetData>
    <row r="3" spans="2:4" x14ac:dyDescent="0.15">
      <c r="B3" s="67" t="s">
        <v>74</v>
      </c>
    </row>
    <row r="5" spans="2:4" x14ac:dyDescent="0.15">
      <c r="B5" s="3" t="s">
        <v>69</v>
      </c>
      <c r="C5" s="3" t="s">
        <v>75</v>
      </c>
      <c r="D5" s="2" t="s">
        <v>76</v>
      </c>
    </row>
    <row r="6" spans="2:4" x14ac:dyDescent="0.15">
      <c r="B6" s="3" t="s">
        <v>70</v>
      </c>
      <c r="C6" s="3" t="s">
        <v>71</v>
      </c>
      <c r="D6" s="2" t="s">
        <v>77</v>
      </c>
    </row>
    <row r="7" spans="2:4" x14ac:dyDescent="0.15">
      <c r="B7" s="3" t="s">
        <v>72</v>
      </c>
      <c r="C7" s="3" t="s">
        <v>73</v>
      </c>
    </row>
    <row r="10" spans="2:4" x14ac:dyDescent="0.15">
      <c r="B10" s="3" t="s">
        <v>89</v>
      </c>
      <c r="C10" s="16">
        <v>158000</v>
      </c>
    </row>
    <row r="11" spans="2:4" x14ac:dyDescent="0.15">
      <c r="B11" s="3" t="s">
        <v>90</v>
      </c>
      <c r="C11" s="16">
        <v>63000</v>
      </c>
    </row>
    <row r="12" spans="2:4" x14ac:dyDescent="0.15">
      <c r="C12" s="16">
        <f>SUM(C10:C11)</f>
        <v>221000</v>
      </c>
    </row>
    <row r="17" spans="2:4" x14ac:dyDescent="0.15">
      <c r="B17" s="67" t="s">
        <v>92</v>
      </c>
      <c r="C17" s="68" t="s">
        <v>93</v>
      </c>
      <c r="D17" s="38"/>
    </row>
    <row r="18" spans="2:4" x14ac:dyDescent="0.15">
      <c r="C18" s="38"/>
      <c r="D18" s="38"/>
    </row>
    <row r="19" spans="2:4" x14ac:dyDescent="0.15">
      <c r="B19" s="3" t="s">
        <v>82</v>
      </c>
      <c r="C19" s="38">
        <v>91</v>
      </c>
      <c r="D19" s="69">
        <v>43840</v>
      </c>
    </row>
    <row r="20" spans="2:4" x14ac:dyDescent="0.15">
      <c r="B20" s="3" t="s">
        <v>83</v>
      </c>
      <c r="C20" s="38">
        <v>36</v>
      </c>
      <c r="D20" s="69">
        <v>43871</v>
      </c>
    </row>
    <row r="21" spans="2:4" x14ac:dyDescent="0.15">
      <c r="B21" s="3" t="s">
        <v>84</v>
      </c>
      <c r="C21" s="38">
        <v>44</v>
      </c>
      <c r="D21" s="69">
        <v>44055</v>
      </c>
    </row>
    <row r="22" spans="2:4" x14ac:dyDescent="0.15">
      <c r="B22" s="3" t="s">
        <v>85</v>
      </c>
      <c r="C22" s="38">
        <v>114</v>
      </c>
      <c r="D22" s="69">
        <v>44186</v>
      </c>
    </row>
    <row r="23" spans="2:4" x14ac:dyDescent="0.15">
      <c r="B23" s="3" t="s">
        <v>86</v>
      </c>
      <c r="C23" s="38">
        <v>32</v>
      </c>
      <c r="D23" s="69">
        <v>44188</v>
      </c>
    </row>
    <row r="24" spans="2:4" x14ac:dyDescent="0.15">
      <c r="B24" s="3" t="s">
        <v>87</v>
      </c>
      <c r="C24" s="38">
        <v>23</v>
      </c>
      <c r="D24" s="69">
        <v>44200</v>
      </c>
    </row>
    <row r="25" spans="2:4" x14ac:dyDescent="0.15">
      <c r="B25" s="3" t="s">
        <v>88</v>
      </c>
      <c r="C25" s="38">
        <v>8</v>
      </c>
      <c r="D25" s="69">
        <v>44202</v>
      </c>
    </row>
    <row r="26" spans="2:4" x14ac:dyDescent="0.15">
      <c r="B26" s="3" t="s">
        <v>94</v>
      </c>
      <c r="C26" s="38"/>
      <c r="D26" s="38" t="s">
        <v>60</v>
      </c>
    </row>
    <row r="27" spans="2:4" x14ac:dyDescent="0.15">
      <c r="B27" s="3" t="s">
        <v>95</v>
      </c>
      <c r="C27" s="38"/>
      <c r="D27" s="38" t="s">
        <v>60</v>
      </c>
    </row>
    <row r="28" spans="2:4" x14ac:dyDescent="0.15">
      <c r="B28" s="3" t="s">
        <v>96</v>
      </c>
      <c r="C28" s="38"/>
      <c r="D28" s="38" t="s">
        <v>60</v>
      </c>
    </row>
    <row r="29" spans="2:4" x14ac:dyDescent="0.15">
      <c r="B29" s="3" t="s">
        <v>97</v>
      </c>
      <c r="C29" s="38"/>
      <c r="D29" s="38" t="s">
        <v>60</v>
      </c>
    </row>
    <row r="30" spans="2:4" x14ac:dyDescent="0.15">
      <c r="B30" s="3" t="s">
        <v>84</v>
      </c>
      <c r="C30" s="38">
        <v>44</v>
      </c>
      <c r="D30" s="38" t="s">
        <v>60</v>
      </c>
    </row>
    <row r="31" spans="2:4" x14ac:dyDescent="0.15">
      <c r="B31" s="3" t="s">
        <v>86</v>
      </c>
      <c r="C31" s="38">
        <v>31</v>
      </c>
      <c r="D31" s="38" t="s">
        <v>60</v>
      </c>
    </row>
    <row r="32" spans="2:4" x14ac:dyDescent="0.15">
      <c r="C32" s="38"/>
      <c r="D32" s="38"/>
    </row>
    <row r="33" spans="3:4" x14ac:dyDescent="0.15">
      <c r="C33" s="38"/>
      <c r="D33" s="38"/>
    </row>
    <row r="34" spans="3:4" x14ac:dyDescent="0.15">
      <c r="C34" s="38"/>
      <c r="D34" s="38"/>
    </row>
    <row r="35" spans="3:4" x14ac:dyDescent="0.15">
      <c r="C35" s="38"/>
      <c r="D35" s="38"/>
    </row>
    <row r="36" spans="3:4" x14ac:dyDescent="0.15">
      <c r="C36" s="38"/>
      <c r="D36" s="38"/>
    </row>
    <row r="37" spans="3:4" x14ac:dyDescent="0.15">
      <c r="C37" s="38"/>
      <c r="D37" s="38"/>
    </row>
    <row r="38" spans="3:4" x14ac:dyDescent="0.15">
      <c r="C38" s="38"/>
      <c r="D38" s="38"/>
    </row>
    <row r="39" spans="3:4" x14ac:dyDescent="0.15">
      <c r="C39" s="38"/>
      <c r="D39" s="38"/>
    </row>
    <row r="40" spans="3:4" x14ac:dyDescent="0.15">
      <c r="C40" s="38"/>
      <c r="D40" s="38"/>
    </row>
    <row r="41" spans="3:4" x14ac:dyDescent="0.15">
      <c r="C41" s="38"/>
      <c r="D41" s="38"/>
    </row>
    <row r="42" spans="3:4" x14ac:dyDescent="0.15">
      <c r="C42" s="38"/>
      <c r="D42" s="38"/>
    </row>
    <row r="43" spans="3:4" x14ac:dyDescent="0.15">
      <c r="C43" s="38"/>
      <c r="D43" s="38"/>
    </row>
    <row r="44" spans="3:4" x14ac:dyDescent="0.15">
      <c r="C44" s="38"/>
      <c r="D44" s="38"/>
    </row>
    <row r="45" spans="3:4" x14ac:dyDescent="0.15">
      <c r="C45" s="38"/>
      <c r="D45" s="38"/>
    </row>
    <row r="46" spans="3:4" x14ac:dyDescent="0.15">
      <c r="C46" s="38"/>
      <c r="D46" s="38"/>
    </row>
    <row r="47" spans="3:4" x14ac:dyDescent="0.15">
      <c r="C47" s="38"/>
      <c r="D4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2021-02-18T09:14:55Z</dcterms:modified>
</cp:coreProperties>
</file>