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9182752-3B46-5A46-BE67-A7DDBD49DE70}" xr6:coauthVersionLast="46" xr6:coauthVersionMax="46" xr10:uidLastSave="{00000000-0000-0000-0000-000000000000}"/>
  <bookViews>
    <workbookView xWindow="-52260" yWindow="-5940" windowWidth="26120" windowHeight="2672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4" i="2"/>
  <c r="G6" i="2"/>
  <c r="T19" i="2"/>
  <c r="U19" i="2" s="1"/>
  <c r="V19" i="2" s="1"/>
  <c r="W19" i="2" s="1"/>
  <c r="S19" i="2"/>
  <c r="T18" i="2"/>
  <c r="U18" i="2" s="1"/>
  <c r="V18" i="2" s="1"/>
  <c r="W18" i="2" s="1"/>
  <c r="S18" i="2"/>
  <c r="U17" i="2"/>
  <c r="V17" i="2" s="1"/>
  <c r="W17" i="2" s="1"/>
  <c r="T17" i="2"/>
  <c r="S17" i="2"/>
  <c r="W27" i="2"/>
  <c r="W14" i="2"/>
  <c r="W33" i="2" s="1"/>
  <c r="W10" i="2"/>
  <c r="O19" i="2"/>
  <c r="P19" i="2" s="1"/>
  <c r="Q19" i="2" s="1"/>
  <c r="R19" i="2" s="1"/>
  <c r="N19" i="2"/>
  <c r="O17" i="2"/>
  <c r="P17" i="2" s="1"/>
  <c r="Q17" i="2" s="1"/>
  <c r="R17" i="2" s="1"/>
  <c r="N17" i="2"/>
  <c r="O14" i="2"/>
  <c r="P14" i="2" s="1"/>
  <c r="Q14" i="2" s="1"/>
  <c r="R14" i="2" s="1"/>
  <c r="N14" i="2"/>
  <c r="K17" i="2"/>
  <c r="L17" i="2" s="1"/>
  <c r="M17" i="2" s="1"/>
  <c r="J17" i="2"/>
  <c r="I17" i="2"/>
  <c r="J19" i="2"/>
  <c r="K19" i="2" s="1"/>
  <c r="L19" i="2" s="1"/>
  <c r="M19" i="2" s="1"/>
  <c r="I19" i="2"/>
  <c r="H31" i="2"/>
  <c r="H30" i="2"/>
  <c r="H29" i="2"/>
  <c r="J18" i="2"/>
  <c r="K18" i="2" s="1"/>
  <c r="L18" i="2" s="1"/>
  <c r="M18" i="2" s="1"/>
  <c r="I14" i="2"/>
  <c r="M62" i="2"/>
  <c r="L62" i="2"/>
  <c r="K62" i="2"/>
  <c r="J62" i="2"/>
  <c r="J59" i="2"/>
  <c r="K59" i="2" s="1"/>
  <c r="L59" i="2" s="1"/>
  <c r="M59" i="2" s="1"/>
  <c r="I59" i="2"/>
  <c r="I62" i="2"/>
  <c r="H64" i="2"/>
  <c r="H62" i="2"/>
  <c r="H61" i="2"/>
  <c r="H59" i="2"/>
  <c r="H58" i="2"/>
  <c r="H56" i="2"/>
  <c r="H55" i="2"/>
  <c r="H51" i="2"/>
  <c r="H48" i="2"/>
  <c r="H52" i="2" s="1"/>
  <c r="H47" i="2"/>
  <c r="H53" i="2" s="1"/>
  <c r="H45" i="2"/>
  <c r="H44" i="2"/>
  <c r="H43" i="2"/>
  <c r="H41" i="2"/>
  <c r="H39" i="2" s="1"/>
  <c r="H40" i="2"/>
  <c r="H26" i="2"/>
  <c r="H23" i="2"/>
  <c r="H20" i="2"/>
  <c r="H21" i="2" s="1"/>
  <c r="H16" i="2"/>
  <c r="H14" i="2"/>
  <c r="H27" i="2"/>
  <c r="H24" i="2"/>
  <c r="H22" i="2"/>
  <c r="H19" i="2"/>
  <c r="H18" i="2"/>
  <c r="H17" i="2"/>
  <c r="H15" i="2"/>
  <c r="H12" i="2"/>
  <c r="H11" i="2"/>
  <c r="J49" i="1"/>
  <c r="N49" i="1"/>
  <c r="M49" i="1"/>
  <c r="L49" i="1"/>
  <c r="K49" i="1"/>
  <c r="R49" i="1"/>
  <c r="Q49" i="1"/>
  <c r="P49" i="1"/>
  <c r="O49" i="1"/>
  <c r="V49" i="1"/>
  <c r="U49" i="1"/>
  <c r="T49" i="1"/>
  <c r="S49" i="1"/>
  <c r="W49" i="1"/>
  <c r="X49" i="1"/>
  <c r="Y49" i="1"/>
  <c r="Z49" i="1"/>
  <c r="I48" i="1"/>
  <c r="F48" i="1"/>
  <c r="J48" i="1"/>
  <c r="H48" i="1"/>
  <c r="G48" i="1"/>
  <c r="N48" i="1"/>
  <c r="M48" i="1"/>
  <c r="L48" i="1"/>
  <c r="K48" i="1"/>
  <c r="R48" i="1"/>
  <c r="Q48" i="1"/>
  <c r="P48" i="1"/>
  <c r="O48" i="1"/>
  <c r="V48" i="1"/>
  <c r="U48" i="1"/>
  <c r="T48" i="1"/>
  <c r="S48" i="1"/>
  <c r="W48" i="1"/>
  <c r="X48" i="1"/>
  <c r="Y48" i="1"/>
  <c r="Z48" i="1"/>
  <c r="Z52" i="1"/>
  <c r="Z51" i="1"/>
  <c r="Z37" i="1"/>
  <c r="Z40" i="1" s="1"/>
  <c r="Z35" i="1"/>
  <c r="Z39" i="1" s="1"/>
  <c r="Z32" i="1"/>
  <c r="Z31" i="1" s="1"/>
  <c r="Z29" i="1"/>
  <c r="Z28" i="1"/>
  <c r="Z27" i="1"/>
  <c r="Z26" i="1"/>
  <c r="Z15" i="1"/>
  <c r="Z12" i="1"/>
  <c r="Z13" i="1" s="1"/>
  <c r="Z14" i="1" s="1"/>
  <c r="Z7" i="1"/>
  <c r="Z9" i="1" s="1"/>
  <c r="Z22" i="1" s="1"/>
  <c r="E58" i="2"/>
  <c r="R57" i="1"/>
  <c r="S58" i="1"/>
  <c r="S57" i="1"/>
  <c r="Q58" i="1"/>
  <c r="Q57" i="1"/>
  <c r="O58" i="1"/>
  <c r="O57" i="1"/>
  <c r="P58" i="1"/>
  <c r="P57" i="1"/>
  <c r="T58" i="1"/>
  <c r="T57" i="1"/>
  <c r="F58" i="2"/>
  <c r="G59" i="2"/>
  <c r="G58" i="2"/>
  <c r="G61" i="2" s="1"/>
  <c r="Z57" i="1"/>
  <c r="U58" i="1"/>
  <c r="U57" i="1"/>
  <c r="V57" i="1"/>
  <c r="R55" i="1"/>
  <c r="F59" i="2" s="1"/>
  <c r="W58" i="1"/>
  <c r="W57" i="1"/>
  <c r="X58" i="1"/>
  <c r="X57" i="1"/>
  <c r="Y58" i="1"/>
  <c r="Y57" i="1"/>
  <c r="Y37" i="1"/>
  <c r="Y40" i="1" s="1"/>
  <c r="Y35" i="1"/>
  <c r="Y32" i="1"/>
  <c r="Y31" i="1" s="1"/>
  <c r="Y52" i="1"/>
  <c r="Y51" i="1"/>
  <c r="Y28" i="1"/>
  <c r="Y27" i="1"/>
  <c r="Y12" i="1"/>
  <c r="Y29" i="1" s="1"/>
  <c r="Y7" i="1"/>
  <c r="X37" i="1"/>
  <c r="X40" i="1" s="1"/>
  <c r="X35" i="1"/>
  <c r="X32" i="1"/>
  <c r="X31" i="1" s="1"/>
  <c r="X52" i="1"/>
  <c r="X51" i="1"/>
  <c r="X28" i="1"/>
  <c r="X27" i="1"/>
  <c r="X15" i="1"/>
  <c r="X12" i="1"/>
  <c r="X29" i="1" s="1"/>
  <c r="X7" i="1"/>
  <c r="X60" i="1" s="1"/>
  <c r="G27" i="2"/>
  <c r="G44" i="2"/>
  <c r="G41" i="2"/>
  <c r="G24" i="2"/>
  <c r="G19" i="2"/>
  <c r="G18" i="2"/>
  <c r="G17" i="2"/>
  <c r="G20" i="2" s="1"/>
  <c r="G15" i="2"/>
  <c r="G12" i="2"/>
  <c r="G11" i="2"/>
  <c r="W52" i="1"/>
  <c r="W51" i="1"/>
  <c r="W37" i="1"/>
  <c r="W40" i="1" s="1"/>
  <c r="W35" i="1"/>
  <c r="W32" i="1"/>
  <c r="W31" i="1"/>
  <c r="W28" i="1"/>
  <c r="W27" i="1"/>
  <c r="W15" i="1"/>
  <c r="W12" i="1"/>
  <c r="W13" i="1" s="1"/>
  <c r="W7" i="1"/>
  <c r="W9" i="1" s="1"/>
  <c r="W22" i="1" s="1"/>
  <c r="V52" i="1"/>
  <c r="V51" i="1"/>
  <c r="V37" i="1"/>
  <c r="V40" i="1" s="1"/>
  <c r="V35" i="1"/>
  <c r="G43" i="2" s="1"/>
  <c r="V32" i="1"/>
  <c r="V31" i="1" s="1"/>
  <c r="V29" i="1"/>
  <c r="V28" i="1"/>
  <c r="V27" i="1"/>
  <c r="V15" i="1"/>
  <c r="V13" i="1"/>
  <c r="V7" i="1"/>
  <c r="U52" i="1"/>
  <c r="U51" i="1"/>
  <c r="U37" i="1"/>
  <c r="U40" i="1" s="1"/>
  <c r="U35" i="1"/>
  <c r="U32" i="1"/>
  <c r="U39" i="1" s="1"/>
  <c r="U31" i="1"/>
  <c r="U29" i="1"/>
  <c r="U28" i="1"/>
  <c r="U27" i="1"/>
  <c r="U15" i="1"/>
  <c r="U13" i="1"/>
  <c r="U7" i="1"/>
  <c r="U9" i="1" s="1"/>
  <c r="U22" i="1" s="1"/>
  <c r="T52" i="1"/>
  <c r="T51" i="1"/>
  <c r="T37" i="1"/>
  <c r="T40" i="1" s="1"/>
  <c r="T35" i="1"/>
  <c r="T32" i="1"/>
  <c r="T31" i="1"/>
  <c r="T29" i="1"/>
  <c r="T28" i="1"/>
  <c r="T27" i="1"/>
  <c r="R13" i="1"/>
  <c r="S13" i="1"/>
  <c r="T13" i="1"/>
  <c r="T15" i="1"/>
  <c r="T7" i="1"/>
  <c r="S52" i="1"/>
  <c r="S51" i="1"/>
  <c r="S37" i="1"/>
  <c r="S40" i="1" s="1"/>
  <c r="S35" i="1"/>
  <c r="S32" i="1"/>
  <c r="S31" i="1" s="1"/>
  <c r="S29" i="1"/>
  <c r="S28" i="1"/>
  <c r="S27" i="1"/>
  <c r="S15" i="1"/>
  <c r="S7" i="1"/>
  <c r="S60" i="1" s="1"/>
  <c r="W16" i="2" l="1"/>
  <c r="H50" i="2"/>
  <c r="Z16" i="1"/>
  <c r="Z23" i="1"/>
  <c r="F61" i="2"/>
  <c r="Y26" i="1"/>
  <c r="Y39" i="1"/>
  <c r="G22" i="2"/>
  <c r="T39" i="1"/>
  <c r="Y13" i="1"/>
  <c r="W29" i="1"/>
  <c r="X9" i="1"/>
  <c r="X22" i="1" s="1"/>
  <c r="W39" i="1"/>
  <c r="S39" i="1"/>
  <c r="W14" i="1"/>
  <c r="V9" i="1"/>
  <c r="V22" i="1" s="1"/>
  <c r="W26" i="1"/>
  <c r="Y9" i="1"/>
  <c r="Y22" i="1" s="1"/>
  <c r="Y60" i="1"/>
  <c r="S9" i="1"/>
  <c r="S22" i="1" s="1"/>
  <c r="N55" i="1"/>
  <c r="E59" i="2" s="1"/>
  <c r="F62" i="2" s="1"/>
  <c r="X39" i="1"/>
  <c r="V58" i="1"/>
  <c r="G40" i="2"/>
  <c r="G39" i="2" s="1"/>
  <c r="W60" i="1"/>
  <c r="X13" i="1"/>
  <c r="X26" i="1"/>
  <c r="V60" i="1"/>
  <c r="T9" i="1"/>
  <c r="T22" i="1" s="1"/>
  <c r="U60" i="1"/>
  <c r="V39" i="1"/>
  <c r="T60" i="1"/>
  <c r="U14" i="1"/>
  <c r="G45" i="2"/>
  <c r="G48" i="2" s="1"/>
  <c r="V14" i="1"/>
  <c r="Z58" i="1"/>
  <c r="G62" i="2"/>
  <c r="G14" i="2"/>
  <c r="D5" i="2"/>
  <c r="F44" i="2"/>
  <c r="F41" i="2"/>
  <c r="F27" i="2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F19" i="2"/>
  <c r="F18" i="2"/>
  <c r="F17" i="2"/>
  <c r="F12" i="2"/>
  <c r="G56" i="2" s="1"/>
  <c r="F11" i="2"/>
  <c r="R37" i="1"/>
  <c r="R40" i="1" s="1"/>
  <c r="R35" i="1"/>
  <c r="R32" i="1"/>
  <c r="R31" i="1" s="1"/>
  <c r="R7" i="1"/>
  <c r="V26" i="1" s="1"/>
  <c r="R51" i="1"/>
  <c r="N32" i="1"/>
  <c r="E40" i="2"/>
  <c r="E41" i="2"/>
  <c r="E11" i="2"/>
  <c r="E12" i="2"/>
  <c r="K8" i="1"/>
  <c r="K9" i="1" s="1"/>
  <c r="L8" i="1"/>
  <c r="L9" i="1" s="1"/>
  <c r="M8" i="1"/>
  <c r="O15" i="1"/>
  <c r="P15" i="1"/>
  <c r="Q15" i="1"/>
  <c r="Q7" i="1"/>
  <c r="Q8" i="1"/>
  <c r="Q13" i="1"/>
  <c r="D17" i="2"/>
  <c r="C17" i="2"/>
  <c r="E17" i="2"/>
  <c r="D12" i="2"/>
  <c r="C12" i="2"/>
  <c r="D56" i="2" s="1"/>
  <c r="D11" i="2"/>
  <c r="C11" i="2"/>
  <c r="E44" i="2"/>
  <c r="N37" i="1"/>
  <c r="N40" i="1" s="1"/>
  <c r="E45" i="2"/>
  <c r="D44" i="2"/>
  <c r="J37" i="1"/>
  <c r="D45" i="2" s="1"/>
  <c r="C44" i="2"/>
  <c r="F37" i="1"/>
  <c r="F40" i="1" s="1"/>
  <c r="N35" i="1"/>
  <c r="E43" i="2"/>
  <c r="J35" i="1"/>
  <c r="D43" i="2"/>
  <c r="J32" i="1"/>
  <c r="J31" i="1" s="1"/>
  <c r="D40" i="2"/>
  <c r="F35" i="1"/>
  <c r="C43" i="2"/>
  <c r="F32" i="1"/>
  <c r="F39" i="1" s="1"/>
  <c r="D41" i="2"/>
  <c r="C41" i="2"/>
  <c r="O8" i="1"/>
  <c r="O9" i="1" s="1"/>
  <c r="P8" i="1"/>
  <c r="E27" i="2"/>
  <c r="N17" i="1"/>
  <c r="E24" i="2"/>
  <c r="K15" i="1"/>
  <c r="L15" i="1"/>
  <c r="M15" i="1"/>
  <c r="E19" i="2"/>
  <c r="E18" i="2"/>
  <c r="D27" i="2"/>
  <c r="D24" i="2"/>
  <c r="G15" i="1"/>
  <c r="H15" i="1"/>
  <c r="I15" i="1"/>
  <c r="D22" i="2"/>
  <c r="D19" i="2"/>
  <c r="D18" i="2"/>
  <c r="G8" i="1"/>
  <c r="H8" i="1"/>
  <c r="I8" i="1"/>
  <c r="J8" i="1"/>
  <c r="D15" i="2"/>
  <c r="C27" i="2"/>
  <c r="C24" i="2"/>
  <c r="C15" i="1"/>
  <c r="D15" i="1"/>
  <c r="E15" i="1"/>
  <c r="C22" i="2"/>
  <c r="C19" i="2"/>
  <c r="C18" i="2"/>
  <c r="C8" i="1"/>
  <c r="D8" i="1"/>
  <c r="E8" i="1"/>
  <c r="F8" i="1"/>
  <c r="Q32" i="1"/>
  <c r="Q31" i="1"/>
  <c r="R29" i="1"/>
  <c r="R28" i="1"/>
  <c r="R27" i="1"/>
  <c r="N7" i="1"/>
  <c r="N9" i="1" s="1"/>
  <c r="R52" i="1"/>
  <c r="C7" i="1"/>
  <c r="C13" i="1"/>
  <c r="D7" i="1"/>
  <c r="D13" i="1"/>
  <c r="E7" i="1"/>
  <c r="E13" i="1"/>
  <c r="F7" i="1"/>
  <c r="F13" i="1"/>
  <c r="G7" i="1"/>
  <c r="G9" i="1" s="1"/>
  <c r="G22" i="1" s="1"/>
  <c r="G13" i="1"/>
  <c r="H7" i="1"/>
  <c r="H13" i="1"/>
  <c r="I7" i="1"/>
  <c r="I9" i="1" s="1"/>
  <c r="I13" i="1"/>
  <c r="J7" i="1"/>
  <c r="J13" i="1"/>
  <c r="K7" i="1"/>
  <c r="K13" i="1"/>
  <c r="L7" i="1"/>
  <c r="L13" i="1"/>
  <c r="M7" i="1"/>
  <c r="M60" i="1" s="1"/>
  <c r="M13" i="1"/>
  <c r="N13" i="1"/>
  <c r="O7" i="1"/>
  <c r="O60" i="1" s="1"/>
  <c r="O13" i="1"/>
  <c r="O35" i="1"/>
  <c r="O39" i="1" s="1"/>
  <c r="O32" i="1"/>
  <c r="O31" i="1" s="1"/>
  <c r="O37" i="1"/>
  <c r="O40" i="1"/>
  <c r="P7" i="1"/>
  <c r="P13" i="1"/>
  <c r="P35" i="1"/>
  <c r="P32" i="1"/>
  <c r="P31" i="1" s="1"/>
  <c r="P37" i="1"/>
  <c r="P40" i="1" s="1"/>
  <c r="Q35" i="1"/>
  <c r="Q37" i="1"/>
  <c r="Q40" i="1" s="1"/>
  <c r="O52" i="1"/>
  <c r="O51" i="1"/>
  <c r="O29" i="1"/>
  <c r="O28" i="1"/>
  <c r="O27" i="1"/>
  <c r="P52" i="1"/>
  <c r="P51" i="1"/>
  <c r="P29" i="1"/>
  <c r="P28" i="1"/>
  <c r="P27" i="1"/>
  <c r="N52" i="1"/>
  <c r="M52" i="1"/>
  <c r="L52" i="1"/>
  <c r="K52" i="1"/>
  <c r="J52" i="1"/>
  <c r="I52" i="1"/>
  <c r="H52" i="1"/>
  <c r="G52" i="1"/>
  <c r="N51" i="1"/>
  <c r="M51" i="1"/>
  <c r="L51" i="1"/>
  <c r="K51" i="1"/>
  <c r="J51" i="1"/>
  <c r="I51" i="1"/>
  <c r="H51" i="1"/>
  <c r="G51" i="1"/>
  <c r="Q52" i="1"/>
  <c r="Q51" i="1"/>
  <c r="Q29" i="1"/>
  <c r="Q28" i="1"/>
  <c r="Q27" i="1"/>
  <c r="M32" i="1"/>
  <c r="M31" i="1"/>
  <c r="G32" i="1"/>
  <c r="G31" i="1" s="1"/>
  <c r="H32" i="1"/>
  <c r="H31" i="1" s="1"/>
  <c r="I32" i="1"/>
  <c r="I31" i="1" s="1"/>
  <c r="K32" i="1"/>
  <c r="K31" i="1" s="1"/>
  <c r="L32" i="1"/>
  <c r="L31" i="1" s="1"/>
  <c r="M27" i="1"/>
  <c r="N27" i="1"/>
  <c r="M28" i="1"/>
  <c r="N28" i="1"/>
  <c r="M29" i="1"/>
  <c r="N29" i="1"/>
  <c r="K27" i="1"/>
  <c r="L27" i="1"/>
  <c r="K28" i="1"/>
  <c r="L28" i="1"/>
  <c r="K29" i="1"/>
  <c r="L29" i="1"/>
  <c r="J27" i="1"/>
  <c r="H29" i="1"/>
  <c r="I29" i="1"/>
  <c r="J29" i="1"/>
  <c r="H28" i="1"/>
  <c r="I28" i="1"/>
  <c r="J28" i="1"/>
  <c r="G29" i="1"/>
  <c r="G28" i="1"/>
  <c r="H27" i="1"/>
  <c r="I27" i="1"/>
  <c r="G27" i="1"/>
  <c r="F10" i="2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29" i="2" l="1"/>
  <c r="W15" i="2"/>
  <c r="K22" i="1"/>
  <c r="K14" i="1"/>
  <c r="K23" i="1" s="1"/>
  <c r="E39" i="2"/>
  <c r="N39" i="1"/>
  <c r="P39" i="1"/>
  <c r="Q9" i="1"/>
  <c r="T14" i="1"/>
  <c r="T16" i="1" s="1"/>
  <c r="D34" i="2"/>
  <c r="X14" i="1"/>
  <c r="X23" i="1" s="1"/>
  <c r="E9" i="1"/>
  <c r="Z18" i="1"/>
  <c r="Z19" i="1" s="1"/>
  <c r="Z24" i="1"/>
  <c r="Q22" i="1"/>
  <c r="Q14" i="1"/>
  <c r="Q16" i="1" s="1"/>
  <c r="Q24" i="1" s="1"/>
  <c r="N14" i="1"/>
  <c r="N23" i="1" s="1"/>
  <c r="N22" i="1"/>
  <c r="F31" i="1"/>
  <c r="F40" i="2"/>
  <c r="F39" i="2" s="1"/>
  <c r="J39" i="1"/>
  <c r="J40" i="1"/>
  <c r="H26" i="1"/>
  <c r="E22" i="2"/>
  <c r="Q26" i="1"/>
  <c r="Q39" i="1"/>
  <c r="Y14" i="1"/>
  <c r="Y16" i="1" s="1"/>
  <c r="G26" i="1"/>
  <c r="F9" i="1"/>
  <c r="F22" i="1" s="1"/>
  <c r="S14" i="1"/>
  <c r="S23" i="1" s="1"/>
  <c r="I14" i="1"/>
  <c r="I23" i="1" s="1"/>
  <c r="I22" i="1"/>
  <c r="Z60" i="1"/>
  <c r="V23" i="1"/>
  <c r="V16" i="1"/>
  <c r="G47" i="2"/>
  <c r="Q60" i="1"/>
  <c r="U26" i="1"/>
  <c r="L26" i="1"/>
  <c r="L60" i="1"/>
  <c r="R26" i="1"/>
  <c r="S26" i="1"/>
  <c r="P9" i="1"/>
  <c r="P26" i="1"/>
  <c r="P60" i="1"/>
  <c r="U16" i="1"/>
  <c r="U23" i="1"/>
  <c r="Q23" i="1"/>
  <c r="M9" i="1"/>
  <c r="M22" i="1" s="1"/>
  <c r="G14" i="1"/>
  <c r="G23" i="1" s="1"/>
  <c r="K16" i="1"/>
  <c r="K18" i="1" s="1"/>
  <c r="K26" i="1"/>
  <c r="K60" i="1"/>
  <c r="C15" i="2"/>
  <c r="D9" i="1"/>
  <c r="D14" i="1" s="1"/>
  <c r="F22" i="2"/>
  <c r="M26" i="1"/>
  <c r="T26" i="1"/>
  <c r="L14" i="1"/>
  <c r="L16" i="1" s="1"/>
  <c r="J26" i="1"/>
  <c r="R39" i="1"/>
  <c r="R58" i="1"/>
  <c r="N26" i="1"/>
  <c r="N60" i="1"/>
  <c r="E15" i="2"/>
  <c r="R9" i="1"/>
  <c r="R14" i="1" s="1"/>
  <c r="R60" i="1"/>
  <c r="H9" i="1"/>
  <c r="H14" i="1" s="1"/>
  <c r="H16" i="1" s="1"/>
  <c r="W16" i="1"/>
  <c r="W23" i="1"/>
  <c r="G16" i="2"/>
  <c r="G21" i="2" s="1"/>
  <c r="G23" i="2" s="1"/>
  <c r="G64" i="2"/>
  <c r="I64" i="2" s="1"/>
  <c r="J14" i="2" s="1"/>
  <c r="F20" i="2"/>
  <c r="G37" i="2" s="1"/>
  <c r="E34" i="2"/>
  <c r="D14" i="2"/>
  <c r="D16" i="2" s="1"/>
  <c r="D29" i="2" s="1"/>
  <c r="C14" i="2"/>
  <c r="D55" i="2"/>
  <c r="C20" i="2"/>
  <c r="D36" i="2"/>
  <c r="D48" i="2"/>
  <c r="E55" i="2"/>
  <c r="D39" i="2"/>
  <c r="F14" i="2"/>
  <c r="F64" i="2" s="1"/>
  <c r="F35" i="2"/>
  <c r="F36" i="2"/>
  <c r="D7" i="2"/>
  <c r="D8" i="2" s="1"/>
  <c r="E20" i="2"/>
  <c r="F37" i="2" s="1"/>
  <c r="D47" i="2"/>
  <c r="E56" i="2"/>
  <c r="E35" i="2"/>
  <c r="E36" i="2"/>
  <c r="E14" i="2"/>
  <c r="D35" i="2"/>
  <c r="E47" i="2"/>
  <c r="F56" i="2"/>
  <c r="H36" i="2"/>
  <c r="G35" i="2"/>
  <c r="E14" i="1"/>
  <c r="E22" i="1"/>
  <c r="P22" i="1"/>
  <c r="P14" i="1"/>
  <c r="Q18" i="1"/>
  <c r="O14" i="1"/>
  <c r="O22" i="1"/>
  <c r="H22" i="1"/>
  <c r="J9" i="1"/>
  <c r="F15" i="2"/>
  <c r="F16" i="2" s="1"/>
  <c r="F45" i="2"/>
  <c r="F48" i="2" s="1"/>
  <c r="C45" i="2"/>
  <c r="C48" i="2" s="1"/>
  <c r="D20" i="2"/>
  <c r="C9" i="1"/>
  <c r="C40" i="2"/>
  <c r="F55" i="2"/>
  <c r="F43" i="2"/>
  <c r="F34" i="2"/>
  <c r="L22" i="1"/>
  <c r="I26" i="1"/>
  <c r="E48" i="2"/>
  <c r="O26" i="1"/>
  <c r="H23" i="1" l="1"/>
  <c r="N16" i="1"/>
  <c r="X16" i="1"/>
  <c r="D22" i="1"/>
  <c r="T23" i="1"/>
  <c r="I16" i="1"/>
  <c r="I24" i="1" s="1"/>
  <c r="C16" i="2"/>
  <c r="C21" i="2" s="1"/>
  <c r="C30" i="2" s="1"/>
  <c r="Y23" i="1"/>
  <c r="S16" i="1"/>
  <c r="S18" i="1" s="1"/>
  <c r="M14" i="1"/>
  <c r="M23" i="1" s="1"/>
  <c r="F47" i="2"/>
  <c r="F14" i="1"/>
  <c r="G16" i="1"/>
  <c r="G24" i="1" s="1"/>
  <c r="S19" i="1"/>
  <c r="T24" i="1"/>
  <c r="T18" i="1"/>
  <c r="Y24" i="1"/>
  <c r="Y18" i="1"/>
  <c r="Y19" i="1" s="1"/>
  <c r="Q19" i="1"/>
  <c r="U18" i="1"/>
  <c r="U24" i="1"/>
  <c r="I18" i="1"/>
  <c r="I19" i="1" s="1"/>
  <c r="L23" i="1"/>
  <c r="W18" i="1"/>
  <c r="W24" i="1"/>
  <c r="X18" i="1"/>
  <c r="X19" i="1" s="1"/>
  <c r="X24" i="1"/>
  <c r="V24" i="1"/>
  <c r="V18" i="1"/>
  <c r="R22" i="1"/>
  <c r="K24" i="1"/>
  <c r="E16" i="2"/>
  <c r="E21" i="2" s="1"/>
  <c r="E64" i="2"/>
  <c r="D33" i="2"/>
  <c r="D21" i="2"/>
  <c r="D30" i="2" s="1"/>
  <c r="D37" i="2"/>
  <c r="E37" i="2"/>
  <c r="I36" i="2"/>
  <c r="F33" i="2"/>
  <c r="H35" i="2"/>
  <c r="G36" i="2"/>
  <c r="E33" i="2"/>
  <c r="G34" i="2"/>
  <c r="F21" i="2"/>
  <c r="F29" i="2"/>
  <c r="N18" i="1"/>
  <c r="N24" i="1"/>
  <c r="C47" i="2"/>
  <c r="C39" i="2"/>
  <c r="P23" i="1"/>
  <c r="P16" i="1"/>
  <c r="H24" i="1"/>
  <c r="H18" i="1"/>
  <c r="H19" i="1" s="1"/>
  <c r="K19" i="1"/>
  <c r="J14" i="1"/>
  <c r="J22" i="1"/>
  <c r="R16" i="1"/>
  <c r="R23" i="1"/>
  <c r="L18" i="1"/>
  <c r="L24" i="1"/>
  <c r="H34" i="2"/>
  <c r="G55" i="2"/>
  <c r="C14" i="1"/>
  <c r="C22" i="1"/>
  <c r="O23" i="1"/>
  <c r="O16" i="1"/>
  <c r="D16" i="1"/>
  <c r="D23" i="1"/>
  <c r="E23" i="1"/>
  <c r="E16" i="1"/>
  <c r="J64" i="2" l="1"/>
  <c r="W19" i="1"/>
  <c r="Z42" i="1"/>
  <c r="M16" i="1"/>
  <c r="G18" i="1"/>
  <c r="S24" i="1"/>
  <c r="E29" i="2"/>
  <c r="C29" i="2"/>
  <c r="F16" i="1"/>
  <c r="F23" i="1"/>
  <c r="V42" i="1"/>
  <c r="V46" i="1"/>
  <c r="V43" i="1"/>
  <c r="V44" i="1"/>
  <c r="V45" i="1"/>
  <c r="H37" i="2"/>
  <c r="X42" i="1"/>
  <c r="U19" i="1"/>
  <c r="T19" i="1"/>
  <c r="W42" i="1"/>
  <c r="Y42" i="1"/>
  <c r="V19" i="1"/>
  <c r="I18" i="2"/>
  <c r="I35" i="2" s="1"/>
  <c r="D23" i="2"/>
  <c r="D31" i="2" s="1"/>
  <c r="G19" i="1"/>
  <c r="N31" i="1"/>
  <c r="N19" i="1"/>
  <c r="M18" i="1"/>
  <c r="O42" i="1" s="1"/>
  <c r="M24" i="1"/>
  <c r="F23" i="2"/>
  <c r="F30" i="2"/>
  <c r="E23" i="2"/>
  <c r="E30" i="2"/>
  <c r="J36" i="2"/>
  <c r="P24" i="1"/>
  <c r="P18" i="1"/>
  <c r="P19" i="1" s="1"/>
  <c r="D24" i="1"/>
  <c r="D18" i="1"/>
  <c r="D19" i="1" s="1"/>
  <c r="O24" i="1"/>
  <c r="O18" i="1"/>
  <c r="J16" i="1"/>
  <c r="J23" i="1"/>
  <c r="C23" i="1"/>
  <c r="C16" i="1"/>
  <c r="G33" i="2"/>
  <c r="I34" i="2"/>
  <c r="L19" i="1"/>
  <c r="E18" i="1"/>
  <c r="E19" i="1" s="1"/>
  <c r="E24" i="1"/>
  <c r="R17" i="1"/>
  <c r="K14" i="2" l="1"/>
  <c r="K64" i="2" s="1"/>
  <c r="D25" i="2"/>
  <c r="D26" i="2" s="1"/>
  <c r="Z44" i="1"/>
  <c r="Z43" i="1"/>
  <c r="Z45" i="1"/>
  <c r="Z46" i="1"/>
  <c r="F24" i="1"/>
  <c r="F18" i="1"/>
  <c r="F19" i="1" s="1"/>
  <c r="J20" i="2"/>
  <c r="W46" i="1"/>
  <c r="W44" i="1"/>
  <c r="W43" i="1"/>
  <c r="W45" i="1"/>
  <c r="I20" i="2"/>
  <c r="I37" i="2" s="1"/>
  <c r="Y46" i="1"/>
  <c r="Y43" i="1"/>
  <c r="Y44" i="1"/>
  <c r="Y45" i="1"/>
  <c r="X45" i="1"/>
  <c r="X46" i="1"/>
  <c r="X43" i="1"/>
  <c r="X44" i="1"/>
  <c r="Q42" i="1"/>
  <c r="Q46" i="1" s="1"/>
  <c r="O45" i="1"/>
  <c r="O44" i="1"/>
  <c r="O43" i="1"/>
  <c r="O46" i="1"/>
  <c r="F24" i="2"/>
  <c r="F31" i="2" s="1"/>
  <c r="R24" i="1"/>
  <c r="E31" i="2"/>
  <c r="E25" i="2"/>
  <c r="E26" i="2" s="1"/>
  <c r="J24" i="1"/>
  <c r="J18" i="1"/>
  <c r="O19" i="1"/>
  <c r="R18" i="1"/>
  <c r="K36" i="2"/>
  <c r="J34" i="2"/>
  <c r="J35" i="2"/>
  <c r="C18" i="1"/>
  <c r="C24" i="1"/>
  <c r="C23" i="2"/>
  <c r="M19" i="1"/>
  <c r="P42" i="1"/>
  <c r="N42" i="1"/>
  <c r="G29" i="2"/>
  <c r="L14" i="2" l="1"/>
  <c r="L64" i="2" s="1"/>
  <c r="M14" i="2" s="1"/>
  <c r="Q44" i="1"/>
  <c r="Q43" i="1"/>
  <c r="Q45" i="1"/>
  <c r="J37" i="2"/>
  <c r="U42" i="1"/>
  <c r="T42" i="1"/>
  <c r="N18" i="2"/>
  <c r="O18" i="2" s="1"/>
  <c r="P18" i="2" s="1"/>
  <c r="Q18" i="2" s="1"/>
  <c r="R18" i="2" s="1"/>
  <c r="W35" i="2" s="1"/>
  <c r="R19" i="1"/>
  <c r="S42" i="1"/>
  <c r="K35" i="2"/>
  <c r="K20" i="2"/>
  <c r="K37" i="2" s="1"/>
  <c r="K34" i="2"/>
  <c r="N46" i="1"/>
  <c r="N45" i="1"/>
  <c r="N44" i="1"/>
  <c r="N43" i="1"/>
  <c r="P45" i="1"/>
  <c r="P46" i="1"/>
  <c r="P44" i="1"/>
  <c r="P43" i="1"/>
  <c r="F42" i="1"/>
  <c r="C19" i="1"/>
  <c r="G30" i="2"/>
  <c r="F25" i="2"/>
  <c r="C25" i="2"/>
  <c r="C26" i="2" s="1"/>
  <c r="C31" i="2"/>
  <c r="L36" i="2"/>
  <c r="R42" i="1"/>
  <c r="J19" i="1"/>
  <c r="J42" i="1"/>
  <c r="W34" i="2" l="1"/>
  <c r="S14" i="2"/>
  <c r="T14" i="2" s="1"/>
  <c r="U14" i="2" s="1"/>
  <c r="V14" i="2" s="1"/>
  <c r="M64" i="2"/>
  <c r="U46" i="1"/>
  <c r="U45" i="1"/>
  <c r="U44" i="1"/>
  <c r="U43" i="1"/>
  <c r="T46" i="1"/>
  <c r="T45" i="1"/>
  <c r="T44" i="1"/>
  <c r="T43" i="1"/>
  <c r="S46" i="1"/>
  <c r="S43" i="1"/>
  <c r="S44" i="1"/>
  <c r="S45" i="1"/>
  <c r="M36" i="2"/>
  <c r="F26" i="2"/>
  <c r="F53" i="2"/>
  <c r="F52" i="2"/>
  <c r="F51" i="2"/>
  <c r="F50" i="2"/>
  <c r="J46" i="1"/>
  <c r="J45" i="1"/>
  <c r="J44" i="1"/>
  <c r="J43" i="1"/>
  <c r="R46" i="1"/>
  <c r="R45" i="1"/>
  <c r="R44" i="1"/>
  <c r="R43" i="1"/>
  <c r="J33" i="2"/>
  <c r="G31" i="2"/>
  <c r="L20" i="2"/>
  <c r="L37" i="2" s="1"/>
  <c r="L34" i="2"/>
  <c r="F46" i="1"/>
  <c r="F45" i="1"/>
  <c r="F44" i="1"/>
  <c r="F43" i="1"/>
  <c r="L35" i="2"/>
  <c r="K33" i="2" l="1"/>
  <c r="N36" i="2"/>
  <c r="M34" i="2"/>
  <c r="M20" i="2"/>
  <c r="M37" i="2" s="1"/>
  <c r="M35" i="2"/>
  <c r="G25" i="2"/>
  <c r="G51" i="2" l="1"/>
  <c r="G52" i="2"/>
  <c r="G26" i="2"/>
  <c r="G50" i="2"/>
  <c r="G53" i="2"/>
  <c r="N20" i="2"/>
  <c r="N37" i="2" s="1"/>
  <c r="N34" i="2"/>
  <c r="N35" i="2"/>
  <c r="O36" i="2"/>
  <c r="L33" i="2"/>
  <c r="P36" i="2" l="1"/>
  <c r="O35" i="2"/>
  <c r="O20" i="2"/>
  <c r="O37" i="2" s="1"/>
  <c r="O34" i="2"/>
  <c r="M33" i="2"/>
  <c r="P34" i="2" l="1"/>
  <c r="P20" i="2"/>
  <c r="P37" i="2" s="1"/>
  <c r="Q36" i="2"/>
  <c r="P35" i="2"/>
  <c r="N33" i="2"/>
  <c r="R36" i="2" l="1"/>
  <c r="Q35" i="2"/>
  <c r="Q34" i="2"/>
  <c r="Q20" i="2"/>
  <c r="Q37" i="2" s="1"/>
  <c r="O33" i="2"/>
  <c r="S34" i="2" l="1"/>
  <c r="R35" i="2"/>
  <c r="S36" i="2"/>
  <c r="P33" i="2"/>
  <c r="R34" i="2"/>
  <c r="R20" i="2"/>
  <c r="R37" i="2" s="1"/>
  <c r="T36" i="2" l="1"/>
  <c r="S35" i="2"/>
  <c r="S20" i="2"/>
  <c r="S37" i="2" s="1"/>
  <c r="T20" i="2"/>
  <c r="T34" i="2"/>
  <c r="Q33" i="2"/>
  <c r="T37" i="2" l="1"/>
  <c r="S33" i="2"/>
  <c r="T35" i="2"/>
  <c r="U34" i="2"/>
  <c r="U20" i="2"/>
  <c r="U37" i="2" s="1"/>
  <c r="U36" i="2"/>
  <c r="R33" i="2"/>
  <c r="V36" i="2" l="1"/>
  <c r="T33" i="2"/>
  <c r="V34" i="2"/>
  <c r="V35" i="2"/>
  <c r="U35" i="2"/>
  <c r="W36" i="2" l="1"/>
  <c r="W20" i="2"/>
  <c r="W21" i="2" s="1"/>
  <c r="W30" i="2" s="1"/>
  <c r="U33" i="2"/>
  <c r="V20" i="2"/>
  <c r="V37" i="2" l="1"/>
  <c r="W37" i="2"/>
  <c r="V33" i="2"/>
  <c r="H33" i="2" l="1"/>
  <c r="I33" i="2"/>
  <c r="I16" i="2" l="1"/>
  <c r="I15" i="2" l="1"/>
  <c r="I29" i="2"/>
  <c r="J16" i="2" s="1"/>
  <c r="I21" i="2"/>
  <c r="I30" i="2" l="1"/>
  <c r="J21" i="2"/>
  <c r="J15" i="2"/>
  <c r="J29" i="2"/>
  <c r="K16" i="2" s="1"/>
  <c r="H25" i="2" l="1"/>
  <c r="K21" i="2"/>
  <c r="K15" i="2"/>
  <c r="K29" i="2"/>
  <c r="L16" i="2" s="1"/>
  <c r="J30" i="2"/>
  <c r="L21" i="2" l="1"/>
  <c r="L15" i="2"/>
  <c r="L29" i="2"/>
  <c r="M16" i="2" s="1"/>
  <c r="K30" i="2"/>
  <c r="I22" i="2"/>
  <c r="I23" i="2" s="1"/>
  <c r="M15" i="2" l="1"/>
  <c r="M21" i="2"/>
  <c r="M29" i="2"/>
  <c r="N16" i="2" s="1"/>
  <c r="I24" i="2"/>
  <c r="I31" i="2" s="1"/>
  <c r="L30" i="2"/>
  <c r="I25" i="2" l="1"/>
  <c r="N21" i="2"/>
  <c r="N29" i="2"/>
  <c r="O16" i="2" s="1"/>
  <c r="N15" i="2"/>
  <c r="M30" i="2"/>
  <c r="O29" i="2" l="1"/>
  <c r="P16" i="2" s="1"/>
  <c r="O21" i="2"/>
  <c r="O15" i="2"/>
  <c r="N30" i="2"/>
  <c r="I26" i="2"/>
  <c r="I39" i="2"/>
  <c r="O30" i="2" l="1"/>
  <c r="J22" i="2"/>
  <c r="J23" i="2" s="1"/>
  <c r="P29" i="2"/>
  <c r="Q16" i="2" s="1"/>
  <c r="P15" i="2"/>
  <c r="P21" i="2"/>
  <c r="Q29" i="2" l="1"/>
  <c r="R16" i="2" s="1"/>
  <c r="Q15" i="2"/>
  <c r="Q21" i="2"/>
  <c r="P30" i="2"/>
  <c r="J24" i="2"/>
  <c r="J31" i="2" s="1"/>
  <c r="J25" i="2" l="1"/>
  <c r="J26" i="2"/>
  <c r="J39" i="2"/>
  <c r="Q30" i="2"/>
  <c r="R29" i="2"/>
  <c r="S16" i="2" s="1"/>
  <c r="R21" i="2"/>
  <c r="R15" i="2"/>
  <c r="K22" i="2" l="1"/>
  <c r="K23" i="2" s="1"/>
  <c r="R30" i="2"/>
  <c r="S15" i="2"/>
  <c r="S29" i="2"/>
  <c r="T16" i="2" s="1"/>
  <c r="S21" i="2"/>
  <c r="S30" i="2" l="1"/>
  <c r="T15" i="2"/>
  <c r="T29" i="2"/>
  <c r="U16" i="2" s="1"/>
  <c r="T21" i="2"/>
  <c r="K24" i="2"/>
  <c r="K31" i="2" s="1"/>
  <c r="T30" i="2" l="1"/>
  <c r="K25" i="2"/>
  <c r="U21" i="2"/>
  <c r="U15" i="2"/>
  <c r="U29" i="2"/>
  <c r="V16" i="2" s="1"/>
  <c r="K26" i="2" l="1"/>
  <c r="K39" i="2"/>
  <c r="V21" i="2"/>
  <c r="V15" i="2"/>
  <c r="V29" i="2"/>
  <c r="U30" i="2"/>
  <c r="V30" i="2" l="1"/>
  <c r="L22" i="2"/>
  <c r="L23" i="2" s="1"/>
  <c r="L24" i="2" l="1"/>
  <c r="L31" i="2" s="1"/>
  <c r="L25" i="2" l="1"/>
  <c r="L26" i="2" l="1"/>
  <c r="L39" i="2"/>
  <c r="M22" i="2" l="1"/>
  <c r="M23" i="2" s="1"/>
  <c r="M24" i="2" l="1"/>
  <c r="M31" i="2" s="1"/>
  <c r="M25" i="2"/>
  <c r="M26" i="2" l="1"/>
  <c r="M39" i="2"/>
  <c r="N22" i="2" l="1"/>
  <c r="N23" i="2" s="1"/>
  <c r="N24" i="2" l="1"/>
  <c r="N31" i="2" s="1"/>
  <c r="N25" i="2"/>
  <c r="N26" i="2" l="1"/>
  <c r="N39" i="2"/>
  <c r="O22" i="2" l="1"/>
  <c r="O23" i="2" s="1"/>
  <c r="O24" i="2" l="1"/>
  <c r="O31" i="2" s="1"/>
  <c r="O25" i="2" l="1"/>
  <c r="O26" i="2" l="1"/>
  <c r="O39" i="2"/>
  <c r="P22" i="2" l="1"/>
  <c r="P23" i="2" s="1"/>
  <c r="P24" i="2" l="1"/>
  <c r="P31" i="2" s="1"/>
  <c r="P25" i="2" l="1"/>
  <c r="P26" i="2" l="1"/>
  <c r="P39" i="2"/>
  <c r="Q22" i="2" l="1"/>
  <c r="Q23" i="2" s="1"/>
  <c r="Q24" i="2" l="1"/>
  <c r="Q31" i="2" s="1"/>
  <c r="Q25" i="2" l="1"/>
  <c r="Q26" i="2" l="1"/>
  <c r="Q39" i="2"/>
  <c r="R22" i="2" l="1"/>
  <c r="R23" i="2" s="1"/>
  <c r="R24" i="2" l="1"/>
  <c r="R31" i="2" s="1"/>
  <c r="R25" i="2"/>
  <c r="R26" i="2" l="1"/>
  <c r="R39" i="2"/>
  <c r="S22" i="2" l="1"/>
  <c r="S23" i="2" s="1"/>
  <c r="S24" i="2" l="1"/>
  <c r="S31" i="2" s="1"/>
  <c r="S25" i="2" l="1"/>
  <c r="S26" i="2"/>
  <c r="S39" i="2"/>
  <c r="T22" i="2" l="1"/>
  <c r="T23" i="2" s="1"/>
  <c r="T24" i="2" l="1"/>
  <c r="T31" i="2" s="1"/>
  <c r="T25" i="2"/>
  <c r="T26" i="2" l="1"/>
  <c r="T39" i="2"/>
  <c r="U22" i="2" l="1"/>
  <c r="U23" i="2" s="1"/>
  <c r="U24" i="2" l="1"/>
  <c r="U31" i="2" s="1"/>
  <c r="U25" i="2"/>
  <c r="U26" i="2" l="1"/>
  <c r="U39" i="2"/>
  <c r="V22" i="2" l="1"/>
  <c r="V23" i="2" s="1"/>
  <c r="V24" i="2" l="1"/>
  <c r="V31" i="2" s="1"/>
  <c r="V25" i="2"/>
  <c r="V26" i="2" l="1"/>
  <c r="V39" i="2"/>
  <c r="W22" i="2" l="1"/>
  <c r="W23" i="2" s="1"/>
  <c r="W24" i="2" l="1"/>
  <c r="W31" i="2" s="1"/>
  <c r="W25" i="2"/>
  <c r="W26" i="2" l="1"/>
  <c r="X25" i="2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EY25" i="2" s="1"/>
  <c r="G7" i="2" s="1"/>
  <c r="G8" i="2" s="1"/>
  <c r="H8" i="2" s="1"/>
  <c r="W39" i="2"/>
</calcChain>
</file>

<file path=xl/sharedStrings.xml><?xml version="1.0" encoding="utf-8"?>
<sst xmlns="http://schemas.openxmlformats.org/spreadsheetml/2006/main" count="162" uniqueCount="114">
  <si>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</si>
  <si>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</si>
  <si>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</si>
  <si>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</si>
  <si>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</si>
  <si>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</si>
  <si>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</si>
  <si>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</si>
  <si>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</si>
  <si>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</si>
  <si>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</si>
  <si>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</si>
  <si>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</si>
  <si>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</si>
  <si>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</si>
  <si>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</si>
  <si>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</si>
  <si>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</si>
  <si>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</si>
  <si>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</si>
  <si>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</si>
  <si>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</si>
  <si>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</si>
  <si>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</si>
  <si>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</si>
  <si>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</si>
  <si>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</si>
  <si>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</si>
  <si>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</si>
  <si>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</si>
  <si>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</si>
  <si>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</si>
  <si>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</si>
  <si>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</si>
  <si>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</si>
  <si>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</si>
  <si>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</si>
  <si>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31/12/2017</t>
  </si>
  <si>
    <t>31/12/2016</t>
  </si>
  <si>
    <t>30/6/2017</t>
  </si>
  <si>
    <t>30/9/2016</t>
  </si>
  <si>
    <t>30/9/2017</t>
  </si>
  <si>
    <t>31/3/2017</t>
  </si>
  <si>
    <t>30/6/2016</t>
  </si>
  <si>
    <t>31/3/2016</t>
  </si>
  <si>
    <t>31/12/2015</t>
  </si>
  <si>
    <t>30/9/2015</t>
  </si>
  <si>
    <t>Q115</t>
  </si>
  <si>
    <t>Q215</t>
  </si>
  <si>
    <t>Q315</t>
  </si>
  <si>
    <t>Q415</t>
  </si>
  <si>
    <t>30/6/2015</t>
  </si>
  <si>
    <t>31/3/2015</t>
  </si>
  <si>
    <t>CEO</t>
  </si>
  <si>
    <t>Shopify Inc (SHOP)</t>
  </si>
  <si>
    <t>Price</t>
  </si>
  <si>
    <t>Q318</t>
  </si>
  <si>
    <t>Market Cap</t>
  </si>
  <si>
    <t>EV</t>
  </si>
  <si>
    <t>per share</t>
  </si>
  <si>
    <t>Tobias Lutke</t>
  </si>
  <si>
    <t>Daniel Weinand</t>
  </si>
  <si>
    <t>EDGAR</t>
  </si>
  <si>
    <t>Subscriptions</t>
  </si>
  <si>
    <t>Merchant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</si>
  <si>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</si>
  <si>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</si>
  <si>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</si>
  <si>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</si>
  <si>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</si>
  <si>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</si>
  <si>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</si>
  <si>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</si>
  <si>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</si>
  <si>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Subscriptions y/y</t>
  </si>
  <si>
    <t>Merchant y/y</t>
  </si>
  <si>
    <t>Q118</t>
  </si>
  <si>
    <t>Q218</t>
  </si>
  <si>
    <t>Q418</t>
  </si>
  <si>
    <t>31/3/2018</t>
  </si>
  <si>
    <t>30/6/2018</t>
  </si>
  <si>
    <t>30/9/2018</t>
  </si>
  <si>
    <t>31/12/2018</t>
  </si>
  <si>
    <t>Q119</t>
  </si>
  <si>
    <t>Q219</t>
  </si>
  <si>
    <t>Q319</t>
  </si>
  <si>
    <t>Q419</t>
  </si>
  <si>
    <t>Q120</t>
  </si>
  <si>
    <t>Q220</t>
  </si>
  <si>
    <t>Q320</t>
  </si>
  <si>
    <t>Q420</t>
  </si>
  <si>
    <t>PRODUCTS</t>
  </si>
  <si>
    <t>Shopify Studios</t>
  </si>
  <si>
    <t>TV and film production</t>
  </si>
  <si>
    <t>31/3/2019</t>
  </si>
  <si>
    <t>AQUIRED</t>
  </si>
  <si>
    <t>6 River Systems</t>
  </si>
  <si>
    <t>Warehousing solutions (Shopify Fulfillment)</t>
  </si>
  <si>
    <t>Shopify Payments</t>
  </si>
  <si>
    <t>MRR</t>
  </si>
  <si>
    <t>GMV</t>
  </si>
  <si>
    <t>MRR y/y</t>
  </si>
  <si>
    <t>GMV y/y</t>
  </si>
  <si>
    <t>R/GMV</t>
  </si>
  <si>
    <t>INVESTOR</t>
  </si>
  <si>
    <t>Net Income TTM</t>
  </si>
  <si>
    <t>Q121</t>
  </si>
  <si>
    <t>Q221</t>
  </si>
  <si>
    <t>Q321</t>
  </si>
  <si>
    <t>Q421</t>
  </si>
  <si>
    <t>Revenue TTM</t>
  </si>
  <si>
    <t>Revenue TTM y/y</t>
  </si>
  <si>
    <t>Founders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</si>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</sst>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0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Border="1"/>
    <xf numFmtId="10" fontId="5" fillId="0" borderId="0" xfId="0" applyNumberFormat="1" applyFont="1"/>
    <xf numFmtId="0" fontId="7" fillId="0" borderId="0" xfId="4" applyFont="1"/>
    <xf numFmtId="164" fontId="5" fillId="2" borderId="0" xfId="0" applyNumberFormat="1" applyFont="1" applyFill="1"/>
    <xf numFmtId="3" fontId="5" fillId="0" borderId="0" xfId="0" applyNumberFormat="1" applyFont="1"/>
    <xf numFmtId="0" fontId="6" fillId="0" borderId="0" xfId="0" applyFont="1" applyBorder="1"/>
    <xf numFmtId="2" fontId="5" fillId="0" borderId="0" xfId="0" applyNumberFormat="1" applyFont="1"/>
    <xf numFmtId="3" fontId="5" fillId="0" borderId="0" xfId="0" applyNumberFormat="1" applyFont="1" applyBorder="1"/>
    <xf numFmtId="3" fontId="5" fillId="0" borderId="0" xfId="0" applyNumberFormat="1" applyFont="1" applyFill="1" applyBorder="1"/>
    <xf numFmtId="3" fontId="5" fillId="2" borderId="0" xfId="0" applyNumberFormat="1" applyFont="1" applyFill="1" applyBorder="1"/>
    <xf numFmtId="0" fontId="7" fillId="0" borderId="0" xfId="4" applyFont="1" applyBorder="1"/>
    <xf numFmtId="4" fontId="5" fillId="0" borderId="0" xfId="0" applyNumberFormat="1" applyFont="1" applyBorder="1"/>
    <xf numFmtId="0" fontId="8" fillId="0" borderId="0" xfId="0" applyFont="1"/>
    <xf numFmtId="164" fontId="6" fillId="2" borderId="0" xfId="0" applyNumberFormat="1" applyFont="1" applyFill="1"/>
    <xf numFmtId="4" fontId="5" fillId="2" borderId="0" xfId="0" applyNumberFormat="1" applyFont="1" applyFill="1" applyBorder="1"/>
    <xf numFmtId="0" fontId="8" fillId="0" borderId="0" xfId="0" applyFont="1" applyBorder="1"/>
    <xf numFmtId="4" fontId="5" fillId="2" borderId="0" xfId="0" applyNumberFormat="1" applyFont="1" applyFill="1"/>
    <xf numFmtId="9" fontId="5" fillId="0" borderId="0" xfId="0" applyNumberFormat="1" applyFont="1"/>
    <xf numFmtId="0" fontId="7" fillId="0" borderId="0" xfId="4" applyFont="1" applyAlignment="1">
      <alignment horizontal="lef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9" fontId="5" fillId="0" borderId="0" xfId="1" applyFont="1" applyAlignment="1">
      <alignment horizontal="right"/>
    </xf>
    <xf numFmtId="0" fontId="5" fillId="0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5" fillId="0" borderId="0" xfId="0" applyNumberFormat="1" applyFont="1" applyFill="1" applyBorder="1"/>
    <xf numFmtId="0" fontId="5" fillId="0" borderId="0" xfId="0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0" xfId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0" fontId="6" fillId="0" borderId="0" xfId="0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1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3" fontId="6" fillId="0" borderId="0" xfId="0" applyNumberFormat="1" applyFont="1"/>
    <xf numFmtId="4" fontId="5" fillId="0" borderId="0" xfId="0" applyNumberFormat="1" applyFont="1" applyAlignment="1">
      <alignment horizontal="left"/>
    </xf>
    <xf numFmtId="4" fontId="5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Alignment="1">
      <alignment horizontal="right"/>
    </xf>
    <xf numFmtId="4" fontId="5" fillId="0" borderId="0" xfId="0" applyNumberFormat="1" applyFont="1"/>
    <xf numFmtId="3" fontId="6" fillId="0" borderId="0" xfId="0" applyNumberFormat="1" applyFont="1" applyFill="1" applyBorder="1"/>
    <xf numFmtId="3" fontId="6" fillId="0" borderId="0" xfId="0" applyNumberFormat="1" applyFont="1" applyAlignment="1">
      <alignment horizontal="right"/>
    </xf>
    <xf numFmtId="0" fontId="9" fillId="0" borderId="0" xfId="0" applyFont="1"/>
    <xf numFmtId="3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0" fillId="0" borderId="0" xfId="0" applyNumberFormat="1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Font="1"/>
    <xf numFmtId="9" fontId="0" fillId="0" borderId="0" xfId="0" applyNumberFormat="1" applyFont="1"/>
    <xf numFmtId="4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6" fillId="0" borderId="0" xfId="0" applyNumberFormat="1" applyFont="1" applyFill="1" applyBorder="1"/>
    <xf numFmtId="9" fontId="6" fillId="0" borderId="0" xfId="0" applyNumberFormat="1" applyFont="1"/>
    <xf numFmtId="9" fontId="6" fillId="0" borderId="0" xfId="0" applyNumberFormat="1" applyFont="1" applyAlignment="1">
      <alignment horizontal="right"/>
    </xf>
    <xf numFmtId="9" fontId="6" fillId="0" borderId="0" xfId="0" applyNumberFormat="1" applyFont="1" applyFill="1" applyAlignment="1">
      <alignment horizontal="right"/>
    </xf>
    <xf numFmtId="9" fontId="6" fillId="0" borderId="1" xfId="0" applyNumberFormat="1" applyFont="1" applyFill="1" applyBorder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169984</xdr:colOff>
      <xdr:row>9</xdr:row>
      <xdr:rowOff>0</xdr:rowOff>
    </xdr:from>
    <xdr:to>
      <xdr:col>8</xdr:col>
      <xdr:colOff>169984</xdr:colOff>
      <xdr:row>65</xdr:row>
      <xdr:rowOff>21166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7438292" y="1494692"/>
          <a:ext cx="0" cy="932147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141817</xdr:colOff>
      <xdr:row>2</xdr:row>
      <xdr:rowOff>0</xdr:rowOff>
    </xdr:from>
    <xdr:to>
      <xdr:col>26</xdr:col>
      <xdr:colOff>141817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985817" y="338667"/>
          <a:ext cx="0" cy="948266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obias_L%C3%BCtke" TargetMode="External"/><Relationship Id="rId2" Type="http://schemas.openxmlformats.org/officeDocument/2006/relationships/hyperlink" Target="https://en.wikipedia.org/wiki/Tobias_L%C3%BCtke" TargetMode="External"/><Relationship Id="rId1" Type="http://schemas.openxmlformats.org/officeDocument/2006/relationships/hyperlink" Target="https://investors.shopify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hop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64"/>
  <sheetViews>
    <sheetView zoomScale="130" zoomScaleNormal="130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E6" sqref="E6"/>
    </sheetView>
  </sheetViews>
  <sheetFormatPr baseColWidth="10" defaultRowHeight="13" x14ac:dyDescent="0.15"/>
  <cols>
    <col min="1" max="1" width="9.83203125" style="1" bestFit="1" customWidth="1"/>
    <col min="2" max="2" width="20.1640625" style="1" bestFit="1" customWidth="1"/>
    <col min="3" max="16384" width="10.83203125" style="1"/>
  </cols>
  <sheetData>
    <row r="1" spans="1:123" x14ac:dyDescent="0.15">
      <c r="A1" s="13" t="s">
        <v>104</v>
      </c>
    </row>
    <row r="2" spans="1:123" x14ac:dyDescent="0.15">
      <c r="B2" s="2" t="s">
        <v>53</v>
      </c>
      <c r="C2" s="2" t="s">
        <v>54</v>
      </c>
    </row>
    <row r="3" spans="1:123" x14ac:dyDescent="0.15">
      <c r="B3" s="5" t="s">
        <v>60</v>
      </c>
      <c r="C3" s="1" t="s">
        <v>55</v>
      </c>
      <c r="D3" s="14">
        <v>1280.97</v>
      </c>
      <c r="E3" s="62">
        <v>44253</v>
      </c>
      <c r="F3" s="3" t="s">
        <v>29</v>
      </c>
      <c r="G3" s="4">
        <v>-5.0000000000000001E-3</v>
      </c>
      <c r="J3" s="7"/>
    </row>
    <row r="4" spans="1:123" x14ac:dyDescent="0.15">
      <c r="C4" s="1" t="s">
        <v>17</v>
      </c>
      <c r="D4" s="10">
        <f>Reports!Z20</f>
        <v>125.454919</v>
      </c>
      <c r="E4" s="82" t="s">
        <v>90</v>
      </c>
      <c r="F4" s="3" t="s">
        <v>30</v>
      </c>
      <c r="G4" s="4">
        <v>0.05</v>
      </c>
      <c r="H4" s="15"/>
      <c r="J4" s="7"/>
    </row>
    <row r="5" spans="1:123" x14ac:dyDescent="0.15">
      <c r="B5" s="2" t="s">
        <v>112</v>
      </c>
      <c r="C5" s="1" t="s">
        <v>57</v>
      </c>
      <c r="D5" s="12">
        <f>D3*D4</f>
        <v>160703.98759143002</v>
      </c>
      <c r="E5" s="24"/>
      <c r="F5" s="3" t="s">
        <v>31</v>
      </c>
      <c r="G5" s="4">
        <v>7.0000000000000007E-2</v>
      </c>
      <c r="H5" s="15"/>
      <c r="J5" s="20"/>
    </row>
    <row r="6" spans="1:123" x14ac:dyDescent="0.15">
      <c r="B6" s="5" t="s">
        <v>60</v>
      </c>
      <c r="C6" s="1" t="s">
        <v>26</v>
      </c>
      <c r="D6" s="10">
        <f>Reports!Z31</f>
        <v>5630</v>
      </c>
      <c r="E6" s="82" t="s">
        <v>90</v>
      </c>
      <c r="F6" s="3" t="s">
        <v>32</v>
      </c>
      <c r="G6" s="6">
        <f>NPV(G5,I25:EY25)</f>
        <v>163160.35269365352</v>
      </c>
      <c r="H6" s="15"/>
      <c r="J6" s="20"/>
    </row>
    <row r="7" spans="1:123" x14ac:dyDescent="0.15">
      <c r="B7" s="1" t="s">
        <v>61</v>
      </c>
      <c r="C7" s="1" t="s">
        <v>58</v>
      </c>
      <c r="D7" s="12">
        <f>D5-D6</f>
        <v>155073.98759143002</v>
      </c>
      <c r="E7" s="24"/>
      <c r="F7" s="8" t="s">
        <v>33</v>
      </c>
      <c r="G7" s="16">
        <f>G6+D6</f>
        <v>168790.35269365352</v>
      </c>
      <c r="J7" s="20"/>
    </row>
    <row r="8" spans="1:123" x14ac:dyDescent="0.15">
      <c r="C8" s="15" t="s">
        <v>59</v>
      </c>
      <c r="D8" s="17">
        <f>D7/D4</f>
        <v>1236.0933220277318</v>
      </c>
      <c r="E8" s="24"/>
      <c r="F8" s="18" t="s">
        <v>59</v>
      </c>
      <c r="G8" s="19">
        <f>G7/D4</f>
        <v>1345.4263415024286</v>
      </c>
      <c r="H8" s="20">
        <f>G8/D3-1</f>
        <v>5.0318384897717117E-2</v>
      </c>
    </row>
    <row r="9" spans="1:123" x14ac:dyDescent="0.15">
      <c r="F9" s="3"/>
      <c r="G9" s="9"/>
    </row>
    <row r="10" spans="1:123" x14ac:dyDescent="0.15">
      <c r="C10" s="22">
        <v>2015</v>
      </c>
      <c r="D10" s="22">
        <v>2016</v>
      </c>
      <c r="E10" s="22">
        <v>2017</v>
      </c>
      <c r="F10" s="22">
        <f>E10+1</f>
        <v>2018</v>
      </c>
      <c r="G10" s="22">
        <f t="shared" ref="G10:W10" si="0">F10+1</f>
        <v>2019</v>
      </c>
      <c r="H10" s="22">
        <f t="shared" si="0"/>
        <v>2020</v>
      </c>
      <c r="I10" s="22">
        <f t="shared" si="0"/>
        <v>2021</v>
      </c>
      <c r="J10" s="22">
        <f t="shared" si="0"/>
        <v>2022</v>
      </c>
      <c r="K10" s="22">
        <f t="shared" si="0"/>
        <v>2023</v>
      </c>
      <c r="L10" s="22">
        <f t="shared" si="0"/>
        <v>2024</v>
      </c>
      <c r="M10" s="22">
        <f t="shared" si="0"/>
        <v>2025</v>
      </c>
      <c r="N10" s="22">
        <f t="shared" si="0"/>
        <v>2026</v>
      </c>
      <c r="O10" s="22">
        <f t="shared" si="0"/>
        <v>2027</v>
      </c>
      <c r="P10" s="22">
        <f t="shared" si="0"/>
        <v>2028</v>
      </c>
      <c r="Q10" s="22">
        <f t="shared" si="0"/>
        <v>2029</v>
      </c>
      <c r="R10" s="22">
        <f t="shared" si="0"/>
        <v>2030</v>
      </c>
      <c r="S10" s="22">
        <f t="shared" si="0"/>
        <v>2031</v>
      </c>
      <c r="T10" s="22">
        <f t="shared" si="0"/>
        <v>2032</v>
      </c>
      <c r="U10" s="22">
        <f t="shared" si="0"/>
        <v>2033</v>
      </c>
      <c r="V10" s="22">
        <f t="shared" si="0"/>
        <v>2034</v>
      </c>
      <c r="W10" s="22">
        <f t="shared" si="0"/>
        <v>2035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</row>
    <row r="11" spans="1:123" s="7" customFormat="1" x14ac:dyDescent="0.15">
      <c r="B11" s="7" t="s">
        <v>63</v>
      </c>
      <c r="C11" s="30">
        <f>SUM(Reports!C4:F4)</f>
        <v>111.97899999999998</v>
      </c>
      <c r="D11" s="30">
        <f>SUM(Reports!G4:J4)</f>
        <v>188.60599999999999</v>
      </c>
      <c r="E11" s="23">
        <f>SUM(Reports!K4:N4)</f>
        <v>310.03100000000001</v>
      </c>
      <c r="F11" s="23">
        <f>SUM(Reports!O4:R4)</f>
        <v>464.99599999999998</v>
      </c>
      <c r="G11" s="23">
        <f>SUM(Reports!S4:V4)</f>
        <v>642.45100000000002</v>
      </c>
      <c r="H11" s="23">
        <f>SUM(Reports!W4:Z4)</f>
        <v>909.14799999999991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</row>
    <row r="12" spans="1:123" s="7" customFormat="1" x14ac:dyDescent="0.15">
      <c r="B12" s="7" t="s">
        <v>64</v>
      </c>
      <c r="C12" s="30">
        <f>SUM(Reports!C5:F5)</f>
        <v>93.253999999999991</v>
      </c>
      <c r="D12" s="30">
        <f>SUM(Reports!G5:J5)</f>
        <v>200.72399999999999</v>
      </c>
      <c r="E12" s="23">
        <f>SUM(Reports!K5:N5)</f>
        <v>363.27300000000002</v>
      </c>
      <c r="F12" s="23">
        <f>SUM(Reports!O5:R5)</f>
        <v>608.23299999999995</v>
      </c>
      <c r="G12" s="23">
        <f>SUM(Reports!S5:V5)</f>
        <v>936.03099999999995</v>
      </c>
      <c r="H12" s="23">
        <f>SUM(Reports!W5:Z5)</f>
        <v>2020.3420000000001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</row>
    <row r="13" spans="1:123" s="101" customFormat="1" x14ac:dyDescent="0.15">
      <c r="C13" s="102"/>
      <c r="D13" s="102"/>
      <c r="E13" s="102"/>
      <c r="F13" s="102"/>
      <c r="G13" s="102">
        <v>1480</v>
      </c>
      <c r="H13" s="102">
        <v>2130</v>
      </c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02"/>
      <c r="CS13" s="102"/>
      <c r="CT13" s="102"/>
      <c r="CU13" s="102"/>
      <c r="CV13" s="102"/>
      <c r="CW13" s="102"/>
      <c r="CX13" s="102"/>
      <c r="CY13" s="102"/>
      <c r="CZ13" s="102"/>
      <c r="DA13" s="102"/>
      <c r="DB13" s="102"/>
      <c r="DC13" s="102"/>
      <c r="DD13" s="102"/>
      <c r="DE13" s="102"/>
      <c r="DF13" s="102"/>
      <c r="DG13" s="102"/>
      <c r="DH13" s="102"/>
      <c r="DI13" s="102"/>
      <c r="DJ13" s="102"/>
      <c r="DK13" s="102"/>
      <c r="DL13" s="102"/>
      <c r="DM13" s="102"/>
      <c r="DN13" s="102"/>
      <c r="DO13" s="102"/>
      <c r="DP13" s="102"/>
      <c r="DQ13" s="102"/>
      <c r="DR13" s="102"/>
      <c r="DS13" s="102"/>
    </row>
    <row r="14" spans="1:123" x14ac:dyDescent="0.15">
      <c r="B14" s="2" t="s">
        <v>4</v>
      </c>
      <c r="C14" s="43">
        <f t="shared" ref="C14:H14" si="1">SUM(C11:C12)</f>
        <v>205.23299999999998</v>
      </c>
      <c r="D14" s="43">
        <f t="shared" si="1"/>
        <v>389.33</v>
      </c>
      <c r="E14" s="43">
        <f t="shared" si="1"/>
        <v>673.30400000000009</v>
      </c>
      <c r="F14" s="43">
        <f t="shared" si="1"/>
        <v>1073.2289999999998</v>
      </c>
      <c r="G14" s="43">
        <f t="shared" si="1"/>
        <v>1578.482</v>
      </c>
      <c r="H14" s="43">
        <f t="shared" si="1"/>
        <v>2929.49</v>
      </c>
      <c r="I14" s="52">
        <f>I59*H64</f>
        <v>4247.7605000000003</v>
      </c>
      <c r="J14" s="52">
        <f t="shared" ref="J14:M14" si="2">J59*I64</f>
        <v>6159.2527250000003</v>
      </c>
      <c r="K14" s="52">
        <f t="shared" si="2"/>
        <v>8930.916451250001</v>
      </c>
      <c r="L14" s="52">
        <f t="shared" si="2"/>
        <v>12949.828854312504</v>
      </c>
      <c r="M14" s="52">
        <f t="shared" si="2"/>
        <v>18777.251838753127</v>
      </c>
      <c r="N14" s="29">
        <f>M14*1.2</f>
        <v>22532.702206503753</v>
      </c>
      <c r="O14" s="29">
        <f t="shared" ref="O14:R14" si="3">N14*1.2</f>
        <v>27039.242647804502</v>
      </c>
      <c r="P14" s="29">
        <f t="shared" si="3"/>
        <v>32447.091177365401</v>
      </c>
      <c r="Q14" s="29">
        <f t="shared" si="3"/>
        <v>38936.509412838481</v>
      </c>
      <c r="R14" s="29">
        <f t="shared" si="3"/>
        <v>46723.811295406173</v>
      </c>
      <c r="S14" s="29">
        <f t="shared" ref="R14:W14" si="4">R14*1.1</f>
        <v>51396.192424946792</v>
      </c>
      <c r="T14" s="29">
        <f t="shared" si="4"/>
        <v>56535.811667441478</v>
      </c>
      <c r="U14" s="29">
        <f t="shared" si="4"/>
        <v>62189.39283418563</v>
      </c>
      <c r="V14" s="29">
        <f t="shared" si="4"/>
        <v>68408.332117604194</v>
      </c>
      <c r="W14" s="29">
        <f t="shared" si="4"/>
        <v>75249.165329364623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</row>
    <row r="15" spans="1:123" x14ac:dyDescent="0.15">
      <c r="B15" s="1" t="s">
        <v>5</v>
      </c>
      <c r="C15" s="30">
        <f>SUM(Reports!C8:F8)</f>
        <v>93.205000000000013</v>
      </c>
      <c r="D15" s="30">
        <f>SUM(Reports!G8:J8)</f>
        <v>179.83499999999998</v>
      </c>
      <c r="E15" s="23">
        <f>SUM(Reports!K8:N8)</f>
        <v>293.05099999999999</v>
      </c>
      <c r="F15" s="23">
        <f>SUM(Reports!O8:R8)</f>
        <v>476.96199999999999</v>
      </c>
      <c r="G15" s="23">
        <f>SUM(Reports!S8:V8)</f>
        <v>712.19100000000003</v>
      </c>
      <c r="H15" s="23">
        <f>SUM(Reports!W8:Z8)</f>
        <v>1387.92</v>
      </c>
      <c r="I15" s="30">
        <f t="shared" ref="H15:I15" si="5">I14-I16</f>
        <v>2012.4840000000004</v>
      </c>
      <c r="J15" s="30">
        <f t="shared" ref="J15:M15" si="6">J14-J16</f>
        <v>2918.1018000000008</v>
      </c>
      <c r="K15" s="30">
        <f t="shared" si="6"/>
        <v>4231.2476100000013</v>
      </c>
      <c r="L15" s="30">
        <f t="shared" si="6"/>
        <v>6135.3090345000028</v>
      </c>
      <c r="M15" s="30">
        <f t="shared" si="6"/>
        <v>8896.1981000250034</v>
      </c>
      <c r="N15" s="30">
        <f t="shared" ref="N15:R15" si="7">N14-N16</f>
        <v>10675.437720030002</v>
      </c>
      <c r="O15" s="30">
        <f t="shared" si="7"/>
        <v>12810.525264036003</v>
      </c>
      <c r="P15" s="30">
        <f t="shared" si="7"/>
        <v>15372.630316843202</v>
      </c>
      <c r="Q15" s="30">
        <f t="shared" si="7"/>
        <v>18447.156380211843</v>
      </c>
      <c r="R15" s="30">
        <f t="shared" si="7"/>
        <v>22136.587656254211</v>
      </c>
      <c r="S15" s="30">
        <f t="shared" ref="S15:V15" si="8">S14-S16</f>
        <v>24350.246421879634</v>
      </c>
      <c r="T15" s="30">
        <f t="shared" si="8"/>
        <v>26785.271064067598</v>
      </c>
      <c r="U15" s="30">
        <f t="shared" si="8"/>
        <v>29463.798170474362</v>
      </c>
      <c r="V15" s="30">
        <f t="shared" si="8"/>
        <v>32410.177987521798</v>
      </c>
      <c r="W15" s="30">
        <f t="shared" ref="W15" si="9">W14-W16</f>
        <v>35651.19578627398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</row>
    <row r="16" spans="1:123" x14ac:dyDescent="0.15">
      <c r="B16" s="1" t="s">
        <v>6</v>
      </c>
      <c r="C16" s="44">
        <f>C14-C15</f>
        <v>112.02799999999996</v>
      </c>
      <c r="D16" s="44">
        <f>D14-D15</f>
        <v>209.495</v>
      </c>
      <c r="E16" s="44">
        <f>E14-E15</f>
        <v>380.2530000000001</v>
      </c>
      <c r="F16" s="44">
        <f>F14-F15</f>
        <v>596.26699999999983</v>
      </c>
      <c r="G16" s="44">
        <f>G14-G15</f>
        <v>866.29099999999994</v>
      </c>
      <c r="H16" s="44">
        <f>H14-H15</f>
        <v>1541.5699999999997</v>
      </c>
      <c r="I16" s="30">
        <f t="shared" ref="H16:W16" si="10">I14*H29</f>
        <v>2235.2764999999999</v>
      </c>
      <c r="J16" s="30">
        <f t="shared" si="10"/>
        <v>3241.1509249999995</v>
      </c>
      <c r="K16" s="30">
        <f t="shared" si="10"/>
        <v>4699.6688412499998</v>
      </c>
      <c r="L16" s="30">
        <f t="shared" si="10"/>
        <v>6814.5198198125008</v>
      </c>
      <c r="M16" s="30">
        <f t="shared" si="10"/>
        <v>9881.0537387281238</v>
      </c>
      <c r="N16" s="30">
        <f t="shared" si="10"/>
        <v>11857.26448647375</v>
      </c>
      <c r="O16" s="30">
        <f t="shared" si="10"/>
        <v>14228.717383768499</v>
      </c>
      <c r="P16" s="30">
        <f t="shared" si="10"/>
        <v>17074.460860522198</v>
      </c>
      <c r="Q16" s="30">
        <f t="shared" si="10"/>
        <v>20489.353032626637</v>
      </c>
      <c r="R16" s="30">
        <f t="shared" si="10"/>
        <v>24587.223639151962</v>
      </c>
      <c r="S16" s="30">
        <f t="shared" si="10"/>
        <v>27045.946003067158</v>
      </c>
      <c r="T16" s="30">
        <f t="shared" si="10"/>
        <v>29750.54060337388</v>
      </c>
      <c r="U16" s="30">
        <f t="shared" si="10"/>
        <v>32725.594663711268</v>
      </c>
      <c r="V16" s="30">
        <f t="shared" si="10"/>
        <v>35998.154130082396</v>
      </c>
      <c r="W16" s="30">
        <f t="shared" si="10"/>
        <v>39597.969543090643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</row>
    <row r="17" spans="2:155" x14ac:dyDescent="0.15">
      <c r="B17" s="1" t="s">
        <v>7</v>
      </c>
      <c r="C17" s="30">
        <f>SUM(Reports!C10:F10)</f>
        <v>39.721999999999994</v>
      </c>
      <c r="D17" s="30">
        <f>SUM(Reports!G10:J10)</f>
        <v>74.336000000000013</v>
      </c>
      <c r="E17" s="23">
        <f>SUM(Reports!K10:N10)</f>
        <v>135.99700000000001</v>
      </c>
      <c r="F17" s="23">
        <f>SUM(Reports!O10:R10)</f>
        <v>230.67400000000001</v>
      </c>
      <c r="G17" s="23">
        <f>SUM(Reports!S10:V10)</f>
        <v>355</v>
      </c>
      <c r="H17" s="23">
        <f>SUM(Reports!W10:Z10)</f>
        <v>551</v>
      </c>
      <c r="I17" s="30">
        <f>H17*1.4</f>
        <v>771.4</v>
      </c>
      <c r="J17" s="30">
        <f t="shared" ref="J17:M17" si="11">I17*1.4</f>
        <v>1079.9599999999998</v>
      </c>
      <c r="K17" s="30">
        <f t="shared" si="11"/>
        <v>1511.9439999999997</v>
      </c>
      <c r="L17" s="30">
        <f t="shared" si="11"/>
        <v>2116.7215999999994</v>
      </c>
      <c r="M17" s="30">
        <f t="shared" si="11"/>
        <v>2963.4102399999988</v>
      </c>
      <c r="N17" s="30">
        <f>M17*1.2</f>
        <v>3556.0922879999985</v>
      </c>
      <c r="O17" s="30">
        <f t="shared" ref="O17:R17" si="12">N17*1.2</f>
        <v>4267.310745599998</v>
      </c>
      <c r="P17" s="30">
        <f t="shared" si="12"/>
        <v>5120.7728947199976</v>
      </c>
      <c r="Q17" s="30">
        <f t="shared" si="12"/>
        <v>6144.9274736639973</v>
      </c>
      <c r="R17" s="30">
        <f t="shared" si="12"/>
        <v>7373.9129683967967</v>
      </c>
      <c r="S17" s="30">
        <f>R17*1.1</f>
        <v>8111.3042652364775</v>
      </c>
      <c r="T17" s="30">
        <f t="shared" ref="T17:W17" si="13">S17*1.1</f>
        <v>8922.4346917601251</v>
      </c>
      <c r="U17" s="30">
        <f t="shared" si="13"/>
        <v>9814.6781609361387</v>
      </c>
      <c r="V17" s="30">
        <f t="shared" si="13"/>
        <v>10796.145977029753</v>
      </c>
      <c r="W17" s="30">
        <f t="shared" si="13"/>
        <v>11875.760574732729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</row>
    <row r="18" spans="2:155" x14ac:dyDescent="0.15">
      <c r="B18" s="1" t="s">
        <v>8</v>
      </c>
      <c r="C18" s="30">
        <f>SUM(Reports!C11:F11)</f>
        <v>70.373999999999995</v>
      </c>
      <c r="D18" s="30">
        <f>SUM(Reports!G11:J11)</f>
        <v>129.214</v>
      </c>
      <c r="E18" s="23">
        <f>SUM(Reports!K11:N11)</f>
        <v>225.69400000000002</v>
      </c>
      <c r="F18" s="23">
        <f>SUM(Reports!O11:R11)</f>
        <v>350.06900000000002</v>
      </c>
      <c r="G18" s="23">
        <f>SUM(Reports!S11:V11)</f>
        <v>473</v>
      </c>
      <c r="H18" s="23">
        <f>SUM(Reports!W11:Z11)</f>
        <v>603</v>
      </c>
      <c r="I18" s="30">
        <f t="shared" ref="H18:L18" si="14">H18*1.3</f>
        <v>783.9</v>
      </c>
      <c r="J18" s="30">
        <f t="shared" ref="J17:J18" si="15">I18*1.3</f>
        <v>1019.07</v>
      </c>
      <c r="K18" s="30">
        <f t="shared" ref="K17:K18" si="16">J18*1.3</f>
        <v>1324.7910000000002</v>
      </c>
      <c r="L18" s="30">
        <f t="shared" ref="L17:L18" si="17">K18*1.3</f>
        <v>1722.2283000000002</v>
      </c>
      <c r="M18" s="30">
        <f t="shared" ref="M17:M18" si="18">L18*1.3</f>
        <v>2238.8967900000002</v>
      </c>
      <c r="N18" s="30">
        <f t="shared" ref="N18:Q18" si="19">M18*1.15</f>
        <v>2574.7313085000001</v>
      </c>
      <c r="O18" s="30">
        <f t="shared" si="19"/>
        <v>2960.9410047749998</v>
      </c>
      <c r="P18" s="30">
        <f t="shared" si="19"/>
        <v>3405.0821554912495</v>
      </c>
      <c r="Q18" s="30">
        <f t="shared" si="19"/>
        <v>3915.8444788149368</v>
      </c>
      <c r="R18" s="30">
        <f t="shared" ref="R18:W19" si="20">Q18*1.1</f>
        <v>4307.4289266964306</v>
      </c>
      <c r="S18" s="30">
        <f>R18*1.05</f>
        <v>4522.8003730312521</v>
      </c>
      <c r="T18" s="30">
        <f t="shared" ref="T18:W18" si="21">S18*1.05</f>
        <v>4748.9403916828151</v>
      </c>
      <c r="U18" s="30">
        <f t="shared" si="21"/>
        <v>4986.3874112669564</v>
      </c>
      <c r="V18" s="30">
        <f t="shared" si="21"/>
        <v>5235.7067818303049</v>
      </c>
      <c r="W18" s="30">
        <f t="shared" si="21"/>
        <v>5497.4921209218201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</row>
    <row r="19" spans="2:155" x14ac:dyDescent="0.15">
      <c r="B19" s="1" t="s">
        <v>9</v>
      </c>
      <c r="C19" s="30">
        <f>SUM(Reports!C12:F12)</f>
        <v>19.687999999999999</v>
      </c>
      <c r="D19" s="30">
        <f>SUM(Reports!G12:J12)</f>
        <v>43.11</v>
      </c>
      <c r="E19" s="23">
        <f>SUM(Reports!K12:N12)</f>
        <v>67.719000000000008</v>
      </c>
      <c r="F19" s="23">
        <f>SUM(Reports!O12:R12)</f>
        <v>107.44400000000002</v>
      </c>
      <c r="G19" s="23">
        <f>SUM(Reports!S12:V12)</f>
        <v>179</v>
      </c>
      <c r="H19" s="23">
        <f>SUM(Reports!W12:Z12)</f>
        <v>297</v>
      </c>
      <c r="I19" s="30">
        <f>H19*1.25</f>
        <v>371.25</v>
      </c>
      <c r="J19" s="30">
        <f t="shared" ref="J19:M19" si="22">I19*1.25</f>
        <v>464.0625</v>
      </c>
      <c r="K19" s="30">
        <f t="shared" si="22"/>
        <v>580.078125</v>
      </c>
      <c r="L19" s="30">
        <f t="shared" si="22"/>
        <v>725.09765625</v>
      </c>
      <c r="M19" s="30">
        <f t="shared" si="22"/>
        <v>906.3720703125</v>
      </c>
      <c r="N19" s="30">
        <f>M19*1.1</f>
        <v>997.00927734375011</v>
      </c>
      <c r="O19" s="30">
        <f t="shared" ref="O19:R19" si="23">N19*1.1</f>
        <v>1096.7102050781252</v>
      </c>
      <c r="P19" s="30">
        <f t="shared" si="23"/>
        <v>1206.381225585938</v>
      </c>
      <c r="Q19" s="30">
        <f t="shared" si="23"/>
        <v>1327.0193481445319</v>
      </c>
      <c r="R19" s="30">
        <f t="shared" si="20"/>
        <v>1459.7212829589853</v>
      </c>
      <c r="S19" s="30">
        <f>R19*0.95</f>
        <v>1386.735218811036</v>
      </c>
      <c r="T19" s="30">
        <f t="shared" ref="T19:W19" si="24">S19*0.95</f>
        <v>1317.3984578704842</v>
      </c>
      <c r="U19" s="30">
        <f t="shared" si="24"/>
        <v>1251.5285349769599</v>
      </c>
      <c r="V19" s="30">
        <f t="shared" si="24"/>
        <v>1188.9521082281119</v>
      </c>
      <c r="W19" s="30">
        <f t="shared" si="24"/>
        <v>1129.5045028167062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</row>
    <row r="20" spans="2:155" x14ac:dyDescent="0.15">
      <c r="B20" s="1" t="s">
        <v>10</v>
      </c>
      <c r="C20" s="44">
        <f>SUM(C17:C19)</f>
        <v>129.78399999999999</v>
      </c>
      <c r="D20" s="44">
        <f>SUM(D17:D19)</f>
        <v>246.66000000000003</v>
      </c>
      <c r="E20" s="44">
        <f>SUM(E17:E19)</f>
        <v>429.41</v>
      </c>
      <c r="F20" s="44">
        <f>SUM(F17:F19)</f>
        <v>688.18700000000013</v>
      </c>
      <c r="G20" s="44">
        <f>SUM(G17:G19)</f>
        <v>1007</v>
      </c>
      <c r="H20" s="44">
        <f>SUM(H17:H19)</f>
        <v>1451</v>
      </c>
      <c r="I20" s="30">
        <f t="shared" ref="H20:I20" si="25">SUM(I17:I19)</f>
        <v>1926.55</v>
      </c>
      <c r="J20" s="30">
        <f t="shared" ref="J20:M20" si="26">SUM(J17:J19)</f>
        <v>2563.0924999999997</v>
      </c>
      <c r="K20" s="30">
        <f t="shared" si="26"/>
        <v>3416.8131249999997</v>
      </c>
      <c r="L20" s="30">
        <f t="shared" si="26"/>
        <v>4564.0475562499996</v>
      </c>
      <c r="M20" s="30">
        <f t="shared" si="26"/>
        <v>6108.679100312499</v>
      </c>
      <c r="N20" s="30">
        <f t="shared" ref="N20:R20" si="27">SUM(N17:N19)</f>
        <v>7127.8328738437485</v>
      </c>
      <c r="O20" s="30">
        <f t="shared" si="27"/>
        <v>8324.9619554531237</v>
      </c>
      <c r="P20" s="30">
        <f t="shared" si="27"/>
        <v>9732.2362757971841</v>
      </c>
      <c r="Q20" s="30">
        <f t="shared" si="27"/>
        <v>11387.791300623465</v>
      </c>
      <c r="R20" s="30">
        <f t="shared" si="27"/>
        <v>13141.063178052213</v>
      </c>
      <c r="S20" s="30">
        <f t="shared" ref="S20:V20" si="28">SUM(S17:S19)</f>
        <v>14020.839857078767</v>
      </c>
      <c r="T20" s="30">
        <f t="shared" si="28"/>
        <v>14988.773541313425</v>
      </c>
      <c r="U20" s="30">
        <f t="shared" si="28"/>
        <v>16052.594107180055</v>
      </c>
      <c r="V20" s="30">
        <f t="shared" si="28"/>
        <v>17220.804867088173</v>
      </c>
      <c r="W20" s="30">
        <f t="shared" ref="W20" si="29">SUM(W17:W19)</f>
        <v>18502.757198471256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</row>
    <row r="21" spans="2:155" x14ac:dyDescent="0.15">
      <c r="B21" s="1" t="s">
        <v>11</v>
      </c>
      <c r="C21" s="44">
        <f>C16-C20</f>
        <v>-17.756000000000029</v>
      </c>
      <c r="D21" s="44">
        <f>D16-D20</f>
        <v>-37.16500000000002</v>
      </c>
      <c r="E21" s="44">
        <f>E16-E20</f>
        <v>-49.156999999999925</v>
      </c>
      <c r="F21" s="44">
        <f>F16-F20</f>
        <v>-91.9200000000003</v>
      </c>
      <c r="G21" s="44">
        <f>G16-G20</f>
        <v>-140.70900000000006</v>
      </c>
      <c r="H21" s="44">
        <f>H16-H20</f>
        <v>90.569999999999709</v>
      </c>
      <c r="I21" s="30">
        <f t="shared" ref="H21:I21" si="30">I16-I20</f>
        <v>308.72649999999999</v>
      </c>
      <c r="J21" s="30">
        <f t="shared" ref="J21:M21" si="31">J16-J20</f>
        <v>678.05842499999972</v>
      </c>
      <c r="K21" s="30">
        <f t="shared" si="31"/>
        <v>1282.8557162500001</v>
      </c>
      <c r="L21" s="30">
        <f t="shared" si="31"/>
        <v>2250.4722635625012</v>
      </c>
      <c r="M21" s="30">
        <f t="shared" si="31"/>
        <v>3772.3746384156248</v>
      </c>
      <c r="N21" s="30">
        <f t="shared" ref="N21:R21" si="32">N16-N20</f>
        <v>4729.4316126300018</v>
      </c>
      <c r="O21" s="30">
        <f t="shared" si="32"/>
        <v>5903.755428315375</v>
      </c>
      <c r="P21" s="30">
        <f t="shared" si="32"/>
        <v>7342.2245847250142</v>
      </c>
      <c r="Q21" s="30">
        <f t="shared" si="32"/>
        <v>9101.5617320031724</v>
      </c>
      <c r="R21" s="30">
        <f t="shared" si="32"/>
        <v>11446.160461099749</v>
      </c>
      <c r="S21" s="30">
        <f t="shared" ref="S21:V21" si="33">S16-S20</f>
        <v>13025.106145988391</v>
      </c>
      <c r="T21" s="30">
        <f t="shared" si="33"/>
        <v>14761.767062060455</v>
      </c>
      <c r="U21" s="30">
        <f t="shared" si="33"/>
        <v>16673.000556531213</v>
      </c>
      <c r="V21" s="30">
        <f t="shared" si="33"/>
        <v>18777.349262994223</v>
      </c>
      <c r="W21" s="30">
        <f t="shared" ref="W21" si="34">W16-W20</f>
        <v>21095.212344619387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</row>
    <row r="22" spans="2:155" x14ac:dyDescent="0.15">
      <c r="B22" s="1" t="s">
        <v>12</v>
      </c>
      <c r="C22" s="30">
        <f>SUM(Reports!C15:F15)</f>
        <v>-1.034</v>
      </c>
      <c r="D22" s="30">
        <f>SUM(Reports!G15:J15)</f>
        <v>1.8099999999999998</v>
      </c>
      <c r="E22" s="23">
        <f>SUM(Reports!K15:N15)</f>
        <v>17.834</v>
      </c>
      <c r="F22" s="23">
        <f>SUM(Reports!O15:R15)</f>
        <v>22.236000000000001</v>
      </c>
      <c r="G22" s="23">
        <f>SUM(Reports!S15:V15)</f>
        <v>59</v>
      </c>
      <c r="H22" s="23">
        <f>SUM(Reports!W15:Z15)</f>
        <v>143</v>
      </c>
      <c r="I22" s="30">
        <f t="shared" ref="H22:W22" si="35">H39*$G$4</f>
        <v>281.5</v>
      </c>
      <c r="J22" s="30">
        <f t="shared" si="35"/>
        <v>305.10906</v>
      </c>
      <c r="K22" s="30">
        <f t="shared" si="35"/>
        <v>344.43575940000005</v>
      </c>
      <c r="L22" s="30">
        <f t="shared" si="35"/>
        <v>409.527418426</v>
      </c>
      <c r="M22" s="30">
        <f t="shared" si="35"/>
        <v>515.92740570554008</v>
      </c>
      <c r="N22" s="30">
        <f t="shared" si="35"/>
        <v>687.45948747038665</v>
      </c>
      <c r="O22" s="30">
        <f t="shared" si="35"/>
        <v>904.13513147440233</v>
      </c>
      <c r="P22" s="30">
        <f t="shared" si="35"/>
        <v>1176.4507538659934</v>
      </c>
      <c r="Q22" s="30">
        <f t="shared" si="35"/>
        <v>1517.1977674096338</v>
      </c>
      <c r="R22" s="30">
        <f t="shared" si="35"/>
        <v>1941.948147386146</v>
      </c>
      <c r="S22" s="30">
        <f t="shared" si="35"/>
        <v>2477.4724917255817</v>
      </c>
      <c r="T22" s="30">
        <f t="shared" si="35"/>
        <v>3097.5756372341407</v>
      </c>
      <c r="U22" s="30">
        <f t="shared" si="35"/>
        <v>3811.9493452059246</v>
      </c>
      <c r="V22" s="30">
        <f t="shared" si="35"/>
        <v>4631.3473412754101</v>
      </c>
      <c r="W22" s="30">
        <f t="shared" si="35"/>
        <v>5567.6952054461963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</row>
    <row r="23" spans="2:155" x14ac:dyDescent="0.15">
      <c r="B23" s="1" t="s">
        <v>13</v>
      </c>
      <c r="C23" s="44">
        <f>SUM(Reports!C16:F16)</f>
        <v>-18.789999999999992</v>
      </c>
      <c r="D23" s="44">
        <f>D21+D22</f>
        <v>-35.355000000000018</v>
      </c>
      <c r="E23" s="44">
        <f>E21+E22</f>
        <v>-31.322999999999926</v>
      </c>
      <c r="F23" s="44">
        <f>F21+F22</f>
        <v>-69.684000000000296</v>
      </c>
      <c r="G23" s="44">
        <f>G21+G22</f>
        <v>-81.70900000000006</v>
      </c>
      <c r="H23" s="44">
        <f>H21+H22</f>
        <v>233.56999999999971</v>
      </c>
      <c r="I23" s="30">
        <f t="shared" ref="H23:I23" si="36">I21+I22</f>
        <v>590.22649999999999</v>
      </c>
      <c r="J23" s="30">
        <f t="shared" ref="J23:M23" si="37">J21+J22</f>
        <v>983.16748499999972</v>
      </c>
      <c r="K23" s="30">
        <f t="shared" si="37"/>
        <v>1627.2914756500002</v>
      </c>
      <c r="L23" s="30">
        <f t="shared" si="37"/>
        <v>2659.9996819885014</v>
      </c>
      <c r="M23" s="30">
        <f t="shared" si="37"/>
        <v>4288.3020441211647</v>
      </c>
      <c r="N23" s="30">
        <f t="shared" ref="N23:R23" si="38">N21+N22</f>
        <v>5416.8911001003889</v>
      </c>
      <c r="O23" s="30">
        <f t="shared" si="38"/>
        <v>6807.8905597897774</v>
      </c>
      <c r="P23" s="30">
        <f t="shared" si="38"/>
        <v>8518.6753385910069</v>
      </c>
      <c r="Q23" s="30">
        <f t="shared" si="38"/>
        <v>10618.759499412807</v>
      </c>
      <c r="R23" s="30">
        <f t="shared" si="38"/>
        <v>13388.108608485894</v>
      </c>
      <c r="S23" s="30">
        <f t="shared" ref="S23:V23" si="39">S21+S22</f>
        <v>15502.578637713974</v>
      </c>
      <c r="T23" s="30">
        <f t="shared" si="39"/>
        <v>17859.342699294597</v>
      </c>
      <c r="U23" s="30">
        <f t="shared" si="39"/>
        <v>20484.949901737138</v>
      </c>
      <c r="V23" s="30">
        <f t="shared" si="39"/>
        <v>23408.696604269633</v>
      </c>
      <c r="W23" s="30">
        <f t="shared" ref="W23" si="40">W21+W22</f>
        <v>26662.907550065582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</row>
    <row r="24" spans="2:155" x14ac:dyDescent="0.15">
      <c r="B24" s="1" t="s">
        <v>14</v>
      </c>
      <c r="C24" s="30">
        <f>SUM(Reports!C17:F17)</f>
        <v>0</v>
      </c>
      <c r="D24" s="30">
        <f>SUM(Reports!G17:J17)</f>
        <v>0.21099999999999999</v>
      </c>
      <c r="E24" s="23">
        <f>SUM(Reports!K17:N17)</f>
        <v>0</v>
      </c>
      <c r="F24" s="23">
        <f>SUM(Reports!O17:R17)</f>
        <v>0</v>
      </c>
      <c r="G24" s="23">
        <f>SUM(Reports!S17:V17)</f>
        <v>29</v>
      </c>
      <c r="H24" s="23">
        <f>SUM(Reports!W17:Z17)</f>
        <v>-80</v>
      </c>
      <c r="I24" s="30">
        <f t="shared" ref="H24:R24" si="41">I23*0.2</f>
        <v>118.0453</v>
      </c>
      <c r="J24" s="30">
        <f t="shared" si="41"/>
        <v>196.63349699999995</v>
      </c>
      <c r="K24" s="30">
        <f t="shared" si="41"/>
        <v>325.45829513000007</v>
      </c>
      <c r="L24" s="30">
        <f t="shared" si="41"/>
        <v>531.99993639770025</v>
      </c>
      <c r="M24" s="30">
        <f t="shared" si="41"/>
        <v>857.66040882423295</v>
      </c>
      <c r="N24" s="30">
        <f t="shared" si="41"/>
        <v>1083.3782200200778</v>
      </c>
      <c r="O24" s="30">
        <f t="shared" si="41"/>
        <v>1361.5781119579556</v>
      </c>
      <c r="P24" s="30">
        <f t="shared" si="41"/>
        <v>1703.7350677182014</v>
      </c>
      <c r="Q24" s="30">
        <f t="shared" si="41"/>
        <v>2123.7518998825612</v>
      </c>
      <c r="R24" s="30">
        <f t="shared" si="41"/>
        <v>2677.6217216971791</v>
      </c>
      <c r="S24" s="30">
        <f t="shared" ref="S24:V24" si="42">S23*0.2</f>
        <v>3100.515727542795</v>
      </c>
      <c r="T24" s="30">
        <f t="shared" si="42"/>
        <v>3571.8685398589196</v>
      </c>
      <c r="U24" s="30">
        <f t="shared" si="42"/>
        <v>4096.9899803474282</v>
      </c>
      <c r="V24" s="30">
        <f t="shared" si="42"/>
        <v>4681.739320853927</v>
      </c>
      <c r="W24" s="30">
        <f t="shared" ref="W24" si="43">W23*0.2</f>
        <v>5332.5815100131167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</row>
    <row r="25" spans="2:155" s="2" customFormat="1" x14ac:dyDescent="0.15">
      <c r="B25" s="2" t="s">
        <v>15</v>
      </c>
      <c r="C25" s="43">
        <f>C23-C24</f>
        <v>-18.789999999999992</v>
      </c>
      <c r="D25" s="43">
        <f>D23-D24</f>
        <v>-35.566000000000017</v>
      </c>
      <c r="E25" s="43">
        <f>E23-E24</f>
        <v>-31.322999999999926</v>
      </c>
      <c r="F25" s="43">
        <f t="shared" ref="F25" si="44">F23-F24</f>
        <v>-69.684000000000296</v>
      </c>
      <c r="G25" s="43">
        <f t="shared" ref="G25:I25" si="45">G23-G24</f>
        <v>-110.70900000000006</v>
      </c>
      <c r="H25" s="43">
        <f t="shared" si="45"/>
        <v>313.56999999999971</v>
      </c>
      <c r="I25" s="43">
        <f t="shared" si="45"/>
        <v>472.18119999999999</v>
      </c>
      <c r="J25" s="43">
        <f t="shared" ref="J25:M25" si="46">J23-J24</f>
        <v>786.53398799999979</v>
      </c>
      <c r="K25" s="43">
        <f t="shared" si="46"/>
        <v>1301.83318052</v>
      </c>
      <c r="L25" s="43">
        <f t="shared" si="46"/>
        <v>2127.999745590801</v>
      </c>
      <c r="M25" s="43">
        <f t="shared" si="46"/>
        <v>3430.6416352969318</v>
      </c>
      <c r="N25" s="43">
        <f t="shared" ref="N25:R25" si="47">N23-N24</f>
        <v>4333.5128800803113</v>
      </c>
      <c r="O25" s="43">
        <f t="shared" si="47"/>
        <v>5446.3124478318223</v>
      </c>
      <c r="P25" s="43">
        <f t="shared" si="47"/>
        <v>6814.9402708728057</v>
      </c>
      <c r="Q25" s="43">
        <f t="shared" si="47"/>
        <v>8495.007599530245</v>
      </c>
      <c r="R25" s="43">
        <f t="shared" si="47"/>
        <v>10710.486886788716</v>
      </c>
      <c r="S25" s="43">
        <f t="shared" ref="S25:V25" si="48">S23-S24</f>
        <v>12402.062910171178</v>
      </c>
      <c r="T25" s="43">
        <f t="shared" si="48"/>
        <v>14287.474159435678</v>
      </c>
      <c r="U25" s="43">
        <f t="shared" si="48"/>
        <v>16387.959921389709</v>
      </c>
      <c r="V25" s="43">
        <f t="shared" si="48"/>
        <v>18726.957283415708</v>
      </c>
      <c r="W25" s="43">
        <f t="shared" ref="W25" si="49">W23-W24</f>
        <v>21330.326040052467</v>
      </c>
      <c r="X25" s="43">
        <f t="shared" ref="W25:CE25" si="50">W25*($G$3+1)</f>
        <v>21223.674409852203</v>
      </c>
      <c r="Y25" s="43">
        <f t="shared" si="50"/>
        <v>21117.55603780294</v>
      </c>
      <c r="Z25" s="43">
        <f t="shared" si="50"/>
        <v>21011.968257613924</v>
      </c>
      <c r="AA25" s="43">
        <f t="shared" si="50"/>
        <v>20906.908416325856</v>
      </c>
      <c r="AB25" s="43">
        <f t="shared" si="50"/>
        <v>20802.373874244226</v>
      </c>
      <c r="AC25" s="43">
        <f t="shared" si="50"/>
        <v>20698.362004873004</v>
      </c>
      <c r="AD25" s="43">
        <f t="shared" si="50"/>
        <v>20594.870194848638</v>
      </c>
      <c r="AE25" s="43">
        <f t="shared" si="50"/>
        <v>20491.895843874394</v>
      </c>
      <c r="AF25" s="43">
        <f t="shared" si="50"/>
        <v>20389.436364655023</v>
      </c>
      <c r="AG25" s="43">
        <f t="shared" si="50"/>
        <v>20287.489182831749</v>
      </c>
      <c r="AH25" s="43">
        <f t="shared" si="50"/>
        <v>20186.05173691759</v>
      </c>
      <c r="AI25" s="43">
        <f t="shared" si="50"/>
        <v>20085.121478233003</v>
      </c>
      <c r="AJ25" s="43">
        <f t="shared" si="50"/>
        <v>19984.695870841839</v>
      </c>
      <c r="AK25" s="43">
        <f t="shared" si="50"/>
        <v>19884.77239148763</v>
      </c>
      <c r="AL25" s="43">
        <f t="shared" si="50"/>
        <v>19785.348529530191</v>
      </c>
      <c r="AM25" s="43">
        <f t="shared" si="50"/>
        <v>19686.42178688254</v>
      </c>
      <c r="AN25" s="43">
        <f t="shared" si="50"/>
        <v>19587.989677948128</v>
      </c>
      <c r="AO25" s="43">
        <f t="shared" si="50"/>
        <v>19490.049729558388</v>
      </c>
      <c r="AP25" s="43">
        <f t="shared" si="50"/>
        <v>19392.599480910598</v>
      </c>
      <c r="AQ25" s="43">
        <f t="shared" si="50"/>
        <v>19295.636483506045</v>
      </c>
      <c r="AR25" s="43">
        <f t="shared" si="50"/>
        <v>19199.158301088515</v>
      </c>
      <c r="AS25" s="43">
        <f t="shared" si="50"/>
        <v>19103.162509583071</v>
      </c>
      <c r="AT25" s="43">
        <f t="shared" si="50"/>
        <v>19007.646697035158</v>
      </c>
      <c r="AU25" s="43">
        <f t="shared" si="50"/>
        <v>18912.608463549983</v>
      </c>
      <c r="AV25" s="43">
        <f t="shared" si="50"/>
        <v>18818.045421232233</v>
      </c>
      <c r="AW25" s="43">
        <f t="shared" si="50"/>
        <v>18723.955194126072</v>
      </c>
      <c r="AX25" s="43">
        <f t="shared" si="50"/>
        <v>18630.335418155442</v>
      </c>
      <c r="AY25" s="43">
        <f t="shared" si="50"/>
        <v>18537.183741064666</v>
      </c>
      <c r="AZ25" s="43">
        <f t="shared" si="50"/>
        <v>18444.497822359343</v>
      </c>
      <c r="BA25" s="43">
        <f t="shared" si="50"/>
        <v>18352.275333247544</v>
      </c>
      <c r="BB25" s="43">
        <f t="shared" si="50"/>
        <v>18260.513956581308</v>
      </c>
      <c r="BC25" s="43">
        <f t="shared" si="50"/>
        <v>18169.211386798401</v>
      </c>
      <c r="BD25" s="43">
        <f t="shared" si="50"/>
        <v>18078.365329864409</v>
      </c>
      <c r="BE25" s="43">
        <f t="shared" si="50"/>
        <v>17987.973503215086</v>
      </c>
      <c r="BF25" s="43">
        <f t="shared" si="50"/>
        <v>17898.033635699012</v>
      </c>
      <c r="BG25" s="43">
        <f t="shared" si="50"/>
        <v>17808.543467520518</v>
      </c>
      <c r="BH25" s="43">
        <f t="shared" si="50"/>
        <v>17719.500750182917</v>
      </c>
      <c r="BI25" s="43">
        <f t="shared" si="50"/>
        <v>17630.903246432001</v>
      </c>
      <c r="BJ25" s="43">
        <f t="shared" si="50"/>
        <v>17542.748730199841</v>
      </c>
      <c r="BK25" s="43">
        <f t="shared" si="50"/>
        <v>17455.034986548842</v>
      </c>
      <c r="BL25" s="43">
        <f t="shared" si="50"/>
        <v>17367.759811616099</v>
      </c>
      <c r="BM25" s="43">
        <f t="shared" si="50"/>
        <v>17280.921012558018</v>
      </c>
      <c r="BN25" s="43">
        <f t="shared" si="50"/>
        <v>17194.516407495226</v>
      </c>
      <c r="BO25" s="43">
        <f t="shared" si="50"/>
        <v>17108.543825457749</v>
      </c>
      <c r="BP25" s="43">
        <f t="shared" si="50"/>
        <v>17023.001106330459</v>
      </c>
      <c r="BQ25" s="43">
        <f t="shared" si="50"/>
        <v>16937.886100798805</v>
      </c>
      <c r="BR25" s="43">
        <f t="shared" si="50"/>
        <v>16853.196670294812</v>
      </c>
      <c r="BS25" s="43">
        <f t="shared" si="50"/>
        <v>16768.930686943339</v>
      </c>
      <c r="BT25" s="43">
        <f t="shared" si="50"/>
        <v>16685.086033508622</v>
      </c>
      <c r="BU25" s="43">
        <f t="shared" si="50"/>
        <v>16601.660603341079</v>
      </c>
      <c r="BV25" s="43">
        <f t="shared" si="50"/>
        <v>16518.652300324375</v>
      </c>
      <c r="BW25" s="43">
        <f t="shared" si="50"/>
        <v>16436.059038822754</v>
      </c>
      <c r="BX25" s="43">
        <f t="shared" si="50"/>
        <v>16353.87874362864</v>
      </c>
      <c r="BY25" s="43">
        <f t="shared" si="50"/>
        <v>16272.109349910497</v>
      </c>
      <c r="BZ25" s="43">
        <f t="shared" si="50"/>
        <v>16190.748803160945</v>
      </c>
      <c r="CA25" s="43">
        <f t="shared" si="50"/>
        <v>16109.795059145139</v>
      </c>
      <c r="CB25" s="43">
        <f t="shared" si="50"/>
        <v>16029.246083849413</v>
      </c>
      <c r="CC25" s="43">
        <f t="shared" si="50"/>
        <v>15949.099853430167</v>
      </c>
      <c r="CD25" s="43">
        <f t="shared" si="50"/>
        <v>15869.354354163017</v>
      </c>
      <c r="CE25" s="43">
        <f t="shared" si="50"/>
        <v>15790.007582392202</v>
      </c>
      <c r="CF25" s="43">
        <f t="shared" ref="CF25:DS25" si="51">CE25*($G$3+1)</f>
        <v>15711.05754448024</v>
      </c>
      <c r="CG25" s="43">
        <f t="shared" si="51"/>
        <v>15632.502256757838</v>
      </c>
      <c r="CH25" s="43">
        <f t="shared" si="51"/>
        <v>15554.339745474048</v>
      </c>
      <c r="CI25" s="43">
        <f t="shared" si="51"/>
        <v>15476.568046746677</v>
      </c>
      <c r="CJ25" s="43">
        <f t="shared" si="51"/>
        <v>15399.185206512944</v>
      </c>
      <c r="CK25" s="43">
        <f t="shared" si="51"/>
        <v>15322.189280480379</v>
      </c>
      <c r="CL25" s="43">
        <f t="shared" si="51"/>
        <v>15245.578334077978</v>
      </c>
      <c r="CM25" s="43">
        <f t="shared" si="51"/>
        <v>15169.350442407587</v>
      </c>
      <c r="CN25" s="43">
        <f t="shared" si="51"/>
        <v>15093.50369019555</v>
      </c>
      <c r="CO25" s="43">
        <f t="shared" si="51"/>
        <v>15018.036171744572</v>
      </c>
      <c r="CP25" s="43">
        <f t="shared" si="51"/>
        <v>14942.94599088585</v>
      </c>
      <c r="CQ25" s="43">
        <f t="shared" si="51"/>
        <v>14868.231260931421</v>
      </c>
      <c r="CR25" s="43">
        <f t="shared" si="51"/>
        <v>14793.890104626764</v>
      </c>
      <c r="CS25" s="43">
        <f t="shared" si="51"/>
        <v>14719.920654103629</v>
      </c>
      <c r="CT25" s="43">
        <f t="shared" si="51"/>
        <v>14646.32105083311</v>
      </c>
      <c r="CU25" s="43">
        <f t="shared" si="51"/>
        <v>14573.089445578944</v>
      </c>
      <c r="CV25" s="43">
        <f t="shared" si="51"/>
        <v>14500.22399835105</v>
      </c>
      <c r="CW25" s="43">
        <f t="shared" si="51"/>
        <v>14427.722878359295</v>
      </c>
      <c r="CX25" s="43">
        <f t="shared" si="51"/>
        <v>14355.584263967497</v>
      </c>
      <c r="CY25" s="43">
        <f t="shared" si="51"/>
        <v>14283.80634264766</v>
      </c>
      <c r="CZ25" s="43">
        <f t="shared" si="51"/>
        <v>14212.387310934422</v>
      </c>
      <c r="DA25" s="43">
        <f t="shared" si="51"/>
        <v>14141.32537437975</v>
      </c>
      <c r="DB25" s="43">
        <f t="shared" si="51"/>
        <v>14070.618747507851</v>
      </c>
      <c r="DC25" s="43">
        <f t="shared" si="51"/>
        <v>14000.265653770311</v>
      </c>
      <c r="DD25" s="43">
        <f t="shared" si="51"/>
        <v>13930.264325501459</v>
      </c>
      <c r="DE25" s="43">
        <f t="shared" si="51"/>
        <v>13860.613003873952</v>
      </c>
      <c r="DF25" s="43">
        <f t="shared" si="51"/>
        <v>13791.309938854582</v>
      </c>
      <c r="DG25" s="43">
        <f t="shared" si="51"/>
        <v>13722.353389160309</v>
      </c>
      <c r="DH25" s="43">
        <f t="shared" si="51"/>
        <v>13653.741622214508</v>
      </c>
      <c r="DI25" s="43">
        <f t="shared" si="51"/>
        <v>13585.472914103435</v>
      </c>
      <c r="DJ25" s="43">
        <f t="shared" si="51"/>
        <v>13517.545549532917</v>
      </c>
      <c r="DK25" s="43">
        <f t="shared" si="51"/>
        <v>13449.957821785252</v>
      </c>
      <c r="DL25" s="43">
        <f t="shared" si="51"/>
        <v>13382.708032676326</v>
      </c>
      <c r="DM25" s="43">
        <f t="shared" si="51"/>
        <v>13315.794492512945</v>
      </c>
      <c r="DN25" s="43">
        <f t="shared" si="51"/>
        <v>13249.21552005038</v>
      </c>
      <c r="DO25" s="43">
        <f t="shared" si="51"/>
        <v>13182.969442450129</v>
      </c>
      <c r="DP25" s="43">
        <f t="shared" si="51"/>
        <v>13117.054595237878</v>
      </c>
      <c r="DQ25" s="43">
        <f t="shared" si="51"/>
        <v>13051.469322261688</v>
      </c>
      <c r="DR25" s="43">
        <f t="shared" si="51"/>
        <v>12986.21197565038</v>
      </c>
      <c r="DS25" s="43">
        <f t="shared" si="51"/>
        <v>12921.280915772128</v>
      </c>
      <c r="DT25" s="43">
        <f t="shared" ref="DT25" si="52">DS25*($G$3+1)</f>
        <v>12856.674511193267</v>
      </c>
      <c r="DU25" s="43">
        <f t="shared" ref="DU25" si="53">DT25*($G$3+1)</f>
        <v>12792.3911386373</v>
      </c>
      <c r="DV25" s="43">
        <f t="shared" ref="DV25" si="54">DU25*($G$3+1)</f>
        <v>12728.429182944114</v>
      </c>
      <c r="DW25" s="43">
        <f t="shared" ref="DW25" si="55">DV25*($G$3+1)</f>
        <v>12664.787037029393</v>
      </c>
      <c r="DX25" s="43">
        <f t="shared" ref="DX25" si="56">DW25*($G$3+1)</f>
        <v>12601.463101844247</v>
      </c>
      <c r="DY25" s="43">
        <f t="shared" ref="DY25" si="57">DX25*($G$3+1)</f>
        <v>12538.455786335026</v>
      </c>
      <c r="DZ25" s="43">
        <f t="shared" ref="DZ25" si="58">DY25*($G$3+1)</f>
        <v>12475.76350740335</v>
      </c>
      <c r="EA25" s="43">
        <f t="shared" ref="EA25" si="59">DZ25*($G$3+1)</f>
        <v>12413.384689866332</v>
      </c>
      <c r="EB25" s="43">
        <f t="shared" ref="EB25" si="60">EA25*($G$3+1)</f>
        <v>12351.317766417</v>
      </c>
      <c r="EC25" s="43">
        <f t="shared" ref="EC25" si="61">EB25*($G$3+1)</f>
        <v>12289.561177584916</v>
      </c>
      <c r="ED25" s="43">
        <f t="shared" ref="ED25" si="62">EC25*($G$3+1)</f>
        <v>12228.113371696991</v>
      </c>
      <c r="EE25" s="43">
        <f t="shared" ref="EE25" si="63">ED25*($G$3+1)</f>
        <v>12166.972804838506</v>
      </c>
      <c r="EF25" s="43">
        <f t="shared" ref="EF25" si="64">EE25*($G$3+1)</f>
        <v>12106.137940814313</v>
      </c>
      <c r="EG25" s="43">
        <f t="shared" ref="EG25" si="65">EF25*($G$3+1)</f>
        <v>12045.607251110241</v>
      </c>
      <c r="EH25" s="43">
        <f t="shared" ref="EH25" si="66">EG25*($G$3+1)</f>
        <v>11985.379214854689</v>
      </c>
      <c r="EI25" s="43">
        <f t="shared" ref="EI25" si="67">EH25*($G$3+1)</f>
        <v>11925.452318780415</v>
      </c>
      <c r="EJ25" s="43">
        <f t="shared" ref="EJ25" si="68">EI25*($G$3+1)</f>
        <v>11865.825057186514</v>
      </c>
      <c r="EK25" s="43">
        <f t="shared" ref="EK25" si="69">EJ25*($G$3+1)</f>
        <v>11806.495931900581</v>
      </c>
      <c r="EL25" s="43">
        <f t="shared" ref="EL25" si="70">EK25*($G$3+1)</f>
        <v>11747.463452241078</v>
      </c>
      <c r="EM25" s="43">
        <f t="shared" ref="EM25" si="71">EL25*($G$3+1)</f>
        <v>11688.726134979872</v>
      </c>
      <c r="EN25" s="43">
        <f t="shared" ref="EN25" si="72">EM25*($G$3+1)</f>
        <v>11630.282504304972</v>
      </c>
      <c r="EO25" s="43">
        <f t="shared" ref="EO25" si="73">EN25*($G$3+1)</f>
        <v>11572.131091783447</v>
      </c>
      <c r="EP25" s="43">
        <f t="shared" ref="EP25" si="74">EO25*($G$3+1)</f>
        <v>11514.27043632453</v>
      </c>
      <c r="EQ25" s="43">
        <f t="shared" ref="EQ25" si="75">EP25*($G$3+1)</f>
        <v>11456.699084142907</v>
      </c>
      <c r="ER25" s="43">
        <f t="shared" ref="ER25" si="76">EQ25*($G$3+1)</f>
        <v>11399.415588722193</v>
      </c>
      <c r="ES25" s="43">
        <f t="shared" ref="ES25" si="77">ER25*($G$3+1)</f>
        <v>11342.418510778582</v>
      </c>
      <c r="ET25" s="43">
        <f t="shared" ref="ET25" si="78">ES25*($G$3+1)</f>
        <v>11285.706418224689</v>
      </c>
      <c r="EU25" s="43">
        <f t="shared" ref="EU25" si="79">ET25*($G$3+1)</f>
        <v>11229.277886133565</v>
      </c>
      <c r="EV25" s="43">
        <f t="shared" ref="EV25" si="80">EU25*($G$3+1)</f>
        <v>11173.131496702897</v>
      </c>
      <c r="EW25" s="43">
        <f t="shared" ref="EW25" si="81">EV25*($G$3+1)</f>
        <v>11117.265839219383</v>
      </c>
      <c r="EX25" s="43">
        <f t="shared" ref="EX25" si="82">EW25*($G$3+1)</f>
        <v>11061.679510023285</v>
      </c>
      <c r="EY25" s="43">
        <f t="shared" ref="EY25" si="83">EX25*($G$3+1)</f>
        <v>11006.371112473169</v>
      </c>
    </row>
    <row r="26" spans="2:155" x14ac:dyDescent="0.15">
      <c r="B26" s="1" t="s">
        <v>16</v>
      </c>
      <c r="C26" s="48">
        <f>C25/C27</f>
        <v>-0.24090979024565354</v>
      </c>
      <c r="D26" s="48">
        <f>D25/D27</f>
        <v>-0.39900378069712933</v>
      </c>
      <c r="E26" s="48">
        <f>E25/E27</f>
        <v>-0.31464024589974404</v>
      </c>
      <c r="F26" s="48">
        <f>F25/F27</f>
        <v>-0.64681230846954885</v>
      </c>
      <c r="G26" s="48">
        <f>G25/G27</f>
        <v>-0.97961963506241967</v>
      </c>
      <c r="H26" s="48">
        <f>H25/H27</f>
        <v>2.4994635722494047</v>
      </c>
      <c r="I26" s="31">
        <f t="shared" ref="H26:I26" si="84">I25/I27</f>
        <v>3.7637519816979035</v>
      </c>
      <c r="J26" s="31">
        <f t="shared" ref="J26:M26" si="85">J25/J27</f>
        <v>6.2694551498614395</v>
      </c>
      <c r="K26" s="31">
        <f t="shared" si="85"/>
        <v>10.376900251475991</v>
      </c>
      <c r="L26" s="31">
        <f t="shared" si="85"/>
        <v>16.962266306917794</v>
      </c>
      <c r="M26" s="31">
        <f t="shared" si="85"/>
        <v>27.345612771843022</v>
      </c>
      <c r="N26" s="31">
        <f t="shared" ref="N26:R26" si="86">N25/N27</f>
        <v>34.542391120433557</v>
      </c>
      <c r="O26" s="31">
        <f t="shared" si="86"/>
        <v>43.412506191421812</v>
      </c>
      <c r="P26" s="31">
        <f t="shared" si="86"/>
        <v>54.321825921172575</v>
      </c>
      <c r="Q26" s="31">
        <f t="shared" si="86"/>
        <v>67.713627072129754</v>
      </c>
      <c r="R26" s="31">
        <f t="shared" si="86"/>
        <v>85.37319199726808</v>
      </c>
      <c r="S26" s="31">
        <f t="shared" ref="S26:V26" si="87">S25/S27</f>
        <v>98.856728847524721</v>
      </c>
      <c r="T26" s="31">
        <f t="shared" si="87"/>
        <v>113.88532449202472</v>
      </c>
      <c r="U26" s="31">
        <f t="shared" si="87"/>
        <v>130.62827708963496</v>
      </c>
      <c r="V26" s="31">
        <f t="shared" si="87"/>
        <v>149.27240344729495</v>
      </c>
      <c r="W26" s="31">
        <f t="shared" ref="W26" si="88">W25/W27</f>
        <v>170.0238317482989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</row>
    <row r="27" spans="2:155" x14ac:dyDescent="0.15">
      <c r="B27" s="1" t="s">
        <v>17</v>
      </c>
      <c r="C27" s="30">
        <f>Reports!F20</f>
        <v>77.995999999999995</v>
      </c>
      <c r="D27" s="30">
        <f>Reports!J20</f>
        <v>89.137</v>
      </c>
      <c r="E27" s="30">
        <f>Reports!N20</f>
        <v>99.551790999999994</v>
      </c>
      <c r="F27" s="30">
        <f>Reports!R20</f>
        <v>107.734499</v>
      </c>
      <c r="G27" s="30">
        <f>AVERAGE(Reports!S20:V20)</f>
        <v>113.0122305</v>
      </c>
      <c r="H27" s="30">
        <f>Reports!Z20</f>
        <v>125.454919</v>
      </c>
      <c r="I27" s="30">
        <f t="shared" ref="I27" si="89">H27</f>
        <v>125.454919</v>
      </c>
      <c r="J27" s="30">
        <f t="shared" ref="J27" si="90">I27</f>
        <v>125.454919</v>
      </c>
      <c r="K27" s="30">
        <f t="shared" ref="K27" si="91">J27</f>
        <v>125.454919</v>
      </c>
      <c r="L27" s="30">
        <f t="shared" ref="L27" si="92">K27</f>
        <v>125.454919</v>
      </c>
      <c r="M27" s="30">
        <f t="shared" ref="M27" si="93">L27</f>
        <v>125.454919</v>
      </c>
      <c r="N27" s="30">
        <f t="shared" ref="N27" si="94">M27</f>
        <v>125.454919</v>
      </c>
      <c r="O27" s="30">
        <f t="shared" ref="O27" si="95">N27</f>
        <v>125.454919</v>
      </c>
      <c r="P27" s="30">
        <f t="shared" ref="P27" si="96">O27</f>
        <v>125.454919</v>
      </c>
      <c r="Q27" s="30">
        <f t="shared" ref="Q27" si="97">P27</f>
        <v>125.454919</v>
      </c>
      <c r="R27" s="30">
        <f t="shared" ref="R27:W27" si="98">Q27</f>
        <v>125.454919</v>
      </c>
      <c r="S27" s="30">
        <f t="shared" si="98"/>
        <v>125.454919</v>
      </c>
      <c r="T27" s="30">
        <f t="shared" si="98"/>
        <v>125.454919</v>
      </c>
      <c r="U27" s="30">
        <f t="shared" si="98"/>
        <v>125.454919</v>
      </c>
      <c r="V27" s="30">
        <f t="shared" si="98"/>
        <v>125.454919</v>
      </c>
      <c r="W27" s="30">
        <f t="shared" si="98"/>
        <v>125.454919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</row>
    <row r="28" spans="2:155" x14ac:dyDescent="0.15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</row>
    <row r="29" spans="2:155" x14ac:dyDescent="0.15">
      <c r="B29" s="1" t="s">
        <v>19</v>
      </c>
      <c r="C29" s="36">
        <f t="shared" ref="C29:R29" si="99">IFERROR(C16/C14,0)</f>
        <v>0.54585763498072915</v>
      </c>
      <c r="D29" s="36">
        <f t="shared" si="99"/>
        <v>0.53809107954691393</v>
      </c>
      <c r="E29" s="36">
        <f t="shared" si="99"/>
        <v>0.56475678148354991</v>
      </c>
      <c r="F29" s="36">
        <f t="shared" si="99"/>
        <v>0.55558226622649964</v>
      </c>
      <c r="G29" s="36">
        <f t="shared" si="99"/>
        <v>0.54881272006902837</v>
      </c>
      <c r="H29" s="36">
        <f>IFERROR(H16/H14,0)</f>
        <v>0.52622470122785869</v>
      </c>
      <c r="I29" s="36">
        <f t="shared" si="99"/>
        <v>0.52622470122785869</v>
      </c>
      <c r="J29" s="36">
        <f t="shared" si="99"/>
        <v>0.52622470122785869</v>
      </c>
      <c r="K29" s="36">
        <f t="shared" si="99"/>
        <v>0.52622470122785869</v>
      </c>
      <c r="L29" s="36">
        <f t="shared" si="99"/>
        <v>0.52622470122785869</v>
      </c>
      <c r="M29" s="36">
        <f t="shared" si="99"/>
        <v>0.52622470122785869</v>
      </c>
      <c r="N29" s="36">
        <f t="shared" si="99"/>
        <v>0.52622470122785869</v>
      </c>
      <c r="O29" s="36">
        <f t="shared" si="99"/>
        <v>0.52622470122785869</v>
      </c>
      <c r="P29" s="36">
        <f t="shared" si="99"/>
        <v>0.52622470122785869</v>
      </c>
      <c r="Q29" s="36">
        <f t="shared" si="99"/>
        <v>0.52622470122785869</v>
      </c>
      <c r="R29" s="36">
        <f t="shared" si="99"/>
        <v>0.52622470122785869</v>
      </c>
      <c r="S29" s="36">
        <f t="shared" ref="S29:V29" si="100">IFERROR(S16/S14,0)</f>
        <v>0.52622470122785869</v>
      </c>
      <c r="T29" s="36">
        <f t="shared" si="100"/>
        <v>0.52622470122785869</v>
      </c>
      <c r="U29" s="36">
        <f t="shared" si="100"/>
        <v>0.52622470122785869</v>
      </c>
      <c r="V29" s="36">
        <f t="shared" si="100"/>
        <v>0.52622470122785869</v>
      </c>
      <c r="W29" s="36">
        <f t="shared" ref="W29" si="101">IFERROR(W16/W14,0)</f>
        <v>0.52622470122785869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</row>
    <row r="30" spans="2:155" x14ac:dyDescent="0.15">
      <c r="B30" s="1" t="s">
        <v>20</v>
      </c>
      <c r="C30" s="39">
        <f t="shared" ref="C30:R30" si="102">IFERROR(C21/C14,0)</f>
        <v>-8.6516300984734576E-2</v>
      </c>
      <c r="D30" s="39">
        <f t="shared" si="102"/>
        <v>-9.5458865230010584E-2</v>
      </c>
      <c r="E30" s="39">
        <f t="shared" si="102"/>
        <v>-7.3008626118365436E-2</v>
      </c>
      <c r="F30" s="39">
        <f t="shared" si="102"/>
        <v>-8.564807697145746E-2</v>
      </c>
      <c r="G30" s="39">
        <f t="shared" si="102"/>
        <v>-8.914197311087492E-2</v>
      </c>
      <c r="H30" s="39">
        <f>IFERROR(H21/H14,0)</f>
        <v>3.0916644194040502E-2</v>
      </c>
      <c r="I30" s="39">
        <f t="shared" si="102"/>
        <v>7.2679827405523437E-2</v>
      </c>
      <c r="J30" s="39">
        <f t="shared" si="102"/>
        <v>0.11008777448728566</v>
      </c>
      <c r="K30" s="39">
        <f t="shared" si="102"/>
        <v>0.14364211369040938</v>
      </c>
      <c r="L30" s="39">
        <f t="shared" si="102"/>
        <v>0.17378393868217473</v>
      </c>
      <c r="M30" s="39">
        <f t="shared" si="102"/>
        <v>0.20090131776525841</v>
      </c>
      <c r="N30" s="39">
        <f t="shared" si="102"/>
        <v>0.20989189708746592</v>
      </c>
      <c r="O30" s="39">
        <f t="shared" si="102"/>
        <v>0.2183402658578065</v>
      </c>
      <c r="P30" s="39">
        <f t="shared" si="102"/>
        <v>0.2262829831059506</v>
      </c>
      <c r="Q30" s="39">
        <f t="shared" si="102"/>
        <v>0.23375392065838668</v>
      </c>
      <c r="R30" s="39">
        <f t="shared" si="102"/>
        <v>0.2449748884724462</v>
      </c>
      <c r="S30" s="39">
        <f t="shared" ref="S30:V30" si="103">IFERROR(S21/S14,0)</f>
        <v>0.25342550744413195</v>
      </c>
      <c r="T30" s="39">
        <f t="shared" si="103"/>
        <v>0.26110471622646991</v>
      </c>
      <c r="U30" s="39">
        <f t="shared" si="103"/>
        <v>0.26810039134786395</v>
      </c>
      <c r="V30" s="39">
        <f t="shared" si="103"/>
        <v>0.27448921325421499</v>
      </c>
      <c r="W30" s="39">
        <f t="shared" ref="W30" si="104">IFERROR(W21/W14,0)</f>
        <v>0.28033815727105965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</row>
    <row r="31" spans="2:155" x14ac:dyDescent="0.15">
      <c r="B31" s="1" t="s">
        <v>21</v>
      </c>
      <c r="C31" s="39">
        <f t="shared" ref="C31:R31" si="105">IFERROR(C24/C23,0)</f>
        <v>0</v>
      </c>
      <c r="D31" s="39">
        <f t="shared" si="105"/>
        <v>-5.9680384669777934E-3</v>
      </c>
      <c r="E31" s="39">
        <f t="shared" si="105"/>
        <v>0</v>
      </c>
      <c r="F31" s="39">
        <f t="shared" si="105"/>
        <v>0</v>
      </c>
      <c r="G31" s="39">
        <f t="shared" si="105"/>
        <v>-0.35491806288168964</v>
      </c>
      <c r="H31" s="39">
        <f>IFERROR(H24/H23,0)</f>
        <v>-0.3425097401207351</v>
      </c>
      <c r="I31" s="39">
        <f t="shared" si="105"/>
        <v>0.2</v>
      </c>
      <c r="J31" s="39">
        <f t="shared" si="105"/>
        <v>0.2</v>
      </c>
      <c r="K31" s="39">
        <f t="shared" si="105"/>
        <v>0.2</v>
      </c>
      <c r="L31" s="39">
        <f t="shared" si="105"/>
        <v>0.19999999999999998</v>
      </c>
      <c r="M31" s="39">
        <f t="shared" si="105"/>
        <v>0.2</v>
      </c>
      <c r="N31" s="39">
        <f t="shared" si="105"/>
        <v>0.2</v>
      </c>
      <c r="O31" s="39">
        <f t="shared" si="105"/>
        <v>0.2</v>
      </c>
      <c r="P31" s="39">
        <f t="shared" si="105"/>
        <v>0.2</v>
      </c>
      <c r="Q31" s="39">
        <f t="shared" si="105"/>
        <v>0.19999999999999998</v>
      </c>
      <c r="R31" s="39">
        <f t="shared" si="105"/>
        <v>0.2</v>
      </c>
      <c r="S31" s="39">
        <f t="shared" ref="S31:V31" si="106">IFERROR(S24/S23,0)</f>
        <v>0.2</v>
      </c>
      <c r="T31" s="39">
        <f t="shared" si="106"/>
        <v>0.2</v>
      </c>
      <c r="U31" s="39">
        <f t="shared" si="106"/>
        <v>0.20000000000000004</v>
      </c>
      <c r="V31" s="39">
        <f t="shared" si="106"/>
        <v>0.2</v>
      </c>
      <c r="W31" s="39">
        <f t="shared" ref="W31" si="107">IFERROR(W24/W23,0)</f>
        <v>0.2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</row>
    <row r="32" spans="2:155" x14ac:dyDescent="0.1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</row>
    <row r="33" spans="2:123" x14ac:dyDescent="0.15">
      <c r="B33" s="2" t="s">
        <v>18</v>
      </c>
      <c r="C33" s="60"/>
      <c r="D33" s="61">
        <f t="shared" ref="D33:W33" si="108">D14/C14-1</f>
        <v>0.89701461265975757</v>
      </c>
      <c r="E33" s="61">
        <f t="shared" si="108"/>
        <v>0.72939151876300334</v>
      </c>
      <c r="F33" s="61">
        <f t="shared" si="108"/>
        <v>0.59397389589249383</v>
      </c>
      <c r="G33" s="61">
        <f t="shared" si="108"/>
        <v>0.47077837069255501</v>
      </c>
      <c r="H33" s="61">
        <f t="shared" si="108"/>
        <v>0.85589065950704524</v>
      </c>
      <c r="I33" s="61">
        <f t="shared" si="108"/>
        <v>0.45000000000000018</v>
      </c>
      <c r="J33" s="61">
        <f t="shared" si="108"/>
        <v>0.44999999999999996</v>
      </c>
      <c r="K33" s="61">
        <f t="shared" si="108"/>
        <v>0.45000000000000018</v>
      </c>
      <c r="L33" s="61">
        <f t="shared" si="108"/>
        <v>0.45000000000000018</v>
      </c>
      <c r="M33" s="61">
        <f t="shared" si="108"/>
        <v>0.44999999999999973</v>
      </c>
      <c r="N33" s="61">
        <f t="shared" si="108"/>
        <v>0.19999999999999996</v>
      </c>
      <c r="O33" s="61">
        <f t="shared" si="108"/>
        <v>0.19999999999999996</v>
      </c>
      <c r="P33" s="61">
        <f t="shared" si="108"/>
        <v>0.19999999999999996</v>
      </c>
      <c r="Q33" s="61">
        <f t="shared" si="108"/>
        <v>0.19999999999999996</v>
      </c>
      <c r="R33" s="61">
        <f t="shared" si="108"/>
        <v>0.19999999999999996</v>
      </c>
      <c r="S33" s="61">
        <f t="shared" si="108"/>
        <v>0.10000000000000009</v>
      </c>
      <c r="T33" s="61">
        <f t="shared" si="108"/>
        <v>0.10000000000000009</v>
      </c>
      <c r="U33" s="61">
        <f t="shared" si="108"/>
        <v>0.10000000000000009</v>
      </c>
      <c r="V33" s="61">
        <f t="shared" si="108"/>
        <v>0.10000000000000009</v>
      </c>
      <c r="W33" s="61">
        <f t="shared" si="108"/>
        <v>0.10000000000000009</v>
      </c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</row>
    <row r="34" spans="2:123" x14ac:dyDescent="0.15">
      <c r="B34" s="1" t="s">
        <v>34</v>
      </c>
      <c r="C34" s="60"/>
      <c r="D34" s="39">
        <f t="shared" ref="D34:W34" si="109">D17/C17-1</f>
        <v>0.87140627360153133</v>
      </c>
      <c r="E34" s="39">
        <f t="shared" si="109"/>
        <v>0.82949042186827371</v>
      </c>
      <c r="F34" s="39">
        <f t="shared" si="109"/>
        <v>0.69616976845077461</v>
      </c>
      <c r="G34" s="39">
        <f t="shared" si="109"/>
        <v>0.53896841429896725</v>
      </c>
      <c r="H34" s="39">
        <f t="shared" si="109"/>
        <v>0.55211267605633796</v>
      </c>
      <c r="I34" s="39">
        <f t="shared" si="109"/>
        <v>0.39999999999999991</v>
      </c>
      <c r="J34" s="39">
        <f t="shared" si="109"/>
        <v>0.39999999999999969</v>
      </c>
      <c r="K34" s="39">
        <f t="shared" si="109"/>
        <v>0.39999999999999991</v>
      </c>
      <c r="L34" s="39">
        <f t="shared" si="109"/>
        <v>0.39999999999999991</v>
      </c>
      <c r="M34" s="39">
        <f t="shared" si="109"/>
        <v>0.39999999999999991</v>
      </c>
      <c r="N34" s="39">
        <f t="shared" si="109"/>
        <v>0.19999999999999996</v>
      </c>
      <c r="O34" s="39">
        <f t="shared" si="109"/>
        <v>0.19999999999999996</v>
      </c>
      <c r="P34" s="39">
        <f t="shared" si="109"/>
        <v>0.19999999999999996</v>
      </c>
      <c r="Q34" s="39">
        <f t="shared" si="109"/>
        <v>0.19999999999999996</v>
      </c>
      <c r="R34" s="39">
        <f t="shared" si="109"/>
        <v>0.19999999999999996</v>
      </c>
      <c r="S34" s="39">
        <f t="shared" si="109"/>
        <v>0.10000000000000009</v>
      </c>
      <c r="T34" s="39">
        <f t="shared" si="109"/>
        <v>0.10000000000000009</v>
      </c>
      <c r="U34" s="39">
        <f t="shared" si="109"/>
        <v>0.10000000000000009</v>
      </c>
      <c r="V34" s="39">
        <f t="shared" si="109"/>
        <v>0.10000000000000009</v>
      </c>
      <c r="W34" s="39">
        <f t="shared" si="109"/>
        <v>0.10000000000000009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</row>
    <row r="35" spans="2:123" x14ac:dyDescent="0.15">
      <c r="B35" s="1" t="s">
        <v>35</v>
      </c>
      <c r="C35" s="60"/>
      <c r="D35" s="39">
        <f t="shared" ref="D35:W35" si="110">D18/C18-1</f>
        <v>0.83610424304430619</v>
      </c>
      <c r="E35" s="39">
        <f t="shared" si="110"/>
        <v>0.74666831767455544</v>
      </c>
      <c r="F35" s="39">
        <f t="shared" si="110"/>
        <v>0.55107800827669329</v>
      </c>
      <c r="G35" s="39">
        <f t="shared" si="110"/>
        <v>0.35116219945210791</v>
      </c>
      <c r="H35" s="39">
        <f t="shared" si="110"/>
        <v>0.27484143763213531</v>
      </c>
      <c r="I35" s="39">
        <f t="shared" si="110"/>
        <v>0.30000000000000004</v>
      </c>
      <c r="J35" s="39">
        <f t="shared" si="110"/>
        <v>0.30000000000000004</v>
      </c>
      <c r="K35" s="39">
        <f t="shared" si="110"/>
        <v>0.30000000000000004</v>
      </c>
      <c r="L35" s="39">
        <f t="shared" si="110"/>
        <v>0.30000000000000004</v>
      </c>
      <c r="M35" s="39">
        <f t="shared" si="110"/>
        <v>0.30000000000000004</v>
      </c>
      <c r="N35" s="39">
        <f t="shared" si="110"/>
        <v>0.14999999999999991</v>
      </c>
      <c r="O35" s="39">
        <f t="shared" si="110"/>
        <v>0.14999999999999991</v>
      </c>
      <c r="P35" s="39">
        <f t="shared" si="110"/>
        <v>0.14999999999999991</v>
      </c>
      <c r="Q35" s="39">
        <f t="shared" si="110"/>
        <v>0.14999999999999991</v>
      </c>
      <c r="R35" s="39">
        <f t="shared" si="110"/>
        <v>0.10000000000000009</v>
      </c>
      <c r="S35" s="39">
        <f t="shared" si="110"/>
        <v>5.0000000000000044E-2</v>
      </c>
      <c r="T35" s="39">
        <f t="shared" si="110"/>
        <v>5.0000000000000044E-2</v>
      </c>
      <c r="U35" s="39">
        <f t="shared" si="110"/>
        <v>5.0000000000000044E-2</v>
      </c>
      <c r="V35" s="39">
        <f t="shared" si="110"/>
        <v>5.0000000000000044E-2</v>
      </c>
      <c r="W35" s="39">
        <f t="shared" si="110"/>
        <v>5.0000000000000044E-2</v>
      </c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</row>
    <row r="36" spans="2:123" x14ac:dyDescent="0.15">
      <c r="B36" s="1" t="s">
        <v>36</v>
      </c>
      <c r="C36" s="60"/>
      <c r="D36" s="39">
        <f t="shared" ref="D36:W36" si="111">D19/C19-1</f>
        <v>1.1896586753352296</v>
      </c>
      <c r="E36" s="39">
        <f t="shared" si="111"/>
        <v>0.57084203201113448</v>
      </c>
      <c r="F36" s="39">
        <f t="shared" si="111"/>
        <v>0.58661527783930656</v>
      </c>
      <c r="G36" s="39">
        <f t="shared" si="111"/>
        <v>0.66598414057555533</v>
      </c>
      <c r="H36" s="39">
        <f t="shared" si="111"/>
        <v>0.65921787709497215</v>
      </c>
      <c r="I36" s="39">
        <f t="shared" si="111"/>
        <v>0.25</v>
      </c>
      <c r="J36" s="39">
        <f t="shared" si="111"/>
        <v>0.25</v>
      </c>
      <c r="K36" s="39">
        <f t="shared" si="111"/>
        <v>0.25</v>
      </c>
      <c r="L36" s="39">
        <f t="shared" si="111"/>
        <v>0.25</v>
      </c>
      <c r="M36" s="39">
        <f t="shared" si="111"/>
        <v>0.25</v>
      </c>
      <c r="N36" s="39">
        <f t="shared" si="111"/>
        <v>0.10000000000000009</v>
      </c>
      <c r="O36" s="39">
        <f t="shared" si="111"/>
        <v>0.10000000000000009</v>
      </c>
      <c r="P36" s="39">
        <f t="shared" si="111"/>
        <v>0.10000000000000009</v>
      </c>
      <c r="Q36" s="39">
        <f t="shared" si="111"/>
        <v>0.10000000000000009</v>
      </c>
      <c r="R36" s="39">
        <f t="shared" si="111"/>
        <v>0.10000000000000009</v>
      </c>
      <c r="S36" s="39">
        <f t="shared" si="111"/>
        <v>-5.0000000000000044E-2</v>
      </c>
      <c r="T36" s="39">
        <f t="shared" si="111"/>
        <v>-5.0000000000000044E-2</v>
      </c>
      <c r="U36" s="39">
        <f t="shared" si="111"/>
        <v>-5.0000000000000044E-2</v>
      </c>
      <c r="V36" s="39">
        <f t="shared" si="111"/>
        <v>-5.0000000000000044E-2</v>
      </c>
      <c r="W36" s="39">
        <f t="shared" si="111"/>
        <v>-5.0000000000000044E-2</v>
      </c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</row>
    <row r="37" spans="2:123" s="92" customFormat="1" x14ac:dyDescent="0.15">
      <c r="B37" s="92" t="s">
        <v>113</v>
      </c>
      <c r="C37" s="60"/>
      <c r="D37" s="39">
        <f>D20/C20-1</f>
        <v>0.90054243974603998</v>
      </c>
      <c r="E37" s="39">
        <f t="shared" ref="E37:W37" si="112">E20/D20-1</f>
        <v>0.74089840265953133</v>
      </c>
      <c r="F37" s="39">
        <f t="shared" si="112"/>
        <v>0.60263384644046503</v>
      </c>
      <c r="G37" s="39">
        <f t="shared" si="112"/>
        <v>0.46326507184820387</v>
      </c>
      <c r="H37" s="39">
        <f t="shared" si="112"/>
        <v>0.44091360476663355</v>
      </c>
      <c r="I37" s="39">
        <f t="shared" si="112"/>
        <v>0.32773949000689173</v>
      </c>
      <c r="J37" s="39">
        <f t="shared" si="112"/>
        <v>0.33040538786950746</v>
      </c>
      <c r="K37" s="39">
        <f t="shared" si="112"/>
        <v>0.33308225317658269</v>
      </c>
      <c r="L37" s="39">
        <f t="shared" si="112"/>
        <v>0.33576153839259204</v>
      </c>
      <c r="M37" s="39">
        <f t="shared" si="112"/>
        <v>0.33843458575432317</v>
      </c>
      <c r="N37" s="39">
        <f t="shared" si="112"/>
        <v>0.16683701284605257</v>
      </c>
      <c r="O37" s="39">
        <f t="shared" si="112"/>
        <v>0.16795133988092692</v>
      </c>
      <c r="P37" s="39">
        <f t="shared" si="112"/>
        <v>0.16904273291270111</v>
      </c>
      <c r="Q37" s="39">
        <f t="shared" si="112"/>
        <v>0.17011044305854273</v>
      </c>
      <c r="R37" s="39">
        <f t="shared" si="112"/>
        <v>0.15396066112774287</v>
      </c>
      <c r="S37" s="39">
        <f t="shared" si="112"/>
        <v>6.6948668239867226E-2</v>
      </c>
      <c r="T37" s="39">
        <f t="shared" si="112"/>
        <v>6.9035356947320992E-2</v>
      </c>
      <c r="U37" s="39">
        <f t="shared" si="112"/>
        <v>7.0974490536829471E-2</v>
      </c>
      <c r="V37" s="39">
        <f t="shared" si="112"/>
        <v>7.277395492019556E-2</v>
      </c>
      <c r="W37" s="39">
        <f t="shared" si="112"/>
        <v>7.4442068258557814E-2</v>
      </c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  <c r="CW37" s="103"/>
      <c r="CX37" s="103"/>
      <c r="CY37" s="103"/>
      <c r="CZ37" s="103"/>
      <c r="DA37" s="103"/>
      <c r="DB37" s="103"/>
      <c r="DC37" s="103"/>
      <c r="DD37" s="103"/>
      <c r="DE37" s="103"/>
      <c r="DF37" s="103"/>
      <c r="DG37" s="103"/>
      <c r="DH37" s="103"/>
      <c r="DI37" s="103"/>
      <c r="DJ37" s="103"/>
      <c r="DK37" s="103"/>
      <c r="DL37" s="103"/>
      <c r="DM37" s="103"/>
      <c r="DN37" s="103"/>
      <c r="DO37" s="103"/>
      <c r="DP37" s="103"/>
      <c r="DQ37" s="103"/>
      <c r="DR37" s="103"/>
      <c r="DS37" s="103"/>
    </row>
    <row r="38" spans="2:123" x14ac:dyDescent="0.1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</row>
    <row r="39" spans="2:123" x14ac:dyDescent="0.15">
      <c r="B39" s="2" t="s">
        <v>26</v>
      </c>
      <c r="C39" s="43">
        <f>C40-C41</f>
        <v>190.173</v>
      </c>
      <c r="D39" s="43">
        <f t="shared" ref="D39:H39" si="113">D40-D41</f>
        <v>392.41399999999999</v>
      </c>
      <c r="E39" s="43">
        <f t="shared" si="113"/>
        <v>938.03899999999999</v>
      </c>
      <c r="F39" s="43">
        <f t="shared" si="113"/>
        <v>1969.67</v>
      </c>
      <c r="G39" s="43">
        <f t="shared" si="113"/>
        <v>2455</v>
      </c>
      <c r="H39" s="43">
        <f t="shared" si="113"/>
        <v>5630</v>
      </c>
      <c r="I39" s="29">
        <f t="shared" ref="H39:W39" si="114">H39+I25</f>
        <v>6102.1812</v>
      </c>
      <c r="J39" s="29">
        <f t="shared" si="114"/>
        <v>6888.7151880000001</v>
      </c>
      <c r="K39" s="29">
        <f t="shared" si="114"/>
        <v>8190.5483685199997</v>
      </c>
      <c r="L39" s="29">
        <f t="shared" si="114"/>
        <v>10318.548114110801</v>
      </c>
      <c r="M39" s="29">
        <f t="shared" si="114"/>
        <v>13749.189749407733</v>
      </c>
      <c r="N39" s="29">
        <f t="shared" si="114"/>
        <v>18082.702629488045</v>
      </c>
      <c r="O39" s="29">
        <f t="shared" si="114"/>
        <v>23529.015077319869</v>
      </c>
      <c r="P39" s="29">
        <f t="shared" si="114"/>
        <v>30343.955348192674</v>
      </c>
      <c r="Q39" s="29">
        <f t="shared" si="114"/>
        <v>38838.962947722917</v>
      </c>
      <c r="R39" s="29">
        <f t="shared" si="114"/>
        <v>49549.44983451163</v>
      </c>
      <c r="S39" s="29">
        <f t="shared" si="114"/>
        <v>61951.512744682812</v>
      </c>
      <c r="T39" s="29">
        <f t="shared" si="114"/>
        <v>76238.986904118487</v>
      </c>
      <c r="U39" s="29">
        <f t="shared" si="114"/>
        <v>92626.946825508203</v>
      </c>
      <c r="V39" s="29">
        <f t="shared" si="114"/>
        <v>111353.90410892392</v>
      </c>
      <c r="W39" s="29">
        <f t="shared" si="114"/>
        <v>132684.23014897638</v>
      </c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</row>
    <row r="40" spans="2:123" x14ac:dyDescent="0.15">
      <c r="B40" s="1" t="s">
        <v>27</v>
      </c>
      <c r="C40" s="23">
        <f>Reports!F32</f>
        <v>190.173</v>
      </c>
      <c r="D40" s="23">
        <f>Reports!J32</f>
        <v>392.41399999999999</v>
      </c>
      <c r="E40" s="23">
        <f>Reports!N32</f>
        <v>938.03899999999999</v>
      </c>
      <c r="F40" s="23">
        <f>Reports!R32</f>
        <v>1969.67</v>
      </c>
      <c r="G40" s="23">
        <f>Reports!V32</f>
        <v>2455</v>
      </c>
      <c r="H40" s="23">
        <f>Reports!Z32</f>
        <v>6388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</row>
    <row r="41" spans="2:123" x14ac:dyDescent="0.15">
      <c r="B41" s="1" t="s">
        <v>28</v>
      </c>
      <c r="C41" s="23">
        <f>Reports!F33</f>
        <v>0</v>
      </c>
      <c r="D41" s="23">
        <f>Reports!J33</f>
        <v>0</v>
      </c>
      <c r="E41" s="23">
        <f>Reports!N33</f>
        <v>0</v>
      </c>
      <c r="F41" s="23">
        <f>Reports!R33</f>
        <v>0</v>
      </c>
      <c r="G41" s="23">
        <f>Reports!V33</f>
        <v>0</v>
      </c>
      <c r="H41" s="23">
        <f>Reports!Z33</f>
        <v>758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</row>
    <row r="42" spans="2:123" x14ac:dyDescent="0.15"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</row>
    <row r="43" spans="2:123" x14ac:dyDescent="0.15">
      <c r="B43" s="1" t="s">
        <v>65</v>
      </c>
      <c r="C43" s="23">
        <f>Reports!F35</f>
        <v>8.1989999999999998</v>
      </c>
      <c r="D43" s="23">
        <f>Reports!J35</f>
        <v>21.940999999999999</v>
      </c>
      <c r="E43" s="23">
        <f>Reports!N35</f>
        <v>37.527000000000001</v>
      </c>
      <c r="F43" s="23">
        <f>Reports!R35</f>
        <v>64.090999999999994</v>
      </c>
      <c r="G43" s="23">
        <f>Reports!V35</f>
        <v>479</v>
      </c>
      <c r="H43" s="23">
        <f>Reports!Z35</f>
        <v>448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</row>
    <row r="44" spans="2:123" x14ac:dyDescent="0.15">
      <c r="B44" s="1" t="s">
        <v>66</v>
      </c>
      <c r="C44" s="23">
        <f>Reports!F36</f>
        <v>243.71199999999999</v>
      </c>
      <c r="D44" s="23">
        <f>Reports!J36</f>
        <v>490.55799999999999</v>
      </c>
      <c r="E44" s="23">
        <f>Reports!N36</f>
        <v>1113.5640000000001</v>
      </c>
      <c r="F44" s="23">
        <f>Reports!R36</f>
        <v>2254.7849999999999</v>
      </c>
      <c r="G44" s="23">
        <f>Reports!V36</f>
        <v>3489</v>
      </c>
      <c r="H44" s="23">
        <f>Reports!Z36</f>
        <v>7763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</row>
    <row r="45" spans="2:123" x14ac:dyDescent="0.15">
      <c r="B45" s="1" t="s">
        <v>67</v>
      </c>
      <c r="C45" s="23">
        <f>Reports!F37</f>
        <v>48.395000000000003</v>
      </c>
      <c r="D45" s="23">
        <f>Reports!J37</f>
        <v>80.081999999999994</v>
      </c>
      <c r="E45" s="23">
        <f>Reports!N37</f>
        <v>112.464</v>
      </c>
      <c r="F45" s="23">
        <f>Reports!R37</f>
        <v>164.017</v>
      </c>
      <c r="G45" s="23">
        <f>Reports!V37</f>
        <v>473</v>
      </c>
      <c r="H45" s="23">
        <f>Reports!Z37</f>
        <v>1362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</row>
    <row r="46" spans="2:123" x14ac:dyDescent="0.15"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</row>
    <row r="47" spans="2:123" x14ac:dyDescent="0.15">
      <c r="B47" s="1" t="s">
        <v>68</v>
      </c>
      <c r="C47" s="46">
        <f>C44-C43-C40</f>
        <v>45.339999999999975</v>
      </c>
      <c r="D47" s="46">
        <f t="shared" ref="D47:E47" si="115">D44-D43-D40</f>
        <v>76.203000000000031</v>
      </c>
      <c r="E47" s="46">
        <f t="shared" si="115"/>
        <v>137.99800000000005</v>
      </c>
      <c r="F47" s="46">
        <f t="shared" ref="F47:G47" si="116">F44-F43-F40</f>
        <v>221.02399999999989</v>
      </c>
      <c r="G47" s="46">
        <f t="shared" si="116"/>
        <v>555</v>
      </c>
      <c r="H47" s="46">
        <f t="shared" ref="H47" si="117">H44-H43-H40</f>
        <v>927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</row>
    <row r="48" spans="2:123" x14ac:dyDescent="0.15">
      <c r="B48" s="1" t="s">
        <v>69</v>
      </c>
      <c r="C48" s="46">
        <f>C44-C45</f>
        <v>195.31699999999998</v>
      </c>
      <c r="D48" s="46">
        <f t="shared" ref="D48:E48" si="118">D44-D45</f>
        <v>410.476</v>
      </c>
      <c r="E48" s="46">
        <f t="shared" si="118"/>
        <v>1001.1000000000001</v>
      </c>
      <c r="F48" s="46">
        <f t="shared" ref="F48:G48" si="119">F44-F45</f>
        <v>2090.768</v>
      </c>
      <c r="G48" s="46">
        <f t="shared" si="119"/>
        <v>3016</v>
      </c>
      <c r="H48" s="46">
        <f t="shared" ref="H48" si="120">H44-H45</f>
        <v>6401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</row>
    <row r="49" spans="2:123" x14ac:dyDescent="0.15"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</row>
    <row r="50" spans="2:123" x14ac:dyDescent="0.15">
      <c r="B50" s="42" t="s">
        <v>70</v>
      </c>
      <c r="C50" s="22"/>
      <c r="D50" s="22"/>
      <c r="E50" s="22"/>
      <c r="F50" s="38">
        <f>F25/F48</f>
        <v>-3.3329379443343451E-2</v>
      </c>
      <c r="G50" s="38">
        <f>G25/G48</f>
        <v>-3.6707228116710892E-2</v>
      </c>
      <c r="H50" s="38">
        <f>H25/H48</f>
        <v>4.8987658178409575E-2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</row>
    <row r="51" spans="2:123" x14ac:dyDescent="0.15">
      <c r="B51" s="42" t="s">
        <v>71</v>
      </c>
      <c r="C51" s="22"/>
      <c r="D51" s="22"/>
      <c r="E51" s="22"/>
      <c r="F51" s="38">
        <f>F25/F44</f>
        <v>-3.0904942156347634E-2</v>
      </c>
      <c r="G51" s="38">
        <f>G25/G44</f>
        <v>-3.1730868443680157E-2</v>
      </c>
      <c r="H51" s="38">
        <f>H25/H44</f>
        <v>4.0392889346901932E-2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</row>
    <row r="52" spans="2:123" x14ac:dyDescent="0.15">
      <c r="B52" s="42" t="s">
        <v>72</v>
      </c>
      <c r="C52" s="22"/>
      <c r="D52" s="22"/>
      <c r="E52" s="22"/>
      <c r="F52" s="38">
        <f>F25/(F48-F43)</f>
        <v>-3.4383377321596034E-2</v>
      </c>
      <c r="G52" s="38">
        <f>G25/(G48-G43)</f>
        <v>-4.3637761135199078E-2</v>
      </c>
      <c r="H52" s="38">
        <f>H25/(H48-H43)</f>
        <v>5.2674281874684981E-2</v>
      </c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</row>
    <row r="53" spans="2:123" x14ac:dyDescent="0.15">
      <c r="B53" s="42" t="s">
        <v>73</v>
      </c>
      <c r="C53" s="22"/>
      <c r="D53" s="22"/>
      <c r="E53" s="22"/>
      <c r="F53" s="38">
        <f>F25/F47</f>
        <v>-0.31527797886202552</v>
      </c>
      <c r="G53" s="38">
        <f>G25/G47</f>
        <v>-0.19947567567567578</v>
      </c>
      <c r="H53" s="38">
        <f>H25/H47</f>
        <v>0.33826321467098136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</row>
    <row r="54" spans="2:123" x14ac:dyDescent="0.15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</row>
    <row r="55" spans="2:123" x14ac:dyDescent="0.15">
      <c r="B55" s="1" t="s">
        <v>74</v>
      </c>
      <c r="C55" s="22"/>
      <c r="D55" s="38">
        <f t="shared" ref="D55:H56" si="121">D11/C11-1</f>
        <v>0.68429794872252847</v>
      </c>
      <c r="E55" s="38">
        <f t="shared" si="121"/>
        <v>0.64380242410103605</v>
      </c>
      <c r="F55" s="38">
        <f t="shared" si="121"/>
        <v>0.49983711306288714</v>
      </c>
      <c r="G55" s="38">
        <f t="shared" si="121"/>
        <v>0.38162693872635467</v>
      </c>
      <c r="H55" s="38">
        <f t="shared" si="121"/>
        <v>0.41512426628645582</v>
      </c>
      <c r="I55" s="38"/>
      <c r="J55" s="38"/>
      <c r="K55" s="38"/>
      <c r="L55" s="38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</row>
    <row r="56" spans="2:123" x14ac:dyDescent="0.15">
      <c r="B56" s="1" t="s">
        <v>75</v>
      </c>
      <c r="C56" s="22"/>
      <c r="D56" s="38">
        <f t="shared" si="121"/>
        <v>1.152443862997834</v>
      </c>
      <c r="E56" s="38">
        <f t="shared" si="121"/>
        <v>0.80981347521970481</v>
      </c>
      <c r="F56" s="38">
        <f t="shared" si="121"/>
        <v>0.67431380807271646</v>
      </c>
      <c r="G56" s="38">
        <f t="shared" si="121"/>
        <v>0.53893491474484301</v>
      </c>
      <c r="H56" s="38">
        <f t="shared" si="121"/>
        <v>1.1584135568159604</v>
      </c>
      <c r="I56" s="38"/>
      <c r="J56" s="38"/>
      <c r="K56" s="38"/>
      <c r="L56" s="38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</row>
    <row r="58" spans="2:123" s="7" customFormat="1" x14ac:dyDescent="0.15">
      <c r="B58" s="81" t="s">
        <v>99</v>
      </c>
      <c r="E58" s="7">
        <f>Reports!N54</f>
        <v>29.9</v>
      </c>
      <c r="F58" s="7">
        <f>Reports!R54</f>
        <v>40.9</v>
      </c>
      <c r="G58" s="7">
        <f>Reports!V54</f>
        <v>53.9</v>
      </c>
      <c r="H58" s="7">
        <f>Reports!Z54</f>
        <v>82.6</v>
      </c>
    </row>
    <row r="59" spans="2:123" s="7" customFormat="1" x14ac:dyDescent="0.15">
      <c r="B59" s="81" t="s">
        <v>100</v>
      </c>
      <c r="E59" s="7">
        <f>SUM(Reports!K55:N55)</f>
        <v>26249.171000000002</v>
      </c>
      <c r="F59" s="7">
        <f>SUM(Reports!O55:R55)</f>
        <v>41082.679000000004</v>
      </c>
      <c r="G59" s="7">
        <f>SUM(Reports!S55:V55)</f>
        <v>61107.131000000001</v>
      </c>
      <c r="H59" s="7">
        <f>SUM(Reports!W55:Z55)</f>
        <v>119537.87299999999</v>
      </c>
      <c r="I59" s="7">
        <f>H59*1.45</f>
        <v>173329.91584999999</v>
      </c>
      <c r="J59" s="7">
        <f t="shared" ref="J59:M59" si="122">I59*1.45</f>
        <v>251328.37798249998</v>
      </c>
      <c r="K59" s="7">
        <f t="shared" si="122"/>
        <v>364426.14807462494</v>
      </c>
      <c r="L59" s="7">
        <f t="shared" si="122"/>
        <v>528417.9147082062</v>
      </c>
      <c r="M59" s="7">
        <f t="shared" si="122"/>
        <v>766205.9763268989</v>
      </c>
    </row>
    <row r="61" spans="2:123" s="20" customFormat="1" x14ac:dyDescent="0.15">
      <c r="B61" s="93" t="s">
        <v>101</v>
      </c>
      <c r="F61" s="20">
        <f>F58/E58-1</f>
        <v>0.36789297658862874</v>
      </c>
      <c r="G61" s="20">
        <f>G58/F58-1</f>
        <v>0.31784841075794623</v>
      </c>
      <c r="H61" s="20">
        <f>H58/G58-1</f>
        <v>0.53246753246753231</v>
      </c>
    </row>
    <row r="62" spans="2:123" x14ac:dyDescent="0.15">
      <c r="B62" s="92" t="s">
        <v>102</v>
      </c>
      <c r="F62" s="20">
        <f>F59/E59-1</f>
        <v>0.56510386556588776</v>
      </c>
      <c r="G62" s="20">
        <f>G59/F59-1</f>
        <v>0.48741835945021972</v>
      </c>
      <c r="H62" s="20">
        <f>H59/G59-1</f>
        <v>0.956201691092321</v>
      </c>
      <c r="I62" s="20">
        <f t="shared" ref="I62:M62" si="123">I59/H59-1</f>
        <v>0.44999999999999996</v>
      </c>
      <c r="J62" s="20">
        <f t="shared" si="123"/>
        <v>0.44999999999999996</v>
      </c>
      <c r="K62" s="20">
        <f t="shared" si="123"/>
        <v>0.44999999999999996</v>
      </c>
      <c r="L62" s="20">
        <f t="shared" si="123"/>
        <v>0.45000000000000018</v>
      </c>
      <c r="M62" s="20">
        <f t="shared" si="123"/>
        <v>0.44999999999999996</v>
      </c>
    </row>
    <row r="64" spans="2:123" x14ac:dyDescent="0.15">
      <c r="B64" s="92" t="s">
        <v>103</v>
      </c>
      <c r="E64" s="20">
        <f>E14/E59</f>
        <v>2.565048625726123E-2</v>
      </c>
      <c r="F64" s="20">
        <f>F14/F59</f>
        <v>2.6123637165920938E-2</v>
      </c>
      <c r="G64" s="20">
        <f>G14/G59</f>
        <v>2.5831387829351699E-2</v>
      </c>
      <c r="H64" s="20">
        <f>H14/H59</f>
        <v>2.4506793758995529E-2</v>
      </c>
      <c r="I64" s="20">
        <f t="shared" ref="I64:M64" si="124">I14/I59</f>
        <v>2.4506793758995532E-2</v>
      </c>
      <c r="J64" s="20">
        <f t="shared" si="124"/>
        <v>2.4506793758995532E-2</v>
      </c>
      <c r="K64" s="20">
        <f t="shared" si="124"/>
        <v>2.4506793758995535E-2</v>
      </c>
      <c r="L64" s="20">
        <f t="shared" si="124"/>
        <v>2.4506793758995535E-2</v>
      </c>
      <c r="M64" s="20">
        <f t="shared" si="124"/>
        <v>2.4506793758995535E-2</v>
      </c>
    </row>
  </sheetData>
  <phoneticPr fontId="4" type="noConversion"/>
  <hyperlinks>
    <hyperlink ref="A1" r:id="rId1" display="Investor Relations" xr:uid="{00000000-0004-0000-0000-000000000000}"/>
    <hyperlink ref="B3" r:id="rId2" xr:uid="{00000000-0004-0000-0000-000001000000}"/>
    <hyperlink ref="B6" r:id="rId3" xr:uid="{00000000-0004-0000-0000-000002000000}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0"/>
  <sheetViews>
    <sheetView tabSelected="1" zoomScale="130" zoomScaleNormal="130" workbookViewId="0">
      <pane xSplit="2" ySplit="3" topLeftCell="R4" activePane="bottomRight" state="frozen"/>
      <selection pane="topRight" activeCell="B1" sqref="B1"/>
      <selection pane="bottomLeft" activeCell="A3" sqref="A3"/>
      <selection pane="bottomRight" activeCell="AB15" sqref="AB15"/>
    </sheetView>
  </sheetViews>
  <sheetFormatPr baseColWidth="10" defaultRowHeight="13" x14ac:dyDescent="0.15"/>
  <cols>
    <col min="1" max="1" width="7.1640625" style="1" bestFit="1" customWidth="1"/>
    <col min="2" max="2" width="19.5" style="24" customWidth="1"/>
    <col min="3" max="6" width="10.83203125" style="22" customWidth="1"/>
    <col min="7" max="7" width="10.83203125" style="26" customWidth="1"/>
    <col min="8" max="9" width="10.83203125" style="22" customWidth="1"/>
    <col min="10" max="10" width="10.83203125" style="22"/>
    <col min="11" max="11" width="10.83203125" style="26"/>
    <col min="12" max="12" width="10.83203125" style="22" customWidth="1"/>
    <col min="13" max="14" width="10.83203125" style="22"/>
    <col min="15" max="15" width="10.83203125" style="26"/>
    <col min="16" max="17" width="10.83203125" style="22"/>
    <col min="18" max="18" width="10.83203125" style="51"/>
    <col min="19" max="19" width="10.83203125" style="26"/>
    <col min="20" max="22" width="10.83203125" style="22"/>
    <col min="23" max="23" width="10.83203125" style="26"/>
    <col min="24" max="16384" width="10.83203125" style="22"/>
  </cols>
  <sheetData>
    <row r="1" spans="1:30" x14ac:dyDescent="0.15">
      <c r="A1" s="21" t="s">
        <v>62</v>
      </c>
    </row>
    <row r="2" spans="1:30" x14ac:dyDescent="0.15">
      <c r="A2" s="22"/>
      <c r="B2" s="22"/>
      <c r="C2" s="22" t="s">
        <v>47</v>
      </c>
      <c r="D2" s="22" t="s">
        <v>48</v>
      </c>
      <c r="E2" s="22" t="s">
        <v>49</v>
      </c>
      <c r="F2" s="22" t="s">
        <v>50</v>
      </c>
      <c r="G2" s="26" t="s">
        <v>22</v>
      </c>
      <c r="H2" s="22" t="s">
        <v>23</v>
      </c>
      <c r="I2" s="22" t="s">
        <v>24</v>
      </c>
      <c r="J2" s="22" t="s">
        <v>25</v>
      </c>
      <c r="K2" s="25" t="s">
        <v>0</v>
      </c>
      <c r="L2" s="23" t="s">
        <v>1</v>
      </c>
      <c r="M2" s="23" t="s">
        <v>2</v>
      </c>
      <c r="N2" s="23" t="s">
        <v>3</v>
      </c>
      <c r="O2" s="26" t="s">
        <v>76</v>
      </c>
      <c r="P2" s="22" t="s">
        <v>77</v>
      </c>
      <c r="Q2" s="22" t="s">
        <v>56</v>
      </c>
      <c r="R2" s="51" t="s">
        <v>78</v>
      </c>
      <c r="S2" s="26" t="s">
        <v>83</v>
      </c>
      <c r="T2" s="22" t="s">
        <v>84</v>
      </c>
      <c r="U2" s="22" t="s">
        <v>85</v>
      </c>
      <c r="V2" s="22" t="s">
        <v>86</v>
      </c>
      <c r="W2" s="26" t="s">
        <v>87</v>
      </c>
      <c r="X2" s="22" t="s">
        <v>88</v>
      </c>
      <c r="Y2" s="22" t="s">
        <v>89</v>
      </c>
      <c r="Z2" s="22" t="s">
        <v>90</v>
      </c>
      <c r="AA2" s="22" t="s">
        <v>106</v>
      </c>
      <c r="AB2" s="22" t="s">
        <v>107</v>
      </c>
      <c r="AC2" s="22" t="s">
        <v>108</v>
      </c>
      <c r="AD2" s="22" t="s">
        <v>109</v>
      </c>
    </row>
    <row r="3" spans="1:30" x14ac:dyDescent="0.15">
      <c r="A3" s="22"/>
      <c r="B3" s="21"/>
      <c r="C3" s="22" t="s">
        <v>52</v>
      </c>
      <c r="D3" s="22" t="s">
        <v>51</v>
      </c>
      <c r="E3" s="22" t="s">
        <v>46</v>
      </c>
      <c r="F3" s="22" t="s">
        <v>45</v>
      </c>
      <c r="G3" s="26" t="s">
        <v>44</v>
      </c>
      <c r="H3" s="22" t="s">
        <v>43</v>
      </c>
      <c r="I3" s="22" t="s">
        <v>40</v>
      </c>
      <c r="J3" s="22" t="s">
        <v>38</v>
      </c>
      <c r="K3" s="26" t="s">
        <v>42</v>
      </c>
      <c r="L3" s="22" t="s">
        <v>39</v>
      </c>
      <c r="M3" s="22" t="s">
        <v>41</v>
      </c>
      <c r="N3" s="22" t="s">
        <v>37</v>
      </c>
      <c r="O3" s="26" t="s">
        <v>79</v>
      </c>
      <c r="P3" s="22" t="s">
        <v>80</v>
      </c>
      <c r="Q3" s="22" t="s">
        <v>81</v>
      </c>
      <c r="R3" s="51" t="s">
        <v>82</v>
      </c>
      <c r="S3" s="75" t="s">
        <v>94</v>
      </c>
      <c r="T3" s="89">
        <v>43646</v>
      </c>
      <c r="U3" s="87">
        <v>43738</v>
      </c>
      <c r="V3" s="87">
        <v>43830</v>
      </c>
      <c r="W3" s="88">
        <v>43861</v>
      </c>
      <c r="X3" s="87">
        <v>44012</v>
      </c>
      <c r="Y3" s="87">
        <v>44104</v>
      </c>
      <c r="Z3" s="87">
        <v>44196</v>
      </c>
    </row>
    <row r="4" spans="1:30" s="23" customFormat="1" x14ac:dyDescent="0.15">
      <c r="A4" s="7"/>
      <c r="B4" s="74" t="s">
        <v>63</v>
      </c>
      <c r="C4" s="23">
        <v>22.352</v>
      </c>
      <c r="D4" s="23">
        <v>25.459</v>
      </c>
      <c r="E4" s="23">
        <v>29.56</v>
      </c>
      <c r="F4" s="23">
        <v>34.607999999999997</v>
      </c>
      <c r="G4" s="25">
        <v>38.706000000000003</v>
      </c>
      <c r="H4" s="23">
        <v>43.673999999999999</v>
      </c>
      <c r="I4" s="23">
        <v>49.838999999999999</v>
      </c>
      <c r="J4" s="23">
        <v>56.387</v>
      </c>
      <c r="K4" s="25">
        <v>62.08</v>
      </c>
      <c r="L4" s="23">
        <v>71.597999999999999</v>
      </c>
      <c r="M4" s="23">
        <v>82.435000000000002</v>
      </c>
      <c r="N4" s="23">
        <v>93.918000000000006</v>
      </c>
      <c r="O4" s="25">
        <v>100.19799999999999</v>
      </c>
      <c r="P4" s="30">
        <v>110.721</v>
      </c>
      <c r="Q4" s="30">
        <v>120.517</v>
      </c>
      <c r="R4" s="53">
        <v>133.56</v>
      </c>
      <c r="S4" s="25">
        <v>140.45099999999999</v>
      </c>
      <c r="T4" s="23">
        <v>153</v>
      </c>
      <c r="U4" s="23">
        <v>166</v>
      </c>
      <c r="V4" s="23">
        <v>183</v>
      </c>
      <c r="W4" s="25">
        <v>188</v>
      </c>
      <c r="X4" s="23">
        <v>196.434</v>
      </c>
      <c r="Y4" s="23">
        <v>245.274</v>
      </c>
      <c r="Z4" s="23">
        <v>279.44</v>
      </c>
    </row>
    <row r="5" spans="1:30" s="23" customFormat="1" x14ac:dyDescent="0.15">
      <c r="A5" s="7"/>
      <c r="B5" s="63" t="s">
        <v>64</v>
      </c>
      <c r="C5" s="23">
        <v>14.996</v>
      </c>
      <c r="D5" s="23">
        <v>19.466999999999999</v>
      </c>
      <c r="E5" s="23">
        <v>23.225999999999999</v>
      </c>
      <c r="F5" s="23">
        <v>35.564999999999998</v>
      </c>
      <c r="G5" s="25">
        <v>34.015999999999998</v>
      </c>
      <c r="H5" s="23">
        <v>42.972999999999999</v>
      </c>
      <c r="I5" s="23">
        <v>49.738999999999997</v>
      </c>
      <c r="J5" s="23">
        <v>73.995999999999995</v>
      </c>
      <c r="K5" s="25">
        <v>65.299000000000007</v>
      </c>
      <c r="L5" s="23">
        <v>80.057000000000002</v>
      </c>
      <c r="M5" s="23">
        <v>89.021000000000001</v>
      </c>
      <c r="N5" s="23">
        <v>128.89599999999999</v>
      </c>
      <c r="O5" s="25">
        <v>114.142</v>
      </c>
      <c r="P5" s="30">
        <v>134.24199999999999</v>
      </c>
      <c r="Q5" s="30">
        <v>149.547</v>
      </c>
      <c r="R5" s="53">
        <v>210.30199999999999</v>
      </c>
      <c r="S5" s="25">
        <v>180.03100000000001</v>
      </c>
      <c r="T5" s="23">
        <v>209</v>
      </c>
      <c r="U5" s="23">
        <v>225</v>
      </c>
      <c r="V5" s="23">
        <v>322</v>
      </c>
      <c r="W5" s="25">
        <v>282</v>
      </c>
      <c r="X5" s="23">
        <v>517.90700000000004</v>
      </c>
      <c r="Y5" s="23">
        <v>522.13099999999997</v>
      </c>
      <c r="Z5" s="23">
        <v>698.30399999999997</v>
      </c>
    </row>
    <row r="6" spans="1:30" s="83" customFormat="1" x14ac:dyDescent="0.15">
      <c r="G6" s="84"/>
      <c r="K6" s="84"/>
      <c r="L6" s="85"/>
      <c r="M6" s="85"/>
      <c r="N6" s="85"/>
      <c r="O6" s="84"/>
      <c r="P6" s="85"/>
      <c r="Q6" s="85"/>
      <c r="R6" s="86"/>
      <c r="S6" s="84">
        <v>305</v>
      </c>
      <c r="T6" s="83">
        <v>345</v>
      </c>
      <c r="U6" s="83">
        <v>377</v>
      </c>
      <c r="V6" s="83">
        <v>472</v>
      </c>
      <c r="W6" s="84">
        <v>440</v>
      </c>
    </row>
    <row r="7" spans="1:30" s="72" customFormat="1" x14ac:dyDescent="0.15">
      <c r="A7" s="65"/>
      <c r="B7" s="64" t="s">
        <v>4</v>
      </c>
      <c r="C7" s="43">
        <f t="shared" ref="C7:W7" si="0">SUM(C4:C5)</f>
        <v>37.347999999999999</v>
      </c>
      <c r="D7" s="43">
        <f t="shared" si="0"/>
        <v>44.926000000000002</v>
      </c>
      <c r="E7" s="43">
        <f t="shared" si="0"/>
        <v>52.786000000000001</v>
      </c>
      <c r="F7" s="43">
        <f t="shared" si="0"/>
        <v>70.173000000000002</v>
      </c>
      <c r="G7" s="47">
        <f t="shared" si="0"/>
        <v>72.722000000000008</v>
      </c>
      <c r="H7" s="43">
        <f t="shared" si="0"/>
        <v>86.646999999999991</v>
      </c>
      <c r="I7" s="43">
        <f t="shared" si="0"/>
        <v>99.578000000000003</v>
      </c>
      <c r="J7" s="43">
        <f t="shared" si="0"/>
        <v>130.38299999999998</v>
      </c>
      <c r="K7" s="47">
        <f t="shared" si="0"/>
        <v>127.379</v>
      </c>
      <c r="L7" s="43">
        <f t="shared" si="0"/>
        <v>151.655</v>
      </c>
      <c r="M7" s="43">
        <f t="shared" si="0"/>
        <v>171.45600000000002</v>
      </c>
      <c r="N7" s="43">
        <f t="shared" si="0"/>
        <v>222.81399999999999</v>
      </c>
      <c r="O7" s="47">
        <f t="shared" si="0"/>
        <v>214.33999999999997</v>
      </c>
      <c r="P7" s="43">
        <f t="shared" si="0"/>
        <v>244.96299999999999</v>
      </c>
      <c r="Q7" s="43">
        <f t="shared" si="0"/>
        <v>270.06399999999996</v>
      </c>
      <c r="R7" s="43">
        <f t="shared" si="0"/>
        <v>343.86199999999997</v>
      </c>
      <c r="S7" s="47">
        <f t="shared" si="0"/>
        <v>320.48199999999997</v>
      </c>
      <c r="T7" s="43">
        <f t="shared" si="0"/>
        <v>362</v>
      </c>
      <c r="U7" s="43">
        <f t="shared" si="0"/>
        <v>391</v>
      </c>
      <c r="V7" s="43">
        <f t="shared" si="0"/>
        <v>505</v>
      </c>
      <c r="W7" s="47">
        <f t="shared" si="0"/>
        <v>470</v>
      </c>
      <c r="X7" s="43">
        <f>SUM(X4:X5)</f>
        <v>714.34100000000001</v>
      </c>
      <c r="Y7" s="43">
        <f>SUM(Y4:Y5)</f>
        <v>767.40499999999997</v>
      </c>
      <c r="Z7" s="43">
        <f>SUM(Z4:Z5)</f>
        <v>977.74399999999991</v>
      </c>
    </row>
    <row r="8" spans="1:30" s="23" customFormat="1" x14ac:dyDescent="0.15">
      <c r="A8" s="7"/>
      <c r="B8" s="63" t="s">
        <v>5</v>
      </c>
      <c r="C8" s="30">
        <f>5.033+10.749</f>
        <v>15.782</v>
      </c>
      <c r="D8" s="30">
        <f>5.422+14.252</f>
        <v>19.673999999999999</v>
      </c>
      <c r="E8" s="30">
        <f>6.414+17.629</f>
        <v>24.042999999999999</v>
      </c>
      <c r="F8" s="30">
        <f>7.662+26.044</f>
        <v>33.706000000000003</v>
      </c>
      <c r="G8" s="25">
        <f>8.232+24.405</f>
        <v>32.637</v>
      </c>
      <c r="H8" s="23">
        <f>9.098+30.026</f>
        <v>39.124000000000002</v>
      </c>
      <c r="I8" s="23">
        <f>10.555+35.271</f>
        <v>45.826000000000001</v>
      </c>
      <c r="J8" s="23">
        <f>11.593+50.655</f>
        <v>62.248000000000005</v>
      </c>
      <c r="K8" s="25">
        <f>12.254+42.884</f>
        <v>55.137999999999998</v>
      </c>
      <c r="L8" s="30">
        <f>13.688+51.127</f>
        <v>64.814999999999998</v>
      </c>
      <c r="M8" s="30">
        <f>15.458+55.971</f>
        <v>71.429000000000002</v>
      </c>
      <c r="N8" s="30">
        <v>101.669</v>
      </c>
      <c r="O8" s="25">
        <f>23.16+67.338</f>
        <v>90.49799999999999</v>
      </c>
      <c r="P8" s="30">
        <f>24.524+83.484</f>
        <v>108.008</v>
      </c>
      <c r="Q8" s="30">
        <f>26.6+93.737</f>
        <v>120.33699999999999</v>
      </c>
      <c r="R8" s="53">
        <v>158.119</v>
      </c>
      <c r="S8" s="25">
        <v>140.191</v>
      </c>
      <c r="T8" s="23">
        <v>157</v>
      </c>
      <c r="U8" s="23">
        <v>174</v>
      </c>
      <c r="V8" s="23">
        <v>241</v>
      </c>
      <c r="W8" s="25">
        <v>213</v>
      </c>
      <c r="X8" s="23">
        <v>339.30700000000002</v>
      </c>
      <c r="Y8" s="23">
        <v>362.25700000000001</v>
      </c>
      <c r="Z8" s="23">
        <v>473.35599999999999</v>
      </c>
    </row>
    <row r="9" spans="1:30" s="23" customFormat="1" x14ac:dyDescent="0.15">
      <c r="A9" s="7"/>
      <c r="B9" s="63" t="s">
        <v>6</v>
      </c>
      <c r="C9" s="44">
        <f>C7-C8</f>
        <v>21.565999999999999</v>
      </c>
      <c r="D9" s="44">
        <f>D7-D8</f>
        <v>25.252000000000002</v>
      </c>
      <c r="E9" s="44">
        <f>E7-E8</f>
        <v>28.743000000000002</v>
      </c>
      <c r="F9" s="44">
        <f>F7-F8</f>
        <v>36.466999999999999</v>
      </c>
      <c r="G9" s="45">
        <f>G7-G8</f>
        <v>40.085000000000008</v>
      </c>
      <c r="H9" s="46">
        <f t="shared" ref="H9:M9" si="1">H7-H8</f>
        <v>47.522999999999989</v>
      </c>
      <c r="I9" s="46">
        <f t="shared" si="1"/>
        <v>53.752000000000002</v>
      </c>
      <c r="J9" s="46">
        <f t="shared" si="1"/>
        <v>68.134999999999977</v>
      </c>
      <c r="K9" s="45">
        <f t="shared" si="1"/>
        <v>72.241000000000014</v>
      </c>
      <c r="L9" s="44">
        <f t="shared" si="1"/>
        <v>86.84</v>
      </c>
      <c r="M9" s="44">
        <f t="shared" si="1"/>
        <v>100.02700000000002</v>
      </c>
      <c r="N9" s="44">
        <f t="shared" ref="N9:O9" si="2">N7-N8</f>
        <v>121.145</v>
      </c>
      <c r="O9" s="45">
        <f t="shared" si="2"/>
        <v>123.84199999999998</v>
      </c>
      <c r="P9" s="44">
        <f t="shared" ref="P9:Z9" si="3">P7-P8</f>
        <v>136.95499999999998</v>
      </c>
      <c r="Q9" s="44">
        <f t="shared" si="3"/>
        <v>149.72699999999998</v>
      </c>
      <c r="R9" s="44">
        <f t="shared" si="3"/>
        <v>185.74299999999997</v>
      </c>
      <c r="S9" s="45">
        <f t="shared" si="3"/>
        <v>180.29099999999997</v>
      </c>
      <c r="T9" s="44">
        <f t="shared" si="3"/>
        <v>205</v>
      </c>
      <c r="U9" s="44">
        <f t="shared" si="3"/>
        <v>217</v>
      </c>
      <c r="V9" s="44">
        <f t="shared" si="3"/>
        <v>264</v>
      </c>
      <c r="W9" s="45">
        <f t="shared" si="3"/>
        <v>257</v>
      </c>
      <c r="X9" s="44">
        <f t="shared" si="3"/>
        <v>375.03399999999999</v>
      </c>
      <c r="Y9" s="44">
        <f t="shared" si="3"/>
        <v>405.14799999999997</v>
      </c>
      <c r="Z9" s="44">
        <f t="shared" si="3"/>
        <v>504.38799999999992</v>
      </c>
    </row>
    <row r="10" spans="1:30" s="23" customFormat="1" x14ac:dyDescent="0.15">
      <c r="A10" s="7"/>
      <c r="B10" s="63" t="s">
        <v>7</v>
      </c>
      <c r="C10" s="30">
        <v>7.3129999999999997</v>
      </c>
      <c r="D10" s="30">
        <v>8.8000000000000007</v>
      </c>
      <c r="E10" s="30">
        <v>10.068</v>
      </c>
      <c r="F10" s="30">
        <v>13.541</v>
      </c>
      <c r="G10" s="25">
        <v>13.67</v>
      </c>
      <c r="H10" s="23">
        <v>16.731999999999999</v>
      </c>
      <c r="I10" s="23">
        <v>19.462</v>
      </c>
      <c r="J10" s="23">
        <v>24.472000000000001</v>
      </c>
      <c r="K10" s="25">
        <v>26.594000000000001</v>
      </c>
      <c r="L10" s="30">
        <v>32.713999999999999</v>
      </c>
      <c r="M10" s="30">
        <v>36.35</v>
      </c>
      <c r="N10" s="30">
        <v>40.338999999999999</v>
      </c>
      <c r="O10" s="25">
        <v>47.716000000000001</v>
      </c>
      <c r="P10" s="30">
        <v>54.305</v>
      </c>
      <c r="Q10" s="30">
        <v>61.628999999999998</v>
      </c>
      <c r="R10" s="53">
        <v>67.024000000000001</v>
      </c>
      <c r="S10" s="25">
        <v>76</v>
      </c>
      <c r="T10" s="23">
        <v>86</v>
      </c>
      <c r="U10" s="23">
        <v>90</v>
      </c>
      <c r="V10" s="23">
        <v>103</v>
      </c>
      <c r="W10" s="25">
        <v>116</v>
      </c>
      <c r="X10" s="23">
        <v>133</v>
      </c>
      <c r="Y10" s="23">
        <v>143</v>
      </c>
      <c r="Z10" s="23">
        <v>159</v>
      </c>
    </row>
    <row r="11" spans="1:30" s="23" customFormat="1" x14ac:dyDescent="0.15">
      <c r="A11" s="7"/>
      <c r="B11" s="63" t="s">
        <v>8</v>
      </c>
      <c r="C11" s="30">
        <v>13.54</v>
      </c>
      <c r="D11" s="30">
        <v>16.091000000000001</v>
      </c>
      <c r="E11" s="30">
        <v>18.216000000000001</v>
      </c>
      <c r="F11" s="30">
        <v>22.527000000000001</v>
      </c>
      <c r="G11" s="25">
        <v>28.007999999999999</v>
      </c>
      <c r="H11" s="23">
        <v>29.413</v>
      </c>
      <c r="I11" s="23">
        <v>32.777000000000001</v>
      </c>
      <c r="J11" s="23">
        <v>39.015999999999998</v>
      </c>
      <c r="K11" s="25">
        <v>45.334000000000003</v>
      </c>
      <c r="L11" s="30">
        <v>54.872</v>
      </c>
      <c r="M11" s="30">
        <v>58.314</v>
      </c>
      <c r="N11" s="30">
        <v>67.174000000000007</v>
      </c>
      <c r="O11" s="25">
        <v>75.784000000000006</v>
      </c>
      <c r="P11" s="30">
        <v>87.486999999999995</v>
      </c>
      <c r="Q11" s="30">
        <v>91.635000000000005</v>
      </c>
      <c r="R11" s="53">
        <v>95.162999999999997</v>
      </c>
      <c r="S11" s="25">
        <v>105</v>
      </c>
      <c r="T11" s="23">
        <v>119</v>
      </c>
      <c r="U11" s="23">
        <v>117</v>
      </c>
      <c r="V11" s="23">
        <v>132</v>
      </c>
      <c r="W11" s="25">
        <v>155</v>
      </c>
      <c r="X11" s="23">
        <v>145</v>
      </c>
      <c r="Y11" s="23">
        <v>148</v>
      </c>
      <c r="Z11" s="23">
        <v>155</v>
      </c>
    </row>
    <row r="12" spans="1:30" s="23" customFormat="1" x14ac:dyDescent="0.15">
      <c r="A12" s="7"/>
      <c r="B12" s="63" t="s">
        <v>9</v>
      </c>
      <c r="C12" s="30">
        <v>4.1890000000000001</v>
      </c>
      <c r="D12" s="30">
        <v>3.8220000000000001</v>
      </c>
      <c r="E12" s="30">
        <v>4.7590000000000003</v>
      </c>
      <c r="F12" s="30">
        <v>6.9180000000000001</v>
      </c>
      <c r="G12" s="25">
        <v>8.1189999999999998</v>
      </c>
      <c r="H12" s="23">
        <v>10.037000000000001</v>
      </c>
      <c r="I12" s="23">
        <v>11.002000000000001</v>
      </c>
      <c r="J12" s="23">
        <v>13.952</v>
      </c>
      <c r="K12" s="25">
        <v>14.773999999999999</v>
      </c>
      <c r="L12" s="30">
        <v>15.161</v>
      </c>
      <c r="M12" s="30">
        <v>18.039000000000001</v>
      </c>
      <c r="N12" s="30">
        <v>19.745000000000001</v>
      </c>
      <c r="O12" s="25">
        <v>20.675000000000001</v>
      </c>
      <c r="P12" s="30">
        <v>25.923999999999999</v>
      </c>
      <c r="Q12" s="30">
        <v>27.831</v>
      </c>
      <c r="R12" s="53">
        <v>33.014000000000003</v>
      </c>
      <c r="S12" s="25">
        <v>35</v>
      </c>
      <c r="T12" s="23">
        <v>40</v>
      </c>
      <c r="U12" s="23">
        <v>45</v>
      </c>
      <c r="V12" s="23">
        <v>59</v>
      </c>
      <c r="W12" s="25">
        <f>45+14</f>
        <v>59</v>
      </c>
      <c r="X12" s="23">
        <f>83+13</f>
        <v>96</v>
      </c>
      <c r="Y12" s="23">
        <f>52+12</f>
        <v>64</v>
      </c>
      <c r="Z12" s="23">
        <f>65+13</f>
        <v>78</v>
      </c>
    </row>
    <row r="13" spans="1:30" s="23" customFormat="1" x14ac:dyDescent="0.15">
      <c r="A13" s="7"/>
      <c r="B13" s="63" t="s">
        <v>10</v>
      </c>
      <c r="C13" s="44">
        <f>SUM(C10:C12)</f>
        <v>25.041999999999998</v>
      </c>
      <c r="D13" s="44">
        <f>SUM(D10:D12)</f>
        <v>28.713000000000001</v>
      </c>
      <c r="E13" s="44">
        <f>SUM(E10:E12)</f>
        <v>33.042999999999999</v>
      </c>
      <c r="F13" s="44">
        <f>SUM(F10:F12)</f>
        <v>42.985999999999997</v>
      </c>
      <c r="G13" s="45">
        <f>SUM(G10:G12)</f>
        <v>49.796999999999997</v>
      </c>
      <c r="H13" s="46">
        <f t="shared" ref="H13:M13" si="4">SUM(H10:H12)</f>
        <v>56.181999999999995</v>
      </c>
      <c r="I13" s="46">
        <f t="shared" si="4"/>
        <v>63.241000000000007</v>
      </c>
      <c r="J13" s="46">
        <f t="shared" si="4"/>
        <v>77.44</v>
      </c>
      <c r="K13" s="45">
        <f t="shared" si="4"/>
        <v>86.701999999999998</v>
      </c>
      <c r="L13" s="44">
        <f t="shared" si="4"/>
        <v>102.747</v>
      </c>
      <c r="M13" s="44">
        <f t="shared" si="4"/>
        <v>112.703</v>
      </c>
      <c r="N13" s="44">
        <f t="shared" ref="N13:O13" si="5">SUM(N10:N12)</f>
        <v>127.25800000000001</v>
      </c>
      <c r="O13" s="45">
        <f t="shared" si="5"/>
        <v>144.17500000000001</v>
      </c>
      <c r="P13" s="44">
        <f t="shared" ref="P13:Q13" si="6">SUM(P10:P12)</f>
        <v>167.71600000000001</v>
      </c>
      <c r="Q13" s="44">
        <f t="shared" si="6"/>
        <v>181.095</v>
      </c>
      <c r="R13" s="44">
        <f t="shared" ref="R13:Y13" si="7">SUM(R10:R12)</f>
        <v>195.20100000000002</v>
      </c>
      <c r="S13" s="45">
        <f t="shared" si="7"/>
        <v>216</v>
      </c>
      <c r="T13" s="44">
        <f t="shared" si="7"/>
        <v>245</v>
      </c>
      <c r="U13" s="44">
        <f t="shared" si="7"/>
        <v>252</v>
      </c>
      <c r="V13" s="44">
        <f t="shared" si="7"/>
        <v>294</v>
      </c>
      <c r="W13" s="45">
        <f t="shared" si="7"/>
        <v>330</v>
      </c>
      <c r="X13" s="44">
        <f t="shared" si="7"/>
        <v>374</v>
      </c>
      <c r="Y13" s="44">
        <f t="shared" si="7"/>
        <v>355</v>
      </c>
      <c r="Z13" s="44">
        <f t="shared" ref="Z13" si="8">SUM(Z10:Z12)</f>
        <v>392</v>
      </c>
    </row>
    <row r="14" spans="1:30" s="23" customFormat="1" x14ac:dyDescent="0.15">
      <c r="A14" s="7"/>
      <c r="B14" s="63" t="s">
        <v>11</v>
      </c>
      <c r="C14" s="44">
        <f>C9-C13</f>
        <v>-3.4759999999999991</v>
      </c>
      <c r="D14" s="44">
        <f>D9-D13</f>
        <v>-3.4609999999999985</v>
      </c>
      <c r="E14" s="44">
        <f>E9-E13</f>
        <v>-4.2999999999999972</v>
      </c>
      <c r="F14" s="44">
        <f>F9-F13</f>
        <v>-6.5189999999999984</v>
      </c>
      <c r="G14" s="45">
        <f>G9-G13</f>
        <v>-9.7119999999999891</v>
      </c>
      <c r="H14" s="46">
        <f t="shared" ref="H14" si="9">H9-H13</f>
        <v>-8.659000000000006</v>
      </c>
      <c r="I14" s="46">
        <f t="shared" ref="I14:O14" si="10">I9-I13</f>
        <v>-9.4890000000000043</v>
      </c>
      <c r="J14" s="46">
        <f t="shared" si="10"/>
        <v>-9.305000000000021</v>
      </c>
      <c r="K14" s="45">
        <f>K9-K13</f>
        <v>-14.460999999999984</v>
      </c>
      <c r="L14" s="44">
        <f t="shared" si="10"/>
        <v>-15.906999999999996</v>
      </c>
      <c r="M14" s="44">
        <f t="shared" si="10"/>
        <v>-12.675999999999988</v>
      </c>
      <c r="N14" s="44">
        <f t="shared" si="10"/>
        <v>-6.1130000000000138</v>
      </c>
      <c r="O14" s="45">
        <f t="shared" si="10"/>
        <v>-20.333000000000027</v>
      </c>
      <c r="P14" s="44">
        <f t="shared" ref="P14:Q14" si="11">P9-P13</f>
        <v>-30.761000000000024</v>
      </c>
      <c r="Q14" s="44">
        <f t="shared" si="11"/>
        <v>-31.368000000000023</v>
      </c>
      <c r="R14" s="44">
        <f t="shared" ref="R14:S14" si="12">R9-R13</f>
        <v>-9.4580000000000553</v>
      </c>
      <c r="S14" s="45">
        <f t="shared" si="12"/>
        <v>-35.709000000000032</v>
      </c>
      <c r="T14" s="44">
        <f t="shared" ref="T14:U14" si="13">T9-T13</f>
        <v>-40</v>
      </c>
      <c r="U14" s="44">
        <f t="shared" si="13"/>
        <v>-35</v>
      </c>
      <c r="V14" s="44">
        <f t="shared" ref="V14:X14" si="14">V9-V13</f>
        <v>-30</v>
      </c>
      <c r="W14" s="45">
        <f t="shared" si="14"/>
        <v>-73</v>
      </c>
      <c r="X14" s="44">
        <f t="shared" si="14"/>
        <v>1.0339999999999918</v>
      </c>
      <c r="Y14" s="44">
        <f t="shared" ref="Y14:Z14" si="15">Y9-Y13</f>
        <v>50.147999999999968</v>
      </c>
      <c r="Z14" s="44">
        <f t="shared" si="15"/>
        <v>112.38799999999992</v>
      </c>
    </row>
    <row r="15" spans="1:30" s="23" customFormat="1" x14ac:dyDescent="0.15">
      <c r="A15" s="7"/>
      <c r="B15" s="63" t="s">
        <v>12</v>
      </c>
      <c r="C15" s="30">
        <f>0.011-1.065</f>
        <v>-1.054</v>
      </c>
      <c r="D15" s="30">
        <f>0.03+0.135</f>
        <v>0.16500000000000001</v>
      </c>
      <c r="E15" s="30">
        <f>0.057-0.414</f>
        <v>-0.35699999999999998</v>
      </c>
      <c r="F15" s="30">
        <v>0.21199999999999999</v>
      </c>
      <c r="G15" s="25">
        <f>0.203+0.58</f>
        <v>0.78299999999999992</v>
      </c>
      <c r="H15" s="23">
        <f>0.231-0.011</f>
        <v>0.22</v>
      </c>
      <c r="I15" s="23">
        <f>0.404-0.035</f>
        <v>0.36899999999999999</v>
      </c>
      <c r="J15" s="23">
        <v>0.438</v>
      </c>
      <c r="K15" s="25">
        <f>0.715+0.148+1.437</f>
        <v>2.2999999999999998</v>
      </c>
      <c r="L15" s="30">
        <f>1.877+4.631</f>
        <v>6.508</v>
      </c>
      <c r="M15" s="30">
        <f>2.734+0.562+2.604</f>
        <v>5.9</v>
      </c>
      <c r="N15" s="30">
        <v>3.1259999999999999</v>
      </c>
      <c r="O15" s="25">
        <f>4.649-0.218-6.834</f>
        <v>-2.4029999999999996</v>
      </c>
      <c r="P15" s="30">
        <f>6.808-4.398</f>
        <v>2.41</v>
      </c>
      <c r="Q15" s="30">
        <f>8.078+0.106+6.101</f>
        <v>14.285</v>
      </c>
      <c r="R15" s="53">
        <v>7.944</v>
      </c>
      <c r="S15" s="25">
        <f>12+9</f>
        <v>21</v>
      </c>
      <c r="T15" s="23">
        <f>11+7</f>
        <v>18</v>
      </c>
      <c r="U15" s="23">
        <f>11+-6</f>
        <v>5</v>
      </c>
      <c r="V15" s="23">
        <f>12+3</f>
        <v>15</v>
      </c>
      <c r="W15" s="25">
        <f>13-17</f>
        <v>-4</v>
      </c>
      <c r="X15" s="23">
        <f>6-2</f>
        <v>4</v>
      </c>
      <c r="Y15" s="23">
        <v>136</v>
      </c>
      <c r="Z15" s="23">
        <f>-3+10</f>
        <v>7</v>
      </c>
    </row>
    <row r="16" spans="1:30" s="23" customFormat="1" x14ac:dyDescent="0.15">
      <c r="A16" s="7"/>
      <c r="B16" s="63" t="s">
        <v>13</v>
      </c>
      <c r="C16" s="44">
        <f>C14+C15</f>
        <v>-4.5299999999999994</v>
      </c>
      <c r="D16" s="44">
        <f>D14+D15</f>
        <v>-3.2959999999999985</v>
      </c>
      <c r="E16" s="44">
        <f>E14+E15</f>
        <v>-4.6569999999999974</v>
      </c>
      <c r="F16" s="44">
        <f>F14+F15</f>
        <v>-6.3069999999999986</v>
      </c>
      <c r="G16" s="45">
        <f>G14+G15</f>
        <v>-8.9289999999999896</v>
      </c>
      <c r="H16" s="46">
        <f t="shared" ref="H16:J16" si="16">H14+H15</f>
        <v>-8.4390000000000054</v>
      </c>
      <c r="I16" s="46">
        <f t="shared" si="16"/>
        <v>-9.1200000000000045</v>
      </c>
      <c r="J16" s="46">
        <f t="shared" si="16"/>
        <v>-8.8670000000000204</v>
      </c>
      <c r="K16" s="45">
        <f t="shared" ref="K16:L16" si="17">K14+K15</f>
        <v>-12.160999999999984</v>
      </c>
      <c r="L16" s="44">
        <f t="shared" si="17"/>
        <v>-9.3989999999999974</v>
      </c>
      <c r="M16" s="44">
        <f t="shared" ref="M16" si="18">M14+M15</f>
        <v>-6.7759999999999874</v>
      </c>
      <c r="N16" s="44">
        <f>N14+N15</f>
        <v>-2.9870000000000139</v>
      </c>
      <c r="O16" s="45">
        <f t="shared" ref="O16" si="19">O14+O15</f>
        <v>-22.736000000000026</v>
      </c>
      <c r="P16" s="44">
        <f t="shared" ref="P16:Z16" si="20">P14+P15</f>
        <v>-28.351000000000024</v>
      </c>
      <c r="Q16" s="44">
        <f t="shared" si="20"/>
        <v>-17.083000000000023</v>
      </c>
      <c r="R16" s="44">
        <f t="shared" si="20"/>
        <v>-1.5140000000000553</v>
      </c>
      <c r="S16" s="45">
        <f t="shared" si="20"/>
        <v>-14.709000000000032</v>
      </c>
      <c r="T16" s="44">
        <f t="shared" si="20"/>
        <v>-22</v>
      </c>
      <c r="U16" s="44">
        <f t="shared" si="20"/>
        <v>-30</v>
      </c>
      <c r="V16" s="44">
        <f t="shared" si="20"/>
        <v>-15</v>
      </c>
      <c r="W16" s="45">
        <f t="shared" si="20"/>
        <v>-77</v>
      </c>
      <c r="X16" s="44">
        <f t="shared" si="20"/>
        <v>5.0339999999999918</v>
      </c>
      <c r="Y16" s="44">
        <f t="shared" si="20"/>
        <v>186.14799999999997</v>
      </c>
      <c r="Z16" s="44">
        <f t="shared" si="20"/>
        <v>119.38799999999992</v>
      </c>
    </row>
    <row r="17" spans="1:26" s="23" customFormat="1" x14ac:dyDescent="0.15">
      <c r="A17" s="7"/>
      <c r="B17" s="63" t="s">
        <v>14</v>
      </c>
      <c r="C17" s="30">
        <v>0</v>
      </c>
      <c r="D17" s="30">
        <v>0</v>
      </c>
      <c r="E17" s="30">
        <v>0</v>
      </c>
      <c r="F17" s="30">
        <v>0</v>
      </c>
      <c r="G17" s="25">
        <v>0</v>
      </c>
      <c r="H17" s="23">
        <v>0.21099999999999999</v>
      </c>
      <c r="I17" s="23">
        <v>0</v>
      </c>
      <c r="J17" s="23">
        <v>0</v>
      </c>
      <c r="K17" s="25">
        <v>0</v>
      </c>
      <c r="L17" s="30">
        <v>0</v>
      </c>
      <c r="M17" s="30">
        <v>0</v>
      </c>
      <c r="N17" s="30">
        <f>AVERAGE(J17:M17)</f>
        <v>0</v>
      </c>
      <c r="O17" s="25">
        <v>0</v>
      </c>
      <c r="P17" s="30">
        <v>0</v>
      </c>
      <c r="Q17" s="30">
        <v>0</v>
      </c>
      <c r="R17" s="53">
        <f>R16*Q24</f>
        <v>0</v>
      </c>
      <c r="S17" s="25">
        <v>0</v>
      </c>
      <c r="T17" s="23">
        <v>0</v>
      </c>
      <c r="U17" s="23">
        <v>48</v>
      </c>
      <c r="V17" s="23">
        <v>-19</v>
      </c>
      <c r="W17" s="25">
        <v>-29</v>
      </c>
      <c r="X17" s="23">
        <v>-32</v>
      </c>
      <c r="Y17" s="23">
        <v>-5</v>
      </c>
      <c r="Z17" s="23">
        <v>-14</v>
      </c>
    </row>
    <row r="18" spans="1:26" s="72" customFormat="1" x14ac:dyDescent="0.15">
      <c r="A18" s="65"/>
      <c r="B18" s="64" t="s">
        <v>15</v>
      </c>
      <c r="C18" s="43">
        <f t="shared" ref="C18:H18" si="21">C16-C17</f>
        <v>-4.5299999999999994</v>
      </c>
      <c r="D18" s="43">
        <f t="shared" si="21"/>
        <v>-3.2959999999999985</v>
      </c>
      <c r="E18" s="43">
        <f t="shared" si="21"/>
        <v>-4.6569999999999974</v>
      </c>
      <c r="F18" s="43">
        <f>F16-F17</f>
        <v>-6.3069999999999986</v>
      </c>
      <c r="G18" s="47">
        <f t="shared" si="21"/>
        <v>-8.9289999999999896</v>
      </c>
      <c r="H18" s="49">
        <f t="shared" si="21"/>
        <v>-8.6500000000000057</v>
      </c>
      <c r="I18" s="49">
        <f t="shared" ref="I18" si="22">I16-I17</f>
        <v>-9.1200000000000045</v>
      </c>
      <c r="J18" s="49">
        <f t="shared" ref="J18:R18" si="23">J16-J17</f>
        <v>-8.8670000000000204</v>
      </c>
      <c r="K18" s="47">
        <f t="shared" si="23"/>
        <v>-12.160999999999984</v>
      </c>
      <c r="L18" s="43">
        <f t="shared" si="23"/>
        <v>-9.3989999999999974</v>
      </c>
      <c r="M18" s="43">
        <f t="shared" si="23"/>
        <v>-6.7759999999999874</v>
      </c>
      <c r="N18" s="43">
        <f t="shared" si="23"/>
        <v>-2.9870000000000139</v>
      </c>
      <c r="O18" s="47">
        <f t="shared" si="23"/>
        <v>-22.736000000000026</v>
      </c>
      <c r="P18" s="43">
        <f t="shared" si="23"/>
        <v>-28.351000000000024</v>
      </c>
      <c r="Q18" s="43">
        <f t="shared" si="23"/>
        <v>-17.083000000000023</v>
      </c>
      <c r="R18" s="43">
        <f t="shared" si="23"/>
        <v>-1.5140000000000553</v>
      </c>
      <c r="S18" s="47">
        <f t="shared" ref="S18:W18" si="24">S16-S17</f>
        <v>-14.709000000000032</v>
      </c>
      <c r="T18" s="43">
        <f t="shared" si="24"/>
        <v>-22</v>
      </c>
      <c r="U18" s="43">
        <f t="shared" si="24"/>
        <v>-78</v>
      </c>
      <c r="V18" s="43">
        <f t="shared" si="24"/>
        <v>4</v>
      </c>
      <c r="W18" s="47">
        <f t="shared" si="24"/>
        <v>-48</v>
      </c>
      <c r="X18" s="43">
        <f t="shared" ref="X18:Y18" si="25">X16-X17</f>
        <v>37.033999999999992</v>
      </c>
      <c r="Y18" s="43">
        <f t="shared" si="25"/>
        <v>191.14799999999997</v>
      </c>
      <c r="Z18" s="43">
        <f t="shared" ref="Z18" si="26">Z16-Z17</f>
        <v>133.38799999999992</v>
      </c>
    </row>
    <row r="19" spans="1:26" s="94" customFormat="1" x14ac:dyDescent="0.15">
      <c r="A19" s="70"/>
      <c r="B19" s="66" t="s">
        <v>16</v>
      </c>
      <c r="C19" s="67">
        <f t="shared" ref="C19:I19" si="27">IFERROR(C18/C20,0)</f>
        <v>-0.11513826758845057</v>
      </c>
      <c r="D19" s="67">
        <f t="shared" si="27"/>
        <v>-6.2141779788838586E-2</v>
      </c>
      <c r="E19" s="67">
        <f t="shared" si="27"/>
        <v>-6.1356240365739549E-2</v>
      </c>
      <c r="F19" s="67">
        <f t="shared" si="27"/>
        <v>-8.0863121185701811E-2</v>
      </c>
      <c r="G19" s="68">
        <f t="shared" si="27"/>
        <v>-0.11093579167080794</v>
      </c>
      <c r="H19" s="69">
        <f t="shared" si="27"/>
        <v>-0.1063319770372101</v>
      </c>
      <c r="I19" s="69">
        <f t="shared" si="27"/>
        <v>-0.10740531373657439</v>
      </c>
      <c r="J19" s="69">
        <f t="shared" ref="J19:M19" si="28">IFERROR(J18/J20,0)</f>
        <v>-9.9476087371125579E-2</v>
      </c>
      <c r="K19" s="68">
        <f t="shared" si="28"/>
        <v>-0.13475854036543514</v>
      </c>
      <c r="L19" s="67">
        <f>IFERROR(L18/L20,0)</f>
        <v>-9.968126388249049E-2</v>
      </c>
      <c r="M19" s="67">
        <f t="shared" si="28"/>
        <v>-6.8598288231764087E-2</v>
      </c>
      <c r="N19" s="67">
        <f t="shared" ref="N19" si="29">IFERROR(N18/N20,0)</f>
        <v>-3.0004482792278585E-2</v>
      </c>
      <c r="O19" s="68">
        <f>IFERROR(O18/O20,0)</f>
        <v>-0.22234252084392703</v>
      </c>
      <c r="P19" s="67">
        <f>IFERROR(P18/P20,0)</f>
        <v>-0.2675175948655647</v>
      </c>
      <c r="Q19" s="67">
        <f t="shared" ref="Q19:R19" si="30">IFERROR(Q18/Q20,0)</f>
        <v>-0.16018232523675136</v>
      </c>
      <c r="R19" s="67">
        <f t="shared" si="30"/>
        <v>-1.4053065768654619E-2</v>
      </c>
      <c r="S19" s="68">
        <f t="shared" ref="S19:W19" si="31">IFERROR(S18/S20,0)</f>
        <v>-0.13260756214164027</v>
      </c>
      <c r="T19" s="67">
        <f t="shared" si="31"/>
        <v>-0.19640505718382342</v>
      </c>
      <c r="U19" s="67">
        <f t="shared" si="31"/>
        <v>-0.68973447053333636</v>
      </c>
      <c r="V19" s="67">
        <f t="shared" si="31"/>
        <v>3.4474663018787655E-2</v>
      </c>
      <c r="W19" s="68">
        <f t="shared" si="31"/>
        <v>-0.41093586285132006</v>
      </c>
      <c r="X19" s="67">
        <f t="shared" ref="X19:Y19" si="32">IFERROR(X18/X20,0)</f>
        <v>0.30170269681510331</v>
      </c>
      <c r="Y19" s="67">
        <f t="shared" si="32"/>
        <v>1.5303068902262273</v>
      </c>
      <c r="Z19" s="67">
        <f t="shared" ref="Z19" si="33">IFERROR(Z18/Z20,0)</f>
        <v>1.0632345153401273</v>
      </c>
    </row>
    <row r="20" spans="1:26" s="23" customFormat="1" x14ac:dyDescent="0.15">
      <c r="A20" s="7"/>
      <c r="B20" s="63" t="s">
        <v>17</v>
      </c>
      <c r="C20" s="30">
        <v>39.344000000000001</v>
      </c>
      <c r="D20" s="30">
        <v>53.04</v>
      </c>
      <c r="E20" s="30">
        <v>75.900999999999996</v>
      </c>
      <c r="F20" s="30">
        <v>77.995999999999995</v>
      </c>
      <c r="G20" s="25">
        <v>80.488</v>
      </c>
      <c r="H20" s="30">
        <v>81.349000000000004</v>
      </c>
      <c r="I20" s="30">
        <v>84.912000000000006</v>
      </c>
      <c r="J20" s="30">
        <v>89.137</v>
      </c>
      <c r="K20" s="25">
        <v>90.242889000000005</v>
      </c>
      <c r="L20" s="30">
        <v>94.290537999999998</v>
      </c>
      <c r="M20" s="30">
        <v>98.777974999999998</v>
      </c>
      <c r="N20" s="30">
        <v>99.551790999999994</v>
      </c>
      <c r="O20" s="25">
        <v>102.25664399999999</v>
      </c>
      <c r="P20" s="30">
        <v>105.978076</v>
      </c>
      <c r="Q20" s="30">
        <v>106.647222</v>
      </c>
      <c r="R20" s="53">
        <v>107.734499</v>
      </c>
      <c r="S20" s="25">
        <v>110.92127600000001</v>
      </c>
      <c r="T20" s="23">
        <v>112.013409</v>
      </c>
      <c r="U20" s="23">
        <v>113.086997</v>
      </c>
      <c r="V20" s="23">
        <v>116.02724000000001</v>
      </c>
      <c r="W20" s="84">
        <v>116.806549</v>
      </c>
      <c r="X20" s="23">
        <v>122.74997999999999</v>
      </c>
      <c r="Y20" s="23">
        <v>124.90827899999999</v>
      </c>
      <c r="Z20" s="23">
        <v>125.454919</v>
      </c>
    </row>
    <row r="21" spans="1:26" x14ac:dyDescent="0.15">
      <c r="C21" s="27"/>
      <c r="D21" s="27"/>
      <c r="E21" s="27"/>
      <c r="F21" s="27"/>
      <c r="L21" s="27"/>
      <c r="M21" s="27"/>
      <c r="N21" s="27"/>
      <c r="P21" s="27"/>
      <c r="Q21" s="27"/>
      <c r="R21" s="56"/>
    </row>
    <row r="22" spans="1:26" x14ac:dyDescent="0.15">
      <c r="B22" s="24" t="s">
        <v>19</v>
      </c>
      <c r="C22" s="36">
        <f t="shared" ref="C22:Q22" si="34">IFERROR(C9/C7,0)</f>
        <v>0.57743386526721641</v>
      </c>
      <c r="D22" s="36">
        <f t="shared" si="34"/>
        <v>0.56207986466634019</v>
      </c>
      <c r="E22" s="36">
        <f t="shared" si="34"/>
        <v>0.54451938013867318</v>
      </c>
      <c r="F22" s="36">
        <f t="shared" si="34"/>
        <v>0.5196728086300999</v>
      </c>
      <c r="G22" s="37">
        <f t="shared" si="34"/>
        <v>0.55120871263166582</v>
      </c>
      <c r="H22" s="38">
        <f t="shared" si="34"/>
        <v>0.54846676745876943</v>
      </c>
      <c r="I22" s="38">
        <f t="shared" si="34"/>
        <v>0.53979794733776543</v>
      </c>
      <c r="J22" s="38">
        <f t="shared" si="34"/>
        <v>0.52257579592431513</v>
      </c>
      <c r="K22" s="37">
        <f t="shared" si="34"/>
        <v>0.56713430000235532</v>
      </c>
      <c r="L22" s="36">
        <f t="shared" si="34"/>
        <v>0.57261547591572981</v>
      </c>
      <c r="M22" s="36">
        <f t="shared" si="34"/>
        <v>0.58339748973497574</v>
      </c>
      <c r="N22" s="36">
        <f t="shared" si="34"/>
        <v>0.54370461461129016</v>
      </c>
      <c r="O22" s="37">
        <f t="shared" si="34"/>
        <v>0.57778296164971543</v>
      </c>
      <c r="P22" s="36">
        <f t="shared" si="34"/>
        <v>0.55908443315929335</v>
      </c>
      <c r="Q22" s="36">
        <f t="shared" si="34"/>
        <v>0.55441302802298709</v>
      </c>
      <c r="R22" s="54">
        <f t="shared" ref="R22:W22" si="35">IFERROR(R9/R7,0)</f>
        <v>0.54016727640739592</v>
      </c>
      <c r="S22" s="76">
        <f t="shared" si="35"/>
        <v>0.56256201596345501</v>
      </c>
      <c r="T22" s="54">
        <f t="shared" si="35"/>
        <v>0.56629834254143652</v>
      </c>
      <c r="U22" s="54">
        <f t="shared" si="35"/>
        <v>0.55498721227621484</v>
      </c>
      <c r="V22" s="54">
        <f t="shared" si="35"/>
        <v>0.52277227722772279</v>
      </c>
      <c r="W22" s="76">
        <f t="shared" si="35"/>
        <v>0.54680851063829783</v>
      </c>
      <c r="X22" s="54">
        <f t="shared" ref="X22:Y22" si="36">IFERROR(X9/X7,0)</f>
        <v>0.52500696446095074</v>
      </c>
      <c r="Y22" s="54">
        <f t="shared" si="36"/>
        <v>0.52794547859344154</v>
      </c>
      <c r="Z22" s="54">
        <f t="shared" ref="Z22" si="37">IFERROR(Z9/Z7,0)</f>
        <v>0.51586918457183062</v>
      </c>
    </row>
    <row r="23" spans="1:26" x14ac:dyDescent="0.15">
      <c r="B23" s="24" t="s">
        <v>20</v>
      </c>
      <c r="C23" s="39">
        <f t="shared" ref="C23:Q23" si="38">IFERROR(C14/C7,0)</f>
        <v>-9.3070579415229712E-2</v>
      </c>
      <c r="D23" s="39">
        <f t="shared" si="38"/>
        <v>-7.7037795485910124E-2</v>
      </c>
      <c r="E23" s="39">
        <f t="shared" si="38"/>
        <v>-8.1460993445231639E-2</v>
      </c>
      <c r="F23" s="39">
        <f t="shared" si="38"/>
        <v>-9.2898978239493793E-2</v>
      </c>
      <c r="G23" s="40">
        <f t="shared" si="38"/>
        <v>-0.13354968235197034</v>
      </c>
      <c r="H23" s="41">
        <f t="shared" si="38"/>
        <v>-9.9934215841287144E-2</v>
      </c>
      <c r="I23" s="41">
        <f t="shared" si="38"/>
        <v>-9.5292132800417803E-2</v>
      </c>
      <c r="J23" s="41">
        <f t="shared" si="38"/>
        <v>-7.1366665899695689E-2</v>
      </c>
      <c r="K23" s="40">
        <f t="shared" si="38"/>
        <v>-0.11352734752196189</v>
      </c>
      <c r="L23" s="39">
        <f t="shared" si="38"/>
        <v>-0.10488938709571063</v>
      </c>
      <c r="M23" s="39">
        <f t="shared" si="38"/>
        <v>-7.393150429264643E-2</v>
      </c>
      <c r="N23" s="39">
        <f t="shared" si="38"/>
        <v>-2.7435439424811789E-2</v>
      </c>
      <c r="O23" s="40">
        <f t="shared" si="38"/>
        <v>-9.486330129700489E-2</v>
      </c>
      <c r="P23" s="39">
        <f t="shared" si="38"/>
        <v>-0.1255740662875619</v>
      </c>
      <c r="Q23" s="39">
        <f t="shared" si="38"/>
        <v>-0.11615024586764629</v>
      </c>
      <c r="R23" s="55">
        <f t="shared" ref="R23:W23" si="39">IFERROR(R14/R7,0)</f>
        <v>-2.7505220117372831E-2</v>
      </c>
      <c r="S23" s="77">
        <f t="shared" si="39"/>
        <v>-0.11142279441591114</v>
      </c>
      <c r="T23" s="55">
        <f t="shared" si="39"/>
        <v>-0.11049723756906077</v>
      </c>
      <c r="U23" s="55">
        <f t="shared" si="39"/>
        <v>-8.9514066496163683E-2</v>
      </c>
      <c r="V23" s="55">
        <f t="shared" si="39"/>
        <v>-5.9405940594059403E-2</v>
      </c>
      <c r="W23" s="77">
        <f t="shared" si="39"/>
        <v>-0.15531914893617021</v>
      </c>
      <c r="X23" s="55">
        <f t="shared" ref="X23:Y23" si="40">IFERROR(X14/X7,0)</f>
        <v>1.4474879644315415E-3</v>
      </c>
      <c r="Y23" s="55">
        <f t="shared" si="40"/>
        <v>6.5347502296701179E-2</v>
      </c>
      <c r="Z23" s="55">
        <f t="shared" ref="Z23" si="41">IFERROR(Z14/Z7,0)</f>
        <v>0.11494624359750602</v>
      </c>
    </row>
    <row r="24" spans="1:26" x14ac:dyDescent="0.15">
      <c r="B24" s="24" t="s">
        <v>21</v>
      </c>
      <c r="C24" s="39">
        <f t="shared" ref="C24:Q24" si="42">IFERROR(C17/C16,0)</f>
        <v>0</v>
      </c>
      <c r="D24" s="39">
        <f t="shared" si="42"/>
        <v>0</v>
      </c>
      <c r="E24" s="39">
        <f t="shared" si="42"/>
        <v>0</v>
      </c>
      <c r="F24" s="39">
        <f t="shared" si="42"/>
        <v>0</v>
      </c>
      <c r="G24" s="40">
        <f t="shared" si="42"/>
        <v>0</v>
      </c>
      <c r="H24" s="41">
        <f t="shared" si="42"/>
        <v>-2.5002962436307601E-2</v>
      </c>
      <c r="I24" s="41">
        <f t="shared" si="42"/>
        <v>0</v>
      </c>
      <c r="J24" s="41">
        <f t="shared" si="42"/>
        <v>0</v>
      </c>
      <c r="K24" s="40">
        <f t="shared" si="42"/>
        <v>0</v>
      </c>
      <c r="L24" s="39">
        <f t="shared" si="42"/>
        <v>0</v>
      </c>
      <c r="M24" s="39">
        <f t="shared" si="42"/>
        <v>0</v>
      </c>
      <c r="N24" s="39">
        <f t="shared" si="42"/>
        <v>0</v>
      </c>
      <c r="O24" s="40">
        <f t="shared" si="42"/>
        <v>0</v>
      </c>
      <c r="P24" s="39">
        <f t="shared" si="42"/>
        <v>0</v>
      </c>
      <c r="Q24" s="39">
        <f t="shared" si="42"/>
        <v>0</v>
      </c>
      <c r="R24" s="55">
        <f t="shared" ref="R24:W24" si="43">IFERROR(R17/R16,0)</f>
        <v>0</v>
      </c>
      <c r="S24" s="77">
        <f t="shared" si="43"/>
        <v>0</v>
      </c>
      <c r="T24" s="55">
        <f t="shared" si="43"/>
        <v>0</v>
      </c>
      <c r="U24" s="55">
        <f t="shared" si="43"/>
        <v>-1.6</v>
      </c>
      <c r="V24" s="55">
        <f t="shared" si="43"/>
        <v>1.2666666666666666</v>
      </c>
      <c r="W24" s="77">
        <f t="shared" si="43"/>
        <v>0.37662337662337664</v>
      </c>
      <c r="X24" s="55">
        <f t="shared" ref="X24:Y24" si="44">IFERROR(X17/X16,0)</f>
        <v>-6.3567739372268681</v>
      </c>
      <c r="Y24" s="55">
        <f t="shared" si="44"/>
        <v>-2.6860347680340377E-2</v>
      </c>
      <c r="Z24" s="55">
        <f t="shared" ref="Z24" si="45">IFERROR(Z17/Z16,0)</f>
        <v>-0.11726471672194869</v>
      </c>
    </row>
    <row r="25" spans="1:26" x14ac:dyDescent="0.15">
      <c r="C25" s="27"/>
      <c r="D25" s="27"/>
      <c r="E25" s="27"/>
      <c r="F25" s="27"/>
      <c r="L25" s="27"/>
      <c r="M25" s="27"/>
      <c r="N25" s="27"/>
      <c r="P25" s="27"/>
      <c r="Q25" s="27"/>
      <c r="R25" s="56"/>
      <c r="T25" s="27"/>
      <c r="U25" s="27"/>
      <c r="V25" s="27"/>
      <c r="X25" s="27"/>
      <c r="Y25" s="27"/>
      <c r="Z25" s="27"/>
    </row>
    <row r="26" spans="1:26" s="95" customFormat="1" x14ac:dyDescent="0.15">
      <c r="A26" s="2"/>
      <c r="B26" s="28" t="s">
        <v>18</v>
      </c>
      <c r="C26" s="32"/>
      <c r="D26" s="32"/>
      <c r="E26" s="32"/>
      <c r="F26" s="32"/>
      <c r="G26" s="33">
        <f t="shared" ref="G26:Q26" si="46">IFERROR((G7/C7)-1,0)</f>
        <v>0.94714576416407859</v>
      </c>
      <c r="H26" s="32">
        <f t="shared" si="46"/>
        <v>0.92866046387392576</v>
      </c>
      <c r="I26" s="32">
        <f t="shared" si="46"/>
        <v>0.88644716402076318</v>
      </c>
      <c r="J26" s="32">
        <f t="shared" si="46"/>
        <v>0.8580223162754903</v>
      </c>
      <c r="K26" s="33">
        <f t="shared" si="46"/>
        <v>0.75158824014741055</v>
      </c>
      <c r="L26" s="32">
        <f t="shared" si="46"/>
        <v>0.7502625595808281</v>
      </c>
      <c r="M26" s="32">
        <f t="shared" si="46"/>
        <v>0.72182610616802911</v>
      </c>
      <c r="N26" s="32">
        <f t="shared" si="46"/>
        <v>0.70891910755236509</v>
      </c>
      <c r="O26" s="33">
        <f t="shared" si="46"/>
        <v>0.68269494971698608</v>
      </c>
      <c r="P26" s="32">
        <f t="shared" si="46"/>
        <v>0.61526491048761978</v>
      </c>
      <c r="Q26" s="32">
        <f t="shared" si="46"/>
        <v>0.57512131392310528</v>
      </c>
      <c r="R26" s="57">
        <f t="shared" ref="R26:Z26" si="47">IFERROR((R7/N7)-1,0)</f>
        <v>0.54326927392354141</v>
      </c>
      <c r="S26" s="78">
        <f t="shared" si="47"/>
        <v>0.49520388168330687</v>
      </c>
      <c r="T26" s="57">
        <f t="shared" si="47"/>
        <v>0.47777419447018543</v>
      </c>
      <c r="U26" s="57">
        <f t="shared" si="47"/>
        <v>0.4478049647490967</v>
      </c>
      <c r="V26" s="57">
        <f t="shared" si="47"/>
        <v>0.46861240846618712</v>
      </c>
      <c r="W26" s="78">
        <f t="shared" si="47"/>
        <v>0.46654102258473196</v>
      </c>
      <c r="X26" s="57">
        <f t="shared" si="47"/>
        <v>0.97331767955801096</v>
      </c>
      <c r="Y26" s="57">
        <f t="shared" si="47"/>
        <v>0.96267263427109961</v>
      </c>
      <c r="Z26" s="57">
        <f t="shared" si="47"/>
        <v>0.93612673267326718</v>
      </c>
    </row>
    <row r="27" spans="1:26" s="95" customFormat="1" x14ac:dyDescent="0.15">
      <c r="A27" s="2"/>
      <c r="B27" s="24" t="s">
        <v>34</v>
      </c>
      <c r="C27" s="34"/>
      <c r="D27" s="34"/>
      <c r="E27" s="34"/>
      <c r="F27" s="34"/>
      <c r="G27" s="35">
        <f t="shared" ref="G27:Z29" si="48">IFERROR((G10/C10)-1,0)</f>
        <v>0.86927389580199654</v>
      </c>
      <c r="H27" s="34">
        <f t="shared" si="48"/>
        <v>0.90136363636363614</v>
      </c>
      <c r="I27" s="34">
        <f t="shared" si="48"/>
        <v>0.93305522447357969</v>
      </c>
      <c r="J27" s="34">
        <f t="shared" si="48"/>
        <v>0.8072520493316595</v>
      </c>
      <c r="K27" s="35">
        <f t="shared" si="48"/>
        <v>0.94542794440380407</v>
      </c>
      <c r="L27" s="34">
        <f t="shared" si="48"/>
        <v>0.95517571121204869</v>
      </c>
      <c r="M27" s="34">
        <f t="shared" si="48"/>
        <v>0.86774226698181089</v>
      </c>
      <c r="N27" s="34">
        <f t="shared" si="48"/>
        <v>0.6483736515201044</v>
      </c>
      <c r="O27" s="35">
        <f t="shared" si="48"/>
        <v>0.79423930209821769</v>
      </c>
      <c r="P27" s="34">
        <f t="shared" si="48"/>
        <v>0.65999266369138598</v>
      </c>
      <c r="Q27" s="34">
        <f t="shared" si="48"/>
        <v>0.69543328748280597</v>
      </c>
      <c r="R27" s="58">
        <f t="shared" si="48"/>
        <v>0.66151862961402119</v>
      </c>
      <c r="S27" s="79">
        <f t="shared" ref="S27:Z27" si="49">IFERROR((S11/O10)-1,0)</f>
        <v>1.2005197418056834</v>
      </c>
      <c r="T27" s="58">
        <f t="shared" si="49"/>
        <v>1.191326765491207</v>
      </c>
      <c r="U27" s="58">
        <f t="shared" si="49"/>
        <v>0.89845689529280048</v>
      </c>
      <c r="V27" s="58">
        <f t="shared" si="49"/>
        <v>0.96944378133206022</v>
      </c>
      <c r="W27" s="79">
        <f t="shared" si="49"/>
        <v>1.0394736842105261</v>
      </c>
      <c r="X27" s="58">
        <f t="shared" si="49"/>
        <v>0.68604651162790709</v>
      </c>
      <c r="Y27" s="58">
        <f t="shared" si="49"/>
        <v>0.64444444444444438</v>
      </c>
      <c r="Z27" s="58">
        <f t="shared" si="49"/>
        <v>0.50485436893203883</v>
      </c>
    </row>
    <row r="28" spans="1:26" s="95" customFormat="1" x14ac:dyDescent="0.15">
      <c r="A28" s="2"/>
      <c r="B28" s="24" t="s">
        <v>35</v>
      </c>
      <c r="C28" s="34"/>
      <c r="D28" s="34"/>
      <c r="E28" s="34"/>
      <c r="F28" s="34"/>
      <c r="G28" s="35">
        <f t="shared" si="48"/>
        <v>1.0685376661742985</v>
      </c>
      <c r="H28" s="34">
        <f t="shared" si="48"/>
        <v>0.82791622646199725</v>
      </c>
      <c r="I28" s="34">
        <f t="shared" si="48"/>
        <v>0.79935221783047861</v>
      </c>
      <c r="J28" s="34">
        <f t="shared" si="48"/>
        <v>0.73196608514227357</v>
      </c>
      <c r="K28" s="35">
        <f t="shared" si="48"/>
        <v>0.61860896886603833</v>
      </c>
      <c r="L28" s="34">
        <f t="shared" si="48"/>
        <v>0.86556964607486475</v>
      </c>
      <c r="M28" s="34">
        <f t="shared" si="48"/>
        <v>0.77911340269091123</v>
      </c>
      <c r="N28" s="34">
        <f t="shared" si="48"/>
        <v>0.72170391634201381</v>
      </c>
      <c r="O28" s="35">
        <f t="shared" si="48"/>
        <v>0.67168129880442939</v>
      </c>
      <c r="P28" s="34">
        <f t="shared" si="48"/>
        <v>0.59438329202507645</v>
      </c>
      <c r="Q28" s="34">
        <f t="shared" si="48"/>
        <v>0.57140652330486685</v>
      </c>
      <c r="R28" s="58">
        <f t="shared" si="48"/>
        <v>0.41666418554797979</v>
      </c>
      <c r="S28" s="79">
        <f t="shared" ref="S28:Z28" si="50">IFERROR((S10/O11)-1,0)</f>
        <v>2.8502058482000603E-3</v>
      </c>
      <c r="T28" s="58">
        <f t="shared" si="50"/>
        <v>-1.6996810954770347E-2</v>
      </c>
      <c r="U28" s="58">
        <f t="shared" si="50"/>
        <v>-1.7842527418562848E-2</v>
      </c>
      <c r="V28" s="58">
        <f t="shared" si="50"/>
        <v>8.2353435684036969E-2</v>
      </c>
      <c r="W28" s="79">
        <f t="shared" si="50"/>
        <v>0.10476190476190483</v>
      </c>
      <c r="X28" s="58">
        <f t="shared" si="50"/>
        <v>0.11764705882352944</v>
      </c>
      <c r="Y28" s="58">
        <f t="shared" si="50"/>
        <v>0.22222222222222232</v>
      </c>
      <c r="Z28" s="58">
        <f t="shared" si="50"/>
        <v>0.20454545454545459</v>
      </c>
    </row>
    <row r="29" spans="1:26" s="95" customFormat="1" x14ac:dyDescent="0.15">
      <c r="A29" s="2"/>
      <c r="B29" s="24" t="s">
        <v>36</v>
      </c>
      <c r="C29" s="34"/>
      <c r="D29" s="34"/>
      <c r="E29" s="34"/>
      <c r="F29" s="34"/>
      <c r="G29" s="35">
        <f t="shared" si="48"/>
        <v>0.93817140128909049</v>
      </c>
      <c r="H29" s="34">
        <f t="shared" si="48"/>
        <v>1.6261119832548405</v>
      </c>
      <c r="I29" s="34">
        <f t="shared" si="48"/>
        <v>1.3118302164320235</v>
      </c>
      <c r="J29" s="34">
        <f t="shared" si="48"/>
        <v>1.0167678519803411</v>
      </c>
      <c r="K29" s="35">
        <f t="shared" si="48"/>
        <v>0.81968222687523085</v>
      </c>
      <c r="L29" s="34">
        <f t="shared" si="48"/>
        <v>0.51051110889708062</v>
      </c>
      <c r="M29" s="34">
        <f t="shared" si="48"/>
        <v>0.63961097982185056</v>
      </c>
      <c r="N29" s="34">
        <f t="shared" si="48"/>
        <v>0.41520928899082565</v>
      </c>
      <c r="O29" s="35">
        <f t="shared" si="48"/>
        <v>0.39941789630431845</v>
      </c>
      <c r="P29" s="34">
        <f t="shared" si="48"/>
        <v>0.70991359409009958</v>
      </c>
      <c r="Q29" s="34">
        <f t="shared" si="48"/>
        <v>0.54282388158988848</v>
      </c>
      <c r="R29" s="58">
        <f t="shared" si="48"/>
        <v>0.67201823246391501</v>
      </c>
      <c r="S29" s="79">
        <f t="shared" si="48"/>
        <v>0.69286577992744847</v>
      </c>
      <c r="T29" s="58">
        <f t="shared" si="48"/>
        <v>0.54297176361672594</v>
      </c>
      <c r="U29" s="58">
        <f t="shared" si="48"/>
        <v>0.61690201573784642</v>
      </c>
      <c r="V29" s="58">
        <f t="shared" si="48"/>
        <v>0.78712061549645584</v>
      </c>
      <c r="W29" s="79">
        <f t="shared" si="48"/>
        <v>0.68571428571428572</v>
      </c>
      <c r="X29" s="58">
        <f t="shared" si="48"/>
        <v>1.4</v>
      </c>
      <c r="Y29" s="58">
        <f t="shared" si="48"/>
        <v>0.42222222222222228</v>
      </c>
      <c r="Z29" s="58">
        <f t="shared" si="48"/>
        <v>0.32203389830508478</v>
      </c>
    </row>
    <row r="30" spans="1:26" x14ac:dyDescent="0.15">
      <c r="C30" s="27"/>
      <c r="D30" s="27"/>
      <c r="E30" s="27"/>
      <c r="F30" s="27"/>
      <c r="L30" s="27"/>
      <c r="M30" s="27"/>
      <c r="N30" s="27"/>
      <c r="P30" s="27"/>
      <c r="Q30" s="27"/>
      <c r="R30" s="56"/>
    </row>
    <row r="31" spans="1:26" s="72" customFormat="1" x14ac:dyDescent="0.15">
      <c r="A31" s="65"/>
      <c r="B31" s="64" t="s">
        <v>26</v>
      </c>
      <c r="C31" s="29"/>
      <c r="D31" s="29"/>
      <c r="E31" s="29"/>
      <c r="F31" s="43">
        <f>F32-F33</f>
        <v>190.173</v>
      </c>
      <c r="G31" s="47">
        <f>G32-G33</f>
        <v>189.464</v>
      </c>
      <c r="H31" s="49">
        <f t="shared" ref="H31:M31" si="51">H32-H33</f>
        <v>179.64600000000002</v>
      </c>
      <c r="I31" s="49">
        <f t="shared" si="51"/>
        <v>400.28700000000003</v>
      </c>
      <c r="J31" s="49">
        <f t="shared" si="51"/>
        <v>392.41399999999999</v>
      </c>
      <c r="K31" s="47">
        <f t="shared" si="51"/>
        <v>395.69000000000005</v>
      </c>
      <c r="L31" s="43">
        <f t="shared" si="51"/>
        <v>932.41699999999992</v>
      </c>
      <c r="M31" s="43">
        <f t="shared" si="51"/>
        <v>926.55900000000008</v>
      </c>
      <c r="N31" s="43">
        <f>M31+N18</f>
        <v>923.57200000000012</v>
      </c>
      <c r="O31" s="47">
        <f t="shared" ref="O31" si="52">O32-O33</f>
        <v>1580.0329999999999</v>
      </c>
      <c r="P31" s="43">
        <f t="shared" ref="P31:Q31" si="53">P32-P33</f>
        <v>1574.1679999999999</v>
      </c>
      <c r="Q31" s="43">
        <f t="shared" si="53"/>
        <v>1578.2250000000001</v>
      </c>
      <c r="R31" s="43">
        <f t="shared" ref="R31:W31" si="54">R32-R33</f>
        <v>1969.67</v>
      </c>
      <c r="S31" s="47">
        <f t="shared" si="54"/>
        <v>1997</v>
      </c>
      <c r="T31" s="43">
        <f t="shared" si="54"/>
        <v>2013</v>
      </c>
      <c r="U31" s="43">
        <f t="shared" si="54"/>
        <v>2668</v>
      </c>
      <c r="V31" s="43">
        <f t="shared" si="54"/>
        <v>2455</v>
      </c>
      <c r="W31" s="47">
        <f t="shared" si="54"/>
        <v>2360</v>
      </c>
      <c r="X31" s="43">
        <f t="shared" ref="X31:Z31" si="55">X32-X33</f>
        <v>4001</v>
      </c>
      <c r="Y31" s="43">
        <f t="shared" si="55"/>
        <v>5371</v>
      </c>
      <c r="Z31" s="43">
        <f t="shared" si="55"/>
        <v>5630</v>
      </c>
    </row>
    <row r="32" spans="1:26" s="23" customFormat="1" x14ac:dyDescent="0.15">
      <c r="A32" s="7"/>
      <c r="B32" s="63" t="s">
        <v>27</v>
      </c>
      <c r="C32" s="30"/>
      <c r="D32" s="30"/>
      <c r="E32" s="30"/>
      <c r="F32" s="30">
        <f>110.07+80.103</f>
        <v>190.173</v>
      </c>
      <c r="G32" s="25">
        <f>83.864+105.6</f>
        <v>189.464</v>
      </c>
      <c r="H32" s="30">
        <f>68.14+111.506</f>
        <v>179.64600000000002</v>
      </c>
      <c r="I32" s="30">
        <f>187.36+212.927</f>
        <v>400.28700000000003</v>
      </c>
      <c r="J32" s="30">
        <f>84.013+308.401</f>
        <v>392.41399999999999</v>
      </c>
      <c r="K32" s="25">
        <f>101.268+294.422</f>
        <v>395.69000000000005</v>
      </c>
      <c r="L32" s="30">
        <f>199.397+733.02</f>
        <v>932.41699999999992</v>
      </c>
      <c r="M32" s="30">
        <f>119.849+806.71</f>
        <v>926.55900000000008</v>
      </c>
      <c r="N32" s="30">
        <f>141.677+796.362</f>
        <v>938.03899999999999</v>
      </c>
      <c r="O32" s="25">
        <f>196.578+1383.455</f>
        <v>1580.0329999999999</v>
      </c>
      <c r="P32" s="30">
        <f>219.801+1354.367</f>
        <v>1574.1679999999999</v>
      </c>
      <c r="Q32" s="30">
        <f>243.421+1334.804</f>
        <v>1578.2250000000001</v>
      </c>
      <c r="R32" s="30">
        <f>410.683+1558.987</f>
        <v>1969.67</v>
      </c>
      <c r="S32" s="25">
        <f>410+1587</f>
        <v>1997</v>
      </c>
      <c r="T32" s="23">
        <f>669+1344</f>
        <v>2013</v>
      </c>
      <c r="U32" s="23">
        <f>1125+1543</f>
        <v>2668</v>
      </c>
      <c r="V32" s="23">
        <f>650+1805</f>
        <v>2455</v>
      </c>
      <c r="W32" s="25">
        <f>969+1391</f>
        <v>2360</v>
      </c>
      <c r="X32" s="23">
        <f>1882+2119</f>
        <v>4001</v>
      </c>
      <c r="Y32" s="23">
        <f>3090+3031</f>
        <v>6121</v>
      </c>
      <c r="Z32" s="23">
        <f>2704+3684</f>
        <v>6388</v>
      </c>
    </row>
    <row r="33" spans="1:26" s="23" customFormat="1" x14ac:dyDescent="0.15">
      <c r="A33" s="7"/>
      <c r="B33" s="63" t="s">
        <v>28</v>
      </c>
      <c r="C33" s="30"/>
      <c r="D33" s="30"/>
      <c r="E33" s="30"/>
      <c r="F33" s="30">
        <v>0</v>
      </c>
      <c r="G33" s="25">
        <v>0</v>
      </c>
      <c r="H33" s="30">
        <v>0</v>
      </c>
      <c r="I33" s="30">
        <v>0</v>
      </c>
      <c r="J33" s="30">
        <v>0</v>
      </c>
      <c r="K33" s="25">
        <v>0</v>
      </c>
      <c r="L33" s="30">
        <v>0</v>
      </c>
      <c r="M33" s="30">
        <v>0</v>
      </c>
      <c r="N33" s="30">
        <v>0</v>
      </c>
      <c r="O33" s="25">
        <v>0</v>
      </c>
      <c r="P33" s="30">
        <v>0</v>
      </c>
      <c r="Q33" s="30">
        <v>0</v>
      </c>
      <c r="R33" s="30">
        <v>0</v>
      </c>
      <c r="S33" s="25">
        <v>0</v>
      </c>
      <c r="T33" s="23">
        <v>0</v>
      </c>
      <c r="U33" s="23">
        <v>0</v>
      </c>
      <c r="V33" s="83">
        <v>0</v>
      </c>
      <c r="W33" s="25">
        <v>0</v>
      </c>
      <c r="X33" s="23">
        <v>0</v>
      </c>
      <c r="Y33" s="23">
        <v>750</v>
      </c>
      <c r="Z33" s="23">
        <v>758</v>
      </c>
    </row>
    <row r="34" spans="1:26" s="23" customFormat="1" x14ac:dyDescent="0.15">
      <c r="A34" s="7"/>
      <c r="B34" s="63"/>
      <c r="G34" s="25"/>
      <c r="K34" s="25"/>
      <c r="O34" s="25"/>
      <c r="S34" s="25"/>
      <c r="W34" s="25"/>
    </row>
    <row r="35" spans="1:26" s="23" customFormat="1" x14ac:dyDescent="0.15">
      <c r="A35" s="7"/>
      <c r="B35" s="11" t="s">
        <v>65</v>
      </c>
      <c r="F35" s="23">
        <f>5.826+2.373</f>
        <v>8.1989999999999998</v>
      </c>
      <c r="G35" s="25"/>
      <c r="J35" s="23">
        <f>6.437+15.504</f>
        <v>21.940999999999999</v>
      </c>
      <c r="K35" s="25"/>
      <c r="N35" s="23">
        <f>17.21+20.317</f>
        <v>37.527000000000001</v>
      </c>
      <c r="O35" s="25">
        <f>21.088+20.317</f>
        <v>41.405000000000001</v>
      </c>
      <c r="P35" s="23">
        <f>24.656+22.894</f>
        <v>47.55</v>
      </c>
      <c r="Q35" s="23">
        <f>26.06+22.894</f>
        <v>48.953999999999994</v>
      </c>
      <c r="R35" s="23">
        <f>26.072+38.019</f>
        <v>64.090999999999994</v>
      </c>
      <c r="S35" s="25">
        <f>24+44</f>
        <v>68</v>
      </c>
      <c r="T35" s="23">
        <f>25+48</f>
        <v>73</v>
      </c>
      <c r="U35" s="23">
        <f>25+48</f>
        <v>73</v>
      </c>
      <c r="V35" s="23">
        <f>167+312</f>
        <v>479</v>
      </c>
      <c r="W35" s="25">
        <f>159+312</f>
        <v>471</v>
      </c>
      <c r="X35" s="23">
        <f>151+312</f>
        <v>463</v>
      </c>
      <c r="Y35" s="23">
        <f>144+312</f>
        <v>456</v>
      </c>
      <c r="Z35" s="23">
        <f>136+312</f>
        <v>448</v>
      </c>
    </row>
    <row r="36" spans="1:26" s="23" customFormat="1" x14ac:dyDescent="0.15">
      <c r="A36" s="7"/>
      <c r="B36" s="11" t="s">
        <v>66</v>
      </c>
      <c r="F36" s="23">
        <v>243.71199999999999</v>
      </c>
      <c r="G36" s="25"/>
      <c r="J36" s="23">
        <v>490.55799999999999</v>
      </c>
      <c r="K36" s="25"/>
      <c r="N36" s="23">
        <v>1113.5640000000001</v>
      </c>
      <c r="O36" s="25">
        <v>1782.5360000000001</v>
      </c>
      <c r="P36" s="23">
        <v>1809.057</v>
      </c>
      <c r="Q36" s="23">
        <v>1841.694</v>
      </c>
      <c r="R36" s="23">
        <v>2254.7849999999999</v>
      </c>
      <c r="S36" s="25">
        <v>2403</v>
      </c>
      <c r="T36" s="23">
        <v>2467</v>
      </c>
      <c r="U36" s="23">
        <v>3189</v>
      </c>
      <c r="V36" s="23">
        <v>3489</v>
      </c>
      <c r="W36" s="25">
        <v>3471</v>
      </c>
      <c r="X36" s="23">
        <v>5098</v>
      </c>
      <c r="Y36" s="23">
        <v>7462</v>
      </c>
      <c r="Z36" s="23">
        <v>7763</v>
      </c>
    </row>
    <row r="37" spans="1:26" s="23" customFormat="1" x14ac:dyDescent="0.15">
      <c r="A37" s="7"/>
      <c r="B37" s="11" t="s">
        <v>67</v>
      </c>
      <c r="F37" s="23">
        <f>37.237+11.158</f>
        <v>48.395000000000003</v>
      </c>
      <c r="G37" s="25"/>
      <c r="J37" s="23">
        <f>66.532+13.55</f>
        <v>80.081999999999994</v>
      </c>
      <c r="K37" s="25"/>
      <c r="N37" s="23">
        <f>94.754+17.71</f>
        <v>112.464</v>
      </c>
      <c r="O37" s="25">
        <f>113.576+19.071</f>
        <v>132.64699999999999</v>
      </c>
      <c r="P37" s="23">
        <f>132.38+20.476</f>
        <v>152.85599999999999</v>
      </c>
      <c r="Q37" s="23">
        <f>146.947+22.669</f>
        <v>169.61600000000001</v>
      </c>
      <c r="R37" s="23">
        <f>138.688+25.329</f>
        <v>164.017</v>
      </c>
      <c r="S37" s="25">
        <f>173+102</f>
        <v>275</v>
      </c>
      <c r="T37" s="23">
        <f>193+113</f>
        <v>306</v>
      </c>
      <c r="U37" s="23">
        <f>260+109</f>
        <v>369</v>
      </c>
      <c r="V37" s="23">
        <f>316+157</f>
        <v>473</v>
      </c>
      <c r="W37" s="25">
        <f>289+142</f>
        <v>431</v>
      </c>
      <c r="X37" s="23">
        <f>321+149</f>
        <v>470</v>
      </c>
      <c r="Y37" s="23">
        <f>370+915</f>
        <v>1285</v>
      </c>
      <c r="Z37" s="23">
        <f>438+924</f>
        <v>1362</v>
      </c>
    </row>
    <row r="38" spans="1:26" s="23" customFormat="1" x14ac:dyDescent="0.15">
      <c r="A38" s="7"/>
      <c r="B38" s="10"/>
      <c r="G38" s="25"/>
      <c r="K38" s="25"/>
      <c r="O38" s="25"/>
      <c r="S38" s="25"/>
      <c r="W38" s="25"/>
    </row>
    <row r="39" spans="1:26" s="23" customFormat="1" x14ac:dyDescent="0.15">
      <c r="A39" s="7"/>
      <c r="B39" s="11" t="s">
        <v>68</v>
      </c>
      <c r="F39" s="46">
        <f>F36-F35-F32</f>
        <v>45.339999999999975</v>
      </c>
      <c r="G39" s="25"/>
      <c r="J39" s="46">
        <f>J36-J35-J32</f>
        <v>76.203000000000031</v>
      </c>
      <c r="K39" s="25"/>
      <c r="N39" s="46">
        <f t="shared" ref="N39:W39" si="56">N36-N35-N32</f>
        <v>137.99800000000005</v>
      </c>
      <c r="O39" s="45">
        <f t="shared" si="56"/>
        <v>161.09800000000018</v>
      </c>
      <c r="P39" s="46">
        <f t="shared" si="56"/>
        <v>187.33900000000017</v>
      </c>
      <c r="Q39" s="46">
        <f t="shared" si="56"/>
        <v>214.51499999999987</v>
      </c>
      <c r="R39" s="46">
        <f t="shared" si="56"/>
        <v>221.02399999999989</v>
      </c>
      <c r="S39" s="45">
        <f t="shared" si="56"/>
        <v>338</v>
      </c>
      <c r="T39" s="46">
        <f t="shared" si="56"/>
        <v>381</v>
      </c>
      <c r="U39" s="46">
        <f t="shared" si="56"/>
        <v>448</v>
      </c>
      <c r="V39" s="46">
        <f t="shared" si="56"/>
        <v>555</v>
      </c>
      <c r="W39" s="45">
        <f t="shared" si="56"/>
        <v>640</v>
      </c>
      <c r="X39" s="46">
        <f t="shared" ref="X39:Y39" si="57">X36-X35-X32</f>
        <v>634</v>
      </c>
      <c r="Y39" s="46">
        <f t="shared" si="57"/>
        <v>885</v>
      </c>
      <c r="Z39" s="46">
        <f t="shared" ref="Z39" si="58">Z36-Z35-Z32</f>
        <v>927</v>
      </c>
    </row>
    <row r="40" spans="1:26" s="23" customFormat="1" x14ac:dyDescent="0.15">
      <c r="A40" s="7"/>
      <c r="B40" s="11" t="s">
        <v>69</v>
      </c>
      <c r="F40" s="46">
        <f>F36-F37</f>
        <v>195.31699999999998</v>
      </c>
      <c r="G40" s="25"/>
      <c r="J40" s="46">
        <f>J36-J37</f>
        <v>410.476</v>
      </c>
      <c r="K40" s="25"/>
      <c r="N40" s="46">
        <f t="shared" ref="N40:W40" si="59">N36-N37</f>
        <v>1001.1000000000001</v>
      </c>
      <c r="O40" s="45">
        <f t="shared" si="59"/>
        <v>1649.8890000000001</v>
      </c>
      <c r="P40" s="46">
        <f t="shared" si="59"/>
        <v>1656.201</v>
      </c>
      <c r="Q40" s="46">
        <f t="shared" si="59"/>
        <v>1672.078</v>
      </c>
      <c r="R40" s="46">
        <f t="shared" si="59"/>
        <v>2090.768</v>
      </c>
      <c r="S40" s="45">
        <f t="shared" si="59"/>
        <v>2128</v>
      </c>
      <c r="T40" s="46">
        <f t="shared" si="59"/>
        <v>2161</v>
      </c>
      <c r="U40" s="46">
        <f t="shared" si="59"/>
        <v>2820</v>
      </c>
      <c r="V40" s="46">
        <f t="shared" si="59"/>
        <v>3016</v>
      </c>
      <c r="W40" s="45">
        <f t="shared" si="59"/>
        <v>3040</v>
      </c>
      <c r="X40" s="46">
        <f t="shared" ref="X40:Y40" si="60">X36-X37</f>
        <v>4628</v>
      </c>
      <c r="Y40" s="46">
        <f t="shared" si="60"/>
        <v>6177</v>
      </c>
      <c r="Z40" s="46">
        <f t="shared" ref="Z40" si="61">Z36-Z37</f>
        <v>6401</v>
      </c>
    </row>
    <row r="41" spans="1:26" s="23" customFormat="1" x14ac:dyDescent="0.15">
      <c r="A41" s="7"/>
      <c r="B41" s="10"/>
      <c r="G41" s="25"/>
      <c r="K41" s="25"/>
      <c r="O41" s="25"/>
      <c r="S41" s="25"/>
      <c r="T41" s="30"/>
      <c r="W41" s="25"/>
    </row>
    <row r="42" spans="1:26" s="72" customFormat="1" x14ac:dyDescent="0.15">
      <c r="A42" s="65"/>
      <c r="B42" s="71" t="s">
        <v>105</v>
      </c>
      <c r="F42" s="49">
        <f>SUM(C18:F18)</f>
        <v>-18.789999999999992</v>
      </c>
      <c r="G42" s="25"/>
      <c r="H42" s="23"/>
      <c r="I42" s="23"/>
      <c r="J42" s="49">
        <f>SUM(G18:J18)</f>
        <v>-35.566000000000017</v>
      </c>
      <c r="K42" s="25"/>
      <c r="L42" s="23"/>
      <c r="M42" s="23"/>
      <c r="N42" s="49">
        <f t="shared" ref="N42:Z42" si="62">SUM(K18:N18)</f>
        <v>-31.322999999999983</v>
      </c>
      <c r="O42" s="47">
        <f t="shared" si="62"/>
        <v>-41.898000000000025</v>
      </c>
      <c r="P42" s="49">
        <f t="shared" si="62"/>
        <v>-60.850000000000051</v>
      </c>
      <c r="Q42" s="49">
        <f t="shared" si="62"/>
        <v>-71.157000000000082</v>
      </c>
      <c r="R42" s="49">
        <f t="shared" si="62"/>
        <v>-69.684000000000125</v>
      </c>
      <c r="S42" s="47">
        <f t="shared" si="62"/>
        <v>-61.657000000000131</v>
      </c>
      <c r="T42" s="49">
        <f t="shared" si="62"/>
        <v>-55.306000000000111</v>
      </c>
      <c r="U42" s="49">
        <f t="shared" si="62"/>
        <v>-116.22300000000008</v>
      </c>
      <c r="V42" s="49">
        <f t="shared" si="62"/>
        <v>-110.70900000000003</v>
      </c>
      <c r="W42" s="47">
        <f t="shared" si="62"/>
        <v>-144</v>
      </c>
      <c r="X42" s="49">
        <f t="shared" si="62"/>
        <v>-84.966000000000008</v>
      </c>
      <c r="Y42" s="49">
        <f t="shared" si="62"/>
        <v>184.18199999999996</v>
      </c>
      <c r="Z42" s="49">
        <f t="shared" si="62"/>
        <v>313.56999999999988</v>
      </c>
    </row>
    <row r="43" spans="1:26" s="38" customFormat="1" x14ac:dyDescent="0.15">
      <c r="A43" s="20"/>
      <c r="B43" s="50" t="s">
        <v>70</v>
      </c>
      <c r="F43" s="38">
        <f>F42/F40</f>
        <v>-9.6202583492476304E-2</v>
      </c>
      <c r="G43" s="25"/>
      <c r="H43" s="23"/>
      <c r="I43" s="23"/>
      <c r="J43" s="38">
        <f>J42/J40</f>
        <v>-8.6645747863456121E-2</v>
      </c>
      <c r="K43" s="25"/>
      <c r="L43" s="23"/>
      <c r="M43" s="23"/>
      <c r="N43" s="38">
        <f t="shared" ref="N43:Y43" si="63">N42/N40</f>
        <v>-3.1288582559184874E-2</v>
      </c>
      <c r="O43" s="37">
        <f t="shared" si="63"/>
        <v>-2.5394435625669377E-2</v>
      </c>
      <c r="P43" s="38">
        <f t="shared" si="63"/>
        <v>-3.6740709611937226E-2</v>
      </c>
      <c r="Q43" s="38">
        <f t="shared" si="63"/>
        <v>-4.2556029084767626E-2</v>
      </c>
      <c r="R43" s="38">
        <f t="shared" si="63"/>
        <v>-3.3329379443343368E-2</v>
      </c>
      <c r="S43" s="37">
        <f t="shared" si="63"/>
        <v>-2.8974154135338409E-2</v>
      </c>
      <c r="T43" s="38">
        <f t="shared" si="63"/>
        <v>-2.5592781119851971E-2</v>
      </c>
      <c r="U43" s="38">
        <f t="shared" si="63"/>
        <v>-4.121382978723407E-2</v>
      </c>
      <c r="V43" s="38">
        <f t="shared" si="63"/>
        <v>-3.6707228116710885E-2</v>
      </c>
      <c r="W43" s="37">
        <f t="shared" si="63"/>
        <v>-4.736842105263158E-2</v>
      </c>
      <c r="X43" s="38">
        <f t="shared" si="63"/>
        <v>-1.8359118409680211E-2</v>
      </c>
      <c r="Y43" s="38">
        <f t="shared" si="63"/>
        <v>2.9817387081107326E-2</v>
      </c>
      <c r="Z43" s="38">
        <f t="shared" ref="Z43" si="64">Z42/Z40</f>
        <v>4.8987658178409603E-2</v>
      </c>
    </row>
    <row r="44" spans="1:26" s="38" customFormat="1" x14ac:dyDescent="0.15">
      <c r="A44" s="20"/>
      <c r="B44" s="50" t="s">
        <v>71</v>
      </c>
      <c r="F44" s="38">
        <f>F42/F36</f>
        <v>-7.7099199054621814E-2</v>
      </c>
      <c r="G44" s="25"/>
      <c r="H44" s="23"/>
      <c r="I44" s="23"/>
      <c r="J44" s="38">
        <f>J42/J36</f>
        <v>-7.2501110979741476E-2</v>
      </c>
      <c r="K44" s="25"/>
      <c r="L44" s="23"/>
      <c r="M44" s="23"/>
      <c r="N44" s="38">
        <f t="shared" ref="N44:W44" si="65">N42/N36</f>
        <v>-2.8128603295365134E-2</v>
      </c>
      <c r="O44" s="37">
        <f t="shared" si="65"/>
        <v>-2.3504714631289367E-2</v>
      </c>
      <c r="P44" s="38">
        <f t="shared" si="65"/>
        <v>-3.363630886146763E-2</v>
      </c>
      <c r="Q44" s="38">
        <f t="shared" si="65"/>
        <v>-3.8636711636135038E-2</v>
      </c>
      <c r="R44" s="38">
        <f t="shared" si="65"/>
        <v>-3.0904942156347558E-2</v>
      </c>
      <c r="S44" s="37">
        <f t="shared" si="65"/>
        <v>-2.5658343736995479E-2</v>
      </c>
      <c r="T44" s="38">
        <f t="shared" si="65"/>
        <v>-2.2418321848398912E-2</v>
      </c>
      <c r="U44" s="38">
        <f t="shared" si="65"/>
        <v>-3.6444967074317991E-2</v>
      </c>
      <c r="V44" s="38">
        <f t="shared" si="65"/>
        <v>-3.1730868443680144E-2</v>
      </c>
      <c r="W44" s="37">
        <f t="shared" si="65"/>
        <v>-4.1486603284356091E-2</v>
      </c>
      <c r="X44" s="38">
        <f t="shared" ref="X44:Y44" si="66">X42/X36</f>
        <v>-1.6666535896429975E-2</v>
      </c>
      <c r="Y44" s="38">
        <f t="shared" si="66"/>
        <v>2.4682658804610017E-2</v>
      </c>
      <c r="Z44" s="38">
        <f t="shared" ref="Z44" si="67">Z42/Z36</f>
        <v>4.0392889346901953E-2</v>
      </c>
    </row>
    <row r="45" spans="1:26" s="38" customFormat="1" x14ac:dyDescent="0.15">
      <c r="A45" s="20"/>
      <c r="B45" s="50" t="s">
        <v>72</v>
      </c>
      <c r="F45" s="38">
        <f>F42/(F40-F35)</f>
        <v>-0.10041791810515287</v>
      </c>
      <c r="G45" s="25"/>
      <c r="H45" s="23"/>
      <c r="I45" s="23"/>
      <c r="J45" s="38">
        <f>J42/(J40-J35)</f>
        <v>-9.1538728814649944E-2</v>
      </c>
      <c r="K45" s="25"/>
      <c r="L45" s="23"/>
      <c r="M45" s="23"/>
      <c r="N45" s="38">
        <f t="shared" ref="N45:W45" si="68">N42/(N40-N35)</f>
        <v>-3.2507137497626001E-2</v>
      </c>
      <c r="O45" s="37">
        <f t="shared" si="68"/>
        <v>-2.6048129791779104E-2</v>
      </c>
      <c r="P45" s="38">
        <f t="shared" si="68"/>
        <v>-3.7826725622897725E-2</v>
      </c>
      <c r="Q45" s="38">
        <f t="shared" si="68"/>
        <v>-4.3839534132943683E-2</v>
      </c>
      <c r="R45" s="38">
        <f t="shared" si="68"/>
        <v>-3.4383377321595951E-2</v>
      </c>
      <c r="S45" s="37">
        <f t="shared" si="68"/>
        <v>-2.9930582524271908E-2</v>
      </c>
      <c r="T45" s="38">
        <f t="shared" si="68"/>
        <v>-2.648754789272036E-2</v>
      </c>
      <c r="U45" s="38">
        <f t="shared" si="68"/>
        <v>-4.230906443392795E-2</v>
      </c>
      <c r="V45" s="38">
        <f t="shared" si="68"/>
        <v>-4.3637761135199064E-2</v>
      </c>
      <c r="W45" s="37">
        <f t="shared" si="68"/>
        <v>-5.6052938886726356E-2</v>
      </c>
      <c r="X45" s="38">
        <f t="shared" ref="X45:Y45" si="69">X42/(X40-X35)</f>
        <v>-2.0400000000000001E-2</v>
      </c>
      <c r="Y45" s="38">
        <f t="shared" si="69"/>
        <v>3.2194022024121652E-2</v>
      </c>
      <c r="Z45" s="38">
        <f t="shared" ref="Z45" si="70">Z42/(Z40-Z35)</f>
        <v>5.2674281874685015E-2</v>
      </c>
    </row>
    <row r="46" spans="1:26" s="38" customFormat="1" x14ac:dyDescent="0.15">
      <c r="A46" s="20"/>
      <c r="B46" s="50" t="s">
        <v>73</v>
      </c>
      <c r="F46" s="38">
        <f>F42/F39</f>
        <v>-0.41442434936038824</v>
      </c>
      <c r="G46" s="25"/>
      <c r="H46" s="23"/>
      <c r="I46" s="23"/>
      <c r="J46" s="38">
        <f>J42/J39</f>
        <v>-0.46672703174415708</v>
      </c>
      <c r="K46" s="25"/>
      <c r="L46" s="23"/>
      <c r="M46" s="23"/>
      <c r="N46" s="38">
        <f t="shared" ref="N46:W46" si="71">N42/N39</f>
        <v>-0.2269815504572528</v>
      </c>
      <c r="O46" s="37">
        <f t="shared" si="71"/>
        <v>-0.26007771666935642</v>
      </c>
      <c r="P46" s="38">
        <f t="shared" si="71"/>
        <v>-0.32481223877569537</v>
      </c>
      <c r="Q46" s="38">
        <f t="shared" si="71"/>
        <v>-0.33171106915600368</v>
      </c>
      <c r="R46" s="38">
        <f t="shared" si="71"/>
        <v>-0.31527797886202474</v>
      </c>
      <c r="S46" s="37">
        <f t="shared" si="71"/>
        <v>-0.18241715976331399</v>
      </c>
      <c r="T46" s="38">
        <f t="shared" si="71"/>
        <v>-0.14516010498687693</v>
      </c>
      <c r="U46" s="38">
        <f t="shared" si="71"/>
        <v>-0.25942633928571446</v>
      </c>
      <c r="V46" s="38">
        <f t="shared" si="71"/>
        <v>-0.19947567567567573</v>
      </c>
      <c r="W46" s="37">
        <f t="shared" si="71"/>
        <v>-0.22500000000000001</v>
      </c>
      <c r="X46" s="38">
        <f t="shared" ref="X46:Y46" si="72">X42/X39</f>
        <v>-0.13401577287066246</v>
      </c>
      <c r="Y46" s="38">
        <f t="shared" si="72"/>
        <v>0.20811525423728808</v>
      </c>
      <c r="Z46" s="38">
        <f t="shared" ref="Z46" si="73">Z42/Z39</f>
        <v>0.33826321467098153</v>
      </c>
    </row>
    <row r="47" spans="1:26" x14ac:dyDescent="0.15">
      <c r="B47" s="3"/>
      <c r="S47" s="80"/>
      <c r="T47" s="51"/>
      <c r="U47" s="51"/>
      <c r="V47" s="51"/>
      <c r="W47" s="80"/>
      <c r="X47" s="51"/>
      <c r="Y47" s="51"/>
      <c r="Z47" s="51"/>
    </row>
    <row r="48" spans="1:26" s="95" customFormat="1" x14ac:dyDescent="0.15">
      <c r="A48" s="2"/>
      <c r="B48" s="96" t="s">
        <v>110</v>
      </c>
      <c r="F48" s="49">
        <f>SUM(C7:F7)</f>
        <v>205.233</v>
      </c>
      <c r="G48" s="47">
        <f>SUM(D7:G7)</f>
        <v>240.607</v>
      </c>
      <c r="H48" s="49">
        <f>SUM(E7:H7)</f>
        <v>282.32799999999997</v>
      </c>
      <c r="I48" s="49">
        <f>SUM(F7:I7)</f>
        <v>329.12</v>
      </c>
      <c r="J48" s="49">
        <f>SUM(G7:J7)</f>
        <v>389.33</v>
      </c>
      <c r="K48" s="47">
        <f>SUM(H7:K7)</f>
        <v>443.98699999999997</v>
      </c>
      <c r="L48" s="49">
        <f>SUM(I7:L7)</f>
        <v>508.995</v>
      </c>
      <c r="M48" s="49">
        <f>SUM(J7:M7)</f>
        <v>580.87300000000005</v>
      </c>
      <c r="N48" s="49">
        <f>SUM(K7:N7)</f>
        <v>673.30399999999997</v>
      </c>
      <c r="O48" s="47">
        <f>SUM(L7:O7)</f>
        <v>760.26499999999987</v>
      </c>
      <c r="P48" s="49">
        <f>SUM(M7:P7)</f>
        <v>853.57299999999987</v>
      </c>
      <c r="Q48" s="49">
        <f>SUM(N7:Q7)</f>
        <v>952.18099999999993</v>
      </c>
      <c r="R48" s="49">
        <f>SUM(O7:R7)</f>
        <v>1073.2289999999998</v>
      </c>
      <c r="S48" s="47">
        <f>SUM(P7:S7)</f>
        <v>1179.3709999999999</v>
      </c>
      <c r="T48" s="49">
        <f>SUM(Q7:T7)</f>
        <v>1296.4079999999999</v>
      </c>
      <c r="U48" s="49">
        <f>SUM(R7:U7)</f>
        <v>1417.3440000000001</v>
      </c>
      <c r="V48" s="49">
        <f>SUM(S7:V7)</f>
        <v>1578.482</v>
      </c>
      <c r="W48" s="47">
        <f>SUM(T7:W7)</f>
        <v>1728</v>
      </c>
      <c r="X48" s="49">
        <f>SUM(U7:X7)</f>
        <v>2080.3409999999999</v>
      </c>
      <c r="Y48" s="49">
        <f>SUM(V7:Y7)</f>
        <v>2456.7460000000001</v>
      </c>
      <c r="Z48" s="49">
        <f>SUM(W7:Z7)</f>
        <v>2929.49</v>
      </c>
    </row>
    <row r="49" spans="1:26" s="98" customFormat="1" x14ac:dyDescent="0.15">
      <c r="A49" s="97"/>
      <c r="B49" s="96" t="s">
        <v>111</v>
      </c>
      <c r="G49" s="100"/>
      <c r="H49" s="99"/>
      <c r="I49" s="99"/>
      <c r="J49" s="99">
        <f>J48/F48-1</f>
        <v>0.89701461265975735</v>
      </c>
      <c r="K49" s="100">
        <f>K48/G48-1</f>
        <v>0.84527881566205454</v>
      </c>
      <c r="L49" s="99">
        <f>L48/H48-1</f>
        <v>0.80284987673911212</v>
      </c>
      <c r="M49" s="99">
        <f>M48/I48-1</f>
        <v>0.76492768595041327</v>
      </c>
      <c r="N49" s="99">
        <f>N48/J48-1</f>
        <v>0.72939151876300312</v>
      </c>
      <c r="O49" s="100">
        <f>O48/K48-1</f>
        <v>0.71235869518702111</v>
      </c>
      <c r="P49" s="99">
        <f>P48/L48-1</f>
        <v>0.67697718052240163</v>
      </c>
      <c r="Q49" s="99">
        <f>Q48/M48-1</f>
        <v>0.63922406446848079</v>
      </c>
      <c r="R49" s="99">
        <f>R48/N48-1</f>
        <v>0.59397389589249405</v>
      </c>
      <c r="S49" s="100">
        <f>S48/O48-1</f>
        <v>0.55126304643775526</v>
      </c>
      <c r="T49" s="99">
        <f>T48/P48-1</f>
        <v>0.51880155534441696</v>
      </c>
      <c r="U49" s="99">
        <f>U48/Q48-1</f>
        <v>0.4885237155540807</v>
      </c>
      <c r="V49" s="99">
        <f>V48/R48-1</f>
        <v>0.47077837069255501</v>
      </c>
      <c r="W49" s="100">
        <f>W48/S48-1</f>
        <v>0.4651877992590967</v>
      </c>
      <c r="X49" s="99">
        <f>X48/T48-1</f>
        <v>0.60469620674972702</v>
      </c>
      <c r="Y49" s="99">
        <f>Y48/U48-1</f>
        <v>0.73334490427165178</v>
      </c>
      <c r="Z49" s="99">
        <f>Z48/V48-1</f>
        <v>0.85589065950704524</v>
      </c>
    </row>
    <row r="50" spans="1:26" x14ac:dyDescent="0.15">
      <c r="B50" s="3"/>
      <c r="S50" s="80"/>
      <c r="T50" s="51"/>
      <c r="U50" s="51"/>
      <c r="V50" s="51"/>
      <c r="W50" s="80"/>
      <c r="X50" s="51"/>
      <c r="Y50" s="51"/>
      <c r="Z50" s="51"/>
    </row>
    <row r="51" spans="1:26" x14ac:dyDescent="0.15">
      <c r="B51" s="1" t="s">
        <v>74</v>
      </c>
      <c r="G51" s="37">
        <f>G4/C4-1</f>
        <v>0.73165712240515401</v>
      </c>
      <c r="H51" s="38">
        <f>H4/D4-1</f>
        <v>0.71546407950037305</v>
      </c>
      <c r="I51" s="38">
        <f>I4/E4-1</f>
        <v>0.68602841677943172</v>
      </c>
      <c r="J51" s="38">
        <f>J4/F4-1</f>
        <v>0.62930536292186789</v>
      </c>
      <c r="K51" s="37">
        <f>K4/G4-1</f>
        <v>0.60388570247506834</v>
      </c>
      <c r="L51" s="38">
        <f>L4/H4-1</f>
        <v>0.63937354032147264</v>
      </c>
      <c r="M51" s="38">
        <f>M4/I4-1</f>
        <v>0.65402596360280119</v>
      </c>
      <c r="N51" s="38">
        <f>N4/J4-1</f>
        <v>0.6655966800858355</v>
      </c>
      <c r="O51" s="37">
        <f>O4/K4-1</f>
        <v>0.61401417525773194</v>
      </c>
      <c r="P51" s="38">
        <f>P4/L4-1</f>
        <v>0.54642587781781615</v>
      </c>
      <c r="Q51" s="38">
        <f>Q4/M4-1</f>
        <v>0.46196397161399871</v>
      </c>
      <c r="R51" s="59">
        <f t="shared" ref="R51:Z51" si="74">R4/N4-1</f>
        <v>0.4220916118315976</v>
      </c>
      <c r="S51" s="76">
        <f t="shared" si="74"/>
        <v>0.40173456556019094</v>
      </c>
      <c r="T51" s="59">
        <f t="shared" si="74"/>
        <v>0.38185168125287872</v>
      </c>
      <c r="U51" s="59">
        <f t="shared" si="74"/>
        <v>0.3773990391397064</v>
      </c>
      <c r="V51" s="59">
        <f t="shared" si="74"/>
        <v>0.37017070979335132</v>
      </c>
      <c r="W51" s="76">
        <f t="shared" si="74"/>
        <v>0.338545115378317</v>
      </c>
      <c r="X51" s="59">
        <f t="shared" si="74"/>
        <v>0.28388235294117647</v>
      </c>
      <c r="Y51" s="59">
        <f t="shared" si="74"/>
        <v>0.47755421686746979</v>
      </c>
      <c r="Z51" s="59">
        <f t="shared" si="74"/>
        <v>0.52699453551912567</v>
      </c>
    </row>
    <row r="52" spans="1:26" x14ac:dyDescent="0.15">
      <c r="B52" s="1" t="s">
        <v>75</v>
      </c>
      <c r="G52" s="37">
        <f>G5/C5-1</f>
        <v>1.2683382235262735</v>
      </c>
      <c r="H52" s="38">
        <f>H5/D5-1</f>
        <v>1.2074793239841783</v>
      </c>
      <c r="I52" s="38">
        <f>I5/E5-1</f>
        <v>1.141522431757513</v>
      </c>
      <c r="J52" s="38">
        <f>J5/F5-1</f>
        <v>1.0805848446506396</v>
      </c>
      <c r="K52" s="37">
        <f>K5/G5-1</f>
        <v>0.91965545625587986</v>
      </c>
      <c r="L52" s="38">
        <f>L5/H5-1</f>
        <v>0.86296046354687839</v>
      </c>
      <c r="M52" s="38">
        <f>M5/I5-1</f>
        <v>0.78976256056615535</v>
      </c>
      <c r="N52" s="38">
        <f>N5/J5-1</f>
        <v>0.74193199632412554</v>
      </c>
      <c r="O52" s="37">
        <f>O5/K5-1</f>
        <v>0.74799001516102837</v>
      </c>
      <c r="P52" s="38">
        <f>P5/L5-1</f>
        <v>0.67683025844086075</v>
      </c>
      <c r="Q52" s="38">
        <f>Q5/M5-1</f>
        <v>0.67990698823873008</v>
      </c>
      <c r="R52" s="59">
        <f>R5/N5-1</f>
        <v>0.63156343098311818</v>
      </c>
      <c r="S52" s="76">
        <f>S5/O5-1</f>
        <v>0.5772546477195073</v>
      </c>
      <c r="T52" s="59">
        <f>T5/P5-1</f>
        <v>0.55688979603998767</v>
      </c>
      <c r="U52" s="59">
        <f>U5/Q5-1</f>
        <v>0.50454372204056264</v>
      </c>
      <c r="V52" s="59">
        <f>V5/R5-1</f>
        <v>0.53113142052857332</v>
      </c>
      <c r="W52" s="76">
        <f>W5/S5-1</f>
        <v>0.56639689831195739</v>
      </c>
      <c r="X52" s="59">
        <f>X5/T5-1</f>
        <v>1.4780239234449764</v>
      </c>
      <c r="Y52" s="59">
        <f>Y5/U5-1</f>
        <v>1.3205822222222219</v>
      </c>
      <c r="Z52" s="59">
        <f>Z5/V5-1</f>
        <v>1.1686459627329193</v>
      </c>
    </row>
    <row r="54" spans="1:26" s="23" customFormat="1" x14ac:dyDescent="0.15">
      <c r="A54" s="7"/>
      <c r="B54" s="63" t="s">
        <v>99</v>
      </c>
      <c r="G54" s="25"/>
      <c r="K54" s="25">
        <v>20.724</v>
      </c>
      <c r="L54" s="23">
        <v>23.66</v>
      </c>
      <c r="M54" s="23">
        <v>26.837</v>
      </c>
      <c r="N54" s="23">
        <v>29.9</v>
      </c>
      <c r="O54" s="25">
        <v>32.460999999999999</v>
      </c>
      <c r="P54" s="23">
        <v>35.281999999999996</v>
      </c>
      <c r="Q54" s="23">
        <v>37.854999999999997</v>
      </c>
      <c r="R54" s="90">
        <v>40.9</v>
      </c>
      <c r="S54" s="25">
        <v>44.213000000000001</v>
      </c>
      <c r="T54" s="23">
        <v>47.122999999999998</v>
      </c>
      <c r="U54" s="23">
        <v>50.65</v>
      </c>
      <c r="V54" s="23">
        <v>53.9</v>
      </c>
      <c r="W54" s="25">
        <v>55.396999999999998</v>
      </c>
      <c r="X54" s="23">
        <v>57.027000000000001</v>
      </c>
      <c r="Y54" s="23">
        <v>74.36</v>
      </c>
      <c r="Z54" s="23">
        <v>82.6</v>
      </c>
    </row>
    <row r="55" spans="1:26" s="23" customFormat="1" x14ac:dyDescent="0.15">
      <c r="A55" s="7"/>
      <c r="B55" s="63" t="s">
        <v>100</v>
      </c>
      <c r="G55" s="25"/>
      <c r="K55" s="25">
        <v>4852.4250000000002</v>
      </c>
      <c r="L55" s="23">
        <v>5865.8459999999995</v>
      </c>
      <c r="M55" s="23">
        <v>6430.9</v>
      </c>
      <c r="N55" s="23">
        <f>R55-4900</f>
        <v>9100</v>
      </c>
      <c r="O55" s="25">
        <v>7952.4319999999998</v>
      </c>
      <c r="P55" s="23">
        <v>9135.6389999999992</v>
      </c>
      <c r="Q55" s="23">
        <v>9994.6080000000002</v>
      </c>
      <c r="R55" s="90">
        <f>V55-6600</f>
        <v>14000</v>
      </c>
      <c r="S55" s="25">
        <v>11913.825999999999</v>
      </c>
      <c r="T55" s="23">
        <v>13772.195</v>
      </c>
      <c r="U55" s="23">
        <v>14821.11</v>
      </c>
      <c r="V55" s="23">
        <v>20600</v>
      </c>
      <c r="W55" s="25">
        <v>17415.252</v>
      </c>
      <c r="X55" s="23">
        <v>30105.466</v>
      </c>
      <c r="Y55" s="23">
        <v>30917.154999999999</v>
      </c>
      <c r="Z55" s="23">
        <v>41100</v>
      </c>
    </row>
    <row r="57" spans="1:26" s="38" customFormat="1" x14ac:dyDescent="0.15">
      <c r="A57" s="20"/>
      <c r="B57" s="91" t="s">
        <v>101</v>
      </c>
      <c r="G57" s="37"/>
      <c r="K57" s="37"/>
      <c r="O57" s="37">
        <f t="shared" ref="O57:Z58" si="75">O54/K54-1</f>
        <v>0.56634819532908698</v>
      </c>
      <c r="P57" s="38">
        <f t="shared" si="75"/>
        <v>0.49120879120879102</v>
      </c>
      <c r="Q57" s="38">
        <f t="shared" si="75"/>
        <v>0.41055259529753685</v>
      </c>
      <c r="R57" s="38">
        <f t="shared" si="75"/>
        <v>0.36789297658862874</v>
      </c>
      <c r="S57" s="37">
        <f t="shared" si="75"/>
        <v>0.3620344413295955</v>
      </c>
      <c r="T57" s="38">
        <f t="shared" si="75"/>
        <v>0.33561022617765435</v>
      </c>
      <c r="U57" s="38">
        <f t="shared" si="75"/>
        <v>0.33800026416589635</v>
      </c>
      <c r="V57" s="38">
        <f t="shared" si="75"/>
        <v>0.31784841075794623</v>
      </c>
      <c r="W57" s="37">
        <f t="shared" si="75"/>
        <v>0.25295727500961251</v>
      </c>
      <c r="X57" s="38">
        <f t="shared" si="75"/>
        <v>0.21017337605840036</v>
      </c>
      <c r="Y57" s="38">
        <f t="shared" si="75"/>
        <v>0.46811451135241855</v>
      </c>
      <c r="Z57" s="38">
        <f t="shared" si="75"/>
        <v>0.53246753246753231</v>
      </c>
    </row>
    <row r="58" spans="1:26" s="38" customFormat="1" x14ac:dyDescent="0.15">
      <c r="A58" s="20"/>
      <c r="B58" s="91" t="s">
        <v>102</v>
      </c>
      <c r="G58" s="37"/>
      <c r="K58" s="37"/>
      <c r="O58" s="37">
        <f t="shared" si="75"/>
        <v>0.63885727239473034</v>
      </c>
      <c r="P58" s="38">
        <f t="shared" si="75"/>
        <v>0.55742905626912131</v>
      </c>
      <c r="Q58" s="38">
        <f t="shared" si="75"/>
        <v>0.55415385093843805</v>
      </c>
      <c r="R58" s="38">
        <f t="shared" si="75"/>
        <v>0.53846153846153855</v>
      </c>
      <c r="S58" s="37">
        <f t="shared" si="75"/>
        <v>0.49813616765286395</v>
      </c>
      <c r="T58" s="38">
        <f t="shared" si="75"/>
        <v>0.50752399476380372</v>
      </c>
      <c r="U58" s="38">
        <f t="shared" si="75"/>
        <v>0.48291058538764098</v>
      </c>
      <c r="V58" s="38">
        <f t="shared" si="75"/>
        <v>0.47142857142857153</v>
      </c>
      <c r="W58" s="37">
        <f t="shared" si="75"/>
        <v>0.46176820107998906</v>
      </c>
      <c r="X58" s="38">
        <f t="shared" si="75"/>
        <v>1.1859598996383656</v>
      </c>
      <c r="Y58" s="38">
        <f t="shared" si="75"/>
        <v>1.0860215597887066</v>
      </c>
      <c r="Z58" s="38">
        <f t="shared" si="75"/>
        <v>0.99514563106796117</v>
      </c>
    </row>
    <row r="60" spans="1:26" x14ac:dyDescent="0.15">
      <c r="B60" s="24" t="s">
        <v>103</v>
      </c>
      <c r="K60" s="37">
        <f t="shared" ref="K60:Z60" si="76">K7/K55</f>
        <v>2.6250586047182594E-2</v>
      </c>
      <c r="L60" s="38">
        <f t="shared" si="76"/>
        <v>2.5853900699063702E-2</v>
      </c>
      <c r="M60" s="38">
        <f t="shared" si="76"/>
        <v>2.6661276026683674E-2</v>
      </c>
      <c r="N60" s="38">
        <f t="shared" si="76"/>
        <v>2.4485054945054943E-2</v>
      </c>
      <c r="O60" s="37">
        <f t="shared" si="76"/>
        <v>2.6952761117605278E-2</v>
      </c>
      <c r="P60" s="38">
        <f t="shared" si="76"/>
        <v>2.6813997356944601E-2</v>
      </c>
      <c r="Q60" s="38">
        <f t="shared" si="76"/>
        <v>2.702096970686594E-2</v>
      </c>
      <c r="R60" s="38">
        <f t="shared" si="76"/>
        <v>2.4561571428571426E-2</v>
      </c>
      <c r="S60" s="37">
        <f t="shared" si="76"/>
        <v>2.6900006765249049E-2</v>
      </c>
      <c r="T60" s="38">
        <f t="shared" si="76"/>
        <v>2.628484420965576E-2</v>
      </c>
      <c r="U60" s="38">
        <f t="shared" si="76"/>
        <v>2.6381289930376334E-2</v>
      </c>
      <c r="V60" s="38">
        <f t="shared" si="76"/>
        <v>2.4514563106796117E-2</v>
      </c>
      <c r="W60" s="37">
        <f t="shared" si="76"/>
        <v>2.6987838016929069E-2</v>
      </c>
      <c r="X60" s="38">
        <f t="shared" si="76"/>
        <v>2.3727950266572855E-2</v>
      </c>
      <c r="Y60" s="38">
        <f t="shared" si="76"/>
        <v>2.4821333010750828E-2</v>
      </c>
      <c r="Z60" s="38">
        <f t="shared" si="76"/>
        <v>2.3789391727493916E-2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4CA3-C7D7-E648-9FC8-7B256295A831}">
  <dimension ref="B4:C12"/>
  <sheetViews>
    <sheetView workbookViewId="0">
      <selection activeCell="C7" sqref="C7"/>
    </sheetView>
  </sheetViews>
  <sheetFormatPr baseColWidth="10" defaultRowHeight="13" x14ac:dyDescent="0.15"/>
  <cols>
    <col min="2" max="2" width="16.83203125" customWidth="1"/>
    <col min="3" max="3" width="34.83203125" bestFit="1" customWidth="1"/>
  </cols>
  <sheetData>
    <row r="4" spans="2:3" x14ac:dyDescent="0.15">
      <c r="B4" s="73" t="s">
        <v>91</v>
      </c>
    </row>
    <row r="6" spans="2:3" x14ac:dyDescent="0.15">
      <c r="B6" t="s">
        <v>92</v>
      </c>
      <c r="C6" t="s">
        <v>93</v>
      </c>
    </row>
    <row r="7" spans="2:3" x14ac:dyDescent="0.15">
      <c r="B7" t="s">
        <v>98</v>
      </c>
    </row>
    <row r="10" spans="2:3" x14ac:dyDescent="0.15">
      <c r="B10" s="73" t="s">
        <v>95</v>
      </c>
    </row>
    <row r="12" spans="2:3" x14ac:dyDescent="0.15">
      <c r="B12" t="s">
        <v>96</v>
      </c>
      <c r="C1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2021-02-28T12:27:25Z</dcterms:modified>
</cp:coreProperties>
</file>