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82B6E344-8ED4-DC48-8F76-2306A0EA341E}" xr6:coauthVersionLast="46" xr6:coauthVersionMax="46" xr10:uidLastSave="{00000000-0000-0000-0000-000000000000}"/>
  <bookViews>
    <workbookView xWindow="-52240" yWindow="-5940" windowWidth="26100" windowHeight="26740" tabRatio="500" activeTab="1" xr2:uid="{00000000-000D-0000-FFFF-FFFF00000000}"/>
  </bookViews>
  <sheets>
    <sheet name="Main" sheetId="2" r:id="rId1"/>
    <sheet name="Reports RMB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2" i="1" l="1"/>
  <c r="R52" i="1"/>
  <c r="Q52" i="1"/>
  <c r="U53" i="1"/>
  <c r="U51" i="1"/>
  <c r="Q29" i="1"/>
  <c r="M18" i="1"/>
  <c r="M10" i="1"/>
  <c r="Q51" i="1"/>
  <c r="R51" i="1"/>
  <c r="R45" i="1"/>
  <c r="Q45" i="1"/>
  <c r="N18" i="1"/>
  <c r="N10" i="1"/>
  <c r="O10" i="1"/>
  <c r="P10" i="1"/>
  <c r="Q10" i="1"/>
  <c r="R10" i="1"/>
  <c r="S10" i="1"/>
  <c r="T10" i="1"/>
  <c r="D4" i="2"/>
  <c r="D5" i="2"/>
  <c r="D39" i="2"/>
  <c r="F23" i="2"/>
  <c r="G23" i="2" s="1"/>
  <c r="D60" i="2"/>
  <c r="C27" i="2"/>
  <c r="D27" i="2"/>
  <c r="D25" i="2"/>
  <c r="D16" i="2"/>
  <c r="V15" i="1"/>
  <c r="F24" i="2" s="1"/>
  <c r="G24" i="2" s="1"/>
  <c r="H24" i="2" s="1"/>
  <c r="I24" i="2" s="1"/>
  <c r="J24" i="2" s="1"/>
  <c r="V14" i="1"/>
  <c r="V31" i="1" s="1"/>
  <c r="V32" i="1"/>
  <c r="V13" i="1"/>
  <c r="F22" i="2" s="1"/>
  <c r="G22" i="2" s="1"/>
  <c r="R30" i="1"/>
  <c r="Q30" i="1"/>
  <c r="S30" i="1"/>
  <c r="T30" i="1"/>
  <c r="U30" i="1"/>
  <c r="U31" i="1"/>
  <c r="V61" i="1"/>
  <c r="E32" i="2"/>
  <c r="F32" i="2" s="1"/>
  <c r="E29" i="2"/>
  <c r="E24" i="2"/>
  <c r="E41" i="2" s="1"/>
  <c r="E23" i="2"/>
  <c r="E40" i="2" s="1"/>
  <c r="E22" i="2"/>
  <c r="E25" i="2" s="1"/>
  <c r="E20" i="2"/>
  <c r="E16" i="2"/>
  <c r="E14" i="2"/>
  <c r="E61" i="2" s="1"/>
  <c r="E13" i="2"/>
  <c r="E17" i="2" s="1"/>
  <c r="O18" i="1"/>
  <c r="R18" i="1"/>
  <c r="P18" i="1"/>
  <c r="S18" i="1"/>
  <c r="S12" i="1"/>
  <c r="S25" i="1" s="1"/>
  <c r="R40" i="1"/>
  <c r="R38" i="1"/>
  <c r="R36" i="1"/>
  <c r="R35" i="1"/>
  <c r="U40" i="1"/>
  <c r="U43" i="1" s="1"/>
  <c r="U38" i="1"/>
  <c r="U36" i="1"/>
  <c r="U35" i="1"/>
  <c r="Q18" i="1"/>
  <c r="T18" i="1"/>
  <c r="N16" i="1"/>
  <c r="M16" i="1"/>
  <c r="O16" i="1"/>
  <c r="P16" i="1"/>
  <c r="Q16" i="1"/>
  <c r="R16" i="1"/>
  <c r="S16" i="1"/>
  <c r="T16" i="1"/>
  <c r="U16" i="1"/>
  <c r="U18" i="1"/>
  <c r="V18" i="1" s="1"/>
  <c r="U8" i="1"/>
  <c r="V8" i="1" s="1"/>
  <c r="T56" i="1"/>
  <c r="T55" i="1"/>
  <c r="T32" i="1"/>
  <c r="T31" i="1"/>
  <c r="T8" i="1"/>
  <c r="U56" i="1"/>
  <c r="U55" i="1"/>
  <c r="U32" i="1"/>
  <c r="U62" i="1"/>
  <c r="U64" i="1"/>
  <c r="S32" i="1"/>
  <c r="S31" i="1"/>
  <c r="S56" i="1"/>
  <c r="S55" i="1"/>
  <c r="S8" i="1"/>
  <c r="F17" i="2" s="1"/>
  <c r="H22" i="2" l="1"/>
  <c r="I22" i="2" s="1"/>
  <c r="J22" i="2" s="1"/>
  <c r="K22" i="2" s="1"/>
  <c r="L22" i="2" s="1"/>
  <c r="L39" i="2" s="1"/>
  <c r="G39" i="2"/>
  <c r="H23" i="2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G25" i="2"/>
  <c r="F39" i="2"/>
  <c r="F25" i="2"/>
  <c r="F42" i="2" s="1"/>
  <c r="E19" i="2"/>
  <c r="F27" i="2"/>
  <c r="E39" i="2"/>
  <c r="V7" i="1"/>
  <c r="F16" i="2" s="1"/>
  <c r="G16" i="2" s="1"/>
  <c r="H16" i="2" s="1"/>
  <c r="I16" i="2" s="1"/>
  <c r="J16" i="2" s="1"/>
  <c r="T29" i="1"/>
  <c r="E63" i="2"/>
  <c r="E27" i="2"/>
  <c r="V16" i="1"/>
  <c r="V30" i="1"/>
  <c r="E60" i="2"/>
  <c r="V62" i="1"/>
  <c r="U34" i="1"/>
  <c r="D6" i="2" s="1"/>
  <c r="D7" i="2" s="1"/>
  <c r="T64" i="1"/>
  <c r="T12" i="1"/>
  <c r="T25" i="1" s="1"/>
  <c r="U42" i="1"/>
  <c r="S17" i="1"/>
  <c r="S26" i="1" s="1"/>
  <c r="S64" i="1"/>
  <c r="V64" i="1" l="1"/>
  <c r="M22" i="2"/>
  <c r="F19" i="2"/>
  <c r="V58" i="1"/>
  <c r="V10" i="1"/>
  <c r="G42" i="2"/>
  <c r="M39" i="2"/>
  <c r="N22" i="2"/>
  <c r="H39" i="2"/>
  <c r="T17" i="1"/>
  <c r="T26" i="1" s="1"/>
  <c r="U10" i="1"/>
  <c r="S19" i="1"/>
  <c r="E50" i="2"/>
  <c r="E49" i="2"/>
  <c r="E46" i="2"/>
  <c r="K24" i="2"/>
  <c r="L24" i="2" s="1"/>
  <c r="M24" i="2" s="1"/>
  <c r="N24" i="2" s="1"/>
  <c r="O24" i="2" s="1"/>
  <c r="P24" i="2" s="1"/>
  <c r="Q24" i="2" s="1"/>
  <c r="R24" i="2" s="1"/>
  <c r="S24" i="2" s="1"/>
  <c r="T24" i="2" s="1"/>
  <c r="S58" i="1"/>
  <c r="T62" i="1"/>
  <c r="Q56" i="1"/>
  <c r="Q55" i="1"/>
  <c r="Q32" i="1"/>
  <c r="Q31" i="1"/>
  <c r="E48" i="2"/>
  <c r="R34" i="1"/>
  <c r="R8" i="1"/>
  <c r="V59" i="1" s="1"/>
  <c r="R56" i="1"/>
  <c r="R55" i="1"/>
  <c r="R43" i="1"/>
  <c r="R32" i="1"/>
  <c r="R31" i="1"/>
  <c r="V29" i="1" l="1"/>
  <c r="S52" i="1"/>
  <c r="T52" i="1"/>
  <c r="S29" i="1"/>
  <c r="F72" i="2"/>
  <c r="F38" i="2"/>
  <c r="N39" i="2"/>
  <c r="O22" i="2"/>
  <c r="I39" i="2"/>
  <c r="U12" i="1"/>
  <c r="U25" i="1" s="1"/>
  <c r="V12" i="1" s="1"/>
  <c r="U29" i="1"/>
  <c r="T19" i="1"/>
  <c r="T27" i="1" s="1"/>
  <c r="E45" i="2"/>
  <c r="E44" i="2" s="1"/>
  <c r="F66" i="2"/>
  <c r="G66" i="2" s="1"/>
  <c r="H66" i="2" s="1"/>
  <c r="I66" i="2" s="1"/>
  <c r="J66" i="2" s="1"/>
  <c r="P64" i="1"/>
  <c r="T58" i="1"/>
  <c r="E53" i="2"/>
  <c r="S27" i="1"/>
  <c r="S21" i="1"/>
  <c r="S22" i="1" s="1"/>
  <c r="O12" i="1"/>
  <c r="O17" i="1" s="1"/>
  <c r="Q64" i="1"/>
  <c r="U58" i="1"/>
  <c r="S62" i="1"/>
  <c r="O64" i="1"/>
  <c r="O8" i="1"/>
  <c r="P12" i="1"/>
  <c r="P25" i="1" s="1"/>
  <c r="P8" i="1"/>
  <c r="T59" i="1" s="1"/>
  <c r="Q12" i="1"/>
  <c r="Q8" i="1"/>
  <c r="R64" i="1"/>
  <c r="R42" i="1"/>
  <c r="R12" i="1"/>
  <c r="N8" i="1"/>
  <c r="R59" i="1" s="1"/>
  <c r="Q62" i="1"/>
  <c r="P62" i="1"/>
  <c r="O62" i="1"/>
  <c r="C66" i="2"/>
  <c r="C16" i="2"/>
  <c r="M12" i="1"/>
  <c r="D12" i="2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7" i="1" l="1"/>
  <c r="O39" i="2"/>
  <c r="P22" i="2"/>
  <c r="K39" i="2"/>
  <c r="J39" i="2"/>
  <c r="V25" i="1"/>
  <c r="V17" i="1"/>
  <c r="V11" i="1"/>
  <c r="F20" i="2" s="1"/>
  <c r="F21" i="2" s="1"/>
  <c r="F26" i="2" s="1"/>
  <c r="F28" i="2" s="1"/>
  <c r="C25" i="2"/>
  <c r="E52" i="2"/>
  <c r="T21" i="1"/>
  <c r="U59" i="1"/>
  <c r="O58" i="1"/>
  <c r="U19" i="1"/>
  <c r="U26" i="1"/>
  <c r="O25" i="1"/>
  <c r="E21" i="2"/>
  <c r="N58" i="1"/>
  <c r="N64" i="1"/>
  <c r="M64" i="1"/>
  <c r="D66" i="2"/>
  <c r="E66" i="2" s="1"/>
  <c r="R62" i="1"/>
  <c r="Q58" i="1"/>
  <c r="S59" i="1"/>
  <c r="R29" i="1"/>
  <c r="M8" i="1"/>
  <c r="P58" i="1"/>
  <c r="R58" i="1"/>
  <c r="G32" i="2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D41" i="2"/>
  <c r="D61" i="2"/>
  <c r="O19" i="1"/>
  <c r="O26" i="1"/>
  <c r="P17" i="1"/>
  <c r="P19" i="1" s="1"/>
  <c r="Q17" i="1"/>
  <c r="Q25" i="1"/>
  <c r="D40" i="2"/>
  <c r="R17" i="1"/>
  <c r="R25" i="1"/>
  <c r="M25" i="1"/>
  <c r="M17" i="1"/>
  <c r="D8" i="2"/>
  <c r="G41" i="2"/>
  <c r="C69" i="2"/>
  <c r="C17" i="2"/>
  <c r="C19" i="2" s="1"/>
  <c r="N62" i="1"/>
  <c r="L64" i="1"/>
  <c r="K64" i="1"/>
  <c r="N12" i="1"/>
  <c r="J64" i="1"/>
  <c r="F41" i="2"/>
  <c r="T22" i="1" l="1"/>
  <c r="Q22" i="2"/>
  <c r="P39" i="2"/>
  <c r="V26" i="1"/>
  <c r="V19" i="1"/>
  <c r="E72" i="2"/>
  <c r="U21" i="1"/>
  <c r="U22" i="1" s="1"/>
  <c r="U27" i="1"/>
  <c r="G17" i="2"/>
  <c r="H17" i="2" s="1"/>
  <c r="I17" i="2" s="1"/>
  <c r="J17" i="2" s="1"/>
  <c r="Q59" i="1"/>
  <c r="D42" i="2"/>
  <c r="E42" i="2"/>
  <c r="D17" i="2"/>
  <c r="D69" i="2"/>
  <c r="D67" i="2"/>
  <c r="D63" i="2"/>
  <c r="E26" i="2"/>
  <c r="E28" i="2" s="1"/>
  <c r="E34" i="2"/>
  <c r="O21" i="1"/>
  <c r="O27" i="1"/>
  <c r="P26" i="1"/>
  <c r="P27" i="1"/>
  <c r="P21" i="1"/>
  <c r="Q19" i="1"/>
  <c r="Q26" i="1"/>
  <c r="R19" i="1"/>
  <c r="R26" i="1"/>
  <c r="M26" i="1"/>
  <c r="M19" i="1"/>
  <c r="C72" i="2"/>
  <c r="N25" i="1"/>
  <c r="N17" i="1"/>
  <c r="E67" i="2"/>
  <c r="F40" i="2"/>
  <c r="H41" i="2"/>
  <c r="R22" i="2" l="1"/>
  <c r="Q39" i="2"/>
  <c r="V20" i="1"/>
  <c r="D19" i="2"/>
  <c r="D38" i="2" s="1"/>
  <c r="G19" i="2"/>
  <c r="D64" i="2"/>
  <c r="O22" i="1"/>
  <c r="P22" i="1"/>
  <c r="Q27" i="1"/>
  <c r="Q21" i="1"/>
  <c r="R21" i="1"/>
  <c r="U45" i="1" s="1"/>
  <c r="R27" i="1"/>
  <c r="I41" i="2"/>
  <c r="E64" i="2"/>
  <c r="C21" i="2"/>
  <c r="N26" i="1"/>
  <c r="N19" i="1"/>
  <c r="G40" i="2"/>
  <c r="M21" i="1"/>
  <c r="M27" i="1"/>
  <c r="F67" i="2"/>
  <c r="T45" i="1" l="1"/>
  <c r="T51" i="1" s="1"/>
  <c r="S45" i="1"/>
  <c r="S51" i="1" s="1"/>
  <c r="S22" i="2"/>
  <c r="R39" i="2"/>
  <c r="V27" i="1"/>
  <c r="F29" i="2"/>
  <c r="V21" i="1"/>
  <c r="V22" i="1" s="1"/>
  <c r="E38" i="2"/>
  <c r="D72" i="2"/>
  <c r="D21" i="2"/>
  <c r="D34" i="2" s="1"/>
  <c r="H19" i="2"/>
  <c r="U49" i="1"/>
  <c r="U47" i="1"/>
  <c r="U46" i="1"/>
  <c r="U48" i="1"/>
  <c r="Q22" i="1"/>
  <c r="R22" i="1"/>
  <c r="N27" i="1"/>
  <c r="N21" i="1"/>
  <c r="M22" i="1"/>
  <c r="F64" i="2"/>
  <c r="G67" i="2"/>
  <c r="H40" i="2"/>
  <c r="H25" i="2"/>
  <c r="H42" i="2" s="1"/>
  <c r="J41" i="2"/>
  <c r="F63" i="2"/>
  <c r="C34" i="2"/>
  <c r="C26" i="2"/>
  <c r="T22" i="2" l="1"/>
  <c r="T39" i="2" s="1"/>
  <c r="S39" i="2"/>
  <c r="N22" i="1"/>
  <c r="D26" i="2"/>
  <c r="D35" i="2" s="1"/>
  <c r="J19" i="2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I19" i="2"/>
  <c r="R46" i="1"/>
  <c r="R49" i="1"/>
  <c r="R48" i="1"/>
  <c r="R47" i="1"/>
  <c r="G63" i="2"/>
  <c r="H67" i="2"/>
  <c r="G64" i="2"/>
  <c r="I40" i="2"/>
  <c r="I25" i="2"/>
  <c r="I42" i="2" s="1"/>
  <c r="K41" i="2"/>
  <c r="C35" i="2"/>
  <c r="C28" i="2"/>
  <c r="D28" i="2" l="1"/>
  <c r="D36" i="2" s="1"/>
  <c r="J67" i="2"/>
  <c r="F34" i="2"/>
  <c r="G21" i="2" s="1"/>
  <c r="E35" i="2"/>
  <c r="C30" i="2"/>
  <c r="C73" i="2" s="1"/>
  <c r="C36" i="2"/>
  <c r="I67" i="2"/>
  <c r="H64" i="2"/>
  <c r="H63" i="2"/>
  <c r="L41" i="2"/>
  <c r="J40" i="2"/>
  <c r="J25" i="2"/>
  <c r="J42" i="2" s="1"/>
  <c r="G72" i="2"/>
  <c r="G38" i="2"/>
  <c r="G20" i="2" l="1"/>
  <c r="G26" i="2"/>
  <c r="D30" i="2"/>
  <c r="D31" i="2" s="1"/>
  <c r="I64" i="2"/>
  <c r="J64" i="2"/>
  <c r="J63" i="2"/>
  <c r="K40" i="2"/>
  <c r="K25" i="2"/>
  <c r="K42" i="2" s="1"/>
  <c r="I63" i="2"/>
  <c r="C31" i="2"/>
  <c r="E36" i="2"/>
  <c r="F35" i="2"/>
  <c r="M41" i="2"/>
  <c r="H38" i="2"/>
  <c r="H72" i="2"/>
  <c r="G34" i="2"/>
  <c r="H21" i="2" s="1"/>
  <c r="D73" i="2" l="1"/>
  <c r="E30" i="2"/>
  <c r="H34" i="2"/>
  <c r="I21" i="2" s="1"/>
  <c r="I20" i="2" s="1"/>
  <c r="H26" i="2"/>
  <c r="H20" i="2"/>
  <c r="I38" i="2"/>
  <c r="I72" i="2"/>
  <c r="L40" i="2"/>
  <c r="L25" i="2"/>
  <c r="L42" i="2" s="1"/>
  <c r="G35" i="2"/>
  <c r="N41" i="2"/>
  <c r="P41" i="2" l="1"/>
  <c r="E31" i="2"/>
  <c r="E73" i="2"/>
  <c r="E56" i="2"/>
  <c r="E55" i="2"/>
  <c r="E57" i="2"/>
  <c r="E58" i="2"/>
  <c r="J38" i="2"/>
  <c r="J72" i="2"/>
  <c r="H35" i="2"/>
  <c r="M40" i="2"/>
  <c r="M25" i="2"/>
  <c r="M42" i="2" s="1"/>
  <c r="I26" i="2"/>
  <c r="I34" i="2"/>
  <c r="J21" i="2" s="1"/>
  <c r="O41" i="2"/>
  <c r="Q41" i="2" l="1"/>
  <c r="J34" i="2"/>
  <c r="K21" i="2" s="1"/>
  <c r="J26" i="2"/>
  <c r="J20" i="2"/>
  <c r="N40" i="2"/>
  <c r="N25" i="2"/>
  <c r="N42" i="2" s="1"/>
  <c r="I35" i="2"/>
  <c r="K38" i="2"/>
  <c r="K72" i="2"/>
  <c r="F36" i="2"/>
  <c r="P25" i="2" l="1"/>
  <c r="P40" i="2"/>
  <c r="R41" i="2"/>
  <c r="L72" i="2"/>
  <c r="L38" i="2"/>
  <c r="K26" i="2"/>
  <c r="K34" i="2"/>
  <c r="L21" i="2" s="1"/>
  <c r="J35" i="2"/>
  <c r="F30" i="2"/>
  <c r="F31" i="2" s="1"/>
  <c r="K20" i="2"/>
  <c r="O25" i="2"/>
  <c r="O42" i="2" s="1"/>
  <c r="O40" i="2"/>
  <c r="F73" i="2" l="1"/>
  <c r="P42" i="2"/>
  <c r="S41" i="2"/>
  <c r="T41" i="2"/>
  <c r="Q40" i="2"/>
  <c r="Q25" i="2"/>
  <c r="Q42" i="2" s="1"/>
  <c r="L34" i="2"/>
  <c r="M21" i="2" s="1"/>
  <c r="M20" i="2" s="1"/>
  <c r="L26" i="2"/>
  <c r="L20" i="2"/>
  <c r="K35" i="2"/>
  <c r="M72" i="2"/>
  <c r="M38" i="2"/>
  <c r="F44" i="2"/>
  <c r="R25" i="2" l="1"/>
  <c r="R42" i="2" s="1"/>
  <c r="R40" i="2"/>
  <c r="G27" i="2"/>
  <c r="G28" i="2" s="1"/>
  <c r="N72" i="2"/>
  <c r="N38" i="2"/>
  <c r="L35" i="2"/>
  <c r="M34" i="2"/>
  <c r="N21" i="2" s="1"/>
  <c r="M26" i="2"/>
  <c r="S25" i="2" l="1"/>
  <c r="S42" i="2" s="1"/>
  <c r="S40" i="2"/>
  <c r="P38" i="2"/>
  <c r="P72" i="2"/>
  <c r="N26" i="2"/>
  <c r="N34" i="2"/>
  <c r="O21" i="2" s="1"/>
  <c r="N20" i="2"/>
  <c r="O72" i="2"/>
  <c r="O38" i="2"/>
  <c r="M35" i="2"/>
  <c r="G29" i="2"/>
  <c r="G36" i="2" s="1"/>
  <c r="T25" i="2" l="1"/>
  <c r="T42" i="2" s="1"/>
  <c r="T40" i="2"/>
  <c r="Q38" i="2"/>
  <c r="Q72" i="2"/>
  <c r="G30" i="2"/>
  <c r="O34" i="2"/>
  <c r="P21" i="2" s="1"/>
  <c r="O26" i="2"/>
  <c r="O20" i="2"/>
  <c r="N35" i="2"/>
  <c r="P26" i="2" l="1"/>
  <c r="P34" i="2"/>
  <c r="Q21" i="2" s="1"/>
  <c r="P20" i="2"/>
  <c r="R72" i="2"/>
  <c r="R38" i="2"/>
  <c r="G31" i="2"/>
  <c r="G44" i="2"/>
  <c r="H27" i="2" s="1"/>
  <c r="H28" i="2" s="1"/>
  <c r="G73" i="2"/>
  <c r="O35" i="2"/>
  <c r="Q20" i="2" l="1"/>
  <c r="Q34" i="2"/>
  <c r="R21" i="2" s="1"/>
  <c r="Q26" i="2"/>
  <c r="S38" i="2"/>
  <c r="S72" i="2"/>
  <c r="P35" i="2"/>
  <c r="H29" i="2"/>
  <c r="H36" i="2" s="1"/>
  <c r="T38" i="2" l="1"/>
  <c r="T72" i="2"/>
  <c r="Q35" i="2"/>
  <c r="R34" i="2"/>
  <c r="S21" i="2" s="1"/>
  <c r="R26" i="2"/>
  <c r="R20" i="2"/>
  <c r="H30" i="2"/>
  <c r="R35" i="2" l="1"/>
  <c r="S26" i="2"/>
  <c r="S34" i="2"/>
  <c r="T21" i="2" s="1"/>
  <c r="S20" i="2"/>
  <c r="H31" i="2"/>
  <c r="H73" i="2"/>
  <c r="H44" i="2"/>
  <c r="T34" i="2" l="1"/>
  <c r="T26" i="2"/>
  <c r="T20" i="2"/>
  <c r="S35" i="2"/>
  <c r="I27" i="2"/>
  <c r="I28" i="2" s="1"/>
  <c r="T35" i="2" l="1"/>
  <c r="I29" i="2"/>
  <c r="I36" i="2" s="1"/>
  <c r="I30" i="2" l="1"/>
  <c r="I31" i="2" l="1"/>
  <c r="I73" i="2"/>
  <c r="I44" i="2"/>
  <c r="J27" i="2" s="1"/>
  <c r="J28" i="2" s="1"/>
  <c r="J29" i="2" l="1"/>
  <c r="J36" i="2" s="1"/>
  <c r="J30" i="2" l="1"/>
  <c r="J73" i="2" s="1"/>
  <c r="J44" i="2" l="1"/>
  <c r="K27" i="2" s="1"/>
  <c r="K28" i="2" s="1"/>
  <c r="J31" i="2"/>
  <c r="K29" i="2" l="1"/>
  <c r="K36" i="2" s="1"/>
  <c r="K30" i="2" l="1"/>
  <c r="K73" i="2" s="1"/>
  <c r="K44" i="2"/>
  <c r="K31" i="2" l="1"/>
  <c r="L27" i="2"/>
  <c r="L28" i="2" s="1"/>
  <c r="L29" i="2" l="1"/>
  <c r="L36" i="2" s="1"/>
  <c r="L30" i="2" l="1"/>
  <c r="L31" i="2" s="1"/>
  <c r="L73" i="2" l="1"/>
  <c r="L44" i="2"/>
  <c r="M27" i="2" s="1"/>
  <c r="M28" i="2" s="1"/>
  <c r="M29" i="2" l="1"/>
  <c r="M36" i="2" s="1"/>
  <c r="M30" i="2" l="1"/>
  <c r="M31" i="2"/>
  <c r="M73" i="2"/>
  <c r="M44" i="2"/>
  <c r="N27" i="2" l="1"/>
  <c r="N28" i="2" s="1"/>
  <c r="N29" i="2" l="1"/>
  <c r="N36" i="2" s="1"/>
  <c r="N30" i="2" l="1"/>
  <c r="N73" i="2" s="1"/>
  <c r="N44" i="2" l="1"/>
  <c r="N31" i="2"/>
  <c r="O27" i="2"/>
  <c r="O28" i="2" s="1"/>
  <c r="O29" i="2" l="1"/>
  <c r="O36" i="2" s="1"/>
  <c r="O30" i="2" l="1"/>
  <c r="O73" i="2" l="1"/>
  <c r="O31" i="2"/>
  <c r="O44" i="2"/>
  <c r="P27" i="2" l="1"/>
  <c r="P28" i="2" s="1"/>
  <c r="P29" i="2" l="1"/>
  <c r="P36" i="2" s="1"/>
  <c r="P30" i="2"/>
  <c r="P31" i="2" l="1"/>
  <c r="P73" i="2"/>
  <c r="P44" i="2"/>
  <c r="Q27" i="2" l="1"/>
  <c r="Q28" i="2" s="1"/>
  <c r="Q29" i="2" l="1"/>
  <c r="Q36" i="2" s="1"/>
  <c r="Q30" i="2" l="1"/>
  <c r="Q31" i="2" s="1"/>
  <c r="Q73" i="2"/>
  <c r="Q44" i="2"/>
  <c r="R27" i="2" l="1"/>
  <c r="R28" i="2" s="1"/>
  <c r="R29" i="2" l="1"/>
  <c r="R36" i="2" s="1"/>
  <c r="R30" i="2" l="1"/>
  <c r="R31" i="2"/>
  <c r="R73" i="2"/>
  <c r="R44" i="2"/>
  <c r="S27" i="2" l="1"/>
  <c r="S28" i="2" s="1"/>
  <c r="S29" i="2" l="1"/>
  <c r="S36" i="2" s="1"/>
  <c r="S30" i="2" l="1"/>
  <c r="S31" i="2" s="1"/>
  <c r="S44" i="2" l="1"/>
  <c r="S73" i="2"/>
  <c r="T27" i="2"/>
  <c r="T28" i="2" s="1"/>
  <c r="T29" i="2" l="1"/>
  <c r="T36" i="2" s="1"/>
  <c r="T30" i="2"/>
  <c r="T31" i="2" l="1"/>
  <c r="T73" i="2"/>
  <c r="U30" i="2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T44" i="2"/>
  <c r="AJ30" i="2" l="1"/>
  <c r="AK30" i="2" l="1"/>
  <c r="AL30" i="2" l="1"/>
  <c r="AM30" i="2" l="1"/>
  <c r="AN30" i="2" l="1"/>
  <c r="AO30" i="2" l="1"/>
  <c r="AP30" i="2" l="1"/>
  <c r="AQ30" i="2" l="1"/>
  <c r="AR30" i="2" l="1"/>
  <c r="AS30" i="2" l="1"/>
  <c r="AT30" i="2" l="1"/>
  <c r="AU30" i="2" l="1"/>
  <c r="AV30" i="2" l="1"/>
  <c r="AW30" i="2" l="1"/>
  <c r="AX30" i="2" l="1"/>
  <c r="AY30" i="2" l="1"/>
  <c r="AZ30" i="2" l="1"/>
  <c r="BA30" i="2" l="1"/>
  <c r="BB30" i="2" l="1"/>
  <c r="BC30" i="2" l="1"/>
  <c r="BD30" i="2" l="1"/>
  <c r="BE30" i="2" l="1"/>
  <c r="BF30" i="2" l="1"/>
  <c r="BG30" i="2" l="1"/>
  <c r="BH30" i="2" l="1"/>
  <c r="BI30" i="2" l="1"/>
  <c r="BJ30" i="2" l="1"/>
  <c r="BK30" i="2" l="1"/>
  <c r="BL30" i="2" l="1"/>
  <c r="BM30" i="2" l="1"/>
  <c r="BN30" i="2" l="1"/>
  <c r="BO30" i="2" l="1"/>
  <c r="BP30" i="2" l="1"/>
  <c r="BQ30" i="2" l="1"/>
  <c r="BR30" i="2" l="1"/>
  <c r="BS30" i="2" l="1"/>
  <c r="BT30" i="2" l="1"/>
  <c r="BU30" i="2" l="1"/>
  <c r="BV30" i="2" l="1"/>
  <c r="BW30" i="2" l="1"/>
  <c r="BX30" i="2" l="1"/>
  <c r="BY30" i="2" l="1"/>
  <c r="BZ30" i="2" l="1"/>
  <c r="CA30" i="2" l="1"/>
  <c r="CB30" i="2" l="1"/>
  <c r="CC30" i="2" l="1"/>
  <c r="CD30" i="2" l="1"/>
  <c r="CE30" i="2" l="1"/>
  <c r="CF30" i="2" l="1"/>
  <c r="CG30" i="2" l="1"/>
  <c r="CH30" i="2" l="1"/>
  <c r="CI30" i="2" l="1"/>
  <c r="CJ30" i="2" l="1"/>
  <c r="CK30" i="2" l="1"/>
  <c r="CL30" i="2" l="1"/>
  <c r="CM30" i="2" l="1"/>
  <c r="CN30" i="2" l="1"/>
  <c r="CO30" i="2" l="1"/>
  <c r="CP30" i="2" l="1"/>
  <c r="CQ30" i="2" l="1"/>
  <c r="CR30" i="2" l="1"/>
  <c r="CS30" i="2" l="1"/>
  <c r="CT30" i="2" l="1"/>
  <c r="CU30" i="2" l="1"/>
  <c r="CV30" i="2" l="1"/>
  <c r="CW30" i="2" l="1"/>
  <c r="CX30" i="2" l="1"/>
  <c r="CY30" i="2" l="1"/>
  <c r="CZ30" i="2" l="1"/>
  <c r="DA30" i="2" l="1"/>
  <c r="DB30" i="2" l="1"/>
  <c r="DC30" i="2" l="1"/>
  <c r="DD30" i="2" l="1"/>
  <c r="DE30" i="2" l="1"/>
  <c r="DF30" i="2" l="1"/>
  <c r="DG30" i="2" l="1"/>
  <c r="DH30" i="2" l="1"/>
  <c r="DI30" i="2" l="1"/>
  <c r="DJ30" i="2" l="1"/>
  <c r="DK30" i="2" l="1"/>
  <c r="DL30" i="2" l="1"/>
  <c r="DM30" i="2" l="1"/>
  <c r="DN30" i="2" l="1"/>
  <c r="DO30" i="2" l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EF30" i="2" s="1"/>
  <c r="EG30" i="2" s="1"/>
  <c r="EH30" i="2" s="1"/>
  <c r="EI30" i="2" s="1"/>
  <c r="EJ30" i="2" s="1"/>
  <c r="EK30" i="2" s="1"/>
  <c r="EL30" i="2" s="1"/>
  <c r="EM30" i="2" s="1"/>
  <c r="EN30" i="2" s="1"/>
  <c r="EO30" i="2" s="1"/>
  <c r="EP30" i="2" s="1"/>
  <c r="EQ30" i="2" s="1"/>
  <c r="ER30" i="2" s="1"/>
  <c r="ES30" i="2" s="1"/>
  <c r="ET30" i="2" s="1"/>
  <c r="EU30" i="2" s="1"/>
  <c r="EV30" i="2" s="1"/>
  <c r="EW30" i="2" s="1"/>
  <c r="EX30" i="2" s="1"/>
  <c r="EY30" i="2" s="1"/>
  <c r="EZ30" i="2" s="1"/>
  <c r="FA30" i="2" s="1"/>
  <c r="FB30" i="2" s="1"/>
  <c r="FC30" i="2" s="1"/>
  <c r="FD30" i="2" s="1"/>
  <c r="FE30" i="2" s="1"/>
  <c r="FF30" i="2" s="1"/>
  <c r="FG30" i="2" s="1"/>
  <c r="FH30" i="2" s="1"/>
  <c r="FI30" i="2" s="1"/>
  <c r="G6" i="2" s="1"/>
  <c r="G7" i="2" s="1"/>
  <c r="G8" i="2" l="1"/>
  <c r="H8" i="2" s="1"/>
</calcChain>
</file>

<file path=xl/sharedStrings.xml><?xml version="1.0" encoding="utf-8"?>
<sst xmlns="http://schemas.openxmlformats.org/spreadsheetml/2006/main" count="144" uniqueCount="94">
  <si>
    <t>Q117</t>
  </si>
  <si>
    <t>Q217</t>
  </si>
  <si>
    <t>Q317</t>
  </si>
  <si>
    <t>Q417</t>
  </si>
  <si>
    <t>Revenue</t>
  </si>
  <si>
    <t>COGS</t>
  </si>
  <si>
    <t>Gross Profit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</si>
  <si>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</si>
  <si>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</si>
  <si>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</si>
  <si>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</si>
  <si>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</si>
  <si>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</si>
  <si>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</si>
  <si>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</si>
  <si>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</si>
  <si>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</si>
  <si>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</si>
  <si>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</si>
  <si>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</si>
  <si>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</si>
  <si>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</si>
  <si>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</si>
  <si>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</si>
  <si>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</si>
  <si>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</si>
  <si>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</si>
  <si>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</si>
  <si>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</si>
  <si>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</si>
  <si>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</si>
  <si>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</si>
  <si>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</si>
  <si>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</si>
  <si>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</si>
  <si>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</si>
  <si>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S&amp;M y/y</t>
  </si>
  <si>
    <t>G&amp;A y/y</t>
  </si>
  <si>
    <t>EDGAR</t>
  </si>
  <si>
    <t>CEO</t>
  </si>
  <si>
    <t>Founder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</si>
  <si>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</si>
  <si>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</si>
  <si>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</si>
  <si>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</si>
  <si>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</si>
  <si>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</si>
  <si>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</si>
  <si>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</si>
  <si>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</si>
  <si>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</si>
  <si>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</si>
  <si>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</si>
  <si>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</si>
  <si>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</si>
  <si>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</si>
  <si>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</si>
  <si>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ARPU</t>
  </si>
  <si>
    <t>ARPU y/y</t>
  </si>
  <si>
    <t>MAU</t>
  </si>
  <si>
    <t>MAU y/y</t>
  </si>
  <si>
    <t>USD/RMB</t>
  </si>
  <si>
    <t>Revenue USD</t>
  </si>
  <si>
    <t>Net Income USD</t>
  </si>
  <si>
    <t>Shares ADS</t>
  </si>
  <si>
    <t>Q120</t>
  </si>
  <si>
    <t>OE y/y</t>
  </si>
  <si>
    <t>Q220</t>
  </si>
  <si>
    <t>Q320</t>
  </si>
  <si>
    <t>Q420</t>
  </si>
  <si>
    <t>Q121</t>
  </si>
  <si>
    <t>Q221</t>
  </si>
  <si>
    <t>Q321</t>
  </si>
  <si>
    <t>Q421</t>
  </si>
  <si>
    <t>INVESTOR</t>
  </si>
  <si>
    <t>Qutoutiao Inc (QTT)</t>
  </si>
  <si>
    <t>DAU</t>
  </si>
  <si>
    <t>PRODUCTS</t>
  </si>
  <si>
    <t>Qutoutiao</t>
  </si>
  <si>
    <t>Mobile news and short video</t>
  </si>
  <si>
    <t>Advertising</t>
  </si>
  <si>
    <t>Other</t>
  </si>
  <si>
    <t>Advertising y/y</t>
  </si>
  <si>
    <t>Other y/y</t>
  </si>
  <si>
    <t>DAU y/y</t>
  </si>
  <si>
    <t>DAU/ MAU</t>
  </si>
  <si>
    <t>R&amp;D</t>
  </si>
  <si>
    <t>Net Income TTM</t>
  </si>
  <si>
    <t>R&amp;D y/y</t>
  </si>
  <si>
    <t>Price</t>
  </si>
  <si>
    <t>Revenue TTM USD</t>
  </si>
  <si>
    <t>Revenue TTM USD y/y</t>
  </si>
  <si>
    <t>Net Income TTM USD</t>
  </si>
  <si>
    <t>Eric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</si>
</sst>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165" fontId="6" fillId="0" borderId="0" xfId="0" applyNumberFormat="1" applyFont="1" applyFill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 applyFill="1" applyBorder="1"/>
    <xf numFmtId="3" fontId="6" fillId="0" borderId="0" xfId="0" applyNumberFormat="1" applyFont="1" applyFill="1"/>
    <xf numFmtId="3" fontId="6" fillId="0" borderId="0" xfId="0" applyNumberFormat="1" applyFont="1" applyFill="1" applyBorder="1"/>
    <xf numFmtId="3" fontId="6" fillId="2" borderId="0" xfId="0" applyNumberFormat="1" applyFont="1" applyFill="1"/>
    <xf numFmtId="3" fontId="5" fillId="0" borderId="1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0" fontId="6" fillId="0" borderId="1" xfId="0" applyFont="1" applyBorder="1"/>
    <xf numFmtId="4" fontId="6" fillId="0" borderId="0" xfId="0" applyNumberFormat="1" applyFont="1"/>
    <xf numFmtId="4" fontId="6" fillId="2" borderId="0" xfId="0" applyNumberFormat="1" applyFont="1" applyFill="1" applyBorder="1"/>
    <xf numFmtId="3" fontId="5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3" fontId="6" fillId="0" borderId="1" xfId="0" applyNumberFormat="1" applyFont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4" fillId="0" borderId="0" xfId="4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0" borderId="0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0" fontId="4" fillId="0" borderId="0" xfId="4"/>
    <xf numFmtId="9" fontId="7" fillId="0" borderId="0" xfId="1" applyFont="1" applyBorder="1"/>
    <xf numFmtId="14" fontId="6" fillId="0" borderId="0" xfId="0" applyNumberFormat="1" applyFont="1" applyBorder="1" applyAlignment="1">
      <alignment horizontal="right"/>
    </xf>
    <xf numFmtId="0" fontId="8" fillId="0" borderId="0" xfId="0" applyFont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5" fillId="2" borderId="1" xfId="0" applyNumberFormat="1" applyFont="1" applyFill="1" applyBorder="1"/>
    <xf numFmtId="9" fontId="5" fillId="0" borderId="0" xfId="0" applyNumberFormat="1" applyFont="1" applyBorder="1"/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/>
    <xf numFmtId="3" fontId="5" fillId="0" borderId="0" xfId="1" applyNumberFormat="1" applyFont="1" applyBorder="1" applyAlignment="1">
      <alignment horizontal="right"/>
    </xf>
    <xf numFmtId="0" fontId="4" fillId="0" borderId="0" xfId="4" applyBorder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10</xdr:row>
      <xdr:rowOff>152400</xdr:rowOff>
    </xdr:from>
    <xdr:to>
      <xdr:col>5</xdr:col>
      <xdr:colOff>152400</xdr:colOff>
      <xdr:row>74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10015" y="1647092"/>
          <a:ext cx="0" cy="1097475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165101</xdr:colOff>
      <xdr:row>2</xdr:row>
      <xdr:rowOff>0</xdr:rowOff>
    </xdr:from>
    <xdr:to>
      <xdr:col>21</xdr:col>
      <xdr:colOff>165101</xdr:colOff>
      <xdr:row>65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7456639" y="166077"/>
          <a:ext cx="0" cy="964516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qutoutiao.net/board-member/eric-siliang-tan" TargetMode="External"/><Relationship Id="rId2" Type="http://schemas.openxmlformats.org/officeDocument/2006/relationships/hyperlink" Target="https://ir.qutoutiao.net/board-member/eric-siliang-tan" TargetMode="External"/><Relationship Id="rId1" Type="http://schemas.openxmlformats.org/officeDocument/2006/relationships/hyperlink" Target="https://ir.qutoutiao.net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733298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74"/>
  <sheetViews>
    <sheetView zoomScale="130" zoomScaleNormal="130" workbookViewId="0">
      <pane xSplit="2" ySplit="12" topLeftCell="C13" activePane="bottomRight" state="frozen"/>
      <selection pane="topRight" activeCell="B1" sqref="B1"/>
      <selection pane="bottomLeft" activeCell="A11" sqref="A11"/>
      <selection pane="bottomRight" activeCell="J55" sqref="J55"/>
    </sheetView>
  </sheetViews>
  <sheetFormatPr baseColWidth="10" defaultRowHeight="13" x14ac:dyDescent="0.15"/>
  <cols>
    <col min="1" max="1" width="9.83203125" style="2" bestFit="1" customWidth="1"/>
    <col min="2" max="2" width="18.83203125" style="2" bestFit="1" customWidth="1"/>
    <col min="3" max="16384" width="10.83203125" style="2"/>
  </cols>
  <sheetData>
    <row r="1" spans="1:120" x14ac:dyDescent="0.15">
      <c r="A1" s="59" t="s">
        <v>74</v>
      </c>
    </row>
    <row r="2" spans="1:120" x14ac:dyDescent="0.15">
      <c r="B2" s="1" t="s">
        <v>39</v>
      </c>
      <c r="C2" s="1" t="s">
        <v>75</v>
      </c>
    </row>
    <row r="3" spans="1:120" x14ac:dyDescent="0.15">
      <c r="B3" s="67" t="s">
        <v>93</v>
      </c>
      <c r="C3" s="2" t="s">
        <v>89</v>
      </c>
      <c r="D3" s="3">
        <v>3.49</v>
      </c>
      <c r="E3" s="57">
        <v>44253</v>
      </c>
      <c r="F3" s="5" t="s">
        <v>27</v>
      </c>
      <c r="G3" s="6">
        <v>-0.01</v>
      </c>
      <c r="I3" s="15"/>
      <c r="K3" s="1"/>
    </row>
    <row r="4" spans="1:120" x14ac:dyDescent="0.15">
      <c r="C4" s="2" t="s">
        <v>64</v>
      </c>
      <c r="D4" s="7">
        <f>'Reports RMB'!U23</f>
        <v>292.99043999999998</v>
      </c>
      <c r="E4" s="58" t="s">
        <v>68</v>
      </c>
      <c r="F4" s="5" t="s">
        <v>28</v>
      </c>
      <c r="G4" s="6">
        <v>0.02</v>
      </c>
      <c r="H4" s="4"/>
      <c r="I4" s="15"/>
    </row>
    <row r="5" spans="1:120" x14ac:dyDescent="0.15">
      <c r="B5" s="1" t="s">
        <v>40</v>
      </c>
      <c r="C5" s="2" t="s">
        <v>41</v>
      </c>
      <c r="D5" s="9">
        <f>D3*D4</f>
        <v>1022.5366356</v>
      </c>
      <c r="E5" s="58"/>
      <c r="F5" s="5" t="s">
        <v>29</v>
      </c>
      <c r="G5" s="6">
        <v>0.08</v>
      </c>
      <c r="H5" s="4"/>
      <c r="I5" s="25"/>
      <c r="L5" s="8"/>
    </row>
    <row r="6" spans="1:120" x14ac:dyDescent="0.15">
      <c r="B6" s="67" t="s">
        <v>93</v>
      </c>
      <c r="C6" s="2" t="s">
        <v>24</v>
      </c>
      <c r="D6" s="7">
        <f>'Reports RMB'!U34/D10</f>
        <v>-98.76543209876543</v>
      </c>
      <c r="E6" s="58" t="s">
        <v>68</v>
      </c>
      <c r="F6" s="5" t="s">
        <v>30</v>
      </c>
      <c r="G6" s="10">
        <f>NPV(G5,F30:FI30)</f>
        <v>10310.893979895982</v>
      </c>
      <c r="H6" s="4"/>
      <c r="I6" s="25"/>
    </row>
    <row r="7" spans="1:120" x14ac:dyDescent="0.15">
      <c r="B7" s="8"/>
      <c r="C7" s="2" t="s">
        <v>42</v>
      </c>
      <c r="D7" s="9">
        <f>D5-D6</f>
        <v>1121.3020676987653</v>
      </c>
      <c r="E7" s="58"/>
      <c r="F7" s="11" t="s">
        <v>31</v>
      </c>
      <c r="G7" s="12">
        <f>G6/D10+D6</f>
        <v>1492.4219104777749</v>
      </c>
      <c r="I7" s="25"/>
    </row>
    <row r="8" spans="1:120" x14ac:dyDescent="0.15">
      <c r="B8" s="8"/>
      <c r="C8" s="4" t="s">
        <v>43</v>
      </c>
      <c r="D8" s="53">
        <f>D7/D4</f>
        <v>3.8270943847135945</v>
      </c>
      <c r="E8" s="58"/>
      <c r="F8" s="13" t="s">
        <v>43</v>
      </c>
      <c r="G8" s="50">
        <f>G7/D4</f>
        <v>5.0937563371616319</v>
      </c>
      <c r="H8" s="25">
        <f>G8/D3-1</f>
        <v>0.45952903643599763</v>
      </c>
    </row>
    <row r="9" spans="1:120" x14ac:dyDescent="0.15">
      <c r="C9" s="4"/>
      <c r="D9" s="4"/>
      <c r="E9" s="66"/>
      <c r="F9" s="4"/>
      <c r="G9" s="4"/>
      <c r="H9" s="4"/>
    </row>
    <row r="10" spans="1:120" x14ac:dyDescent="0.15">
      <c r="C10" s="1" t="s">
        <v>61</v>
      </c>
      <c r="D10" s="52">
        <v>6.48</v>
      </c>
      <c r="E10" s="57">
        <v>44253</v>
      </c>
    </row>
    <row r="11" spans="1:120" x14ac:dyDescent="0.15">
      <c r="B11" s="8"/>
      <c r="D11" s="5"/>
      <c r="E11" s="14"/>
    </row>
    <row r="12" spans="1:120" x14ac:dyDescent="0.15">
      <c r="C12" s="2">
        <v>2017</v>
      </c>
      <c r="D12" s="2">
        <f>C12+1</f>
        <v>2018</v>
      </c>
      <c r="E12" s="2">
        <f t="shared" ref="E12:T12" si="0">D12+1</f>
        <v>2019</v>
      </c>
      <c r="F12" s="2">
        <f t="shared" si="0"/>
        <v>2020</v>
      </c>
      <c r="G12" s="2">
        <f t="shared" si="0"/>
        <v>2021</v>
      </c>
      <c r="H12" s="2">
        <f t="shared" si="0"/>
        <v>2022</v>
      </c>
      <c r="I12" s="2">
        <f t="shared" si="0"/>
        <v>2023</v>
      </c>
      <c r="J12" s="2">
        <f t="shared" si="0"/>
        <v>2024</v>
      </c>
      <c r="K12" s="2">
        <f t="shared" si="0"/>
        <v>2025</v>
      </c>
      <c r="L12" s="2">
        <f t="shared" si="0"/>
        <v>2026</v>
      </c>
      <c r="M12" s="2">
        <f t="shared" si="0"/>
        <v>2027</v>
      </c>
      <c r="N12" s="2">
        <f t="shared" si="0"/>
        <v>2028</v>
      </c>
      <c r="O12" s="2">
        <f t="shared" si="0"/>
        <v>2029</v>
      </c>
      <c r="P12" s="2">
        <f t="shared" si="0"/>
        <v>2030</v>
      </c>
      <c r="Q12" s="2">
        <f t="shared" si="0"/>
        <v>2031</v>
      </c>
      <c r="R12" s="2">
        <f t="shared" si="0"/>
        <v>2032</v>
      </c>
      <c r="S12" s="2">
        <f t="shared" si="0"/>
        <v>2033</v>
      </c>
      <c r="T12" s="2">
        <f t="shared" si="0"/>
        <v>2034</v>
      </c>
    </row>
    <row r="13" spans="1:120" x14ac:dyDescent="0.15">
      <c r="B13" s="5" t="s">
        <v>80</v>
      </c>
      <c r="C13" s="15">
        <v>512.88248099999998</v>
      </c>
      <c r="D13" s="15">
        <v>2814.2580240000002</v>
      </c>
      <c r="E13" s="15">
        <f>SUM('Reports RMB'!O4:R4)</f>
        <v>5415.3205419999995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</row>
    <row r="14" spans="1:120" x14ac:dyDescent="0.15">
      <c r="B14" s="5" t="s">
        <v>81</v>
      </c>
      <c r="C14" s="15">
        <v>4.1704689999999998</v>
      </c>
      <c r="D14" s="15">
        <v>207.88776100000001</v>
      </c>
      <c r="E14" s="15">
        <f>SUM('Reports RMB'!O5:R5)</f>
        <v>154.760062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</row>
    <row r="15" spans="1:120" x14ac:dyDescent="0.15">
      <c r="B15" s="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</row>
    <row r="16" spans="1:120" x14ac:dyDescent="0.15">
      <c r="B16" s="5" t="s">
        <v>76</v>
      </c>
      <c r="C16" s="15">
        <f>'Reports RMB'!J7</f>
        <v>9.5</v>
      </c>
      <c r="D16" s="15">
        <f>'Reports RMB'!N7</f>
        <v>30.9</v>
      </c>
      <c r="E16" s="15">
        <f>'Reports RMB'!R7</f>
        <v>45.7</v>
      </c>
      <c r="F16" s="15">
        <f>'Reports RMB'!V7</f>
        <v>47.704244813278024</v>
      </c>
      <c r="G16" s="15">
        <f>F16*1.02</f>
        <v>48.658329709543587</v>
      </c>
      <c r="H16" s="15">
        <f t="shared" ref="H16:J16" si="1">G16*1.02</f>
        <v>49.631496303734458</v>
      </c>
      <c r="I16" s="15">
        <f t="shared" si="1"/>
        <v>50.62412622980915</v>
      </c>
      <c r="J16" s="15">
        <f t="shared" si="1"/>
        <v>51.636608754405337</v>
      </c>
    </row>
    <row r="17" spans="2:165" x14ac:dyDescent="0.15">
      <c r="B17" s="5" t="s">
        <v>57</v>
      </c>
      <c r="C17" s="9">
        <f>SUM(C13:C14)/C16</f>
        <v>54.426626315789477</v>
      </c>
      <c r="D17" s="9">
        <f>SUM(D13:D14)/D16</f>
        <v>97.80407071197412</v>
      </c>
      <c r="E17" s="9">
        <f>SUM(E13:E14)/E16</f>
        <v>121.88360183807438</v>
      </c>
      <c r="F17" s="15">
        <f>SUM('Reports RMB'!S8:V8)</f>
        <v>118.55314296166088</v>
      </c>
      <c r="G17" s="15">
        <f t="shared" ref="G17:J17" si="2">F17*0.95</f>
        <v>112.62548581357784</v>
      </c>
      <c r="H17" s="15">
        <f t="shared" si="2"/>
        <v>106.99421152289894</v>
      </c>
      <c r="I17" s="15">
        <f t="shared" si="2"/>
        <v>101.64450094675398</v>
      </c>
      <c r="J17" s="15">
        <f t="shared" si="2"/>
        <v>96.562275899416278</v>
      </c>
    </row>
    <row r="18" spans="2:165" x14ac:dyDescent="0.15">
      <c r="E18" s="15"/>
      <c r="F18" s="15"/>
      <c r="G18" s="15"/>
      <c r="H18" s="15"/>
    </row>
    <row r="19" spans="2:165" x14ac:dyDescent="0.15">
      <c r="B19" s="1" t="s">
        <v>4</v>
      </c>
      <c r="C19" s="16">
        <f>C16*C17</f>
        <v>517.05295000000001</v>
      </c>
      <c r="D19" s="16">
        <f>D16*D17</f>
        <v>3022.1457850000002</v>
      </c>
      <c r="E19" s="16">
        <f>E16*E17</f>
        <v>5570.0806039999998</v>
      </c>
      <c r="F19" s="17">
        <f>F16*F17</f>
        <v>5655.4881552266188</v>
      </c>
      <c r="G19" s="17">
        <f t="shared" ref="G19" si="3">G16*G17</f>
        <v>5480.1680224145939</v>
      </c>
      <c r="H19" s="17">
        <f t="shared" ref="H19:I19" si="4">H16*H17</f>
        <v>5310.2828137197412</v>
      </c>
      <c r="I19" s="17">
        <f t="shared" si="4"/>
        <v>5145.6640464944294</v>
      </c>
      <c r="J19" s="17">
        <f>J16*J17</f>
        <v>4986.1484610531024</v>
      </c>
      <c r="K19" s="17">
        <f>J19*0.98</f>
        <v>4886.4254918320403</v>
      </c>
      <c r="L19" s="17">
        <f t="shared" ref="L19:T19" si="5">K19*0.98</f>
        <v>4788.6969819953993</v>
      </c>
      <c r="M19" s="17">
        <f t="shared" si="5"/>
        <v>4692.9230423554909</v>
      </c>
      <c r="N19" s="17">
        <f t="shared" si="5"/>
        <v>4599.0645815083808</v>
      </c>
      <c r="O19" s="17">
        <f t="shared" si="5"/>
        <v>4507.0832898782128</v>
      </c>
      <c r="P19" s="17">
        <f t="shared" si="5"/>
        <v>4416.9416240806486</v>
      </c>
      <c r="Q19" s="17">
        <f t="shared" si="5"/>
        <v>4328.6027915990353</v>
      </c>
      <c r="R19" s="17">
        <f t="shared" si="5"/>
        <v>4242.0307357670545</v>
      </c>
      <c r="S19" s="17">
        <f t="shared" si="5"/>
        <v>4157.1901210517135</v>
      </c>
      <c r="T19" s="17">
        <f t="shared" si="5"/>
        <v>4074.0463186306793</v>
      </c>
    </row>
    <row r="20" spans="2:165" x14ac:dyDescent="0.15">
      <c r="B20" s="2" t="s">
        <v>5</v>
      </c>
      <c r="C20" s="15">
        <v>76.480455000000006</v>
      </c>
      <c r="D20" s="15">
        <v>503.612729</v>
      </c>
      <c r="E20" s="15">
        <f>SUM('Reports RMB'!O11:R11)</f>
        <v>1640.6320559999999</v>
      </c>
      <c r="F20" s="15">
        <f>SUM('Reports RMB'!S11:V11)</f>
        <v>1634.7628625098134</v>
      </c>
      <c r="G20" s="7">
        <f t="shared" ref="G20" si="6">G19-G21</f>
        <v>1584.085213772009</v>
      </c>
      <c r="H20" s="7">
        <f t="shared" ref="H20:O20" si="7">H19-H21</f>
        <v>1534.9785721450767</v>
      </c>
      <c r="I20" s="7">
        <f t="shared" si="7"/>
        <v>1487.3942364085792</v>
      </c>
      <c r="J20" s="7">
        <f t="shared" si="7"/>
        <v>1441.2850150799136</v>
      </c>
      <c r="K20" s="7">
        <f t="shared" si="7"/>
        <v>1412.4593147783153</v>
      </c>
      <c r="L20" s="7">
        <f t="shared" si="7"/>
        <v>1384.210128482749</v>
      </c>
      <c r="M20" s="7">
        <f t="shared" si="7"/>
        <v>1356.5259259130939</v>
      </c>
      <c r="N20" s="7">
        <f t="shared" si="7"/>
        <v>1329.3954073948316</v>
      </c>
      <c r="O20" s="7">
        <f t="shared" si="7"/>
        <v>1302.8074992469351</v>
      </c>
      <c r="P20" s="7">
        <f t="shared" ref="P20:T20" si="8">P19-P21</f>
        <v>1276.7513492619964</v>
      </c>
      <c r="Q20" s="7">
        <f t="shared" si="8"/>
        <v>1251.2163222767563</v>
      </c>
      <c r="R20" s="7">
        <f t="shared" si="8"/>
        <v>1226.191995831221</v>
      </c>
      <c r="S20" s="7">
        <f t="shared" si="8"/>
        <v>1201.6681559145968</v>
      </c>
      <c r="T20" s="7">
        <f t="shared" si="8"/>
        <v>1177.6347927963047</v>
      </c>
    </row>
    <row r="21" spans="2:165" x14ac:dyDescent="0.15">
      <c r="B21" s="2" t="s">
        <v>6</v>
      </c>
      <c r="C21" s="9">
        <f t="shared" ref="C21:F21" si="9">C19-C20</f>
        <v>440.572495</v>
      </c>
      <c r="D21" s="9">
        <f t="shared" si="9"/>
        <v>2518.5330560000002</v>
      </c>
      <c r="E21" s="9">
        <f t="shared" si="9"/>
        <v>3929.4485479999998</v>
      </c>
      <c r="F21" s="9">
        <f t="shared" si="9"/>
        <v>4020.7252927168056</v>
      </c>
      <c r="G21" s="7">
        <f>G19*F34</f>
        <v>3896.082808642585</v>
      </c>
      <c r="H21" s="7">
        <f>H19*G34</f>
        <v>3775.3042415746645</v>
      </c>
      <c r="I21" s="7">
        <f>I19*H34</f>
        <v>3658.2698100858502</v>
      </c>
      <c r="J21" s="7">
        <f>J19*I34</f>
        <v>3544.8634459731888</v>
      </c>
      <c r="K21" s="7">
        <f>K19*J34</f>
        <v>3473.966177053725</v>
      </c>
      <c r="L21" s="7">
        <f>L19*K34</f>
        <v>3404.4868535126502</v>
      </c>
      <c r="M21" s="7">
        <f>M19*L34</f>
        <v>3336.397116442397</v>
      </c>
      <c r="N21" s="7">
        <f>N19*M34</f>
        <v>3269.6691741135492</v>
      </c>
      <c r="O21" s="7">
        <f>O19*N34</f>
        <v>3204.2757906312777</v>
      </c>
      <c r="P21" s="7">
        <f>P19*O34</f>
        <v>3140.1902748186521</v>
      </c>
      <c r="Q21" s="7">
        <f>Q19*P34</f>
        <v>3077.386469322279</v>
      </c>
      <c r="R21" s="7">
        <f>R19*Q34</f>
        <v>3015.8387399358335</v>
      </c>
      <c r="S21" s="7">
        <f>S19*R34</f>
        <v>2955.5219651371167</v>
      </c>
      <c r="T21" s="7">
        <f>T19*S34</f>
        <v>2896.4115258343745</v>
      </c>
    </row>
    <row r="22" spans="2:165" x14ac:dyDescent="0.15">
      <c r="B22" s="2" t="s">
        <v>86</v>
      </c>
      <c r="C22" s="15">
        <v>15</v>
      </c>
      <c r="D22" s="15">
        <v>270</v>
      </c>
      <c r="E22" s="15">
        <f>SUM('Reports RMB'!O13:R13)</f>
        <v>926</v>
      </c>
      <c r="F22" s="15">
        <f>SUM('Reports RMB'!S13:V13)</f>
        <v>1007.2</v>
      </c>
      <c r="G22" s="7">
        <f>F22*1.1</f>
        <v>1107.92</v>
      </c>
      <c r="H22" s="7">
        <f t="shared" ref="H22:J22" si="10">G22*1.1</f>
        <v>1218.7120000000002</v>
      </c>
      <c r="I22" s="7">
        <f t="shared" si="10"/>
        <v>1340.5832000000003</v>
      </c>
      <c r="J22" s="7">
        <f t="shared" si="10"/>
        <v>1474.6415200000004</v>
      </c>
      <c r="K22" s="7">
        <f>J22*1.05</f>
        <v>1548.3735960000004</v>
      </c>
      <c r="L22" s="7">
        <f t="shared" ref="L22:T22" si="11">K22*1.05</f>
        <v>1625.7922758000004</v>
      </c>
      <c r="M22" s="7">
        <f t="shared" si="11"/>
        <v>1707.0818895900006</v>
      </c>
      <c r="N22" s="7">
        <f t="shared" si="11"/>
        <v>1792.4359840695008</v>
      </c>
      <c r="O22" s="7">
        <f t="shared" si="11"/>
        <v>1882.0577832729759</v>
      </c>
      <c r="P22" s="7">
        <f t="shared" si="11"/>
        <v>1976.1606724366247</v>
      </c>
      <c r="Q22" s="7">
        <f t="shared" si="11"/>
        <v>2074.9687060584561</v>
      </c>
      <c r="R22" s="7">
        <f t="shared" si="11"/>
        <v>2178.7171413613792</v>
      </c>
      <c r="S22" s="7">
        <f t="shared" si="11"/>
        <v>2287.6529984294484</v>
      </c>
      <c r="T22" s="7">
        <f t="shared" si="11"/>
        <v>2402.0356483509208</v>
      </c>
    </row>
    <row r="23" spans="2:165" x14ac:dyDescent="0.15">
      <c r="B23" s="2" t="s">
        <v>7</v>
      </c>
      <c r="C23" s="15">
        <v>495</v>
      </c>
      <c r="D23" s="15">
        <v>3250</v>
      </c>
      <c r="E23" s="15">
        <f>SUM('Reports RMB'!O14:R14)</f>
        <v>5490</v>
      </c>
      <c r="F23" s="15">
        <f>SUM('Reports RMB'!S14:V14)</f>
        <v>3385</v>
      </c>
      <c r="G23" s="7">
        <f>F23*0.8</f>
        <v>2708</v>
      </c>
      <c r="H23" s="7">
        <f t="shared" ref="H23:J23" si="12">G23*0.8</f>
        <v>2166.4</v>
      </c>
      <c r="I23" s="7">
        <f t="shared" si="12"/>
        <v>1733.1200000000001</v>
      </c>
      <c r="J23" s="7">
        <f t="shared" si="12"/>
        <v>1386.4960000000001</v>
      </c>
      <c r="K23" s="7">
        <f>J23*0.9</f>
        <v>1247.8464000000001</v>
      </c>
      <c r="L23" s="7">
        <f t="shared" ref="L23:T23" si="13">K23*0.9</f>
        <v>1123.06176</v>
      </c>
      <c r="M23" s="7">
        <f t="shared" si="13"/>
        <v>1010.7555840000001</v>
      </c>
      <c r="N23" s="7">
        <f t="shared" si="13"/>
        <v>909.68002560000014</v>
      </c>
      <c r="O23" s="7">
        <f t="shared" si="13"/>
        <v>818.71202304000019</v>
      </c>
      <c r="P23" s="7">
        <f t="shared" si="13"/>
        <v>736.84082073600018</v>
      </c>
      <c r="Q23" s="7">
        <f t="shared" si="13"/>
        <v>663.15673866240013</v>
      </c>
      <c r="R23" s="7">
        <f t="shared" si="13"/>
        <v>596.84106479616014</v>
      </c>
      <c r="S23" s="7">
        <f t="shared" si="13"/>
        <v>537.15695831654409</v>
      </c>
      <c r="T23" s="7">
        <f t="shared" si="13"/>
        <v>483.44126248488971</v>
      </c>
    </row>
    <row r="24" spans="2:165" x14ac:dyDescent="0.15">
      <c r="B24" s="2" t="s">
        <v>8</v>
      </c>
      <c r="C24" s="15">
        <v>26</v>
      </c>
      <c r="D24" s="15">
        <v>981</v>
      </c>
      <c r="E24" s="15">
        <f>SUM('Reports RMB'!O15:R15)</f>
        <v>268</v>
      </c>
      <c r="F24" s="15">
        <f>SUM('Reports RMB'!S15:V15)</f>
        <v>386.9</v>
      </c>
      <c r="G24" s="7">
        <f>F24*1.25</f>
        <v>483.625</v>
      </c>
      <c r="H24" s="7">
        <f t="shared" ref="H24:J24" si="14">G24*1.25</f>
        <v>604.53125</v>
      </c>
      <c r="I24" s="7">
        <f t="shared" si="14"/>
        <v>755.6640625</v>
      </c>
      <c r="J24" s="7">
        <f t="shared" si="14"/>
        <v>944.580078125</v>
      </c>
      <c r="K24" s="7">
        <f>J24*1.05</f>
        <v>991.80908203125</v>
      </c>
      <c r="L24" s="7">
        <f t="shared" ref="L24:T24" si="15">K24*1.05</f>
        <v>1041.3995361328125</v>
      </c>
      <c r="M24" s="7">
        <f t="shared" si="15"/>
        <v>1093.4695129394531</v>
      </c>
      <c r="N24" s="7">
        <f t="shared" si="15"/>
        <v>1148.1429885864259</v>
      </c>
      <c r="O24" s="7">
        <f t="shared" si="15"/>
        <v>1205.5501380157473</v>
      </c>
      <c r="P24" s="7">
        <f t="shared" si="15"/>
        <v>1265.8276449165346</v>
      </c>
      <c r="Q24" s="7">
        <f t="shared" si="15"/>
        <v>1329.1190271623614</v>
      </c>
      <c r="R24" s="7">
        <f t="shared" si="15"/>
        <v>1395.5749785204796</v>
      </c>
      <c r="S24" s="7">
        <f t="shared" si="15"/>
        <v>1465.3537274465036</v>
      </c>
      <c r="T24" s="7">
        <f t="shared" si="15"/>
        <v>1538.6214138188288</v>
      </c>
    </row>
    <row r="25" spans="2:165" x14ac:dyDescent="0.15">
      <c r="B25" s="2" t="s">
        <v>9</v>
      </c>
      <c r="C25" s="9">
        <f t="shared" ref="C25" si="16">SUM(C22:C24)</f>
        <v>536</v>
      </c>
      <c r="D25" s="9">
        <f>SUM(D22:D24)</f>
        <v>4501</v>
      </c>
      <c r="E25" s="9">
        <f>SUM(E22:E24)</f>
        <v>6684</v>
      </c>
      <c r="F25" s="9">
        <f>SUM(F22:F24)</f>
        <v>4779.0999999999995</v>
      </c>
      <c r="G25" s="7">
        <f>SUM(G23:G24)</f>
        <v>3191.625</v>
      </c>
      <c r="H25" s="7">
        <f t="shared" ref="G25:O25" si="17">SUM(H23:H24)</f>
        <v>2770.9312500000001</v>
      </c>
      <c r="I25" s="7">
        <f t="shared" si="17"/>
        <v>2488.7840624999999</v>
      </c>
      <c r="J25" s="7">
        <f t="shared" si="17"/>
        <v>2331.0760781250001</v>
      </c>
      <c r="K25" s="7">
        <f t="shared" si="17"/>
        <v>2239.6554820312504</v>
      </c>
      <c r="L25" s="7">
        <f t="shared" si="17"/>
        <v>2164.4612961328125</v>
      </c>
      <c r="M25" s="7">
        <f t="shared" si="17"/>
        <v>2104.2250969394531</v>
      </c>
      <c r="N25" s="7">
        <f t="shared" si="17"/>
        <v>2057.823014186426</v>
      </c>
      <c r="O25" s="7">
        <f t="shared" si="17"/>
        <v>2024.2621610557476</v>
      </c>
      <c r="P25" s="7">
        <f t="shared" ref="P25:T25" si="18">SUM(P23:P24)</f>
        <v>2002.6684656525349</v>
      </c>
      <c r="Q25" s="7">
        <f t="shared" si="18"/>
        <v>1992.2757658247615</v>
      </c>
      <c r="R25" s="7">
        <f t="shared" si="18"/>
        <v>1992.4160433166398</v>
      </c>
      <c r="S25" s="7">
        <f t="shared" si="18"/>
        <v>2002.5106857630476</v>
      </c>
      <c r="T25" s="7">
        <f t="shared" si="18"/>
        <v>2022.0626763037185</v>
      </c>
    </row>
    <row r="26" spans="2:165" x14ac:dyDescent="0.15">
      <c r="B26" s="2" t="s">
        <v>10</v>
      </c>
      <c r="C26" s="9">
        <f t="shared" ref="C26:T26" si="19">C21-C25</f>
        <v>-95.427504999999996</v>
      </c>
      <c r="D26" s="9">
        <f t="shared" si="19"/>
        <v>-1982.4669439999998</v>
      </c>
      <c r="E26" s="9">
        <f t="shared" si="19"/>
        <v>-2754.5514520000002</v>
      </c>
      <c r="F26" s="9">
        <f>F21-F25</f>
        <v>-758.37470728319386</v>
      </c>
      <c r="G26" s="7">
        <f>G21-G25</f>
        <v>704.45780864258495</v>
      </c>
      <c r="H26" s="7">
        <f t="shared" si="19"/>
        <v>1004.3729915746644</v>
      </c>
      <c r="I26" s="7">
        <f t="shared" si="19"/>
        <v>1169.4857475858503</v>
      </c>
      <c r="J26" s="7">
        <f t="shared" si="19"/>
        <v>1213.7873678481888</v>
      </c>
      <c r="K26" s="7">
        <f t="shared" si="19"/>
        <v>1234.3106950224746</v>
      </c>
      <c r="L26" s="7">
        <f t="shared" si="19"/>
        <v>1240.0255573798377</v>
      </c>
      <c r="M26" s="7">
        <f t="shared" si="19"/>
        <v>1232.1720195029438</v>
      </c>
      <c r="N26" s="7">
        <f t="shared" si="19"/>
        <v>1211.8461599271232</v>
      </c>
      <c r="O26" s="7">
        <f t="shared" si="19"/>
        <v>1180.0136295755301</v>
      </c>
      <c r="P26" s="7">
        <f t="shared" si="19"/>
        <v>1137.5218091661172</v>
      </c>
      <c r="Q26" s="7">
        <f t="shared" si="19"/>
        <v>1085.1107034975175</v>
      </c>
      <c r="R26" s="7">
        <f t="shared" si="19"/>
        <v>1023.4226966191936</v>
      </c>
      <c r="S26" s="7">
        <f t="shared" si="19"/>
        <v>953.01127937406909</v>
      </c>
      <c r="T26" s="7">
        <f t="shared" si="19"/>
        <v>874.34884953065603</v>
      </c>
    </row>
    <row r="27" spans="2:165" x14ac:dyDescent="0.15">
      <c r="B27" s="2" t="s">
        <v>11</v>
      </c>
      <c r="C27" s="15">
        <f>1-0</f>
        <v>1</v>
      </c>
      <c r="D27" s="15">
        <f>1+31+4-0</f>
        <v>36</v>
      </c>
      <c r="E27" s="15">
        <f>SUM('Reports RMB'!O18:R18)</f>
        <v>70</v>
      </c>
      <c r="F27" s="15">
        <f>SUM('Reports RMB'!S18:V18)</f>
        <v>-26</v>
      </c>
      <c r="G27" s="7">
        <f>F44*$G$4</f>
        <v>-6.1960136256457554</v>
      </c>
      <c r="H27" s="7">
        <f>G44*$G$4</f>
        <v>5.6744368896422115</v>
      </c>
      <c r="I27" s="7">
        <f>H44*$G$4</f>
        <v>22.84524317353543</v>
      </c>
      <c r="J27" s="7">
        <f>I44*$G$4</f>
        <v>43.114870016444982</v>
      </c>
      <c r="K27" s="7">
        <f>J44*$G$4</f>
        <v>64.482208060143762</v>
      </c>
      <c r="L27" s="7">
        <f>K44*$G$4</f>
        <v>86.561687412548267</v>
      </c>
      <c r="M27" s="7">
        <f>L44*$G$4</f>
        <v>109.11367057401884</v>
      </c>
      <c r="N27" s="7">
        <f>M44*$G$4</f>
        <v>131.9155273053272</v>
      </c>
      <c r="O27" s="7">
        <f>N44*$G$4</f>
        <v>154.75947598827887</v>
      </c>
      <c r="P27" s="7">
        <f>O44*$G$4</f>
        <v>177.45061878286361</v>
      </c>
      <c r="Q27" s="7">
        <f>P44*$G$4</f>
        <v>199.80515005799629</v>
      </c>
      <c r="R27" s="7">
        <f>Q44*$G$4</f>
        <v>221.64871956844004</v>
      </c>
      <c r="S27" s="7">
        <f>R44*$G$4</f>
        <v>242.81493364362981</v>
      </c>
      <c r="T27" s="7">
        <f>S44*$G$4</f>
        <v>263.14397926493069</v>
      </c>
    </row>
    <row r="28" spans="2:165" x14ac:dyDescent="0.15">
      <c r="B28" s="2" t="s">
        <v>12</v>
      </c>
      <c r="C28" s="9">
        <f t="shared" ref="C28:F28" si="20">C26+C27</f>
        <v>-94.427504999999996</v>
      </c>
      <c r="D28" s="9">
        <f t="shared" si="20"/>
        <v>-1946.4669439999998</v>
      </c>
      <c r="E28" s="9">
        <f t="shared" si="20"/>
        <v>-2684.5514520000002</v>
      </c>
      <c r="F28" s="9">
        <f t="shared" si="20"/>
        <v>-784.37470728319386</v>
      </c>
      <c r="G28" s="7">
        <f t="shared" ref="G28" si="21">G26+G27</f>
        <v>698.26179501693923</v>
      </c>
      <c r="H28" s="7">
        <f t="shared" ref="H28" si="22">H26+H27</f>
        <v>1010.0474284643067</v>
      </c>
      <c r="I28" s="7">
        <f t="shared" ref="I28" si="23">I26+I27</f>
        <v>1192.3309907593857</v>
      </c>
      <c r="J28" s="7">
        <f t="shared" ref="J28" si="24">J26+J27</f>
        <v>1256.9022378646337</v>
      </c>
      <c r="K28" s="7">
        <f t="shared" ref="K28" si="25">K26+K27</f>
        <v>1298.7929030826185</v>
      </c>
      <c r="L28" s="7">
        <f t="shared" ref="L28" si="26">L26+L27</f>
        <v>1326.5872447923859</v>
      </c>
      <c r="M28" s="7">
        <f t="shared" ref="M28" si="27">M26+M27</f>
        <v>1341.2856900769627</v>
      </c>
      <c r="N28" s="7">
        <f t="shared" ref="N28" si="28">N26+N27</f>
        <v>1343.7616872324504</v>
      </c>
      <c r="O28" s="7">
        <f t="shared" ref="O28:P28" si="29">O26+O27</f>
        <v>1334.7731055638089</v>
      </c>
      <c r="P28" s="7">
        <f t="shared" si="29"/>
        <v>1314.9724279489808</v>
      </c>
      <c r="Q28" s="7">
        <f t="shared" ref="Q28:T28" si="30">Q26+Q27</f>
        <v>1284.9158535555139</v>
      </c>
      <c r="R28" s="7">
        <f t="shared" si="30"/>
        <v>1245.0714161876338</v>
      </c>
      <c r="S28" s="7">
        <f t="shared" si="30"/>
        <v>1195.8262130176988</v>
      </c>
      <c r="T28" s="7">
        <f t="shared" si="30"/>
        <v>1137.4928287955868</v>
      </c>
    </row>
    <row r="29" spans="2:165" x14ac:dyDescent="0.15">
      <c r="B29" s="2" t="s">
        <v>13</v>
      </c>
      <c r="C29" s="15">
        <v>0</v>
      </c>
      <c r="D29" s="15">
        <v>0</v>
      </c>
      <c r="E29" s="15">
        <f>SUM('Reports RMB'!O20:R20)</f>
        <v>-8</v>
      </c>
      <c r="F29" s="15">
        <f>SUM('Reports RMB'!S20:V20)</f>
        <v>-2.5740260009061284</v>
      </c>
      <c r="G29" s="7">
        <f t="shared" ref="G29:O29" si="31">G28*0.15</f>
        <v>104.73926925254088</v>
      </c>
      <c r="H29" s="7">
        <f t="shared" si="31"/>
        <v>151.507114269646</v>
      </c>
      <c r="I29" s="7">
        <f t="shared" si="31"/>
        <v>178.84964861390785</v>
      </c>
      <c r="J29" s="7">
        <f t="shared" si="31"/>
        <v>188.53533567969504</v>
      </c>
      <c r="K29" s="7">
        <f t="shared" si="31"/>
        <v>194.81893546239277</v>
      </c>
      <c r="L29" s="7">
        <f t="shared" si="31"/>
        <v>198.98808671885789</v>
      </c>
      <c r="M29" s="7">
        <f t="shared" si="31"/>
        <v>201.1928535115444</v>
      </c>
      <c r="N29" s="7">
        <f t="shared" si="31"/>
        <v>201.56425308486754</v>
      </c>
      <c r="O29" s="7">
        <f t="shared" si="31"/>
        <v>200.21596583457134</v>
      </c>
      <c r="P29" s="7">
        <f t="shared" ref="P29:T29" si="32">P28*0.15</f>
        <v>197.24586419234711</v>
      </c>
      <c r="Q29" s="7">
        <f t="shared" si="32"/>
        <v>192.73737803332708</v>
      </c>
      <c r="R29" s="7">
        <f t="shared" si="32"/>
        <v>186.76071242814507</v>
      </c>
      <c r="S29" s="7">
        <f t="shared" si="32"/>
        <v>179.37393195265483</v>
      </c>
      <c r="T29" s="7">
        <f t="shared" si="32"/>
        <v>170.62392431933802</v>
      </c>
    </row>
    <row r="30" spans="2:165" s="1" customFormat="1" x14ac:dyDescent="0.15">
      <c r="B30" s="1" t="s">
        <v>14</v>
      </c>
      <c r="C30" s="16">
        <f t="shared" ref="C30" si="33">C28-C29</f>
        <v>-94.427504999999996</v>
      </c>
      <c r="D30" s="16">
        <f>D28-D29</f>
        <v>-1946.4669439999998</v>
      </c>
      <c r="E30" s="16">
        <f t="shared" ref="E30:G30" si="34">E28-E29</f>
        <v>-2676.5514520000002</v>
      </c>
      <c r="F30" s="16">
        <f t="shared" si="34"/>
        <v>-781.80068128228777</v>
      </c>
      <c r="G30" s="16">
        <f t="shared" si="34"/>
        <v>593.52252576439832</v>
      </c>
      <c r="H30" s="16">
        <f t="shared" ref="H30:O30" si="35">H28-H29</f>
        <v>858.54031419466071</v>
      </c>
      <c r="I30" s="16">
        <f t="shared" si="35"/>
        <v>1013.4813421454778</v>
      </c>
      <c r="J30" s="16">
        <f t="shared" si="35"/>
        <v>1068.3669021849387</v>
      </c>
      <c r="K30" s="16">
        <f t="shared" si="35"/>
        <v>1103.9739676202257</v>
      </c>
      <c r="L30" s="16">
        <f t="shared" si="35"/>
        <v>1127.5991580735281</v>
      </c>
      <c r="M30" s="16">
        <f t="shared" si="35"/>
        <v>1140.0928365654183</v>
      </c>
      <c r="N30" s="16">
        <f t="shared" si="35"/>
        <v>1142.197434147583</v>
      </c>
      <c r="O30" s="16">
        <f t="shared" si="35"/>
        <v>1134.5571397292376</v>
      </c>
      <c r="P30" s="16">
        <f t="shared" ref="P30:T30" si="36">P28-P29</f>
        <v>1117.7265637566336</v>
      </c>
      <c r="Q30" s="16">
        <f t="shared" si="36"/>
        <v>1092.1784755221868</v>
      </c>
      <c r="R30" s="16">
        <f t="shared" si="36"/>
        <v>1058.3107037594887</v>
      </c>
      <c r="S30" s="16">
        <f t="shared" si="36"/>
        <v>1016.452281065044</v>
      </c>
      <c r="T30" s="16">
        <f t="shared" si="36"/>
        <v>966.86890447624876</v>
      </c>
      <c r="U30" s="16">
        <f>T30*($G$3+1)</f>
        <v>957.2002154314863</v>
      </c>
      <c r="V30" s="16">
        <f>U30*($G$3+1)</f>
        <v>947.62821327717143</v>
      </c>
      <c r="W30" s="16">
        <f>V30*($G$3+1)</f>
        <v>938.15193114439967</v>
      </c>
      <c r="X30" s="16">
        <f>W30*($G$3+1)</f>
        <v>928.77041183295569</v>
      </c>
      <c r="Y30" s="16">
        <f>X30*($G$3+1)</f>
        <v>919.48270771462614</v>
      </c>
      <c r="Z30" s="16">
        <f>Y30*($G$3+1)</f>
        <v>910.28788063747993</v>
      </c>
      <c r="AA30" s="16">
        <f>Z30*($G$3+1)</f>
        <v>901.18500183110507</v>
      </c>
      <c r="AB30" s="16">
        <f>AA30*($G$3+1)</f>
        <v>892.173151812794</v>
      </c>
      <c r="AC30" s="16">
        <f>AB30*($G$3+1)</f>
        <v>883.2514202946661</v>
      </c>
      <c r="AD30" s="16">
        <f>AC30*($G$3+1)</f>
        <v>874.41890609171946</v>
      </c>
      <c r="AE30" s="16">
        <f>AD30*($G$3+1)</f>
        <v>865.6747170308023</v>
      </c>
      <c r="AF30" s="16">
        <f>AE30*($G$3+1)</f>
        <v>857.0179698604943</v>
      </c>
      <c r="AG30" s="16">
        <f>AF30*($G$3+1)</f>
        <v>848.44779016188932</v>
      </c>
      <c r="AH30" s="16">
        <f>AG30*($G$3+1)</f>
        <v>839.96331226027041</v>
      </c>
      <c r="AI30" s="16">
        <f>AH30*($G$3+1)</f>
        <v>831.56367913766769</v>
      </c>
      <c r="AJ30" s="16">
        <f>AI30*($G$3+1)</f>
        <v>823.24804234629096</v>
      </c>
      <c r="AK30" s="16">
        <f>AJ30*($G$3+1)</f>
        <v>815.01556192282806</v>
      </c>
      <c r="AL30" s="16">
        <f>AK30*($G$3+1)</f>
        <v>806.8654063035998</v>
      </c>
      <c r="AM30" s="16">
        <f>AL30*($G$3+1)</f>
        <v>798.79675224056382</v>
      </c>
      <c r="AN30" s="16">
        <f>AM30*($G$3+1)</f>
        <v>790.80878471815822</v>
      </c>
      <c r="AO30" s="16">
        <f>AN30*($G$3+1)</f>
        <v>782.90069687097662</v>
      </c>
      <c r="AP30" s="16">
        <f>AO30*($G$3+1)</f>
        <v>775.07168990226683</v>
      </c>
      <c r="AQ30" s="16">
        <f>AP30*($G$3+1)</f>
        <v>767.32097300324415</v>
      </c>
      <c r="AR30" s="16">
        <f>AQ30*($G$3+1)</f>
        <v>759.64776327321169</v>
      </c>
      <c r="AS30" s="16">
        <f>AR30*($G$3+1)</f>
        <v>752.05128564047959</v>
      </c>
      <c r="AT30" s="16">
        <f>AS30*($G$3+1)</f>
        <v>744.53077278407477</v>
      </c>
      <c r="AU30" s="16">
        <f>AT30*($G$3+1)</f>
        <v>737.08546505623406</v>
      </c>
      <c r="AV30" s="16">
        <f>AU30*($G$3+1)</f>
        <v>729.71461040567169</v>
      </c>
      <c r="AW30" s="16">
        <f>AV30*($G$3+1)</f>
        <v>722.41746430161493</v>
      </c>
      <c r="AX30" s="16">
        <f>AW30*($G$3+1)</f>
        <v>715.19328965859881</v>
      </c>
      <c r="AY30" s="16">
        <f>AX30*($G$3+1)</f>
        <v>708.04135676201281</v>
      </c>
      <c r="AZ30" s="16">
        <f>AY30*($G$3+1)</f>
        <v>700.96094319439271</v>
      </c>
      <c r="BA30" s="16">
        <f>AZ30*($G$3+1)</f>
        <v>693.95133376244883</v>
      </c>
      <c r="BB30" s="16">
        <f>BA30*($G$3+1)</f>
        <v>687.01182042482435</v>
      </c>
      <c r="BC30" s="16">
        <f>BB30*($G$3+1)</f>
        <v>680.14170222057612</v>
      </c>
      <c r="BD30" s="16">
        <f>BC30*($G$3+1)</f>
        <v>673.34028519837034</v>
      </c>
      <c r="BE30" s="16">
        <f>BD30*($G$3+1)</f>
        <v>666.60688234638667</v>
      </c>
      <c r="BF30" s="16">
        <f>BE30*($G$3+1)</f>
        <v>659.94081352292278</v>
      </c>
      <c r="BG30" s="16">
        <f>BF30*($G$3+1)</f>
        <v>653.3414053876935</v>
      </c>
      <c r="BH30" s="16">
        <f>BG30*($G$3+1)</f>
        <v>646.80799133381652</v>
      </c>
      <c r="BI30" s="16">
        <f>BH30*($G$3+1)</f>
        <v>640.3399114204783</v>
      </c>
      <c r="BJ30" s="16">
        <f>BI30*($G$3+1)</f>
        <v>633.93651230627347</v>
      </c>
      <c r="BK30" s="16">
        <f>BJ30*($G$3+1)</f>
        <v>627.59714718321072</v>
      </c>
      <c r="BL30" s="16">
        <f>BK30*($G$3+1)</f>
        <v>621.3211757113786</v>
      </c>
      <c r="BM30" s="16">
        <f>BL30*($G$3+1)</f>
        <v>615.10796395426485</v>
      </c>
      <c r="BN30" s="16">
        <f>BM30*($G$3+1)</f>
        <v>608.95688431472217</v>
      </c>
      <c r="BO30" s="16">
        <f>BN30*($G$3+1)</f>
        <v>602.8673154715749</v>
      </c>
      <c r="BP30" s="16">
        <f>BO30*($G$3+1)</f>
        <v>596.83864231685914</v>
      </c>
      <c r="BQ30" s="16">
        <f>BP30*($G$3+1)</f>
        <v>590.87025589369057</v>
      </c>
      <c r="BR30" s="16">
        <f>BQ30*($G$3+1)</f>
        <v>584.9615533347536</v>
      </c>
      <c r="BS30" s="16">
        <f>BR30*($G$3+1)</f>
        <v>579.11193780140604</v>
      </c>
      <c r="BT30" s="16">
        <f>BS30*($G$3+1)</f>
        <v>573.32081842339198</v>
      </c>
      <c r="BU30" s="16">
        <f>BT30*($G$3+1)</f>
        <v>567.58761023915804</v>
      </c>
      <c r="BV30" s="16">
        <f>BU30*($G$3+1)</f>
        <v>561.91173413676643</v>
      </c>
      <c r="BW30" s="16">
        <f>BV30*($G$3+1)</f>
        <v>556.29261679539877</v>
      </c>
      <c r="BX30" s="16">
        <f>BW30*($G$3+1)</f>
        <v>550.72969062744482</v>
      </c>
      <c r="BY30" s="16">
        <f>BX30*($G$3+1)</f>
        <v>545.22239372117042</v>
      </c>
      <c r="BZ30" s="16">
        <f>BY30*($G$3+1)</f>
        <v>539.77016978395875</v>
      </c>
      <c r="CA30" s="16">
        <f>BZ30*($G$3+1)</f>
        <v>534.37246808611917</v>
      </c>
      <c r="CB30" s="16">
        <f>CA30*($G$3+1)</f>
        <v>529.02874340525796</v>
      </c>
      <c r="CC30" s="16">
        <f>CB30*($G$3+1)</f>
        <v>523.73845597120533</v>
      </c>
      <c r="CD30" s="16">
        <f>CC30*($G$3+1)</f>
        <v>518.50107141149329</v>
      </c>
      <c r="CE30" s="16">
        <f>CD30*($G$3+1)</f>
        <v>513.31606069737836</v>
      </c>
      <c r="CF30" s="16">
        <f>CE30*($G$3+1)</f>
        <v>508.18290009040459</v>
      </c>
      <c r="CG30" s="16">
        <f>CF30*($G$3+1)</f>
        <v>503.10107108950052</v>
      </c>
      <c r="CH30" s="16">
        <f>CG30*($G$3+1)</f>
        <v>498.07006037860549</v>
      </c>
      <c r="CI30" s="16">
        <f>CH30*($G$3+1)</f>
        <v>493.08935977481946</v>
      </c>
      <c r="CJ30" s="16">
        <f>CI30*($G$3+1)</f>
        <v>488.15846617707126</v>
      </c>
      <c r="CK30" s="16">
        <f>CJ30*($G$3+1)</f>
        <v>483.27688151530054</v>
      </c>
      <c r="CL30" s="16">
        <f>CK30*($G$3+1)</f>
        <v>478.44411270014751</v>
      </c>
      <c r="CM30" s="16">
        <f>CL30*($G$3+1)</f>
        <v>473.65967157314606</v>
      </c>
      <c r="CN30" s="16">
        <f>CM30*($G$3+1)</f>
        <v>468.92307485741458</v>
      </c>
      <c r="CO30" s="16">
        <f>CN30*($G$3+1)</f>
        <v>464.2338441088404</v>
      </c>
      <c r="CP30" s="16">
        <f>CO30*($G$3+1)</f>
        <v>459.59150566775202</v>
      </c>
      <c r="CQ30" s="16">
        <f>CP30*($G$3+1)</f>
        <v>454.99559061107448</v>
      </c>
      <c r="CR30" s="16">
        <f>CQ30*($G$3+1)</f>
        <v>450.44563470496371</v>
      </c>
      <c r="CS30" s="16">
        <f>CR30*($G$3+1)</f>
        <v>445.94117835791405</v>
      </c>
      <c r="CT30" s="16">
        <f>CS30*($G$3+1)</f>
        <v>441.48176657433493</v>
      </c>
      <c r="CU30" s="16">
        <f>CT30*($G$3+1)</f>
        <v>437.0669489085916</v>
      </c>
      <c r="CV30" s="16">
        <f>CU30*($G$3+1)</f>
        <v>432.69627941950569</v>
      </c>
      <c r="CW30" s="16">
        <f>CV30*($G$3+1)</f>
        <v>428.3693166253106</v>
      </c>
      <c r="CX30" s="16">
        <f>CW30*($G$3+1)</f>
        <v>424.0856234590575</v>
      </c>
      <c r="CY30" s="16">
        <f>CX30*($G$3+1)</f>
        <v>419.84476722446692</v>
      </c>
      <c r="CZ30" s="16">
        <f>CY30*($G$3+1)</f>
        <v>415.64631955222222</v>
      </c>
      <c r="DA30" s="16">
        <f>CZ30*($G$3+1)</f>
        <v>411.48985635669999</v>
      </c>
      <c r="DB30" s="16">
        <f>DA30*($G$3+1)</f>
        <v>407.37495779313298</v>
      </c>
      <c r="DC30" s="16">
        <f>DB30*($G$3+1)</f>
        <v>403.30120821520165</v>
      </c>
      <c r="DD30" s="16">
        <f>DC30*($G$3+1)</f>
        <v>399.26819613304963</v>
      </c>
      <c r="DE30" s="16">
        <f>DD30*($G$3+1)</f>
        <v>395.27551417171912</v>
      </c>
      <c r="DF30" s="16">
        <f>DE30*($G$3+1)</f>
        <v>391.32275903000192</v>
      </c>
      <c r="DG30" s="16">
        <f>DF30*($G$3+1)</f>
        <v>387.40953143970188</v>
      </c>
      <c r="DH30" s="16">
        <f>DG30*($G$3+1)</f>
        <v>383.53543612530484</v>
      </c>
      <c r="DI30" s="16">
        <f>DH30*($G$3+1)</f>
        <v>379.70008176405179</v>
      </c>
      <c r="DJ30" s="16">
        <f>DI30*($G$3+1)</f>
        <v>375.90308094641125</v>
      </c>
      <c r="DK30" s="16">
        <f>DJ30*($G$3+1)</f>
        <v>372.14405013694716</v>
      </c>
      <c r="DL30" s="16">
        <f>DK30*($G$3+1)</f>
        <v>368.42260963557766</v>
      </c>
      <c r="DM30" s="16">
        <f>DL30*($G$3+1)</f>
        <v>364.7383835392219</v>
      </c>
      <c r="DN30" s="16">
        <f>DM30*($G$3+1)</f>
        <v>361.09099970382965</v>
      </c>
      <c r="DO30" s="16">
        <f>DN30*($G$3+1)</f>
        <v>357.48008970679138</v>
      </c>
      <c r="DP30" s="16">
        <f>DO30*($G$3+1)</f>
        <v>353.90528880972346</v>
      </c>
      <c r="DQ30" s="16">
        <f>DP30*($G$3+1)</f>
        <v>350.36623592162624</v>
      </c>
      <c r="DR30" s="16">
        <f>DQ30*($G$3+1)</f>
        <v>346.86257356240998</v>
      </c>
      <c r="DS30" s="16">
        <f>DR30*($G$3+1)</f>
        <v>343.39394782678585</v>
      </c>
      <c r="DT30" s="16">
        <f>DS30*($G$3+1)</f>
        <v>339.96000834851799</v>
      </c>
      <c r="DU30" s="16">
        <f>DT30*($G$3+1)</f>
        <v>336.56040826503278</v>
      </c>
      <c r="DV30" s="16">
        <f>DU30*($G$3+1)</f>
        <v>333.19480418238243</v>
      </c>
      <c r="DW30" s="16">
        <f>DV30*($G$3+1)</f>
        <v>329.86285614055862</v>
      </c>
      <c r="DX30" s="16">
        <f>DW30*($G$3+1)</f>
        <v>326.56422757915306</v>
      </c>
      <c r="DY30" s="16">
        <f>DX30*($G$3+1)</f>
        <v>323.29858530336151</v>
      </c>
      <c r="DZ30" s="16">
        <f>DY30*($G$3+1)</f>
        <v>320.06559945032791</v>
      </c>
      <c r="EA30" s="16">
        <f>DZ30*($G$3+1)</f>
        <v>316.86494345582463</v>
      </c>
      <c r="EB30" s="16">
        <f>EA30*($G$3+1)</f>
        <v>313.6962940212664</v>
      </c>
      <c r="EC30" s="16">
        <f>EB30*($G$3+1)</f>
        <v>310.55933108105376</v>
      </c>
      <c r="ED30" s="16">
        <f>EC30*($G$3+1)</f>
        <v>307.45373777024321</v>
      </c>
      <c r="EE30" s="16">
        <f>ED30*($G$3+1)</f>
        <v>304.37920039254078</v>
      </c>
      <c r="EF30" s="16">
        <f>EE30*($G$3+1)</f>
        <v>301.33540838861535</v>
      </c>
      <c r="EG30" s="16">
        <f>EF30*($G$3+1)</f>
        <v>298.32205430472919</v>
      </c>
      <c r="EH30" s="16">
        <f>EG30*($G$3+1)</f>
        <v>295.33883376168188</v>
      </c>
      <c r="EI30" s="16">
        <f>EH30*($G$3+1)</f>
        <v>292.38544542406504</v>
      </c>
      <c r="EJ30" s="16">
        <f>EI30*($G$3+1)</f>
        <v>289.46159096982439</v>
      </c>
      <c r="EK30" s="16">
        <f>EJ30*($G$3+1)</f>
        <v>286.56697506012614</v>
      </c>
      <c r="EL30" s="16">
        <f>EK30*($G$3+1)</f>
        <v>283.70130530952486</v>
      </c>
      <c r="EM30" s="16">
        <f>EL30*($G$3+1)</f>
        <v>280.86429225642962</v>
      </c>
      <c r="EN30" s="16">
        <f>EM30*($G$3+1)</f>
        <v>278.05564933386535</v>
      </c>
      <c r="EO30" s="16">
        <f>EN30*($G$3+1)</f>
        <v>275.27509284052667</v>
      </c>
      <c r="EP30" s="16">
        <f>EO30*($G$3+1)</f>
        <v>272.52234191212142</v>
      </c>
      <c r="EQ30" s="16">
        <f>EP30*($G$3+1)</f>
        <v>269.7971184930002</v>
      </c>
      <c r="ER30" s="16">
        <f>EQ30*($G$3+1)</f>
        <v>267.0991473080702</v>
      </c>
      <c r="ES30" s="16">
        <f>ER30*($G$3+1)</f>
        <v>264.42815583498947</v>
      </c>
      <c r="ET30" s="16">
        <f>ES30*($G$3+1)</f>
        <v>261.78387427663955</v>
      </c>
      <c r="EU30" s="16">
        <f>ET30*($G$3+1)</f>
        <v>259.16603553387313</v>
      </c>
      <c r="EV30" s="16">
        <f>EU30*($G$3+1)</f>
        <v>256.57437517853441</v>
      </c>
      <c r="EW30" s="16">
        <f>EV30*($G$3+1)</f>
        <v>254.00863142674908</v>
      </c>
      <c r="EX30" s="16">
        <f>EW30*($G$3+1)</f>
        <v>251.46854511248159</v>
      </c>
      <c r="EY30" s="16">
        <f>EX30*($G$3+1)</f>
        <v>248.95385966135677</v>
      </c>
      <c r="EZ30" s="16">
        <f>EY30*($G$3+1)</f>
        <v>246.46432106474322</v>
      </c>
      <c r="FA30" s="16">
        <f>EZ30*($G$3+1)</f>
        <v>243.99967785409578</v>
      </c>
      <c r="FB30" s="16">
        <f>FA30*($G$3+1)</f>
        <v>241.55968107555481</v>
      </c>
      <c r="FC30" s="16">
        <f>FB30*($G$3+1)</f>
        <v>239.14408426479926</v>
      </c>
      <c r="FD30" s="16">
        <f>FC30*($G$3+1)</f>
        <v>236.75264342215127</v>
      </c>
      <c r="FE30" s="16">
        <f>FD30*($G$3+1)</f>
        <v>234.38511698792976</v>
      </c>
      <c r="FF30" s="16">
        <f>FE30*($G$3+1)</f>
        <v>232.04126581805048</v>
      </c>
      <c r="FG30" s="16">
        <f>FF30*($G$3+1)</f>
        <v>229.72085315986996</v>
      </c>
      <c r="FH30" s="16">
        <f>FG30*($G$3+1)</f>
        <v>227.42364462827126</v>
      </c>
      <c r="FI30" s="16">
        <f>FH30*($G$3+1)</f>
        <v>225.14940818198855</v>
      </c>
    </row>
    <row r="31" spans="2:165" x14ac:dyDescent="0.15">
      <c r="B31" s="2" t="s">
        <v>15</v>
      </c>
      <c r="C31" s="18">
        <f t="shared" ref="C31:F31" si="37">C30/C32</f>
        <v>-0.98106498701298694</v>
      </c>
      <c r="D31" s="18">
        <f t="shared" si="37"/>
        <v>-13.903147820406534</v>
      </c>
      <c r="E31" s="18">
        <f t="shared" si="37"/>
        <v>-9.4312678550218649</v>
      </c>
      <c r="F31" s="18">
        <f t="shared" si="37"/>
        <v>-2.7548028747596942</v>
      </c>
      <c r="G31" s="19">
        <f t="shared" ref="G31" si="38">G30/G32</f>
        <v>2.0913739260608675</v>
      </c>
      <c r="H31" s="19">
        <f t="shared" ref="H31:O31" si="39">H30/H32</f>
        <v>3.0252075525968536</v>
      </c>
      <c r="I31" s="19">
        <f t="shared" si="39"/>
        <v>3.5711676667746195</v>
      </c>
      <c r="J31" s="19">
        <f t="shared" si="39"/>
        <v>3.7645659359236183</v>
      </c>
      <c r="K31" s="19">
        <f t="shared" si="39"/>
        <v>3.8900332686739558</v>
      </c>
      <c r="L31" s="19">
        <f t="shared" si="39"/>
        <v>3.9732805005269083</v>
      </c>
      <c r="M31" s="19">
        <f t="shared" si="39"/>
        <v>4.0173040250003478</v>
      </c>
      <c r="N31" s="19">
        <f t="shared" si="39"/>
        <v>4.0247199196246015</v>
      </c>
      <c r="O31" s="19">
        <f t="shared" si="39"/>
        <v>3.9977980896344478</v>
      </c>
      <c r="P31" s="19">
        <f t="shared" ref="P31:T31" si="40">P30/P32</f>
        <v>3.9384927958642448</v>
      </c>
      <c r="Q31" s="19">
        <f t="shared" si="40"/>
        <v>3.8484699184251601</v>
      </c>
      <c r="R31" s="19">
        <f t="shared" si="40"/>
        <v>3.7291312720830265</v>
      </c>
      <c r="S31" s="19">
        <f t="shared" si="40"/>
        <v>3.5816362571356981</v>
      </c>
      <c r="T31" s="19">
        <f t="shared" si="40"/>
        <v>3.4069211006548024</v>
      </c>
    </row>
    <row r="32" spans="2:165" x14ac:dyDescent="0.15">
      <c r="B32" s="2" t="s">
        <v>64</v>
      </c>
      <c r="C32" s="7">
        <v>96.25</v>
      </c>
      <c r="D32" s="7">
        <v>140.00188800000001</v>
      </c>
      <c r="E32" s="7">
        <f>'Reports RMB'!R23</f>
        <v>283.79550799999998</v>
      </c>
      <c r="F32" s="7">
        <f>E32</f>
        <v>283.79550799999998</v>
      </c>
      <c r="G32" s="7">
        <f t="shared" ref="G32" si="41">F32</f>
        <v>283.79550799999998</v>
      </c>
      <c r="H32" s="7">
        <f t="shared" ref="H32" si="42">G32</f>
        <v>283.79550799999998</v>
      </c>
      <c r="I32" s="7">
        <f t="shared" ref="I32" si="43">H32</f>
        <v>283.79550799999998</v>
      </c>
      <c r="J32" s="7">
        <f t="shared" ref="J32" si="44">I32</f>
        <v>283.79550799999998</v>
      </c>
      <c r="K32" s="7">
        <f t="shared" ref="K32" si="45">J32</f>
        <v>283.79550799999998</v>
      </c>
      <c r="L32" s="7">
        <f t="shared" ref="L32" si="46">K32</f>
        <v>283.79550799999998</v>
      </c>
      <c r="M32" s="7">
        <f t="shared" ref="M32" si="47">L32</f>
        <v>283.79550799999998</v>
      </c>
      <c r="N32" s="7">
        <f t="shared" ref="N32" si="48">M32</f>
        <v>283.79550799999998</v>
      </c>
      <c r="O32" s="7">
        <f t="shared" ref="O32:T32" si="49">N32</f>
        <v>283.79550799999998</v>
      </c>
      <c r="P32" s="7">
        <f t="shared" si="49"/>
        <v>283.79550799999998</v>
      </c>
      <c r="Q32" s="7">
        <f t="shared" si="49"/>
        <v>283.79550799999998</v>
      </c>
      <c r="R32" s="7">
        <f t="shared" si="49"/>
        <v>283.79550799999998</v>
      </c>
      <c r="S32" s="7">
        <f t="shared" si="49"/>
        <v>283.79550799999998</v>
      </c>
      <c r="T32" s="7">
        <f t="shared" si="49"/>
        <v>283.79550799999998</v>
      </c>
    </row>
    <row r="33" spans="2:120" x14ac:dyDescent="0.1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2:120" x14ac:dyDescent="0.15">
      <c r="B34" s="2" t="s">
        <v>17</v>
      </c>
      <c r="C34" s="22">
        <f>IFERROR(C21/C19,0)</f>
        <v>0.85208390165842784</v>
      </c>
      <c r="D34" s="22">
        <f>IFERROR(D21/D19,0)</f>
        <v>0.83335922062409706</v>
      </c>
      <c r="E34" s="22">
        <f>IFERROR(E21/E19,0)</f>
        <v>0.70545631694776101</v>
      </c>
      <c r="F34" s="22">
        <f>IFERROR(F21/F19,0)</f>
        <v>0.71094221795884793</v>
      </c>
      <c r="G34" s="22">
        <f>IFERROR(G21/G19,0)</f>
        <v>0.71094221795884793</v>
      </c>
      <c r="H34" s="22">
        <f>IFERROR(H21/H19,0)</f>
        <v>0.71094221795884793</v>
      </c>
      <c r="I34" s="22">
        <f>IFERROR(I21/I19,0)</f>
        <v>0.71094221795884793</v>
      </c>
      <c r="J34" s="22">
        <f>IFERROR(J21/J19,0)</f>
        <v>0.71094221795884793</v>
      </c>
      <c r="K34" s="22">
        <f>IFERROR(K21/K19,0)</f>
        <v>0.71094221795884793</v>
      </c>
      <c r="L34" s="22">
        <f>IFERROR(L21/L19,0)</f>
        <v>0.71094221795884793</v>
      </c>
      <c r="M34" s="22">
        <f>IFERROR(M21/M19,0)</f>
        <v>0.71094221795884793</v>
      </c>
      <c r="N34" s="22">
        <f>IFERROR(N21/N19,0)</f>
        <v>0.71094221795884793</v>
      </c>
      <c r="O34" s="22">
        <f>IFERROR(O21/O19,0)</f>
        <v>0.71094221795884793</v>
      </c>
      <c r="P34" s="22">
        <f>IFERROR(P21/P19,0)</f>
        <v>0.71094221795884793</v>
      </c>
      <c r="Q34" s="22">
        <f>IFERROR(Q21/Q19,0)</f>
        <v>0.71094221795884793</v>
      </c>
      <c r="R34" s="22">
        <f>IFERROR(R21/R19,0)</f>
        <v>0.71094221795884793</v>
      </c>
      <c r="S34" s="22">
        <f>IFERROR(S21/S19,0)</f>
        <v>0.71094221795884793</v>
      </c>
      <c r="T34" s="22">
        <f>IFERROR(T21/T19,0)</f>
        <v>0.71094221795884793</v>
      </c>
    </row>
    <row r="35" spans="2:120" x14ac:dyDescent="0.15">
      <c r="B35" s="2" t="s">
        <v>18</v>
      </c>
      <c r="C35" s="21">
        <f>IFERROR(C26/C19,0)</f>
        <v>-0.18456041107588689</v>
      </c>
      <c r="D35" s="21">
        <f>IFERROR(D26/D19,0)</f>
        <v>-0.65597991792444243</v>
      </c>
      <c r="E35" s="21">
        <f>IFERROR(E26/E19,0)</f>
        <v>-0.49452631798934743</v>
      </c>
      <c r="F35" s="21">
        <f>IFERROR(F26/F19,0)</f>
        <v>-0.13409535772474893</v>
      </c>
      <c r="G35" s="21">
        <f>IFERROR(G26/G19,0)</f>
        <v>0.12854675363260062</v>
      </c>
      <c r="H35" s="21">
        <f>IFERROR(H26/H19,0)</f>
        <v>0.18913738247231363</v>
      </c>
      <c r="I35" s="21">
        <f>IFERROR(I26/I19,0)</f>
        <v>0.22727596225069963</v>
      </c>
      <c r="J35" s="21">
        <f>IFERROR(J26/J19,0)</f>
        <v>0.24343185473298765</v>
      </c>
      <c r="K35" s="21">
        <f>IFERROR(K26/K19,0)</f>
        <v>0.25259992137109233</v>
      </c>
      <c r="L35" s="21">
        <f>IFERROR(L26/L19,0)</f>
        <v>0.25894842835996945</v>
      </c>
      <c r="M35" s="21">
        <f>IFERROR(M26/M19,0)</f>
        <v>0.26255960483095564</v>
      </c>
      <c r="N35" s="21">
        <f>IFERROR(N26/N19,0)</f>
        <v>0.2634984002615739</v>
      </c>
      <c r="O35" s="21">
        <f>IFERROR(O26/O19,0)</f>
        <v>0.26181314026868485</v>
      </c>
      <c r="P35" s="21">
        <f>IFERROR(P26/P19,0)</f>
        <v>0.25753607495387343</v>
      </c>
      <c r="Q35" s="21">
        <f>IFERROR(Q26/Q19,0)</f>
        <v>0.25068382472134043</v>
      </c>
      <c r="R35" s="21">
        <f>IFERROR(R26/R19,0)</f>
        <v>0.2412577278118509</v>
      </c>
      <c r="S35" s="21">
        <f>IFERROR(S26/S19,0)</f>
        <v>0.22924409315515501</v>
      </c>
      <c r="T35" s="21">
        <f>IFERROR(T26/T19,0)</f>
        <v>0.21461436153345745</v>
      </c>
    </row>
    <row r="36" spans="2:120" x14ac:dyDescent="0.15">
      <c r="B36" s="2" t="s">
        <v>19</v>
      </c>
      <c r="C36" s="21">
        <f>IFERROR(C29/C28,0)</f>
        <v>0</v>
      </c>
      <c r="D36" s="21">
        <f>IFERROR(D29/D28,0)</f>
        <v>0</v>
      </c>
      <c r="E36" s="21">
        <f>IFERROR(E29/E28,0)</f>
        <v>2.9800136607700226E-3</v>
      </c>
      <c r="F36" s="21">
        <f>IFERROR(F29/F28,0)</f>
        <v>3.2816279987171889E-3</v>
      </c>
      <c r="G36" s="21">
        <f>IFERROR(G29/G28,0)</f>
        <v>0.15</v>
      </c>
      <c r="H36" s="21">
        <f>IFERROR(H29/H28,0)</f>
        <v>0.15</v>
      </c>
      <c r="I36" s="21">
        <f>IFERROR(I29/I28,0)</f>
        <v>0.15</v>
      </c>
      <c r="J36" s="21">
        <f>IFERROR(J29/J28,0)</f>
        <v>0.15</v>
      </c>
      <c r="K36" s="21">
        <f>IFERROR(K29/K28,0)</f>
        <v>0.15</v>
      </c>
      <c r="L36" s="21">
        <f>IFERROR(L29/L28,0)</f>
        <v>0.15</v>
      </c>
      <c r="M36" s="21">
        <f>IFERROR(M29/M28,0)</f>
        <v>0.15</v>
      </c>
      <c r="N36" s="21">
        <f>IFERROR(N29/N28,0)</f>
        <v>0.15</v>
      </c>
      <c r="O36" s="21">
        <f>IFERROR(O29/O28,0)</f>
        <v>0.15</v>
      </c>
      <c r="P36" s="21">
        <f>IFERROR(P29/P28,0)</f>
        <v>0.15</v>
      </c>
      <c r="Q36" s="21">
        <f>IFERROR(Q29/Q28,0)</f>
        <v>0.15</v>
      </c>
      <c r="R36" s="21">
        <f>IFERROR(R29/R28,0)</f>
        <v>0.15</v>
      </c>
      <c r="S36" s="21">
        <f>IFERROR(S29/S28,0)</f>
        <v>0.15</v>
      </c>
      <c r="T36" s="21">
        <f>IFERROR(T29/T28,0)</f>
        <v>0.15</v>
      </c>
    </row>
    <row r="37" spans="2:120" x14ac:dyDescent="0.15"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2:120" x14ac:dyDescent="0.15">
      <c r="B38" s="1" t="s">
        <v>16</v>
      </c>
      <c r="C38" s="20"/>
      <c r="D38" s="20">
        <f>D19/C19-1</f>
        <v>4.8449444781235655</v>
      </c>
      <c r="E38" s="20">
        <f>E19/D19-1</f>
        <v>0.84308799120357447</v>
      </c>
      <c r="F38" s="20">
        <f>F19/E19-1</f>
        <v>1.5333270252011477E-2</v>
      </c>
      <c r="G38" s="20">
        <f>G19/F19-1</f>
        <v>-3.0999999999999917E-2</v>
      </c>
      <c r="H38" s="20">
        <f>H19/G19-1</f>
        <v>-3.1000000000000028E-2</v>
      </c>
      <c r="I38" s="20">
        <f>I19/H19-1</f>
        <v>-3.0999999999999917E-2</v>
      </c>
      <c r="J38" s="20">
        <f>J19/I19-1</f>
        <v>-3.0999999999999917E-2</v>
      </c>
      <c r="K38" s="20">
        <f>K19/J19-1</f>
        <v>-2.0000000000000018E-2</v>
      </c>
      <c r="L38" s="20">
        <f>L19/K19-1</f>
        <v>-2.0000000000000018E-2</v>
      </c>
      <c r="M38" s="20">
        <f>M19/L19-1</f>
        <v>-2.0000000000000129E-2</v>
      </c>
      <c r="N38" s="20">
        <f>N19/M19-1</f>
        <v>-2.0000000000000018E-2</v>
      </c>
      <c r="O38" s="20">
        <f>O19/N19-1</f>
        <v>-2.0000000000000129E-2</v>
      </c>
      <c r="P38" s="20">
        <f>P19/O19-1</f>
        <v>-2.0000000000000018E-2</v>
      </c>
      <c r="Q38" s="20">
        <f>Q19/P19-1</f>
        <v>-2.0000000000000018E-2</v>
      </c>
      <c r="R38" s="20">
        <f>R19/Q19-1</f>
        <v>-2.0000000000000018E-2</v>
      </c>
      <c r="S38" s="20">
        <f>S19/R19-1</f>
        <v>-2.0000000000000018E-2</v>
      </c>
      <c r="T38" s="20">
        <f>T19/S19-1</f>
        <v>-2.0000000000000018E-2</v>
      </c>
    </row>
    <row r="39" spans="2:120" x14ac:dyDescent="0.15">
      <c r="B39" s="2" t="s">
        <v>88</v>
      </c>
      <c r="C39" s="21"/>
      <c r="D39" s="21">
        <f>D22/C22-1</f>
        <v>17</v>
      </c>
      <c r="E39" s="21">
        <f>E22/D22-1</f>
        <v>2.4296296296296296</v>
      </c>
      <c r="F39" s="21">
        <f t="shared" ref="F39:T39" si="50">F22/E22-1</f>
        <v>8.7688984881209464E-2</v>
      </c>
      <c r="G39" s="21">
        <f t="shared" si="50"/>
        <v>0.10000000000000009</v>
      </c>
      <c r="H39" s="21">
        <f t="shared" si="50"/>
        <v>0.10000000000000009</v>
      </c>
      <c r="I39" s="21">
        <f t="shared" si="50"/>
        <v>0.10000000000000009</v>
      </c>
      <c r="J39" s="21">
        <f t="shared" si="50"/>
        <v>0.10000000000000009</v>
      </c>
      <c r="K39" s="21">
        <f t="shared" si="50"/>
        <v>5.0000000000000044E-2</v>
      </c>
      <c r="L39" s="21">
        <f t="shared" si="50"/>
        <v>5.0000000000000044E-2</v>
      </c>
      <c r="M39" s="21">
        <f t="shared" si="50"/>
        <v>5.0000000000000044E-2</v>
      </c>
      <c r="N39" s="21">
        <f t="shared" si="50"/>
        <v>5.0000000000000044E-2</v>
      </c>
      <c r="O39" s="21">
        <f t="shared" si="50"/>
        <v>5.0000000000000044E-2</v>
      </c>
      <c r="P39" s="21">
        <f t="shared" si="50"/>
        <v>5.0000000000000044E-2</v>
      </c>
      <c r="Q39" s="21">
        <f t="shared" si="50"/>
        <v>5.0000000000000044E-2</v>
      </c>
      <c r="R39" s="21">
        <f t="shared" si="50"/>
        <v>5.0000000000000044E-2</v>
      </c>
      <c r="S39" s="21">
        <f t="shared" si="50"/>
        <v>5.0000000000000044E-2</v>
      </c>
      <c r="T39" s="21">
        <f t="shared" si="50"/>
        <v>5.0000000000000044E-2</v>
      </c>
    </row>
    <row r="40" spans="2:120" x14ac:dyDescent="0.15">
      <c r="B40" s="2" t="s">
        <v>36</v>
      </c>
      <c r="C40" s="21"/>
      <c r="D40" s="21">
        <f>D23/C23-1</f>
        <v>5.5656565656565657</v>
      </c>
      <c r="E40" s="21">
        <f>E23/D23-1</f>
        <v>0.68923076923076931</v>
      </c>
      <c r="F40" s="21">
        <f>F23/E23-1</f>
        <v>-0.38342440801457189</v>
      </c>
      <c r="G40" s="21">
        <f>G23/F23-1</f>
        <v>-0.19999999999999996</v>
      </c>
      <c r="H40" s="21">
        <f>H23/G23-1</f>
        <v>-0.19999999999999996</v>
      </c>
      <c r="I40" s="21">
        <f>I23/H23-1</f>
        <v>-0.19999999999999996</v>
      </c>
      <c r="J40" s="21">
        <f>J23/I23-1</f>
        <v>-0.19999999999999996</v>
      </c>
      <c r="K40" s="21">
        <f>K23/J23-1</f>
        <v>-9.9999999999999978E-2</v>
      </c>
      <c r="L40" s="21">
        <f>L23/K23-1</f>
        <v>-0.10000000000000009</v>
      </c>
      <c r="M40" s="21">
        <f>M23/L23-1</f>
        <v>-9.9999999999999978E-2</v>
      </c>
      <c r="N40" s="21">
        <f>N23/M23-1</f>
        <v>-9.9999999999999978E-2</v>
      </c>
      <c r="O40" s="21">
        <f>O23/N23-1</f>
        <v>-9.9999999999999978E-2</v>
      </c>
      <c r="P40" s="21">
        <f>P23/O23-1</f>
        <v>-9.9999999999999978E-2</v>
      </c>
      <c r="Q40" s="21">
        <f>Q23/P23-1</f>
        <v>-0.10000000000000009</v>
      </c>
      <c r="R40" s="21">
        <f>R23/Q23-1</f>
        <v>-9.9999999999999978E-2</v>
      </c>
      <c r="S40" s="21">
        <f>S23/R23-1</f>
        <v>-0.10000000000000009</v>
      </c>
      <c r="T40" s="21">
        <f>T23/S23-1</f>
        <v>-9.9999999999999978E-2</v>
      </c>
    </row>
    <row r="41" spans="2:120" x14ac:dyDescent="0.15">
      <c r="B41" s="2" t="s">
        <v>37</v>
      </c>
      <c r="C41" s="21"/>
      <c r="D41" s="21">
        <f>D24/C24-1</f>
        <v>36.730769230769234</v>
      </c>
      <c r="E41" s="21">
        <f>E24/D24-1</f>
        <v>-0.72680937818552493</v>
      </c>
      <c r="F41" s="21">
        <f>F24/E24-1</f>
        <v>0.44365671641791038</v>
      </c>
      <c r="G41" s="21">
        <f>G24/F24-1</f>
        <v>0.25</v>
      </c>
      <c r="H41" s="21">
        <f>H24/G24-1</f>
        <v>0.25</v>
      </c>
      <c r="I41" s="21">
        <f>I24/H24-1</f>
        <v>0.25</v>
      </c>
      <c r="J41" s="21">
        <f>J24/I24-1</f>
        <v>0.25</v>
      </c>
      <c r="K41" s="21">
        <f>K24/J24-1</f>
        <v>5.0000000000000044E-2</v>
      </c>
      <c r="L41" s="21">
        <f>L24/K24-1</f>
        <v>5.0000000000000044E-2</v>
      </c>
      <c r="M41" s="21">
        <f>M24/L24-1</f>
        <v>5.0000000000000044E-2</v>
      </c>
      <c r="N41" s="21">
        <f>N24/M24-1</f>
        <v>5.0000000000000044E-2</v>
      </c>
      <c r="O41" s="21">
        <f>O24/N24-1</f>
        <v>5.0000000000000044E-2</v>
      </c>
      <c r="P41" s="21">
        <f>P24/O24-1</f>
        <v>5.0000000000000044E-2</v>
      </c>
      <c r="Q41" s="21">
        <f>Q24/P24-1</f>
        <v>5.0000000000000044E-2</v>
      </c>
      <c r="R41" s="21">
        <f>R24/Q24-1</f>
        <v>5.0000000000000044E-2</v>
      </c>
      <c r="S41" s="21">
        <f>S24/R24-1</f>
        <v>5.0000000000000044E-2</v>
      </c>
      <c r="T41" s="21">
        <f>T24/S24-1</f>
        <v>5.0000000000000044E-2</v>
      </c>
    </row>
    <row r="42" spans="2:120" s="4" customFormat="1" x14ac:dyDescent="0.15">
      <c r="B42" s="4" t="s">
        <v>66</v>
      </c>
      <c r="C42" s="68"/>
      <c r="D42" s="68">
        <f>D25/C25-1</f>
        <v>7.3973880597014929</v>
      </c>
      <c r="E42" s="68">
        <f>E25/D25-1</f>
        <v>0.48500333259275719</v>
      </c>
      <c r="F42" s="68">
        <f>F25/E25-1</f>
        <v>-0.28499401555954529</v>
      </c>
      <c r="G42" s="68">
        <f>G25/F25-1</f>
        <v>-0.33217028310769803</v>
      </c>
      <c r="H42" s="68">
        <f>H25/G25-1</f>
        <v>-0.13181177299964753</v>
      </c>
      <c r="I42" s="68">
        <f>I25/H25-1</f>
        <v>-0.10182395810072886</v>
      </c>
      <c r="J42" s="68">
        <f>J25/I25-1</f>
        <v>-6.3367484046237821E-2</v>
      </c>
      <c r="K42" s="68">
        <f>K25/J25-1</f>
        <v>-3.921819495796286E-2</v>
      </c>
      <c r="L42" s="68">
        <f>L25/K25-1</f>
        <v>-3.3573996760537739E-2</v>
      </c>
      <c r="M42" s="68">
        <f>M25/L25-1</f>
        <v>-2.782964948413813E-2</v>
      </c>
      <c r="N42" s="68">
        <f>N25/M25-1</f>
        <v>-2.2051862617035511E-2</v>
      </c>
      <c r="O42" s="68">
        <f>O25/N25-1</f>
        <v>-1.6308911358903666E-2</v>
      </c>
      <c r="P42" s="68">
        <f>P25/O25-1</f>
        <v>-1.0667440126406635E-2</v>
      </c>
      <c r="Q42" s="68">
        <f>Q25/P25-1</f>
        <v>-5.1894260113528601E-3</v>
      </c>
      <c r="R42" s="68">
        <f>R25/Q25-1</f>
        <v>7.0410680230503786E-5</v>
      </c>
      <c r="S42" s="68">
        <f>S25/R25-1</f>
        <v>5.066533408154994E-3</v>
      </c>
      <c r="T42" s="68">
        <f>T25/S25-1</f>
        <v>9.7637384307993624E-3</v>
      </c>
    </row>
    <row r="43" spans="2:120" x14ac:dyDescent="0.1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2:120" x14ac:dyDescent="0.15">
      <c r="B44" s="1" t="s">
        <v>24</v>
      </c>
      <c r="C44" s="5"/>
      <c r="D44" s="5"/>
      <c r="E44" s="16">
        <f>E45-E46</f>
        <v>472</v>
      </c>
      <c r="F44" s="43">
        <f>E44+F30</f>
        <v>-309.80068128228777</v>
      </c>
      <c r="G44" s="43">
        <f>F44+G30</f>
        <v>283.72184448211055</v>
      </c>
      <c r="H44" s="43">
        <f>G44+H30</f>
        <v>1142.2621586767714</v>
      </c>
      <c r="I44" s="43">
        <f>H44+I30</f>
        <v>2155.7435008222492</v>
      </c>
      <c r="J44" s="43">
        <f>I44+J30</f>
        <v>3224.1104030071879</v>
      </c>
      <c r="K44" s="43">
        <f>J44+K30</f>
        <v>4328.0843706274136</v>
      </c>
      <c r="L44" s="43">
        <f>K44+L30</f>
        <v>5455.6835287009417</v>
      </c>
      <c r="M44" s="43">
        <f>L44+M30</f>
        <v>6595.7763652663598</v>
      </c>
      <c r="N44" s="43">
        <f>M44+N30</f>
        <v>7737.9737994139432</v>
      </c>
      <c r="O44" s="43">
        <f>N44+O30</f>
        <v>8872.5309391431801</v>
      </c>
      <c r="P44" s="43">
        <f>O44+P30</f>
        <v>9990.2575028998144</v>
      </c>
      <c r="Q44" s="43">
        <f>P44+Q30</f>
        <v>11082.435978422001</v>
      </c>
      <c r="R44" s="43">
        <f>Q44+R30</f>
        <v>12140.746682181491</v>
      </c>
      <c r="S44" s="43">
        <f>R44+S30</f>
        <v>13157.198963246534</v>
      </c>
      <c r="T44" s="43">
        <f>S44+T30</f>
        <v>14124.067867722782</v>
      </c>
    </row>
    <row r="45" spans="2:120" x14ac:dyDescent="0.15">
      <c r="B45" s="2" t="s">
        <v>25</v>
      </c>
      <c r="C45" s="5"/>
      <c r="D45" s="5"/>
      <c r="E45" s="45">
        <f>'Reports RMB'!R35</f>
        <v>1691</v>
      </c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spans="2:120" x14ac:dyDescent="0.15">
      <c r="B46" s="2" t="s">
        <v>26</v>
      </c>
      <c r="C46" s="5"/>
      <c r="D46" s="5"/>
      <c r="E46" s="45">
        <f>'Reports RMB'!R36</f>
        <v>1219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  <row r="47" spans="2:120" x14ac:dyDescent="0.15">
      <c r="C47" s="5"/>
      <c r="D47" s="5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</row>
    <row r="48" spans="2:120" x14ac:dyDescent="0.15">
      <c r="B48" s="2" t="s">
        <v>48</v>
      </c>
      <c r="C48" s="5"/>
      <c r="D48" s="5"/>
      <c r="E48" s="45">
        <f>'Reports RMB'!R38</f>
        <v>96</v>
      </c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2:120" x14ac:dyDescent="0.15">
      <c r="B49" s="2" t="s">
        <v>49</v>
      </c>
      <c r="C49" s="5"/>
      <c r="D49" s="5"/>
      <c r="E49" s="45">
        <f>'Reports RMB'!R39</f>
        <v>2940</v>
      </c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2:120" x14ac:dyDescent="0.15">
      <c r="B50" s="2" t="s">
        <v>50</v>
      </c>
      <c r="C50" s="5"/>
      <c r="D50" s="5"/>
      <c r="E50" s="45">
        <f>'Reports RMB'!R40</f>
        <v>3646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2:120" x14ac:dyDescent="0.15">
      <c r="C51" s="5"/>
      <c r="D51" s="5"/>
    </row>
    <row r="52" spans="2:120" x14ac:dyDescent="0.15">
      <c r="B52" s="2" t="s">
        <v>51</v>
      </c>
      <c r="C52" s="5"/>
      <c r="D52" s="5"/>
      <c r="E52" s="46">
        <f>E49-E48-E45</f>
        <v>1153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2:120" x14ac:dyDescent="0.15">
      <c r="B53" s="2" t="s">
        <v>52</v>
      </c>
      <c r="C53" s="5"/>
      <c r="D53" s="5"/>
      <c r="E53" s="46">
        <f>E49-E50</f>
        <v>-706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2:120" x14ac:dyDescent="0.15">
      <c r="C54" s="5"/>
      <c r="D54" s="5"/>
    </row>
    <row r="55" spans="2:120" x14ac:dyDescent="0.15">
      <c r="B55" s="24" t="s">
        <v>53</v>
      </c>
      <c r="C55" s="5"/>
      <c r="D55" s="5"/>
      <c r="E55" s="25">
        <f>E30/E53</f>
        <v>3.7911493654390935</v>
      </c>
    </row>
    <row r="56" spans="2:120" x14ac:dyDescent="0.15">
      <c r="B56" s="24" t="s">
        <v>54</v>
      </c>
      <c r="C56" s="5"/>
      <c r="D56" s="5"/>
      <c r="E56" s="25">
        <f>E30/E49</f>
        <v>-0.91039165034013614</v>
      </c>
    </row>
    <row r="57" spans="2:120" x14ac:dyDescent="0.15">
      <c r="B57" s="24" t="s">
        <v>55</v>
      </c>
      <c r="C57" s="5"/>
      <c r="D57" s="5"/>
      <c r="E57" s="25">
        <f>E30/(E53-E48)</f>
        <v>3.3373459501246883</v>
      </c>
    </row>
    <row r="58" spans="2:120" x14ac:dyDescent="0.15">
      <c r="B58" s="24" t="s">
        <v>56</v>
      </c>
      <c r="C58" s="5"/>
      <c r="D58" s="5"/>
      <c r="E58" s="25">
        <f>E30/E52</f>
        <v>-2.3213802705984392</v>
      </c>
    </row>
    <row r="60" spans="2:120" x14ac:dyDescent="0.15">
      <c r="B60" s="5" t="s">
        <v>82</v>
      </c>
      <c r="C60" s="25"/>
      <c r="D60" s="25">
        <f>D13/C13-1</f>
        <v>4.4871400920399154</v>
      </c>
      <c r="E60" s="25">
        <f>E13/D13-1</f>
        <v>0.92424450630259591</v>
      </c>
      <c r="F60" s="25"/>
      <c r="G60" s="25"/>
      <c r="H60" s="25"/>
    </row>
    <row r="61" spans="2:120" x14ac:dyDescent="0.15">
      <c r="B61" s="5" t="s">
        <v>83</v>
      </c>
      <c r="C61" s="25"/>
      <c r="D61" s="25">
        <f>D14/C14-1</f>
        <v>48.84757373810956</v>
      </c>
      <c r="E61" s="25">
        <f>E14/D14-1</f>
        <v>-0.25555953243442742</v>
      </c>
      <c r="F61" s="25"/>
      <c r="G61" s="25"/>
      <c r="H61" s="25"/>
    </row>
    <row r="62" spans="2:120" x14ac:dyDescent="0.15">
      <c r="B62" s="5"/>
      <c r="C62" s="25"/>
      <c r="D62" s="25"/>
      <c r="E62" s="25"/>
      <c r="F62" s="25"/>
      <c r="G62" s="25"/>
      <c r="H62" s="25"/>
    </row>
    <row r="63" spans="2:120" x14ac:dyDescent="0.15">
      <c r="B63" s="5" t="s">
        <v>84</v>
      </c>
      <c r="C63" s="25"/>
      <c r="D63" s="25">
        <f>D16/C16-1</f>
        <v>2.2526315789473683</v>
      </c>
      <c r="E63" s="25">
        <f>E16/D16-1</f>
        <v>0.47896440129449847</v>
      </c>
      <c r="F63" s="25">
        <f>F16/E16-1</f>
        <v>4.3856560465602268E-2</v>
      </c>
      <c r="G63" s="25">
        <f>G16/F16-1</f>
        <v>2.0000000000000018E-2</v>
      </c>
      <c r="H63" s="25">
        <f>H16/G16-1</f>
        <v>2.0000000000000018E-2</v>
      </c>
      <c r="I63" s="25">
        <f>I16/H16-1</f>
        <v>2.0000000000000018E-2</v>
      </c>
      <c r="J63" s="25">
        <f>J16/I16-1</f>
        <v>2.0000000000000018E-2</v>
      </c>
    </row>
    <row r="64" spans="2:120" x14ac:dyDescent="0.15">
      <c r="B64" s="5" t="s">
        <v>58</v>
      </c>
      <c r="C64" s="25"/>
      <c r="D64" s="25">
        <f>D17/C17-1</f>
        <v>0.7969894026593487</v>
      </c>
      <c r="E64" s="25">
        <f>E17/D17-1</f>
        <v>0.24620172709388277</v>
      </c>
      <c r="F64" s="25">
        <f>F17/E17-1</f>
        <v>-2.7324913492777325E-2</v>
      </c>
      <c r="G64" s="25">
        <f>G17/F17-1</f>
        <v>-4.9999999999999933E-2</v>
      </c>
      <c r="H64" s="25">
        <f>H17/G17-1</f>
        <v>-5.0000000000000044E-2</v>
      </c>
      <c r="I64" s="25">
        <f>I17/H17-1</f>
        <v>-5.0000000000000044E-2</v>
      </c>
      <c r="J64" s="25">
        <f>J17/I17-1</f>
        <v>-5.0000000000000044E-2</v>
      </c>
    </row>
    <row r="65" spans="2:120" x14ac:dyDescent="0.15">
      <c r="B65" s="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</row>
    <row r="66" spans="2:120" s="15" customFormat="1" x14ac:dyDescent="0.15">
      <c r="B66" s="7" t="s">
        <v>59</v>
      </c>
      <c r="C66" s="15">
        <f>'Reports RMB'!J61</f>
        <v>24.3</v>
      </c>
      <c r="D66" s="15">
        <f>'Reports RMB'!N61</f>
        <v>93.8</v>
      </c>
      <c r="E66" s="15">
        <f>D66*1.05</f>
        <v>98.49</v>
      </c>
      <c r="F66" s="15">
        <f>'Reports RMB'!V61</f>
        <v>144.79500000000002</v>
      </c>
      <c r="G66" s="15">
        <f>F66*0.95</f>
        <v>137.55525</v>
      </c>
      <c r="H66" s="15">
        <f t="shared" ref="H66:J66" si="51">G66*0.95</f>
        <v>130.67748749999998</v>
      </c>
      <c r="I66" s="15">
        <f t="shared" si="51"/>
        <v>124.14361312499997</v>
      </c>
      <c r="J66" s="15">
        <f t="shared" si="51"/>
        <v>117.93643246874997</v>
      </c>
    </row>
    <row r="67" spans="2:120" x14ac:dyDescent="0.15">
      <c r="B67" s="22" t="s">
        <v>60</v>
      </c>
      <c r="C67" s="25"/>
      <c r="D67" s="25">
        <f>D66/C66-1</f>
        <v>2.8600823045267489</v>
      </c>
      <c r="E67" s="25">
        <f t="shared" ref="E67:J67" si="52">E66/D66-1</f>
        <v>5.0000000000000044E-2</v>
      </c>
      <c r="F67" s="25">
        <f t="shared" si="52"/>
        <v>0.47014925373134342</v>
      </c>
      <c r="G67" s="25">
        <f t="shared" si="52"/>
        <v>-5.0000000000000044E-2</v>
      </c>
      <c r="H67" s="25">
        <f t="shared" si="52"/>
        <v>-5.0000000000000155E-2</v>
      </c>
      <c r="I67" s="25">
        <f t="shared" si="52"/>
        <v>-5.0000000000000044E-2</v>
      </c>
      <c r="J67" s="25">
        <f t="shared" si="52"/>
        <v>-5.0000000000000044E-2</v>
      </c>
    </row>
    <row r="68" spans="2:120" x14ac:dyDescent="0.15">
      <c r="E68" s="55"/>
    </row>
    <row r="69" spans="2:120" s="25" customFormat="1" x14ac:dyDescent="0.15">
      <c r="B69" s="25" t="s">
        <v>85</v>
      </c>
      <c r="C69" s="25">
        <f>C16/C66</f>
        <v>0.39094650205761317</v>
      </c>
      <c r="D69" s="25">
        <f>D16/D66</f>
        <v>0.32942430703624731</v>
      </c>
      <c r="E69" s="25">
        <v>0.05</v>
      </c>
      <c r="F69" s="25">
        <v>0.06</v>
      </c>
      <c r="G69" s="25">
        <v>7.0000000000000007E-2</v>
      </c>
      <c r="H69" s="25">
        <v>0.08</v>
      </c>
      <c r="I69" s="25">
        <v>0.09</v>
      </c>
      <c r="J69" s="25">
        <v>0.09</v>
      </c>
    </row>
    <row r="71" spans="2:120" x14ac:dyDescent="0.15">
      <c r="B71" s="2" t="s">
        <v>61</v>
      </c>
      <c r="C71" s="3">
        <v>6.48</v>
      </c>
      <c r="D71" s="3">
        <v>6.8784999999999998</v>
      </c>
      <c r="E71" s="3">
        <v>6.9622999999999999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2:120" s="1" customFormat="1" x14ac:dyDescent="0.15">
      <c r="B72" s="1" t="s">
        <v>62</v>
      </c>
      <c r="C72" s="16">
        <f>C19/C71</f>
        <v>79.792121913580246</v>
      </c>
      <c r="D72" s="16">
        <f>D19/D71</f>
        <v>439.36116667878173</v>
      </c>
      <c r="E72" s="16">
        <f>E19/E71</f>
        <v>800.03455812016136</v>
      </c>
      <c r="F72" s="16">
        <f>F19/$D$10</f>
        <v>872.7605177818856</v>
      </c>
      <c r="G72" s="16">
        <f>G19/$D$10</f>
        <v>845.70494173064719</v>
      </c>
      <c r="H72" s="16">
        <f>H19/$D$10</f>
        <v>819.488088536997</v>
      </c>
      <c r="I72" s="16">
        <f>I19/$D$10</f>
        <v>794.08395779235013</v>
      </c>
      <c r="J72" s="16">
        <f>J19/$D$10</f>
        <v>769.46735510078736</v>
      </c>
      <c r="K72" s="16">
        <f>K19/$D$10</f>
        <v>754.07800799877157</v>
      </c>
      <c r="L72" s="16">
        <f>L19/$D$10</f>
        <v>738.99644783879614</v>
      </c>
      <c r="M72" s="16">
        <f>M19/$D$10</f>
        <v>724.21651888202018</v>
      </c>
      <c r="N72" s="16">
        <f>N19/$D$10</f>
        <v>709.73218850437968</v>
      </c>
      <c r="O72" s="16">
        <f>O19/$D$10</f>
        <v>695.53754473429206</v>
      </c>
      <c r="P72" s="16">
        <f>P19/$D$10</f>
        <v>681.62679383960619</v>
      </c>
      <c r="Q72" s="16">
        <f>Q19/$D$10</f>
        <v>667.994257962814</v>
      </c>
      <c r="R72" s="16">
        <f>R19/$D$10</f>
        <v>654.63437280355777</v>
      </c>
      <c r="S72" s="16">
        <f>S19/$D$10</f>
        <v>641.54168534748658</v>
      </c>
      <c r="T72" s="16">
        <f>T19/$D$10</f>
        <v>628.71085164053693</v>
      </c>
    </row>
    <row r="73" spans="2:120" s="1" customFormat="1" x14ac:dyDescent="0.15">
      <c r="B73" s="1" t="s">
        <v>63</v>
      </c>
      <c r="C73" s="16">
        <f>C30/C71</f>
        <v>-14.572145833333332</v>
      </c>
      <c r="D73" s="16">
        <f>D30/D71</f>
        <v>-282.9784028494584</v>
      </c>
      <c r="E73" s="16">
        <f>E30/E71</f>
        <v>-384.43494994470223</v>
      </c>
      <c r="F73" s="16">
        <f>F30/$D$10</f>
        <v>-120.64825328430366</v>
      </c>
      <c r="G73" s="16">
        <f>G30/$D$10</f>
        <v>91.592982371049118</v>
      </c>
      <c r="H73" s="16">
        <f>H30/$D$10</f>
        <v>132.4907892275711</v>
      </c>
      <c r="I73" s="16">
        <f>I30/$D$10</f>
        <v>156.40144168911692</v>
      </c>
      <c r="J73" s="16">
        <f>J30/$D$10</f>
        <v>164.87143552236708</v>
      </c>
      <c r="K73" s="16">
        <f>K30/$D$10</f>
        <v>170.36635302781261</v>
      </c>
      <c r="L73" s="16">
        <f>L30/$D$10</f>
        <v>174.01221575208766</v>
      </c>
      <c r="M73" s="16">
        <f>M30/$D$10</f>
        <v>175.9402525563917</v>
      </c>
      <c r="N73" s="16">
        <f>N30/$D$10</f>
        <v>176.26503613388624</v>
      </c>
      <c r="O73" s="16">
        <f>O30/$D$10</f>
        <v>175.0859783532774</v>
      </c>
      <c r="P73" s="16">
        <f>P30/$D$10</f>
        <v>172.48866724639407</v>
      </c>
      <c r="Q73" s="16">
        <f>Q30/$D$10</f>
        <v>168.5460610373745</v>
      </c>
      <c r="R73" s="16">
        <f>R30/$D$10</f>
        <v>163.31955304930381</v>
      </c>
      <c r="S73" s="16">
        <f>S30/$D$10</f>
        <v>156.85991991744504</v>
      </c>
      <c r="T73" s="16">
        <f>T30/$D$10</f>
        <v>149.20816427102602</v>
      </c>
    </row>
    <row r="74" spans="2:120" x14ac:dyDescent="0.1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</sheetData>
  <hyperlinks>
    <hyperlink ref="A1" r:id="rId1" xr:uid="{00000000-0004-0000-0000-000000000000}"/>
    <hyperlink ref="B3" r:id="rId2" xr:uid="{6BA88B55-0ECA-B047-A958-C53413F472A3}"/>
    <hyperlink ref="B6" r:id="rId3" xr:uid="{F8868F5B-9D44-5E44-B8EA-3338185343C7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9"/>
  <sheetViews>
    <sheetView tabSelected="1" zoomScale="130" zoomScaleNormal="130" workbookViewId="0">
      <pane xSplit="2" ySplit="3" topLeftCell="M9" activePane="bottomRight" state="frozen"/>
      <selection pane="topRight" activeCell="B1" sqref="B1"/>
      <selection pane="bottomLeft" activeCell="A3" sqref="A3"/>
      <selection pane="bottomRight" activeCell="O31" sqref="O31"/>
    </sheetView>
  </sheetViews>
  <sheetFormatPr baseColWidth="10" defaultRowHeight="13" x14ac:dyDescent="0.15"/>
  <cols>
    <col min="1" max="1" width="7.1640625" style="5" bestFit="1" customWidth="1"/>
    <col min="2" max="2" width="19.83203125" style="5" bestFit="1" customWidth="1"/>
    <col min="3" max="3" width="10.83203125" style="27" customWidth="1"/>
    <col min="4" max="5" width="10.83203125" style="26" customWidth="1"/>
    <col min="6" max="6" width="10.83203125" style="26"/>
    <col min="7" max="7" width="10.83203125" style="27"/>
    <col min="8" max="10" width="10.83203125" style="26"/>
    <col min="11" max="11" width="10.83203125" style="27"/>
    <col min="12" max="14" width="10.83203125" style="26"/>
    <col min="15" max="15" width="10.83203125" style="27"/>
    <col min="16" max="18" width="10.83203125" style="26"/>
    <col min="19" max="19" width="10.83203125" style="51"/>
    <col min="20" max="16384" width="10.83203125" style="5"/>
  </cols>
  <sheetData>
    <row r="1" spans="1:26" x14ac:dyDescent="0.15">
      <c r="A1" s="79" t="s">
        <v>38</v>
      </c>
    </row>
    <row r="2" spans="1:26" s="26" customFormat="1" x14ac:dyDescent="0.15">
      <c r="C2" s="27" t="s">
        <v>20</v>
      </c>
      <c r="D2" s="26" t="s">
        <v>21</v>
      </c>
      <c r="E2" s="26" t="s">
        <v>22</v>
      </c>
      <c r="F2" s="26" t="s">
        <v>23</v>
      </c>
      <c r="G2" s="28" t="s">
        <v>0</v>
      </c>
      <c r="H2" s="29" t="s">
        <v>1</v>
      </c>
      <c r="I2" s="29" t="s">
        <v>2</v>
      </c>
      <c r="J2" s="29" t="s">
        <v>3</v>
      </c>
      <c r="K2" s="28" t="s">
        <v>32</v>
      </c>
      <c r="L2" s="29" t="s">
        <v>33</v>
      </c>
      <c r="M2" s="29" t="s">
        <v>34</v>
      </c>
      <c r="N2" s="29" t="s">
        <v>35</v>
      </c>
      <c r="O2" s="28" t="s">
        <v>44</v>
      </c>
      <c r="P2" s="29" t="s">
        <v>45</v>
      </c>
      <c r="Q2" s="29" t="s">
        <v>46</v>
      </c>
      <c r="R2" s="29" t="s">
        <v>47</v>
      </c>
      <c r="S2" s="27" t="s">
        <v>65</v>
      </c>
      <c r="T2" s="26" t="s">
        <v>67</v>
      </c>
      <c r="U2" s="26" t="s">
        <v>68</v>
      </c>
      <c r="V2" s="26" t="s">
        <v>69</v>
      </c>
      <c r="W2" s="26" t="s">
        <v>70</v>
      </c>
      <c r="X2" s="26" t="s">
        <v>71</v>
      </c>
      <c r="Y2" s="26" t="s">
        <v>72</v>
      </c>
      <c r="Z2" s="26" t="s">
        <v>73</v>
      </c>
    </row>
    <row r="3" spans="1:26" s="26" customFormat="1" x14ac:dyDescent="0.15">
      <c r="B3" s="60"/>
      <c r="C3" s="27"/>
      <c r="G3" s="27"/>
      <c r="J3" s="69">
        <v>43100</v>
      </c>
      <c r="K3" s="65">
        <v>43190</v>
      </c>
      <c r="L3" s="69">
        <v>43281</v>
      </c>
      <c r="M3" s="69">
        <v>43373</v>
      </c>
      <c r="N3" s="69">
        <v>43465</v>
      </c>
      <c r="O3" s="65">
        <v>43555</v>
      </c>
      <c r="P3" s="69">
        <v>43646</v>
      </c>
      <c r="Q3" s="69">
        <v>43738</v>
      </c>
      <c r="R3" s="69">
        <v>43830</v>
      </c>
      <c r="S3" s="65">
        <v>43921</v>
      </c>
      <c r="T3" s="69">
        <v>44012</v>
      </c>
      <c r="U3" s="69">
        <v>44104</v>
      </c>
    </row>
    <row r="4" spans="1:26" s="7" customFormat="1" x14ac:dyDescent="0.15">
      <c r="B4" s="7" t="s">
        <v>80</v>
      </c>
      <c r="C4" s="28"/>
      <c r="D4" s="29"/>
      <c r="E4" s="29"/>
      <c r="F4" s="29"/>
      <c r="G4" s="28"/>
      <c r="H4" s="29"/>
      <c r="I4" s="29"/>
      <c r="J4" s="29"/>
      <c r="K4" s="28"/>
      <c r="L4" s="29"/>
      <c r="M4" s="29">
        <v>896.46450000000004</v>
      </c>
      <c r="N4" s="29">
        <v>1247.92263</v>
      </c>
      <c r="O4" s="28">
        <v>1087.1782229999999</v>
      </c>
      <c r="P4" s="29">
        <v>1358.0022719999999</v>
      </c>
      <c r="Q4" s="29">
        <v>1381.6190790000001</v>
      </c>
      <c r="R4" s="29">
        <v>1588.520968</v>
      </c>
      <c r="S4" s="56">
        <v>1363.999871</v>
      </c>
      <c r="T4" s="7">
        <v>1378.1305279999999</v>
      </c>
      <c r="U4" s="7">
        <v>1062.7666240000001</v>
      </c>
    </row>
    <row r="5" spans="1:26" s="7" customFormat="1" x14ac:dyDescent="0.15">
      <c r="B5" s="7" t="s">
        <v>81</v>
      </c>
      <c r="C5" s="28"/>
      <c r="D5" s="29"/>
      <c r="E5" s="29"/>
      <c r="F5" s="29"/>
      <c r="G5" s="28"/>
      <c r="H5" s="29"/>
      <c r="I5" s="29"/>
      <c r="J5" s="29"/>
      <c r="K5" s="28"/>
      <c r="L5" s="29"/>
      <c r="M5" s="29">
        <v>80.853331999999995</v>
      </c>
      <c r="N5" s="29">
        <v>79.070590999999993</v>
      </c>
      <c r="O5" s="28">
        <v>31.67163</v>
      </c>
      <c r="P5" s="29">
        <v>27.944538999999999</v>
      </c>
      <c r="Q5" s="29">
        <v>25.290099999999999</v>
      </c>
      <c r="R5" s="29">
        <v>69.853792999999996</v>
      </c>
      <c r="S5" s="56">
        <v>47.796796000000001</v>
      </c>
      <c r="T5" s="7">
        <v>62.864775999999999</v>
      </c>
      <c r="U5" s="7">
        <v>67.245213000000007</v>
      </c>
    </row>
    <row r="6" spans="1:26" s="7" customFormat="1" x14ac:dyDescent="0.15">
      <c r="C6" s="28"/>
      <c r="D6" s="29"/>
      <c r="E6" s="29"/>
      <c r="F6" s="29"/>
      <c r="G6" s="28"/>
      <c r="H6" s="29"/>
      <c r="I6" s="29"/>
      <c r="J6" s="29"/>
      <c r="K6" s="28"/>
      <c r="L6" s="29"/>
      <c r="M6" s="29"/>
      <c r="N6" s="48"/>
      <c r="O6" s="28"/>
      <c r="P6" s="29"/>
      <c r="Q6" s="29"/>
      <c r="R6" s="48"/>
      <c r="S6" s="56"/>
    </row>
    <row r="7" spans="1:26" s="7" customFormat="1" x14ac:dyDescent="0.15">
      <c r="B7" s="7" t="s">
        <v>76</v>
      </c>
      <c r="C7" s="28"/>
      <c r="D7" s="29"/>
      <c r="E7" s="29"/>
      <c r="F7" s="29"/>
      <c r="G7" s="28"/>
      <c r="H7" s="29"/>
      <c r="I7" s="29"/>
      <c r="J7" s="29">
        <v>9.5</v>
      </c>
      <c r="K7" s="28">
        <v>12.9</v>
      </c>
      <c r="L7" s="29">
        <v>12.6</v>
      </c>
      <c r="M7" s="29">
        <v>21.3</v>
      </c>
      <c r="N7" s="29">
        <v>30.9</v>
      </c>
      <c r="O7" s="28">
        <v>37.5</v>
      </c>
      <c r="P7" s="29">
        <v>38.700000000000003</v>
      </c>
      <c r="Q7" s="29">
        <v>42.1</v>
      </c>
      <c r="R7" s="29">
        <v>45.7</v>
      </c>
      <c r="S7" s="56">
        <v>45.6</v>
      </c>
      <c r="T7" s="7">
        <v>43</v>
      </c>
      <c r="U7" s="7">
        <v>39.700000000000003</v>
      </c>
      <c r="V7" s="7">
        <f>V61*U64</f>
        <v>47.704244813278024</v>
      </c>
    </row>
    <row r="8" spans="1:26" s="7" customFormat="1" x14ac:dyDescent="0.15">
      <c r="B8" s="7" t="s">
        <v>57</v>
      </c>
      <c r="C8" s="28"/>
      <c r="D8" s="29"/>
      <c r="E8" s="29"/>
      <c r="F8" s="29"/>
      <c r="G8" s="28"/>
      <c r="H8" s="29"/>
      <c r="I8" s="29"/>
      <c r="J8" s="29"/>
      <c r="K8" s="28"/>
      <c r="L8" s="29"/>
      <c r="M8" s="32">
        <f t="shared" ref="G8:N8" si="0">SUM(M4:M5)/M7</f>
        <v>45.883466291079813</v>
      </c>
      <c r="N8" s="32">
        <f t="shared" si="0"/>
        <v>42.944764433656957</v>
      </c>
      <c r="O8" s="33">
        <f t="shared" ref="O8" si="1">SUM(O4:O5)/O7</f>
        <v>29.835996079999997</v>
      </c>
      <c r="P8" s="32">
        <f t="shared" ref="P8" si="2">SUM(P4:P5)/P7</f>
        <v>35.812579095607234</v>
      </c>
      <c r="Q8" s="32">
        <f t="shared" ref="Q8" si="3">SUM(Q4:Q5)/Q7</f>
        <v>33.418270285035625</v>
      </c>
      <c r="R8" s="32">
        <f>SUM(R4:R5)/R7</f>
        <v>36.288287986870898</v>
      </c>
      <c r="S8" s="33">
        <f>SUM(S4:S5)/S7</f>
        <v>30.960453223684212</v>
      </c>
      <c r="T8" s="32">
        <f t="shared" ref="T8" si="4">SUM(T4:T5)/T7</f>
        <v>33.511518697674411</v>
      </c>
      <c r="U8" s="32">
        <f>SUM(U4:U5)/U7</f>
        <v>28.463774231738032</v>
      </c>
      <c r="V8" s="7">
        <f>U8*0.9</f>
        <v>25.61739680856423</v>
      </c>
    </row>
    <row r="9" spans="1:26" s="7" customFormat="1" x14ac:dyDescent="0.15">
      <c r="C9" s="28"/>
      <c r="D9" s="29"/>
      <c r="E9" s="29"/>
      <c r="F9" s="29"/>
      <c r="G9" s="28"/>
      <c r="H9" s="29"/>
      <c r="I9" s="29"/>
      <c r="J9" s="29"/>
      <c r="K9" s="28"/>
      <c r="L9" s="29"/>
      <c r="M9" s="29"/>
      <c r="N9" s="48"/>
      <c r="O9" s="28"/>
      <c r="P9" s="29"/>
      <c r="Q9" s="29"/>
      <c r="R9" s="48"/>
      <c r="S9" s="56"/>
    </row>
    <row r="10" spans="1:26" s="17" customFormat="1" x14ac:dyDescent="0.15">
      <c r="B10" s="17" t="s">
        <v>4</v>
      </c>
      <c r="C10" s="28"/>
      <c r="D10" s="29"/>
      <c r="E10" s="29"/>
      <c r="F10" s="29"/>
      <c r="G10" s="28"/>
      <c r="H10" s="29"/>
      <c r="I10" s="29"/>
      <c r="J10" s="29"/>
      <c r="K10" s="28"/>
      <c r="L10" s="29"/>
      <c r="M10" s="30">
        <f>M7*M8</f>
        <v>977.31783200000007</v>
      </c>
      <c r="N10" s="30">
        <f>N7*N8</f>
        <v>1326.9932209999999</v>
      </c>
      <c r="O10" s="31">
        <f>O7*O8</f>
        <v>1118.8498529999999</v>
      </c>
      <c r="P10" s="30">
        <f>P7*P8</f>
        <v>1385.946811</v>
      </c>
      <c r="Q10" s="30">
        <f>Q7*Q8</f>
        <v>1406.9091789999998</v>
      </c>
      <c r="R10" s="30">
        <f>R7*R8</f>
        <v>1658.3747610000003</v>
      </c>
      <c r="S10" s="31">
        <f>S7*S8</f>
        <v>1411.7966670000001</v>
      </c>
      <c r="T10" s="30">
        <f>T7*T8</f>
        <v>1440.9953039999996</v>
      </c>
      <c r="U10" s="30">
        <f>U7*U8</f>
        <v>1130.011837</v>
      </c>
      <c r="V10" s="30">
        <f>V7*V8</f>
        <v>1222.0585688346353</v>
      </c>
    </row>
    <row r="11" spans="1:26" s="7" customFormat="1" x14ac:dyDescent="0.15">
      <c r="B11" s="7" t="s">
        <v>5</v>
      </c>
      <c r="C11" s="28"/>
      <c r="D11" s="29"/>
      <c r="E11" s="29"/>
      <c r="F11" s="29"/>
      <c r="G11" s="28"/>
      <c r="H11" s="29"/>
      <c r="I11" s="29"/>
      <c r="J11" s="29"/>
      <c r="K11" s="28"/>
      <c r="L11" s="29"/>
      <c r="M11" s="29">
        <v>153.821888</v>
      </c>
      <c r="N11" s="29">
        <v>203.79763</v>
      </c>
      <c r="O11" s="28">
        <v>279.19297399999999</v>
      </c>
      <c r="P11" s="29">
        <v>361.446349</v>
      </c>
      <c r="Q11" s="29">
        <v>496.08186699999999</v>
      </c>
      <c r="R11" s="29">
        <v>503.910866</v>
      </c>
      <c r="S11" s="56">
        <v>460.75500599999998</v>
      </c>
      <c r="T11" s="7">
        <v>400.21515699999998</v>
      </c>
      <c r="U11" s="7">
        <v>371.75541500000003</v>
      </c>
      <c r="V11" s="7">
        <f>V10-V12</f>
        <v>402.03728450981339</v>
      </c>
    </row>
    <row r="12" spans="1:26" s="7" customFormat="1" x14ac:dyDescent="0.15">
      <c r="B12" s="7" t="s">
        <v>6</v>
      </c>
      <c r="C12" s="28"/>
      <c r="D12" s="29"/>
      <c r="E12" s="29"/>
      <c r="F12" s="29"/>
      <c r="G12" s="28"/>
      <c r="H12" s="29"/>
      <c r="I12" s="29"/>
      <c r="J12" s="29"/>
      <c r="K12" s="28"/>
      <c r="L12" s="29"/>
      <c r="M12" s="32">
        <f t="shared" ref="M12:N12" si="5">M10-M11</f>
        <v>823.49594400000001</v>
      </c>
      <c r="N12" s="32">
        <f t="shared" si="5"/>
        <v>1123.1955909999999</v>
      </c>
      <c r="O12" s="33">
        <f>O10-O11</f>
        <v>839.65687899999989</v>
      </c>
      <c r="P12" s="32">
        <f>P10-P11</f>
        <v>1024.500462</v>
      </c>
      <c r="Q12" s="32">
        <f t="shared" ref="Q12" si="6">Q10-Q11</f>
        <v>910.82731199999978</v>
      </c>
      <c r="R12" s="32">
        <f t="shared" ref="R12:S12" si="7">R10-R11</f>
        <v>1154.4638950000003</v>
      </c>
      <c r="S12" s="33">
        <f t="shared" si="7"/>
        <v>951.04166100000009</v>
      </c>
      <c r="T12" s="32">
        <f t="shared" ref="T12:U12" si="8">T10-T11</f>
        <v>1040.7801469999995</v>
      </c>
      <c r="U12" s="32">
        <f t="shared" si="8"/>
        <v>758.25642199999993</v>
      </c>
      <c r="V12" s="7">
        <f>V10*U25</f>
        <v>820.02128432482186</v>
      </c>
      <c r="W12" s="17"/>
    </row>
    <row r="13" spans="1:26" s="7" customFormat="1" x14ac:dyDescent="0.15">
      <c r="B13" s="7" t="s">
        <v>86</v>
      </c>
      <c r="C13" s="28"/>
      <c r="D13" s="29"/>
      <c r="E13" s="29"/>
      <c r="F13" s="29"/>
      <c r="G13" s="28"/>
      <c r="H13" s="29"/>
      <c r="I13" s="29"/>
      <c r="J13" s="29"/>
      <c r="K13" s="28"/>
      <c r="L13" s="29"/>
      <c r="M13" s="29">
        <v>80</v>
      </c>
      <c r="N13" s="29">
        <v>127</v>
      </c>
      <c r="O13" s="28">
        <v>155</v>
      </c>
      <c r="P13" s="29">
        <v>221</v>
      </c>
      <c r="Q13" s="29">
        <v>262</v>
      </c>
      <c r="R13" s="29">
        <v>288</v>
      </c>
      <c r="S13" s="56">
        <v>281</v>
      </c>
      <c r="T13" s="7">
        <v>224</v>
      </c>
      <c r="U13" s="7">
        <v>243</v>
      </c>
      <c r="V13" s="7">
        <f>R13*0.9</f>
        <v>259.2</v>
      </c>
    </row>
    <row r="14" spans="1:26" s="7" customFormat="1" x14ac:dyDescent="0.15">
      <c r="B14" s="7" t="s">
        <v>7</v>
      </c>
      <c r="C14" s="28"/>
      <c r="D14" s="29"/>
      <c r="E14" s="29"/>
      <c r="F14" s="29"/>
      <c r="G14" s="28"/>
      <c r="H14" s="29"/>
      <c r="I14" s="29"/>
      <c r="J14" s="29"/>
      <c r="K14" s="28"/>
      <c r="L14" s="29"/>
      <c r="M14" s="29">
        <v>1045</v>
      </c>
      <c r="N14" s="29">
        <v>1368</v>
      </c>
      <c r="O14" s="28">
        <v>1297</v>
      </c>
      <c r="P14" s="29">
        <v>1322</v>
      </c>
      <c r="Q14" s="29">
        <v>1503</v>
      </c>
      <c r="R14" s="29">
        <v>1368</v>
      </c>
      <c r="S14" s="56">
        <v>1075</v>
      </c>
      <c r="T14" s="7">
        <v>925</v>
      </c>
      <c r="U14" s="7">
        <v>701</v>
      </c>
      <c r="V14" s="7">
        <f>R14*0.5</f>
        <v>684</v>
      </c>
    </row>
    <row r="15" spans="1:26" s="7" customFormat="1" x14ac:dyDescent="0.15">
      <c r="B15" s="7" t="s">
        <v>8</v>
      </c>
      <c r="C15" s="28"/>
      <c r="D15" s="29"/>
      <c r="E15" s="29"/>
      <c r="F15" s="29"/>
      <c r="G15" s="28"/>
      <c r="H15" s="29"/>
      <c r="I15" s="29"/>
      <c r="J15" s="29"/>
      <c r="K15" s="28"/>
      <c r="L15" s="29"/>
      <c r="M15" s="29">
        <v>742</v>
      </c>
      <c r="N15" s="29">
        <v>45</v>
      </c>
      <c r="O15" s="28">
        <v>85</v>
      </c>
      <c r="P15" s="29">
        <v>64</v>
      </c>
      <c r="Q15" s="29">
        <v>57</v>
      </c>
      <c r="R15" s="29">
        <v>62</v>
      </c>
      <c r="S15" s="56">
        <v>107</v>
      </c>
      <c r="T15" s="7">
        <v>105</v>
      </c>
      <c r="U15" s="7">
        <v>85</v>
      </c>
      <c r="V15" s="7">
        <f>R15*1.45</f>
        <v>89.899999999999991</v>
      </c>
    </row>
    <row r="16" spans="1:26" s="7" customFormat="1" x14ac:dyDescent="0.15">
      <c r="B16" s="7" t="s">
        <v>9</v>
      </c>
      <c r="C16" s="28"/>
      <c r="D16" s="29"/>
      <c r="E16" s="29"/>
      <c r="F16" s="29"/>
      <c r="G16" s="28"/>
      <c r="H16" s="29"/>
      <c r="I16" s="29"/>
      <c r="J16" s="29"/>
      <c r="K16" s="28"/>
      <c r="L16" s="29"/>
      <c r="M16" s="32">
        <f>SUM(M13:M15)</f>
        <v>1867</v>
      </c>
      <c r="N16" s="32">
        <f>SUM(N13:N15)</f>
        <v>1540</v>
      </c>
      <c r="O16" s="33">
        <f>SUM(O13:O15)</f>
        <v>1537</v>
      </c>
      <c r="P16" s="32">
        <f>SUM(P13:P15)</f>
        <v>1607</v>
      </c>
      <c r="Q16" s="32">
        <f>SUM(Q13:Q15)</f>
        <v>1822</v>
      </c>
      <c r="R16" s="32">
        <f>SUM(R13:R15)</f>
        <v>1718</v>
      </c>
      <c r="S16" s="33">
        <f>SUM(S13:S15)</f>
        <v>1463</v>
      </c>
      <c r="T16" s="32">
        <f>SUM(T13:T15)</f>
        <v>1254</v>
      </c>
      <c r="U16" s="32">
        <f>SUM(U13:U15)</f>
        <v>1029</v>
      </c>
      <c r="V16" s="32">
        <f>SUM(V13:V15)</f>
        <v>1033.1000000000001</v>
      </c>
    </row>
    <row r="17" spans="2:22" s="7" customFormat="1" x14ac:dyDescent="0.15">
      <c r="B17" s="7" t="s">
        <v>10</v>
      </c>
      <c r="C17" s="28"/>
      <c r="D17" s="29"/>
      <c r="E17" s="29"/>
      <c r="F17" s="29"/>
      <c r="G17" s="28"/>
      <c r="H17" s="29"/>
      <c r="I17" s="29"/>
      <c r="J17" s="29"/>
      <c r="K17" s="28"/>
      <c r="L17" s="29"/>
      <c r="M17" s="32">
        <f>M12-M16</f>
        <v>-1043.504056</v>
      </c>
      <c r="N17" s="32">
        <f>N12-N16</f>
        <v>-416.80440900000008</v>
      </c>
      <c r="O17" s="33">
        <f>O12-O16</f>
        <v>-697.34312100000011</v>
      </c>
      <c r="P17" s="32">
        <f>P12-P16</f>
        <v>-582.49953800000003</v>
      </c>
      <c r="Q17" s="32">
        <f>Q12-Q16</f>
        <v>-911.17268800000022</v>
      </c>
      <c r="R17" s="32">
        <f>R12-R16</f>
        <v>-563.53610499999968</v>
      </c>
      <c r="S17" s="33">
        <f>S12-S16</f>
        <v>-511.95833899999991</v>
      </c>
      <c r="T17" s="32">
        <f>T12-T16</f>
        <v>-213.21985300000051</v>
      </c>
      <c r="U17" s="32">
        <f>U12-U16</f>
        <v>-270.74357800000007</v>
      </c>
      <c r="V17" s="32">
        <f>V12-V16</f>
        <v>-213.07871567517827</v>
      </c>
    </row>
    <row r="18" spans="2:22" s="7" customFormat="1" x14ac:dyDescent="0.15">
      <c r="B18" s="7" t="s">
        <v>11</v>
      </c>
      <c r="C18" s="28"/>
      <c r="D18" s="29"/>
      <c r="E18" s="29"/>
      <c r="F18" s="29"/>
      <c r="G18" s="28"/>
      <c r="H18" s="29"/>
      <c r="I18" s="29"/>
      <c r="J18" s="29"/>
      <c r="K18" s="28"/>
      <c r="L18" s="29"/>
      <c r="M18" s="29">
        <f>9+1-0</f>
        <v>10</v>
      </c>
      <c r="N18" s="29">
        <f>1+17+1+0</f>
        <v>19</v>
      </c>
      <c r="O18" s="28">
        <f>1+8</f>
        <v>9</v>
      </c>
      <c r="P18" s="29">
        <f>11+9</f>
        <v>20</v>
      </c>
      <c r="Q18" s="29">
        <f>12+10</f>
        <v>22</v>
      </c>
      <c r="R18" s="29">
        <f>8+11</f>
        <v>19</v>
      </c>
      <c r="S18" s="56">
        <f>7-26</f>
        <v>-19</v>
      </c>
      <c r="T18" s="7">
        <f>25-32</f>
        <v>-7</v>
      </c>
      <c r="U18" s="7">
        <f>24-24</f>
        <v>0</v>
      </c>
      <c r="V18" s="7">
        <f>U18</f>
        <v>0</v>
      </c>
    </row>
    <row r="19" spans="2:22" s="7" customFormat="1" x14ac:dyDescent="0.15">
      <c r="B19" s="7" t="s">
        <v>12</v>
      </c>
      <c r="C19" s="28"/>
      <c r="D19" s="29"/>
      <c r="E19" s="29"/>
      <c r="F19" s="29"/>
      <c r="G19" s="28"/>
      <c r="H19" s="29"/>
      <c r="I19" s="29"/>
      <c r="J19" s="29"/>
      <c r="K19" s="28"/>
      <c r="L19" s="29"/>
      <c r="M19" s="32">
        <f>M17+M18</f>
        <v>-1033.504056</v>
      </c>
      <c r="N19" s="32">
        <f>N17+N18</f>
        <v>-397.80440900000008</v>
      </c>
      <c r="O19" s="33">
        <f t="shared" ref="O19" si="9">O17+O18</f>
        <v>-688.34312100000011</v>
      </c>
      <c r="P19" s="32">
        <f t="shared" ref="P19" si="10">P17+P18</f>
        <v>-562.49953800000003</v>
      </c>
      <c r="Q19" s="32">
        <f t="shared" ref="Q19:V19" si="11">Q17+Q18</f>
        <v>-889.17268800000022</v>
      </c>
      <c r="R19" s="32">
        <f t="shared" si="11"/>
        <v>-544.53610499999968</v>
      </c>
      <c r="S19" s="33">
        <f t="shared" si="11"/>
        <v>-530.95833899999991</v>
      </c>
      <c r="T19" s="32">
        <f t="shared" si="11"/>
        <v>-220.21985300000051</v>
      </c>
      <c r="U19" s="32">
        <f t="shared" si="11"/>
        <v>-270.74357800000007</v>
      </c>
      <c r="V19" s="32">
        <f t="shared" si="11"/>
        <v>-213.07871567517827</v>
      </c>
    </row>
    <row r="20" spans="2:22" s="7" customFormat="1" x14ac:dyDescent="0.15">
      <c r="B20" s="7" t="s">
        <v>13</v>
      </c>
      <c r="C20" s="28"/>
      <c r="D20" s="29"/>
      <c r="E20" s="29"/>
      <c r="F20" s="29"/>
      <c r="G20" s="28"/>
      <c r="H20" s="29"/>
      <c r="I20" s="29"/>
      <c r="J20" s="29"/>
      <c r="K20" s="28"/>
      <c r="L20" s="29"/>
      <c r="M20" s="29">
        <v>0</v>
      </c>
      <c r="N20" s="29">
        <v>0</v>
      </c>
      <c r="O20" s="28">
        <v>-1</v>
      </c>
      <c r="P20" s="29">
        <v>-1</v>
      </c>
      <c r="Q20" s="29">
        <v>1</v>
      </c>
      <c r="R20" s="29">
        <v>-7</v>
      </c>
      <c r="S20" s="56">
        <v>1</v>
      </c>
      <c r="T20" s="7">
        <v>0</v>
      </c>
      <c r="U20" s="7">
        <v>-2</v>
      </c>
      <c r="V20" s="7">
        <f>V19*U27</f>
        <v>-1.5740260009061284</v>
      </c>
    </row>
    <row r="21" spans="2:22" s="17" customFormat="1" x14ac:dyDescent="0.15">
      <c r="B21" s="17" t="s">
        <v>14</v>
      </c>
      <c r="C21" s="28"/>
      <c r="D21" s="29"/>
      <c r="E21" s="29"/>
      <c r="F21" s="29"/>
      <c r="G21" s="28"/>
      <c r="H21" s="29"/>
      <c r="I21" s="29"/>
      <c r="J21" s="29"/>
      <c r="K21" s="28"/>
      <c r="L21" s="29"/>
      <c r="M21" s="30">
        <f>M19-M20</f>
        <v>-1033.504056</v>
      </c>
      <c r="N21" s="30">
        <f t="shared" ref="F21:N21" si="12">N19-N20</f>
        <v>-397.80440900000008</v>
      </c>
      <c r="O21" s="31">
        <f t="shared" ref="O21" si="13">O19-O20</f>
        <v>-687.34312100000011</v>
      </c>
      <c r="P21" s="30">
        <f t="shared" ref="P21" si="14">P19-P20</f>
        <v>-561.49953800000003</v>
      </c>
      <c r="Q21" s="30">
        <f>Q19-Q20</f>
        <v>-890.17268800000022</v>
      </c>
      <c r="R21" s="30">
        <f t="shared" ref="R21:S21" si="15">R19-R20</f>
        <v>-537.53610499999968</v>
      </c>
      <c r="S21" s="31">
        <f t="shared" si="15"/>
        <v>-531.95833899999991</v>
      </c>
      <c r="T21" s="30">
        <f>T19-T20</f>
        <v>-220.21985300000051</v>
      </c>
      <c r="U21" s="30">
        <f>U19-U20</f>
        <v>-268.74357800000007</v>
      </c>
      <c r="V21" s="30">
        <f>V19-V20</f>
        <v>-211.50468967427216</v>
      </c>
    </row>
    <row r="22" spans="2:22" s="3" customFormat="1" x14ac:dyDescent="0.15">
      <c r="B22" s="3" t="s">
        <v>15</v>
      </c>
      <c r="C22" s="61"/>
      <c r="D22" s="62"/>
      <c r="E22" s="62"/>
      <c r="F22" s="29"/>
      <c r="G22" s="28"/>
      <c r="H22" s="29"/>
      <c r="I22" s="29"/>
      <c r="J22" s="29"/>
      <c r="K22" s="28"/>
      <c r="L22" s="29"/>
      <c r="M22" s="63">
        <f>IFERROR(M21/M23,0)</f>
        <v>-8.7879587394244325</v>
      </c>
      <c r="N22" s="63">
        <f>IFERROR(N21/N23,0)</f>
        <v>-1.609990172936121</v>
      </c>
      <c r="O22" s="64">
        <f>IFERROR(O21/O23,0)</f>
        <v>-2.5785777658442934</v>
      </c>
      <c r="P22" s="63">
        <f>IFERROR(P21/P23,0)</f>
        <v>-2.0622567659798681</v>
      </c>
      <c r="Q22" s="63">
        <f>IFERROR(Q21/Q23,0)</f>
        <v>-3.2350764274822041</v>
      </c>
      <c r="R22" s="63">
        <f>IFERROR(R21/R23,0)</f>
        <v>-1.8940965936641947</v>
      </c>
      <c r="S22" s="64">
        <f>IFERROR(S21/S23,0)</f>
        <v>-1.8623887553940155</v>
      </c>
      <c r="T22" s="63">
        <f>IFERROR(T21/T23,0)</f>
        <v>-0.76884120254804567</v>
      </c>
      <c r="U22" s="63">
        <f>IFERROR(U21/U23,0)</f>
        <v>-0.9172435046003552</v>
      </c>
      <c r="V22" s="63">
        <f>IFERROR(V21/V23,0)</f>
        <v>0</v>
      </c>
    </row>
    <row r="23" spans="2:22" s="7" customFormat="1" x14ac:dyDescent="0.15">
      <c r="B23" s="7" t="s">
        <v>64</v>
      </c>
      <c r="C23" s="28"/>
      <c r="D23" s="29"/>
      <c r="E23" s="29"/>
      <c r="F23" s="29"/>
      <c r="G23" s="28"/>
      <c r="H23" s="29"/>
      <c r="I23" s="29"/>
      <c r="J23" s="29"/>
      <c r="K23" s="28"/>
      <c r="L23" s="29"/>
      <c r="M23" s="29">
        <v>117.604564</v>
      </c>
      <c r="N23" s="29">
        <v>247.084992</v>
      </c>
      <c r="O23" s="28">
        <v>266.55900400000002</v>
      </c>
      <c r="P23" s="29">
        <v>272.27431000000001</v>
      </c>
      <c r="Q23" s="29">
        <v>275.1628</v>
      </c>
      <c r="R23" s="29">
        <v>283.79550799999998</v>
      </c>
      <c r="S23" s="56">
        <v>285.63227599999999</v>
      </c>
      <c r="T23" s="7">
        <v>286.43086799999998</v>
      </c>
      <c r="U23" s="29">
        <v>292.99043999999998</v>
      </c>
      <c r="V23" s="17"/>
    </row>
    <row r="24" spans="2:22" x14ac:dyDescent="0.15">
      <c r="B24" s="13"/>
      <c r="C24" s="28"/>
      <c r="D24" s="29"/>
      <c r="E24" s="29"/>
      <c r="F24" s="29"/>
      <c r="G24" s="28"/>
      <c r="H24" s="29"/>
      <c r="I24" s="29"/>
      <c r="J24" s="29"/>
      <c r="K24" s="28"/>
      <c r="L24" s="29"/>
      <c r="N24" s="29"/>
      <c r="R24" s="29"/>
      <c r="V24" s="17"/>
    </row>
    <row r="25" spans="2:22" x14ac:dyDescent="0.15">
      <c r="B25" s="5" t="s">
        <v>17</v>
      </c>
      <c r="C25" s="28"/>
      <c r="D25" s="29"/>
      <c r="E25" s="29"/>
      <c r="F25" s="29"/>
      <c r="G25" s="28"/>
      <c r="H25" s="29"/>
      <c r="I25" s="29"/>
      <c r="J25" s="29"/>
      <c r="K25" s="28"/>
      <c r="L25" s="29"/>
      <c r="M25" s="38">
        <f>IFERROR(M12/M10,0)</f>
        <v>0.84260812300414467</v>
      </c>
      <c r="N25" s="38">
        <f>IFERROR(N12/N10,0)</f>
        <v>0.84642149878774697</v>
      </c>
      <c r="O25" s="39">
        <f>IFERROR(O12/O10,0)</f>
        <v>0.75046430649171292</v>
      </c>
      <c r="P25" s="38">
        <f>IFERROR(P12/P10,0)</f>
        <v>0.73920619021504419</v>
      </c>
      <c r="Q25" s="38">
        <f>IFERROR(Q12/Q10,0)</f>
        <v>0.64739595532911076</v>
      </c>
      <c r="R25" s="38">
        <f>IFERROR(R12/R10,0)</f>
        <v>0.69614174199314172</v>
      </c>
      <c r="S25" s="39">
        <f>IFERROR(S12/S10,0)</f>
        <v>0.67363925927160451</v>
      </c>
      <c r="T25" s="38">
        <f>IFERROR(T12/T10,0)</f>
        <v>0.72226477359845709</v>
      </c>
      <c r="U25" s="38">
        <f>IFERROR(U12/U10,0)</f>
        <v>0.67101635325612963</v>
      </c>
      <c r="V25" s="38">
        <f>IFERROR(V12/V10,0)</f>
        <v>0.67101635325612963</v>
      </c>
    </row>
    <row r="26" spans="2:22" x14ac:dyDescent="0.15">
      <c r="B26" s="5" t="s">
        <v>18</v>
      </c>
      <c r="C26" s="28"/>
      <c r="D26" s="29"/>
      <c r="E26" s="29"/>
      <c r="F26" s="29"/>
      <c r="G26" s="28"/>
      <c r="H26" s="29"/>
      <c r="I26" s="29"/>
      <c r="J26" s="29"/>
      <c r="K26" s="28"/>
      <c r="L26" s="29"/>
      <c r="M26" s="40">
        <f>IFERROR(M17/M10,0)</f>
        <v>-1.0677223128780484</v>
      </c>
      <c r="N26" s="40">
        <f>IFERROR(N17/N10,0)</f>
        <v>-0.31409686380002999</v>
      </c>
      <c r="O26" s="41">
        <f>IFERROR(O17/O10,0)</f>
        <v>-0.62326783091600424</v>
      </c>
      <c r="P26" s="40">
        <f>IFERROR(P17/P10,0)</f>
        <v>-0.42028996594732959</v>
      </c>
      <c r="Q26" s="40">
        <f>IFERROR(Q17/Q10,0)</f>
        <v>-0.6476414409689486</v>
      </c>
      <c r="R26" s="40">
        <f>IFERROR(R17/R10,0)</f>
        <v>-0.33981227781119105</v>
      </c>
      <c r="S26" s="41">
        <f>IFERROR(S17/S10,0)</f>
        <v>-0.36262894718960254</v>
      </c>
      <c r="T26" s="40">
        <f>IFERROR(T17/T10,0)</f>
        <v>-0.14796706998845333</v>
      </c>
      <c r="U26" s="40">
        <f>IFERROR(U17/U10,0)</f>
        <v>-0.23959357692993802</v>
      </c>
      <c r="V26" s="40">
        <f>IFERROR(V17/V10,0)</f>
        <v>-0.17436047756563078</v>
      </c>
    </row>
    <row r="27" spans="2:22" x14ac:dyDescent="0.15">
      <c r="B27" s="5" t="s">
        <v>19</v>
      </c>
      <c r="C27" s="28"/>
      <c r="D27" s="29"/>
      <c r="E27" s="29"/>
      <c r="F27" s="29"/>
      <c r="G27" s="28"/>
      <c r="H27" s="29"/>
      <c r="I27" s="29"/>
      <c r="J27" s="29"/>
      <c r="K27" s="28"/>
      <c r="L27" s="29"/>
      <c r="M27" s="40">
        <f>IFERROR(M20/M19,0)</f>
        <v>0</v>
      </c>
      <c r="N27" s="40">
        <f>IFERROR(N20/N19,0)</f>
        <v>0</v>
      </c>
      <c r="O27" s="41">
        <f>IFERROR(O20/O19,0)</f>
        <v>1.4527638462446403E-3</v>
      </c>
      <c r="P27" s="40">
        <f>IFERROR(P20/P19,0)</f>
        <v>1.777779237927125E-3</v>
      </c>
      <c r="Q27" s="40">
        <f>IFERROR(Q20/Q19,0)</f>
        <v>-1.1246409313912706E-3</v>
      </c>
      <c r="R27" s="40">
        <f>IFERROR(R20/R19,0)</f>
        <v>1.2854978642784402E-2</v>
      </c>
      <c r="S27" s="41">
        <f>IFERROR(S20/S19,0)</f>
        <v>-1.8833869374448231E-3</v>
      </c>
      <c r="T27" s="40">
        <f>IFERROR(T20/T19,0)</f>
        <v>0</v>
      </c>
      <c r="U27" s="40">
        <f>IFERROR(U20/U19,0)</f>
        <v>7.3870634892769255E-3</v>
      </c>
      <c r="V27" s="40">
        <f>IFERROR(V20/V19,0)</f>
        <v>7.3870634892769255E-3</v>
      </c>
    </row>
    <row r="28" spans="2:22" x14ac:dyDescent="0.15">
      <c r="C28" s="28"/>
      <c r="D28" s="29"/>
      <c r="E28" s="29"/>
      <c r="F28" s="29"/>
      <c r="G28" s="28"/>
      <c r="H28" s="29"/>
      <c r="I28" s="29"/>
      <c r="J28" s="29"/>
      <c r="K28" s="28"/>
      <c r="L28" s="29"/>
      <c r="N28" s="29"/>
      <c r="R28" s="29"/>
      <c r="S28" s="28"/>
      <c r="T28" s="26"/>
      <c r="U28" s="26"/>
      <c r="V28" s="17"/>
    </row>
    <row r="29" spans="2:22" s="11" customFormat="1" x14ac:dyDescent="0.15">
      <c r="B29" s="11" t="s">
        <v>16</v>
      </c>
      <c r="C29" s="35"/>
      <c r="D29" s="34"/>
      <c r="E29" s="34"/>
      <c r="F29" s="29"/>
      <c r="G29" s="28"/>
      <c r="H29" s="29"/>
      <c r="I29" s="29"/>
      <c r="J29" s="29"/>
      <c r="K29" s="28"/>
      <c r="L29" s="29"/>
      <c r="M29" s="34"/>
      <c r="N29" s="34"/>
      <c r="O29" s="35"/>
      <c r="P29" s="34"/>
      <c r="Q29" s="34">
        <f>IFERROR((Q10/M10)-1,0)</f>
        <v>0.43956155606091474</v>
      </c>
      <c r="R29" s="34">
        <f>IFERROR((R10/N10)-1,0)</f>
        <v>0.2497236118133872</v>
      </c>
      <c r="S29" s="35">
        <f>IFERROR((S10/O10)-1,0)</f>
        <v>0.26182853151789276</v>
      </c>
      <c r="T29" s="34">
        <f>IFERROR((T10/P10)-1,0)</f>
        <v>3.9719051671456729E-2</v>
      </c>
      <c r="U29" s="34">
        <f>IFERROR((U10/Q10)-1,0)</f>
        <v>-0.1968125207604462</v>
      </c>
      <c r="V29" s="34">
        <f>IFERROR((V10/R10)-1,0)</f>
        <v>-0.26309866890537237</v>
      </c>
    </row>
    <row r="30" spans="2:22" s="11" customFormat="1" x14ac:dyDescent="0.15">
      <c r="C30" s="35"/>
      <c r="D30" s="34"/>
      <c r="E30" s="34"/>
      <c r="F30" s="29"/>
      <c r="G30" s="28"/>
      <c r="H30" s="29"/>
      <c r="I30" s="29"/>
      <c r="J30" s="29"/>
      <c r="K30" s="28"/>
      <c r="L30" s="29"/>
      <c r="M30" s="36"/>
      <c r="N30" s="36"/>
      <c r="O30" s="37"/>
      <c r="P30" s="36"/>
      <c r="Q30" s="36">
        <f>Q13/M13-1</f>
        <v>2.2749999999999999</v>
      </c>
      <c r="R30" s="36">
        <f>R13/N13-1</f>
        <v>1.2677165354330708</v>
      </c>
      <c r="S30" s="37">
        <f>S13/O13-1</f>
        <v>0.81290322580645169</v>
      </c>
      <c r="T30" s="36">
        <f>T13/P13-1</f>
        <v>1.3574660633484115E-2</v>
      </c>
      <c r="U30" s="36">
        <f>U13/Q13-1</f>
        <v>-7.2519083969465603E-2</v>
      </c>
      <c r="V30" s="36">
        <f>V13/R13-1</f>
        <v>-0.10000000000000009</v>
      </c>
    </row>
    <row r="31" spans="2:22" s="11" customFormat="1" x14ac:dyDescent="0.15">
      <c r="B31" s="5" t="s">
        <v>36</v>
      </c>
      <c r="C31" s="37"/>
      <c r="D31" s="36"/>
      <c r="E31" s="36"/>
      <c r="F31" s="29"/>
      <c r="G31" s="28"/>
      <c r="H31" s="29"/>
      <c r="I31" s="29"/>
      <c r="J31" s="29"/>
      <c r="K31" s="28"/>
      <c r="L31" s="29"/>
      <c r="M31" s="36"/>
      <c r="N31" s="36"/>
      <c r="O31" s="37"/>
      <c r="P31" s="36"/>
      <c r="Q31" s="36">
        <f>Q14/M14-1</f>
        <v>0.4382775119617226</v>
      </c>
      <c r="R31" s="36">
        <f>R14/N14-1</f>
        <v>0</v>
      </c>
      <c r="S31" s="37">
        <f>S14/O14-1</f>
        <v>-0.1711642251349268</v>
      </c>
      <c r="T31" s="36">
        <f>T14/P14-1</f>
        <v>-0.30030257186081699</v>
      </c>
      <c r="U31" s="36">
        <f>U14/Q14-1</f>
        <v>-0.53359946773120426</v>
      </c>
      <c r="V31" s="36">
        <f>V14/R14-1</f>
        <v>-0.5</v>
      </c>
    </row>
    <row r="32" spans="2:22" s="11" customFormat="1" x14ac:dyDescent="0.15">
      <c r="B32" s="5" t="s">
        <v>37</v>
      </c>
      <c r="C32" s="37"/>
      <c r="D32" s="36"/>
      <c r="E32" s="36"/>
      <c r="F32" s="29"/>
      <c r="G32" s="28"/>
      <c r="H32" s="29"/>
      <c r="I32" s="29"/>
      <c r="J32" s="29"/>
      <c r="K32" s="28"/>
      <c r="L32" s="29"/>
      <c r="M32" s="36"/>
      <c r="N32" s="36"/>
      <c r="O32" s="37"/>
      <c r="P32" s="36"/>
      <c r="Q32" s="36">
        <f>Q15/M15-1</f>
        <v>-0.92318059299191368</v>
      </c>
      <c r="R32" s="36">
        <f>R15/N15-1</f>
        <v>0.37777777777777777</v>
      </c>
      <c r="S32" s="37">
        <f>S15/O15-1</f>
        <v>0.25882352941176467</v>
      </c>
      <c r="T32" s="36">
        <f>T15/P15-1</f>
        <v>0.640625</v>
      </c>
      <c r="U32" s="36">
        <f>U15/Q15-1</f>
        <v>0.49122807017543857</v>
      </c>
      <c r="V32" s="36">
        <f>V15/R15-1</f>
        <v>0.44999999999999996</v>
      </c>
    </row>
    <row r="33" spans="2:22" x14ac:dyDescent="0.15">
      <c r="F33" s="29"/>
      <c r="G33" s="28"/>
      <c r="H33" s="29"/>
      <c r="I33" s="29"/>
      <c r="J33" s="29"/>
      <c r="K33" s="28"/>
      <c r="L33" s="29"/>
      <c r="N33" s="36"/>
      <c r="V33" s="17"/>
    </row>
    <row r="34" spans="2:22" s="17" customFormat="1" x14ac:dyDescent="0.15">
      <c r="B34" s="17" t="s">
        <v>24</v>
      </c>
      <c r="C34" s="47"/>
      <c r="D34" s="54"/>
      <c r="E34" s="54"/>
      <c r="F34" s="29"/>
      <c r="G34" s="28"/>
      <c r="H34" s="29"/>
      <c r="I34" s="29"/>
      <c r="J34" s="29"/>
      <c r="K34" s="28"/>
      <c r="L34" s="29"/>
      <c r="M34" s="54"/>
      <c r="N34" s="36"/>
      <c r="O34" s="47"/>
      <c r="P34" s="54"/>
      <c r="Q34" s="54"/>
      <c r="R34" s="30">
        <f t="shared" ref="R34:U34" si="16">R35-R36</f>
        <v>472</v>
      </c>
      <c r="S34" s="51"/>
      <c r="U34" s="30">
        <f t="shared" si="16"/>
        <v>-640</v>
      </c>
    </row>
    <row r="35" spans="2:22" s="7" customFormat="1" x14ac:dyDescent="0.15">
      <c r="B35" s="7" t="s">
        <v>25</v>
      </c>
      <c r="C35" s="28"/>
      <c r="D35" s="29"/>
      <c r="E35" s="29"/>
      <c r="F35" s="29"/>
      <c r="G35" s="28"/>
      <c r="H35" s="29"/>
      <c r="I35" s="29"/>
      <c r="J35" s="29"/>
      <c r="K35" s="28"/>
      <c r="L35" s="29"/>
      <c r="M35" s="29"/>
      <c r="N35" s="36"/>
      <c r="O35" s="28"/>
      <c r="P35" s="29"/>
      <c r="Q35" s="29"/>
      <c r="R35" s="29">
        <f>348+28+1277+38</f>
        <v>1691</v>
      </c>
      <c r="S35" s="51"/>
      <c r="U35" s="7">
        <f>260+64+190+83</f>
        <v>597</v>
      </c>
    </row>
    <row r="36" spans="2:22" s="7" customFormat="1" x14ac:dyDescent="0.15">
      <c r="B36" s="7" t="s">
        <v>26</v>
      </c>
      <c r="C36" s="28"/>
      <c r="D36" s="29"/>
      <c r="E36" s="29"/>
      <c r="F36" s="29"/>
      <c r="G36" s="28"/>
      <c r="H36" s="29"/>
      <c r="I36" s="29"/>
      <c r="J36" s="29"/>
      <c r="K36" s="28"/>
      <c r="L36" s="29"/>
      <c r="M36" s="29"/>
      <c r="N36" s="36"/>
      <c r="O36" s="28"/>
      <c r="P36" s="29"/>
      <c r="Q36" s="29"/>
      <c r="R36" s="29">
        <f>0+1219</f>
        <v>1219</v>
      </c>
      <c r="S36" s="51"/>
      <c r="U36" s="7">
        <f>20+1217</f>
        <v>1237</v>
      </c>
    </row>
    <row r="37" spans="2:22" s="7" customFormat="1" x14ac:dyDescent="0.15">
      <c r="C37" s="28"/>
      <c r="D37" s="29"/>
      <c r="E37" s="29"/>
      <c r="F37" s="29"/>
      <c r="G37" s="28"/>
      <c r="H37" s="29"/>
      <c r="I37" s="29"/>
      <c r="J37" s="29"/>
      <c r="K37" s="28"/>
      <c r="L37" s="29"/>
      <c r="M37" s="29"/>
      <c r="N37" s="36"/>
      <c r="O37" s="28"/>
      <c r="P37" s="29"/>
      <c r="Q37" s="29"/>
      <c r="R37" s="29"/>
      <c r="S37" s="51"/>
    </row>
    <row r="38" spans="2:22" s="7" customFormat="1" x14ac:dyDescent="0.15">
      <c r="B38" s="45" t="s">
        <v>48</v>
      </c>
      <c r="C38" s="28"/>
      <c r="D38" s="29"/>
      <c r="E38" s="29"/>
      <c r="F38" s="29"/>
      <c r="G38" s="28"/>
      <c r="H38" s="29"/>
      <c r="I38" s="29"/>
      <c r="J38" s="29"/>
      <c r="K38" s="28"/>
      <c r="L38" s="29"/>
      <c r="M38" s="29"/>
      <c r="N38" s="36"/>
      <c r="O38" s="28"/>
      <c r="P38" s="29"/>
      <c r="Q38" s="29"/>
      <c r="R38" s="42">
        <f>89+7</f>
        <v>96</v>
      </c>
      <c r="S38" s="51"/>
      <c r="U38" s="7">
        <f>86+7</f>
        <v>93</v>
      </c>
    </row>
    <row r="39" spans="2:22" s="7" customFormat="1" x14ac:dyDescent="0.15">
      <c r="B39" s="45" t="s">
        <v>49</v>
      </c>
      <c r="C39" s="28"/>
      <c r="D39" s="29"/>
      <c r="E39" s="29"/>
      <c r="F39" s="29"/>
      <c r="G39" s="28"/>
      <c r="H39" s="29"/>
      <c r="I39" s="29"/>
      <c r="J39" s="29"/>
      <c r="K39" s="28"/>
      <c r="L39" s="29"/>
      <c r="M39" s="29"/>
      <c r="N39" s="36"/>
      <c r="O39" s="28"/>
      <c r="P39" s="29"/>
      <c r="Q39" s="29"/>
      <c r="R39" s="42">
        <v>2940</v>
      </c>
      <c r="S39" s="51"/>
      <c r="U39" s="7">
        <v>2096</v>
      </c>
    </row>
    <row r="40" spans="2:22" s="7" customFormat="1" x14ac:dyDescent="0.15">
      <c r="B40" s="45" t="s">
        <v>50</v>
      </c>
      <c r="C40" s="28"/>
      <c r="D40" s="29"/>
      <c r="E40" s="29"/>
      <c r="F40" s="29"/>
      <c r="G40" s="28"/>
      <c r="H40" s="29"/>
      <c r="I40" s="29"/>
      <c r="J40" s="29"/>
      <c r="K40" s="28"/>
      <c r="L40" s="29"/>
      <c r="M40" s="29"/>
      <c r="N40" s="36"/>
      <c r="O40" s="28"/>
      <c r="P40" s="29"/>
      <c r="Q40" s="29"/>
      <c r="R40" s="42">
        <f>3150+496</f>
        <v>3646</v>
      </c>
      <c r="S40" s="51"/>
      <c r="U40" s="7">
        <f>2984+520</f>
        <v>3504</v>
      </c>
    </row>
    <row r="41" spans="2:22" s="7" customFormat="1" x14ac:dyDescent="0.15">
      <c r="C41" s="28"/>
      <c r="D41" s="29"/>
      <c r="E41" s="29"/>
      <c r="F41" s="29"/>
      <c r="G41" s="28"/>
      <c r="H41" s="29"/>
      <c r="I41" s="29"/>
      <c r="J41" s="29"/>
      <c r="K41" s="28"/>
      <c r="L41" s="29"/>
      <c r="M41" s="29"/>
      <c r="N41" s="36"/>
      <c r="O41" s="28"/>
      <c r="P41" s="29"/>
      <c r="Q41" s="29"/>
      <c r="R41" s="42"/>
      <c r="S41" s="51"/>
    </row>
    <row r="42" spans="2:22" s="7" customFormat="1" x14ac:dyDescent="0.15">
      <c r="B42" s="45" t="s">
        <v>51</v>
      </c>
      <c r="C42" s="28"/>
      <c r="D42" s="29"/>
      <c r="E42" s="29"/>
      <c r="F42" s="29"/>
      <c r="G42" s="28"/>
      <c r="H42" s="29"/>
      <c r="I42" s="29"/>
      <c r="J42" s="29"/>
      <c r="K42" s="28"/>
      <c r="L42" s="29"/>
      <c r="M42" s="29"/>
      <c r="N42" s="36"/>
      <c r="O42" s="28"/>
      <c r="P42" s="29"/>
      <c r="Q42" s="29"/>
      <c r="R42" s="32">
        <f t="shared" ref="R42" si="17">R39-R35-R38</f>
        <v>1153</v>
      </c>
      <c r="S42" s="51"/>
      <c r="U42" s="32">
        <f t="shared" ref="U42" si="18">U39-U35-U38</f>
        <v>1406</v>
      </c>
    </row>
    <row r="43" spans="2:22" s="7" customFormat="1" x14ac:dyDescent="0.15">
      <c r="B43" s="45" t="s">
        <v>52</v>
      </c>
      <c r="C43" s="28"/>
      <c r="D43" s="29"/>
      <c r="E43" s="29"/>
      <c r="F43" s="29"/>
      <c r="G43" s="28"/>
      <c r="H43" s="29"/>
      <c r="I43" s="29"/>
      <c r="J43" s="29"/>
      <c r="K43" s="28"/>
      <c r="L43" s="29"/>
      <c r="M43" s="29"/>
      <c r="N43" s="36"/>
      <c r="O43" s="28"/>
      <c r="P43" s="29"/>
      <c r="Q43" s="29"/>
      <c r="R43" s="32">
        <f t="shared" ref="R43" si="19">R39-R40</f>
        <v>-706</v>
      </c>
      <c r="S43" s="51"/>
      <c r="U43" s="32">
        <f t="shared" ref="U43" si="20">U39-U40</f>
        <v>-1408</v>
      </c>
    </row>
    <row r="44" spans="2:22" s="7" customFormat="1" x14ac:dyDescent="0.15">
      <c r="C44" s="28"/>
      <c r="D44" s="29"/>
      <c r="E44" s="29"/>
      <c r="F44" s="29"/>
      <c r="G44" s="28"/>
      <c r="H44" s="29"/>
      <c r="I44" s="29"/>
      <c r="J44" s="29"/>
      <c r="K44" s="28"/>
      <c r="L44" s="29"/>
      <c r="M44" s="29"/>
      <c r="N44" s="36"/>
      <c r="O44" s="28"/>
      <c r="P44" s="29"/>
      <c r="Q44" s="29"/>
      <c r="R44" s="42"/>
      <c r="S44" s="51"/>
    </row>
    <row r="45" spans="2:22" s="17" customFormat="1" x14ac:dyDescent="0.15">
      <c r="B45" s="43" t="s">
        <v>87</v>
      </c>
      <c r="C45" s="28"/>
      <c r="D45" s="29"/>
      <c r="E45" s="29"/>
      <c r="F45" s="29"/>
      <c r="G45" s="28"/>
      <c r="H45" s="29"/>
      <c r="I45" s="29"/>
      <c r="J45" s="29"/>
      <c r="K45" s="28"/>
      <c r="L45" s="29"/>
      <c r="M45" s="36"/>
      <c r="N45" s="36"/>
      <c r="O45" s="37"/>
      <c r="P45" s="36"/>
      <c r="Q45" s="30">
        <f>SUM(N21:Q21)</f>
        <v>-2536.8197560000003</v>
      </c>
      <c r="R45" s="30">
        <f>SUM(O21:R21)</f>
        <v>-2676.5514520000002</v>
      </c>
      <c r="S45" s="31">
        <f>SUM(P21:S21)</f>
        <v>-2521.1666699999996</v>
      </c>
      <c r="T45" s="30">
        <f>SUM(Q21:T21)</f>
        <v>-2179.8869850000001</v>
      </c>
      <c r="U45" s="30">
        <f>SUM(R21:U21)</f>
        <v>-1558.4578750000001</v>
      </c>
      <c r="V45" s="5"/>
    </row>
    <row r="46" spans="2:22" x14ac:dyDescent="0.15">
      <c r="B46" s="24" t="s">
        <v>53</v>
      </c>
      <c r="F46" s="29"/>
      <c r="G46" s="28"/>
      <c r="H46" s="29"/>
      <c r="I46" s="29"/>
      <c r="J46" s="29"/>
      <c r="K46" s="28"/>
      <c r="L46" s="29"/>
      <c r="M46" s="38"/>
      <c r="N46" s="36"/>
      <c r="O46" s="39"/>
      <c r="P46" s="38"/>
      <c r="Q46" s="38"/>
      <c r="R46" s="38">
        <f t="shared" ref="R46" si="21">R45/R43</f>
        <v>3.7911493654390935</v>
      </c>
      <c r="U46" s="38">
        <f t="shared" ref="U46" si="22">U45/U43</f>
        <v>1.1068592862215909</v>
      </c>
    </row>
    <row r="47" spans="2:22" x14ac:dyDescent="0.15">
      <c r="B47" s="24" t="s">
        <v>54</v>
      </c>
      <c r="F47" s="29"/>
      <c r="G47" s="28"/>
      <c r="H47" s="29"/>
      <c r="I47" s="29"/>
      <c r="J47" s="29"/>
      <c r="K47" s="28"/>
      <c r="L47" s="29"/>
      <c r="M47" s="38"/>
      <c r="N47" s="36"/>
      <c r="O47" s="39"/>
      <c r="P47" s="38"/>
      <c r="Q47" s="38"/>
      <c r="R47" s="38">
        <f t="shared" ref="R47" si="23">R45/R39</f>
        <v>-0.91039165034013614</v>
      </c>
      <c r="U47" s="38">
        <f t="shared" ref="U47" si="24">U45/U39</f>
        <v>-0.74353906250000001</v>
      </c>
    </row>
    <row r="48" spans="2:22" x14ac:dyDescent="0.15">
      <c r="B48" s="24" t="s">
        <v>55</v>
      </c>
      <c r="F48" s="29"/>
      <c r="G48" s="28"/>
      <c r="H48" s="29"/>
      <c r="I48" s="29"/>
      <c r="J48" s="29"/>
      <c r="K48" s="28"/>
      <c r="L48" s="29"/>
      <c r="M48" s="38"/>
      <c r="N48" s="36"/>
      <c r="O48" s="39"/>
      <c r="P48" s="38"/>
      <c r="Q48" s="38"/>
      <c r="R48" s="38">
        <f t="shared" ref="R48" si="25">R45/(R43-R38)</f>
        <v>3.3373459501246883</v>
      </c>
      <c r="U48" s="38">
        <f t="shared" ref="U48" si="26">U45/(U43-U38)</f>
        <v>1.0382797301798801</v>
      </c>
    </row>
    <row r="49" spans="2:22" x14ac:dyDescent="0.15">
      <c r="B49" s="24" t="s">
        <v>56</v>
      </c>
      <c r="F49" s="29"/>
      <c r="G49" s="28"/>
      <c r="H49" s="29"/>
      <c r="I49" s="29"/>
      <c r="J49" s="29"/>
      <c r="K49" s="28"/>
      <c r="L49" s="29"/>
      <c r="M49" s="38"/>
      <c r="N49" s="36"/>
      <c r="O49" s="39"/>
      <c r="P49" s="38"/>
      <c r="Q49" s="38"/>
      <c r="R49" s="38">
        <f t="shared" ref="R49" si="27">R45/R42</f>
        <v>-2.3213802705984392</v>
      </c>
      <c r="U49" s="38">
        <f t="shared" ref="U49" si="28">U45/U42</f>
        <v>-1.1084337660028449</v>
      </c>
    </row>
    <row r="50" spans="2:22" x14ac:dyDescent="0.15">
      <c r="B50" s="24"/>
      <c r="F50" s="29"/>
      <c r="G50" s="28"/>
      <c r="H50" s="29"/>
      <c r="I50" s="29"/>
      <c r="J50" s="29"/>
      <c r="K50" s="28"/>
      <c r="L50" s="29"/>
      <c r="M50" s="38"/>
      <c r="N50" s="36"/>
      <c r="O50" s="39"/>
      <c r="P50" s="38"/>
      <c r="Q50" s="38"/>
      <c r="R50" s="38"/>
      <c r="U50" s="38"/>
    </row>
    <row r="51" spans="2:22" s="17" customFormat="1" x14ac:dyDescent="0.15">
      <c r="B51" s="17" t="s">
        <v>92</v>
      </c>
      <c r="C51" s="47"/>
      <c r="D51" s="54"/>
      <c r="E51" s="54"/>
      <c r="F51" s="29"/>
      <c r="G51" s="28"/>
      <c r="H51" s="29"/>
      <c r="I51" s="29"/>
      <c r="J51" s="29"/>
      <c r="K51" s="28"/>
      <c r="L51" s="29"/>
      <c r="M51" s="54"/>
      <c r="N51" s="78"/>
      <c r="O51" s="47"/>
      <c r="P51" s="54"/>
      <c r="Q51" s="30">
        <f>Q45/Main!$D$10</f>
        <v>-391.48453024691361</v>
      </c>
      <c r="R51" s="30">
        <f>R45/Main!$D$10</f>
        <v>-413.04806358024689</v>
      </c>
      <c r="S51" s="31">
        <f>S45/Main!$D$10</f>
        <v>-389.06893055555548</v>
      </c>
      <c r="T51" s="30">
        <f>T45/Main!$D$10</f>
        <v>-336.40231249999999</v>
      </c>
      <c r="U51" s="30">
        <f>U45/Main!$D$10</f>
        <v>-240.50275848765432</v>
      </c>
      <c r="V51" s="5"/>
    </row>
    <row r="52" spans="2:22" s="11" customFormat="1" x14ac:dyDescent="0.15">
      <c r="B52" s="11" t="s">
        <v>90</v>
      </c>
      <c r="C52" s="71"/>
      <c r="D52" s="72"/>
      <c r="E52" s="72"/>
      <c r="F52" s="29"/>
      <c r="G52" s="28"/>
      <c r="H52" s="29"/>
      <c r="I52" s="29"/>
      <c r="J52" s="29"/>
      <c r="K52" s="28"/>
      <c r="L52" s="29"/>
      <c r="M52" s="72"/>
      <c r="N52" s="72"/>
      <c r="O52" s="75"/>
      <c r="P52" s="76"/>
      <c r="Q52" s="16">
        <f>SUM(N10:Q10)/Main!$D$10</f>
        <v>808.44121358024688</v>
      </c>
      <c r="R52" s="16">
        <f>SUM(O10:R10)/Main!$D$10</f>
        <v>859.58034012345672</v>
      </c>
      <c r="S52" s="73">
        <f>SUM(P10:S10)/Main!$D$10</f>
        <v>904.7881817901233</v>
      </c>
      <c r="T52" s="16">
        <f>SUM(Q10:T10)/Main!$D$10</f>
        <v>913.28331959876539</v>
      </c>
      <c r="U52" s="16">
        <f>SUM(R10:U10)/Main!$D$10</f>
        <v>870.55224830246902</v>
      </c>
      <c r="V52" s="5"/>
    </row>
    <row r="53" spans="2:22" s="74" customFormat="1" x14ac:dyDescent="0.15">
      <c r="B53" s="74" t="s">
        <v>91</v>
      </c>
      <c r="C53" s="75"/>
      <c r="D53" s="76"/>
      <c r="E53" s="76"/>
      <c r="F53" s="29"/>
      <c r="G53" s="28"/>
      <c r="H53" s="29"/>
      <c r="I53" s="29"/>
      <c r="J53" s="29"/>
      <c r="K53" s="28"/>
      <c r="L53" s="29"/>
      <c r="M53" s="76"/>
      <c r="N53" s="76"/>
      <c r="O53" s="75"/>
      <c r="P53" s="76"/>
      <c r="Q53" s="76"/>
      <c r="R53" s="76"/>
      <c r="S53" s="77"/>
      <c r="U53" s="74">
        <f>U52/Q52-1</f>
        <v>7.6828139979601584E-2</v>
      </c>
      <c r="V53" s="5"/>
    </row>
    <row r="54" spans="2:22" x14ac:dyDescent="0.15">
      <c r="F54" s="29"/>
      <c r="G54" s="28"/>
      <c r="H54" s="29"/>
      <c r="I54" s="29"/>
      <c r="J54" s="29"/>
      <c r="K54" s="28"/>
      <c r="L54" s="29"/>
    </row>
    <row r="55" spans="2:22" x14ac:dyDescent="0.15">
      <c r="B55" s="5" t="s">
        <v>82</v>
      </c>
      <c r="F55" s="29"/>
      <c r="G55" s="28"/>
      <c r="H55" s="29"/>
      <c r="I55" s="29"/>
      <c r="J55" s="29"/>
      <c r="K55" s="28"/>
      <c r="L55" s="29"/>
      <c r="M55" s="38"/>
      <c r="N55" s="38"/>
      <c r="O55" s="39"/>
      <c r="P55" s="38"/>
      <c r="Q55" s="38">
        <f>Q4/M4-1</f>
        <v>0.54118660471217761</v>
      </c>
      <c r="R55" s="38">
        <f>R4/N4-1</f>
        <v>0.27293225542355937</v>
      </c>
      <c r="S55" s="39">
        <f>S4/O4-1</f>
        <v>0.25462398173882494</v>
      </c>
      <c r="T55" s="38">
        <f>T4/P4-1</f>
        <v>1.4821960474599161E-2</v>
      </c>
      <c r="U55" s="38">
        <f>U4/Q4-1</f>
        <v>-0.23078173995019069</v>
      </c>
      <c r="V55" s="38"/>
    </row>
    <row r="56" spans="2:22" x14ac:dyDescent="0.15">
      <c r="B56" s="5" t="s">
        <v>83</v>
      </c>
      <c r="F56" s="29"/>
      <c r="G56" s="28"/>
      <c r="H56" s="29"/>
      <c r="I56" s="29"/>
      <c r="J56" s="29"/>
      <c r="K56" s="28"/>
      <c r="L56" s="29"/>
      <c r="M56" s="38"/>
      <c r="N56" s="38"/>
      <c r="O56" s="39"/>
      <c r="P56" s="38"/>
      <c r="Q56" s="38">
        <f>Q5/M5-1</f>
        <v>-0.68721016964396719</v>
      </c>
      <c r="R56" s="38">
        <f>R5/N5-1</f>
        <v>-0.11656417238616568</v>
      </c>
      <c r="S56" s="39">
        <f>S5/O5-1</f>
        <v>0.50913596805721717</v>
      </c>
      <c r="T56" s="38">
        <f>T5/P5-1</f>
        <v>1.2496265191563904</v>
      </c>
      <c r="U56" s="38">
        <f>U5/Q5-1</f>
        <v>1.6589540175800019</v>
      </c>
      <c r="V56" s="38"/>
    </row>
    <row r="57" spans="2:22" x14ac:dyDescent="0.15">
      <c r="F57" s="29"/>
      <c r="G57" s="28"/>
      <c r="H57" s="29"/>
      <c r="I57" s="29"/>
      <c r="J57" s="29"/>
      <c r="K57" s="28"/>
      <c r="L57" s="29"/>
      <c r="S57" s="27"/>
      <c r="T57" s="26"/>
      <c r="U57" s="26"/>
      <c r="V57" s="26"/>
    </row>
    <row r="58" spans="2:22" x14ac:dyDescent="0.15">
      <c r="B58" s="5" t="s">
        <v>84</v>
      </c>
      <c r="C58" s="39"/>
      <c r="D58" s="38"/>
      <c r="E58" s="38"/>
      <c r="F58" s="29"/>
      <c r="G58" s="28"/>
      <c r="H58" s="29"/>
      <c r="I58" s="29"/>
      <c r="J58" s="29"/>
      <c r="K58" s="28"/>
      <c r="L58" s="29"/>
      <c r="M58" s="38"/>
      <c r="N58" s="38">
        <f>N7/J7-1</f>
        <v>2.2526315789473683</v>
      </c>
      <c r="O58" s="39">
        <f>O7/K7-1</f>
        <v>1.9069767441860463</v>
      </c>
      <c r="P58" s="38">
        <f>P7/L7-1</f>
        <v>2.0714285714285716</v>
      </c>
      <c r="Q58" s="38">
        <f>Q7/M7-1</f>
        <v>0.97652582159624424</v>
      </c>
      <c r="R58" s="38">
        <f>R7/N7-1</f>
        <v>0.47896440129449847</v>
      </c>
      <c r="S58" s="39">
        <f>S7/O7-1</f>
        <v>0.21599999999999997</v>
      </c>
      <c r="T58" s="38">
        <f>T7/P7-1</f>
        <v>0.11111111111111094</v>
      </c>
      <c r="U58" s="38">
        <f>U7/Q7-1</f>
        <v>-5.700712589073631E-2</v>
      </c>
      <c r="V58" s="38">
        <f>V7/R7-1</f>
        <v>4.3856560465602268E-2</v>
      </c>
    </row>
    <row r="59" spans="2:22" x14ac:dyDescent="0.15">
      <c r="B59" s="5" t="s">
        <v>58</v>
      </c>
      <c r="C59" s="39"/>
      <c r="D59" s="38"/>
      <c r="E59" s="38"/>
      <c r="F59" s="29"/>
      <c r="G59" s="28"/>
      <c r="H59" s="29"/>
      <c r="I59" s="29"/>
      <c r="J59" s="29"/>
      <c r="K59" s="28"/>
      <c r="L59" s="29"/>
      <c r="M59" s="38"/>
      <c r="N59" s="38"/>
      <c r="O59" s="39"/>
      <c r="P59" s="38"/>
      <c r="Q59" s="38">
        <f>Q8/M8-1</f>
        <v>-0.2716707566722687</v>
      </c>
      <c r="R59" s="38">
        <f>R8/N8-1</f>
        <v>-0.15500088391611244</v>
      </c>
      <c r="S59" s="39">
        <f>S8/O8-1</f>
        <v>3.7687937103530134E-2</v>
      </c>
      <c r="T59" s="38">
        <f>T8/P8-1</f>
        <v>-6.4252853495688877E-2</v>
      </c>
      <c r="U59" s="38">
        <f>U8/Q8-1</f>
        <v>-0.14825710639835743</v>
      </c>
      <c r="V59" s="38">
        <f>V8/R8-1</f>
        <v>-0.29405882091123714</v>
      </c>
    </row>
    <row r="60" spans="2:22" x14ac:dyDescent="0.15">
      <c r="F60" s="29"/>
      <c r="G60" s="28"/>
      <c r="H60" s="29"/>
      <c r="I60" s="29"/>
      <c r="J60" s="29"/>
      <c r="K60" s="28"/>
      <c r="L60" s="29"/>
      <c r="N60" s="49"/>
      <c r="R60" s="49"/>
    </row>
    <row r="61" spans="2:22" s="7" customFormat="1" x14ac:dyDescent="0.15">
      <c r="B61" s="7" t="s">
        <v>59</v>
      </c>
      <c r="C61" s="28"/>
      <c r="D61" s="29"/>
      <c r="E61" s="29"/>
      <c r="F61" s="29"/>
      <c r="G61" s="28"/>
      <c r="H61" s="29"/>
      <c r="I61" s="29"/>
      <c r="J61" s="29">
        <v>24.3</v>
      </c>
      <c r="K61" s="28">
        <v>28</v>
      </c>
      <c r="L61" s="29">
        <v>34.1</v>
      </c>
      <c r="M61" s="29">
        <v>65.2</v>
      </c>
      <c r="N61" s="29">
        <v>93.8</v>
      </c>
      <c r="O61" s="28">
        <v>111.4</v>
      </c>
      <c r="P61" s="29">
        <v>119.3</v>
      </c>
      <c r="Q61" s="29">
        <v>133.9</v>
      </c>
      <c r="R61" s="29">
        <v>137.9</v>
      </c>
      <c r="S61" s="56">
        <v>138.30000000000001</v>
      </c>
      <c r="T61" s="7">
        <v>136.5</v>
      </c>
      <c r="U61" s="7">
        <v>120.5</v>
      </c>
      <c r="V61" s="7">
        <f>R61*1.05</f>
        <v>144.79500000000002</v>
      </c>
    </row>
    <row r="62" spans="2:22" s="22" customFormat="1" x14ac:dyDescent="0.15">
      <c r="B62" s="22" t="s">
        <v>60</v>
      </c>
      <c r="C62" s="39"/>
      <c r="D62" s="38"/>
      <c r="E62" s="38"/>
      <c r="F62" s="29"/>
      <c r="G62" s="28"/>
      <c r="H62" s="29"/>
      <c r="I62" s="29"/>
      <c r="J62" s="38"/>
      <c r="K62" s="39"/>
      <c r="L62" s="38"/>
      <c r="M62" s="38"/>
      <c r="N62" s="38">
        <f t="shared" ref="N62:V62" si="29">N61/J61-1</f>
        <v>2.8600823045267489</v>
      </c>
      <c r="O62" s="39">
        <f t="shared" si="29"/>
        <v>2.9785714285714286</v>
      </c>
      <c r="P62" s="38">
        <f t="shared" si="29"/>
        <v>2.4985337243401755</v>
      </c>
      <c r="Q62" s="38">
        <f t="shared" si="29"/>
        <v>1.0536809815950918</v>
      </c>
      <c r="R62" s="38">
        <f t="shared" si="29"/>
        <v>0.47014925373134342</v>
      </c>
      <c r="S62" s="39">
        <f t="shared" si="29"/>
        <v>0.24147217235188512</v>
      </c>
      <c r="T62" s="38">
        <f t="shared" si="29"/>
        <v>0.14417435037720039</v>
      </c>
      <c r="U62" s="38">
        <f t="shared" si="29"/>
        <v>-0.10007468259895447</v>
      </c>
      <c r="V62" s="38">
        <f t="shared" si="29"/>
        <v>5.0000000000000044E-2</v>
      </c>
    </row>
    <row r="63" spans="2:22" x14ac:dyDescent="0.15">
      <c r="F63" s="29"/>
      <c r="G63" s="28"/>
      <c r="H63" s="29"/>
      <c r="I63" s="29"/>
      <c r="N63" s="49"/>
      <c r="R63" s="49"/>
    </row>
    <row r="64" spans="2:22" x14ac:dyDescent="0.15">
      <c r="B64" s="5" t="s">
        <v>85</v>
      </c>
      <c r="F64" s="29"/>
      <c r="G64" s="28"/>
      <c r="H64" s="29"/>
      <c r="I64" s="29"/>
      <c r="J64" s="38">
        <f>J7/J61</f>
        <v>0.39094650205761317</v>
      </c>
      <c r="K64" s="39">
        <f>K7/K61</f>
        <v>0.46071428571428574</v>
      </c>
      <c r="L64" s="38">
        <f>L7/L61</f>
        <v>0.36950146627565977</v>
      </c>
      <c r="M64" s="38">
        <f>M7/M61</f>
        <v>0.32668711656441718</v>
      </c>
      <c r="N64" s="38">
        <f>N7/N61</f>
        <v>0.32942430703624731</v>
      </c>
      <c r="O64" s="39">
        <f>O7/O61</f>
        <v>0.33662477558348292</v>
      </c>
      <c r="P64" s="38">
        <f>P7/P61</f>
        <v>0.32439228834870076</v>
      </c>
      <c r="Q64" s="38">
        <f>Q7/Q61</f>
        <v>0.31441374159820762</v>
      </c>
      <c r="R64" s="38">
        <f>R7/R61</f>
        <v>0.33139956490210298</v>
      </c>
      <c r="S64" s="39">
        <f>S7/S61</f>
        <v>0.32971800433839477</v>
      </c>
      <c r="T64" s="38">
        <f>T7/T61</f>
        <v>0.31501831501831501</v>
      </c>
      <c r="U64" s="38">
        <f>U7/U61</f>
        <v>0.32946058091286312</v>
      </c>
      <c r="V64" s="38">
        <f>V7/V61</f>
        <v>0.32946058091286312</v>
      </c>
    </row>
    <row r="65" spans="6:9" x14ac:dyDescent="0.15">
      <c r="F65" s="29"/>
      <c r="G65" s="28"/>
      <c r="H65" s="29"/>
      <c r="I65" s="29"/>
    </row>
    <row r="66" spans="6:9" x14ac:dyDescent="0.15">
      <c r="F66" s="29"/>
      <c r="G66" s="28"/>
      <c r="I66" s="29"/>
    </row>
    <row r="67" spans="6:9" x14ac:dyDescent="0.15">
      <c r="I67" s="29"/>
    </row>
    <row r="68" spans="6:9" x14ac:dyDescent="0.15">
      <c r="I68" s="29"/>
    </row>
    <row r="69" spans="6:9" x14ac:dyDescent="0.15">
      <c r="I69" s="29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6"/>
  <sheetViews>
    <sheetView zoomScale="120" zoomScaleNormal="120" workbookViewId="0">
      <selection activeCell="C15" sqref="C15"/>
    </sheetView>
  </sheetViews>
  <sheetFormatPr baseColWidth="10" defaultRowHeight="13" x14ac:dyDescent="0.15"/>
  <cols>
    <col min="1" max="1" width="10.83203125" style="2"/>
    <col min="2" max="2" width="12.6640625" style="2" customWidth="1"/>
    <col min="3" max="3" width="23.5" style="2" bestFit="1" customWidth="1"/>
    <col min="4" max="16384" width="10.83203125" style="2"/>
  </cols>
  <sheetData>
    <row r="4" spans="2:3" x14ac:dyDescent="0.15">
      <c r="B4" s="70" t="s">
        <v>77</v>
      </c>
    </row>
    <row r="6" spans="2:3" x14ac:dyDescent="0.15">
      <c r="B6" s="2" t="s">
        <v>78</v>
      </c>
      <c r="C6" s="2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 RMB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2021-02-28T22:43:08Z</dcterms:modified>
</cp:coreProperties>
</file>