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A745B85-B71B-F242-B6B0-9952546022C4}" xr6:coauthVersionLast="46" xr6:coauthVersionMax="46" xr10:uidLastSave="{00000000-0000-0000-0000-000000000000}"/>
  <bookViews>
    <workbookView xWindow="-56900" yWindow="-5940" windowWidth="284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F46" i="2"/>
  <c r="F45" i="2"/>
  <c r="F44" i="2"/>
  <c r="F42" i="2"/>
  <c r="F41" i="2"/>
  <c r="L36" i="1"/>
  <c r="L31" i="1"/>
  <c r="E36" i="1"/>
  <c r="E41" i="1"/>
  <c r="E38" i="1"/>
  <c r="E39" i="1"/>
  <c r="E30" i="1"/>
  <c r="I36" i="1"/>
  <c r="M47" i="1"/>
  <c r="C3" i="2"/>
  <c r="G25" i="2"/>
  <c r="G23" i="2"/>
  <c r="G20" i="2"/>
  <c r="G19" i="2"/>
  <c r="G18" i="2"/>
  <c r="G16" i="2"/>
  <c r="M3" i="1"/>
  <c r="G10" i="2"/>
  <c r="G56" i="2" s="1"/>
  <c r="M10" i="1"/>
  <c r="M9" i="1"/>
  <c r="M27" i="1"/>
  <c r="M26" i="1"/>
  <c r="M8" i="1"/>
  <c r="M25" i="1" s="1"/>
  <c r="M5" i="1"/>
  <c r="F64" i="2"/>
  <c r="D64" i="2"/>
  <c r="C64" i="2"/>
  <c r="B64" i="2"/>
  <c r="E25" i="2"/>
  <c r="E20" i="2"/>
  <c r="E19" i="2"/>
  <c r="E18" i="2"/>
  <c r="E10" i="2"/>
  <c r="B13" i="1"/>
  <c r="E23" i="2" s="1"/>
  <c r="B6" i="1"/>
  <c r="C13" i="1"/>
  <c r="C6" i="1"/>
  <c r="D13" i="1"/>
  <c r="D6" i="1"/>
  <c r="E13" i="1"/>
  <c r="E6" i="1"/>
  <c r="F13" i="1"/>
  <c r="F6" i="1"/>
  <c r="G13" i="1"/>
  <c r="G6" i="1"/>
  <c r="H13" i="1"/>
  <c r="H6" i="1"/>
  <c r="I13" i="1"/>
  <c r="I6" i="1"/>
  <c r="F47" i="1"/>
  <c r="G47" i="1"/>
  <c r="H47" i="1"/>
  <c r="I47" i="1"/>
  <c r="J47" i="1"/>
  <c r="K47" i="1"/>
  <c r="L47" i="1"/>
  <c r="C4" i="2"/>
  <c r="J13" i="1"/>
  <c r="J6" i="1"/>
  <c r="K13" i="1"/>
  <c r="K10" i="1"/>
  <c r="K6" i="1"/>
  <c r="L13" i="1"/>
  <c r="M13" i="1" s="1"/>
  <c r="L10" i="1"/>
  <c r="L6" i="1"/>
  <c r="G15" i="2" l="1"/>
  <c r="H10" i="2"/>
  <c r="I10" i="2" s="1"/>
  <c r="J10" i="2" s="1"/>
  <c r="K10" i="2" s="1"/>
  <c r="E45" i="1"/>
  <c r="E43" i="1"/>
  <c r="E44" i="1"/>
  <c r="E42" i="1"/>
  <c r="E16" i="2"/>
  <c r="M11" i="1"/>
  <c r="H20" i="2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H18" i="2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C59" i="2"/>
  <c r="D59" i="2"/>
  <c r="F13" i="2"/>
  <c r="E13" i="2"/>
  <c r="E59" i="2" s="1"/>
  <c r="D13" i="2"/>
  <c r="C13" i="2"/>
  <c r="B13" i="2"/>
  <c r="C62" i="2"/>
  <c r="D62" i="2"/>
  <c r="C58" i="2"/>
  <c r="D58" i="2"/>
  <c r="C56" i="2"/>
  <c r="D56" i="2"/>
  <c r="C23" i="2"/>
  <c r="C16" i="2"/>
  <c r="B23" i="2"/>
  <c r="B16" i="2"/>
  <c r="Q35" i="2" l="1"/>
  <c r="H56" i="2"/>
  <c r="H15" i="2"/>
  <c r="F59" i="2"/>
  <c r="C21" i="2"/>
  <c r="C15" i="2"/>
  <c r="C17" i="2" s="1"/>
  <c r="B21" i="2"/>
  <c r="B15" i="2"/>
  <c r="B17" i="2" s="1"/>
  <c r="I15" i="2" l="1"/>
  <c r="I56" i="2"/>
  <c r="C30" i="2"/>
  <c r="C22" i="2"/>
  <c r="B22" i="2"/>
  <c r="B30" i="2"/>
  <c r="F23" i="2"/>
  <c r="F16" i="2"/>
  <c r="D23" i="2"/>
  <c r="D16" i="2"/>
  <c r="F15" i="2"/>
  <c r="E62" i="2"/>
  <c r="F62" i="2"/>
  <c r="E58" i="2"/>
  <c r="F58" i="2"/>
  <c r="J15" i="2" l="1"/>
  <c r="J56" i="2"/>
  <c r="C24" i="2"/>
  <c r="C31" i="2"/>
  <c r="B24" i="2"/>
  <c r="B31" i="2"/>
  <c r="L39" i="1"/>
  <c r="L30" i="1"/>
  <c r="L26" i="1"/>
  <c r="L25" i="1"/>
  <c r="L11" i="1"/>
  <c r="L5" i="1"/>
  <c r="L7" i="1" s="1"/>
  <c r="K56" i="2" l="1"/>
  <c r="K15" i="2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C26" i="2"/>
  <c r="C32" i="2"/>
  <c r="B26" i="2"/>
  <c r="B32" i="2"/>
  <c r="L12" i="1"/>
  <c r="L20" i="1"/>
  <c r="L38" i="1"/>
  <c r="K26" i="1"/>
  <c r="K25" i="1"/>
  <c r="K5" i="1"/>
  <c r="K7" i="1" s="1"/>
  <c r="K20" i="1" s="1"/>
  <c r="C27" i="2" l="1"/>
  <c r="B27" i="2"/>
  <c r="K11" i="1"/>
  <c r="L14" i="1"/>
  <c r="L21" i="1"/>
  <c r="F49" i="2"/>
  <c r="I39" i="1"/>
  <c r="I26" i="1"/>
  <c r="I25" i="1"/>
  <c r="I11" i="1"/>
  <c r="M28" i="1" s="1"/>
  <c r="I5" i="1"/>
  <c r="M24" i="1" s="1"/>
  <c r="I30" i="1" l="1"/>
  <c r="L16" i="1"/>
  <c r="L17" i="1" s="1"/>
  <c r="L22" i="1"/>
  <c r="I38" i="1"/>
  <c r="F40" i="2"/>
  <c r="K12" i="1"/>
  <c r="I7" i="1"/>
  <c r="I20" i="1" s="1"/>
  <c r="M7" i="1" s="1"/>
  <c r="G35" i="2"/>
  <c r="M6" i="1" l="1"/>
  <c r="M20" i="1"/>
  <c r="M12" i="1"/>
  <c r="K21" i="1"/>
  <c r="K14" i="1"/>
  <c r="I12" i="1"/>
  <c r="F48" i="2"/>
  <c r="F17" i="2"/>
  <c r="M21" i="1" l="1"/>
  <c r="M14" i="1"/>
  <c r="I21" i="1"/>
  <c r="I14" i="1"/>
  <c r="K22" i="1"/>
  <c r="K16" i="1"/>
  <c r="K17" i="1" s="1"/>
  <c r="I16" i="1" l="1"/>
  <c r="I22" i="1"/>
  <c r="M15" i="1" s="1"/>
  <c r="M22" i="1" s="1"/>
  <c r="M16" i="1" l="1"/>
  <c r="M17" i="1" s="1"/>
  <c r="I17" i="1"/>
  <c r="L27" i="1"/>
  <c r="H5" i="1"/>
  <c r="L24" i="1" s="1"/>
  <c r="J26" i="1"/>
  <c r="J25" i="1"/>
  <c r="J11" i="1"/>
  <c r="J5" i="1"/>
  <c r="H7" i="1" l="1"/>
  <c r="H11" i="1"/>
  <c r="J7" i="1"/>
  <c r="H25" i="1"/>
  <c r="H26" i="1"/>
  <c r="K27" i="1"/>
  <c r="G26" i="1"/>
  <c r="G25" i="1"/>
  <c r="G5" i="1"/>
  <c r="F56" i="2"/>
  <c r="C11" i="1"/>
  <c r="D11" i="1"/>
  <c r="I27" i="1"/>
  <c r="E41" i="2"/>
  <c r="E5" i="1"/>
  <c r="D5" i="1"/>
  <c r="D7" i="1" s="1"/>
  <c r="D20" i="1" s="1"/>
  <c r="C5" i="1"/>
  <c r="C7" i="1" s="1"/>
  <c r="B11" i="1"/>
  <c r="F26" i="1"/>
  <c r="F25" i="1"/>
  <c r="B5" i="1"/>
  <c r="B7" i="1" s="1"/>
  <c r="B20" i="1" s="1"/>
  <c r="F5" i="1"/>
  <c r="F7" i="1" s="1"/>
  <c r="J27" i="1"/>
  <c r="E45" i="2"/>
  <c r="E44" i="2"/>
  <c r="E42" i="2"/>
  <c r="E46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F24" i="1" l="1"/>
  <c r="G7" i="1"/>
  <c r="G20" i="1" s="1"/>
  <c r="K24" i="1"/>
  <c r="E7" i="1"/>
  <c r="E20" i="1" s="1"/>
  <c r="I24" i="1"/>
  <c r="D15" i="2"/>
  <c r="D17" i="2" s="1"/>
  <c r="D30" i="2" s="1"/>
  <c r="D21" i="2"/>
  <c r="F11" i="1"/>
  <c r="J28" i="1" s="1"/>
  <c r="E11" i="1"/>
  <c r="J24" i="1"/>
  <c r="H12" i="1"/>
  <c r="H14" i="1" s="1"/>
  <c r="H16" i="1" s="1"/>
  <c r="L28" i="1"/>
  <c r="E35" i="2"/>
  <c r="E40" i="2"/>
  <c r="E36" i="2"/>
  <c r="J12" i="1"/>
  <c r="J20" i="1"/>
  <c r="C12" i="1"/>
  <c r="C14" i="1" s="1"/>
  <c r="C20" i="1"/>
  <c r="E56" i="2"/>
  <c r="E49" i="2"/>
  <c r="E48" i="2"/>
  <c r="H27" i="1"/>
  <c r="D12" i="1"/>
  <c r="E15" i="2"/>
  <c r="E64" i="2" s="1"/>
  <c r="B12" i="1"/>
  <c r="G24" i="1"/>
  <c r="G11" i="1"/>
  <c r="F27" i="1"/>
  <c r="C6" i="2"/>
  <c r="C7" i="2" s="1"/>
  <c r="F20" i="1"/>
  <c r="G27" i="1"/>
  <c r="H28" i="1"/>
  <c r="E37" i="2" l="1"/>
  <c r="E12" i="1"/>
  <c r="E14" i="1" s="1"/>
  <c r="C21" i="1"/>
  <c r="F21" i="2"/>
  <c r="F22" i="2" s="1"/>
  <c r="F24" i="2" s="1"/>
  <c r="H17" i="1"/>
  <c r="F12" i="1"/>
  <c r="F14" i="1" s="1"/>
  <c r="F22" i="1" s="1"/>
  <c r="I28" i="1"/>
  <c r="F28" i="1"/>
  <c r="G28" i="1"/>
  <c r="K28" i="1"/>
  <c r="J21" i="1"/>
  <c r="J14" i="1"/>
  <c r="C16" i="1"/>
  <c r="C22" i="1"/>
  <c r="H24" i="1"/>
  <c r="D22" i="2"/>
  <c r="B21" i="1"/>
  <c r="B14" i="1"/>
  <c r="F36" i="2"/>
  <c r="E21" i="1"/>
  <c r="D14" i="1"/>
  <c r="D21" i="1"/>
  <c r="E34" i="2"/>
  <c r="E17" i="2"/>
  <c r="G12" i="1"/>
  <c r="E21" i="2"/>
  <c r="E38" i="2" s="1"/>
  <c r="F16" i="1" l="1"/>
  <c r="F17" i="1" s="1"/>
  <c r="F21" i="1"/>
  <c r="J16" i="1"/>
  <c r="J22" i="1"/>
  <c r="F35" i="2"/>
  <c r="G14" i="1"/>
  <c r="G21" i="1"/>
  <c r="G36" i="2"/>
  <c r="D31" i="2"/>
  <c r="D24" i="2"/>
  <c r="D16" i="1"/>
  <c r="D17" i="1" s="1"/>
  <c r="D22" i="1"/>
  <c r="H20" i="1"/>
  <c r="F37" i="2"/>
  <c r="E22" i="2"/>
  <c r="E30" i="2"/>
  <c r="B22" i="1"/>
  <c r="B16" i="1"/>
  <c r="E22" i="1"/>
  <c r="E16" i="1"/>
  <c r="C17" i="1"/>
  <c r="F38" i="2"/>
  <c r="E17" i="1" l="1"/>
  <c r="L41" i="1"/>
  <c r="J17" i="1"/>
  <c r="H21" i="1"/>
  <c r="G37" i="2"/>
  <c r="H21" i="2"/>
  <c r="G22" i="1"/>
  <c r="G16" i="1"/>
  <c r="D26" i="2"/>
  <c r="D32" i="2"/>
  <c r="H36" i="2"/>
  <c r="F34" i="2"/>
  <c r="B17" i="1"/>
  <c r="E31" i="2"/>
  <c r="E24" i="2"/>
  <c r="E32" i="2" s="1"/>
  <c r="G21" i="2"/>
  <c r="G38" i="2" s="1"/>
  <c r="G17" i="1" l="1"/>
  <c r="I41" i="1"/>
  <c r="L45" i="1"/>
  <c r="L43" i="1"/>
  <c r="L44" i="1"/>
  <c r="L42" i="1"/>
  <c r="H38" i="2"/>
  <c r="H35" i="2"/>
  <c r="F30" i="2"/>
  <c r="G17" i="2" s="1"/>
  <c r="D27" i="2"/>
  <c r="H37" i="2"/>
  <c r="I36" i="2"/>
  <c r="G34" i="2"/>
  <c r="E26" i="2"/>
  <c r="I45" i="1" l="1"/>
  <c r="I43" i="1"/>
  <c r="I44" i="1"/>
  <c r="I42" i="1"/>
  <c r="I21" i="2"/>
  <c r="I38" i="2" s="1"/>
  <c r="E54" i="2"/>
  <c r="E53" i="2"/>
  <c r="E51" i="2"/>
  <c r="I35" i="2"/>
  <c r="H34" i="2"/>
  <c r="H22" i="1"/>
  <c r="E27" i="2"/>
  <c r="E52" i="2"/>
  <c r="J36" i="2"/>
  <c r="F31" i="2"/>
  <c r="I37" i="2"/>
  <c r="G22" i="2" l="1"/>
  <c r="G31" i="2" s="1"/>
  <c r="G30" i="2"/>
  <c r="H17" i="2" s="1"/>
  <c r="H22" i="2" s="1"/>
  <c r="J21" i="2"/>
  <c r="J38" i="2" s="1"/>
  <c r="J35" i="2"/>
  <c r="F32" i="2"/>
  <c r="I34" i="2"/>
  <c r="K36" i="2"/>
  <c r="J37" i="2"/>
  <c r="H16" i="2" l="1"/>
  <c r="H30" i="2"/>
  <c r="I17" i="2" s="1"/>
  <c r="I16" i="2" s="1"/>
  <c r="R35" i="2"/>
  <c r="F26" i="2"/>
  <c r="K35" i="2"/>
  <c r="J34" i="2"/>
  <c r="K37" i="2"/>
  <c r="K21" i="2"/>
  <c r="K38" i="2" s="1"/>
  <c r="L36" i="2"/>
  <c r="H31" i="2"/>
  <c r="I30" i="2" l="1"/>
  <c r="J17" i="2" s="1"/>
  <c r="J30" i="2" s="1"/>
  <c r="K17" i="2" s="1"/>
  <c r="K16" i="2" s="1"/>
  <c r="I22" i="2"/>
  <c r="I31" i="2" s="1"/>
  <c r="S35" i="2"/>
  <c r="F27" i="2"/>
  <c r="F51" i="2"/>
  <c r="F53" i="2"/>
  <c r="F52" i="2"/>
  <c r="F54" i="2"/>
  <c r="G24" i="2"/>
  <c r="L35" i="2"/>
  <c r="M21" i="2"/>
  <c r="L37" i="2"/>
  <c r="K34" i="2"/>
  <c r="L21" i="2"/>
  <c r="L38" i="2" s="1"/>
  <c r="M36" i="2"/>
  <c r="J22" i="2" l="1"/>
  <c r="J31" i="2" s="1"/>
  <c r="J16" i="2"/>
  <c r="T35" i="2"/>
  <c r="M35" i="2"/>
  <c r="G32" i="2"/>
  <c r="K22" i="2"/>
  <c r="K30" i="2"/>
  <c r="L17" i="2" s="1"/>
  <c r="L34" i="2"/>
  <c r="M38" i="2"/>
  <c r="N36" i="2"/>
  <c r="M37" i="2"/>
  <c r="U35" i="2" l="1"/>
  <c r="G26" i="2"/>
  <c r="N35" i="2"/>
  <c r="M34" i="2"/>
  <c r="O36" i="2"/>
  <c r="L22" i="2"/>
  <c r="L30" i="2"/>
  <c r="M17" i="2" s="1"/>
  <c r="K31" i="2"/>
  <c r="L16" i="2"/>
  <c r="N37" i="2"/>
  <c r="N21" i="2"/>
  <c r="N38" i="2" s="1"/>
  <c r="Q36" i="2" l="1"/>
  <c r="G27" i="2"/>
  <c r="G40" i="2"/>
  <c r="O35" i="2"/>
  <c r="M22" i="2"/>
  <c r="M30" i="2"/>
  <c r="N17" i="2" s="1"/>
  <c r="M16" i="2"/>
  <c r="O37" i="2"/>
  <c r="L31" i="2"/>
  <c r="O21" i="2"/>
  <c r="O38" i="2" s="1"/>
  <c r="P36" i="2"/>
  <c r="P21" i="2"/>
  <c r="N34" i="2"/>
  <c r="Q37" i="2" l="1"/>
  <c r="Q21" i="2"/>
  <c r="Q38" i="2" s="1"/>
  <c r="R36" i="2"/>
  <c r="R21" i="2"/>
  <c r="P35" i="2"/>
  <c r="N30" i="2"/>
  <c r="O17" i="2" s="1"/>
  <c r="O16" i="2" s="1"/>
  <c r="N22" i="2"/>
  <c r="N16" i="2"/>
  <c r="O34" i="2"/>
  <c r="P38" i="2"/>
  <c r="H23" i="2"/>
  <c r="H24" i="2" s="1"/>
  <c r="P37" i="2"/>
  <c r="M31" i="2"/>
  <c r="R38" i="2" l="1"/>
  <c r="S36" i="2"/>
  <c r="R37" i="2"/>
  <c r="Q34" i="2"/>
  <c r="H25" i="2"/>
  <c r="H32" i="2" s="1"/>
  <c r="N31" i="2"/>
  <c r="P34" i="2"/>
  <c r="O22" i="2"/>
  <c r="O30" i="2"/>
  <c r="P17" i="2" s="1"/>
  <c r="S21" i="2" l="1"/>
  <c r="S38" i="2" s="1"/>
  <c r="T21" i="2"/>
  <c r="S37" i="2"/>
  <c r="T36" i="2"/>
  <c r="R34" i="2"/>
  <c r="H26" i="2"/>
  <c r="P22" i="2"/>
  <c r="P30" i="2"/>
  <c r="Q17" i="2" s="1"/>
  <c r="P16" i="2"/>
  <c r="O31" i="2"/>
  <c r="T38" i="2" l="1"/>
  <c r="U36" i="2"/>
  <c r="T37" i="2"/>
  <c r="U37" i="2"/>
  <c r="Q22" i="2"/>
  <c r="Q30" i="2"/>
  <c r="R17" i="2" s="1"/>
  <c r="Q16" i="2"/>
  <c r="S34" i="2"/>
  <c r="H27" i="2"/>
  <c r="H40" i="2"/>
  <c r="I23" i="2" s="1"/>
  <c r="I24" i="2" s="1"/>
  <c r="P31" i="2"/>
  <c r="U21" i="2" l="1"/>
  <c r="U38" i="2" s="1"/>
  <c r="T34" i="2"/>
  <c r="R30" i="2"/>
  <c r="S17" i="2" s="1"/>
  <c r="R22" i="2"/>
  <c r="R16" i="2"/>
  <c r="Q31" i="2"/>
  <c r="I25" i="2"/>
  <c r="I32" i="2" s="1"/>
  <c r="R31" i="2" l="1"/>
  <c r="S30" i="2"/>
  <c r="T17" i="2" s="1"/>
  <c r="S22" i="2"/>
  <c r="S16" i="2"/>
  <c r="U34" i="2"/>
  <c r="I26" i="2"/>
  <c r="I40" i="2" l="1"/>
  <c r="J23" i="2" s="1"/>
  <c r="J24" i="2" s="1"/>
  <c r="S31" i="2"/>
  <c r="T16" i="2"/>
  <c r="T30" i="2"/>
  <c r="U17" i="2" s="1"/>
  <c r="T22" i="2"/>
  <c r="I27" i="2"/>
  <c r="T31" i="2" l="1"/>
  <c r="U30" i="2"/>
  <c r="U22" i="2"/>
  <c r="U16" i="2"/>
  <c r="J25" i="2"/>
  <c r="J32" i="2" s="1"/>
  <c r="U31" i="2" l="1"/>
  <c r="J26" i="2"/>
  <c r="J27" i="2" l="1"/>
  <c r="J40" i="2"/>
  <c r="K23" i="2" s="1"/>
  <c r="K24" i="2" s="1"/>
  <c r="K25" i="2" l="1"/>
  <c r="K32" i="2" s="1"/>
  <c r="K26" i="2" l="1"/>
  <c r="K27" i="2" s="1"/>
  <c r="K40" i="2" l="1"/>
  <c r="L23" i="2"/>
  <c r="L24" i="2" s="1"/>
  <c r="L25" i="2" l="1"/>
  <c r="L32" i="2" s="1"/>
  <c r="L26" i="2" l="1"/>
  <c r="L27" i="2" s="1"/>
  <c r="L40" i="2"/>
  <c r="M23" i="2" l="1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27" i="2" s="1"/>
  <c r="N40" i="2"/>
  <c r="O23" i="2" l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 l="1"/>
  <c r="P40" i="2"/>
  <c r="Q23" i="2" l="1"/>
  <c r="Q24" i="2" s="1"/>
  <c r="Q25" i="2" l="1"/>
  <c r="Q32" i="2" s="1"/>
  <c r="Q26" i="2" l="1"/>
  <c r="Q27" i="2"/>
  <c r="Q40" i="2"/>
  <c r="R23" i="2" l="1"/>
  <c r="R24" i="2" s="1"/>
  <c r="R25" i="2" l="1"/>
  <c r="R32" i="2" s="1"/>
  <c r="R26" i="2" l="1"/>
  <c r="R27" i="2" s="1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 l="1"/>
  <c r="T27" i="2" s="1"/>
  <c r="T40" i="2" l="1"/>
  <c r="U23" i="2"/>
  <c r="U24" i="2" s="1"/>
  <c r="U25" i="2" l="1"/>
  <c r="U32" i="2" s="1"/>
  <c r="U26" i="2" l="1"/>
  <c r="U27" i="2" l="1"/>
  <c r="V26" i="2"/>
  <c r="U40" i="2"/>
  <c r="W26" i="2" l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<sst xmlns="http://schemas.openxmlformats.org/spreadsheetml/2006/main" count="119" uniqueCount="77">
  <si>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</si>
  <si>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</si>
  <si>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</si>
  <si>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</si>
  <si>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</si>
  <si>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</si>
  <si>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</si>
  <si>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</si>
  <si>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</si>
  <si>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</si>
  <si>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</si>
  <si>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</si>
  <si>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</si>
  <si>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</si>
  <si>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</si>
  <si>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</si>
  <si>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</si>
  <si>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</si>
  <si>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</si>
  <si>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</si>
  <si>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</si>
  <si>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</si>
  <si>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</si>
  <si>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</si>
  <si>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</si>
  <si>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</si>
  <si>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</si>
  <si>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</si>
  <si>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</si>
  <si>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</si>
  <si>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</si>
  <si>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</si>
  <si>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</si>
  <si>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</si>
  <si>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</si>
  <si>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</si>
  <si>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</si>
  <si>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</si>
  <si>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</si>
  <si>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</si>
  <si>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</si>
  <si>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</si>
  <si>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</si>
  <si>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</si>
  <si>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</si>
  <si>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</si>
  <si>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</si>
  <si>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</si>
  <si>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</si>
  <si>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</si>
  <si>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</si>
  <si>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</si>
  <si>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</si>
  <si>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</si>
  <si>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</si>
  <si>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</si>
  <si>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Q120</t>
  </si>
  <si>
    <t>Q420</t>
  </si>
  <si>
    <t>Trademarks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</si>
  <si>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</si>
  <si>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</si>
  <si>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</si>
  <si>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</si>
  <si>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</si>
  <si>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Airbnb Inc (ABNB)</t>
  </si>
  <si>
    <t>Bookings</t>
  </si>
  <si>
    <t>Bookings y/y</t>
  </si>
  <si>
    <t>GBV</t>
  </si>
  <si>
    <t>GBV y/y</t>
  </si>
  <si>
    <t>Platform</t>
  </si>
  <si>
    <t>Platform y/y</t>
  </si>
  <si>
    <t>ARPB</t>
  </si>
  <si>
    <t>ARPB y/y</t>
  </si>
  <si>
    <t>Brian Chesky</t>
  </si>
  <si>
    <t>Joe Gebbia</t>
  </si>
  <si>
    <t>OE y/y</t>
  </si>
  <si>
    <t>R/ GBV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</si>
</sst>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9" fontId="6" fillId="0" borderId="0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20320</xdr:rowOff>
    </xdr:from>
    <xdr:to>
      <xdr:col>6</xdr:col>
      <xdr:colOff>165100</xdr:colOff>
      <xdr:row>64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34380" y="1320800"/>
          <a:ext cx="0" cy="92354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0</xdr:row>
      <xdr:rowOff>152400</xdr:rowOff>
    </xdr:from>
    <xdr:to>
      <xdr:col>12</xdr:col>
      <xdr:colOff>165100</xdr:colOff>
      <xdr:row>48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403820" y="152400"/>
          <a:ext cx="0" cy="78130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rian_Chesk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irbnb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Joe_Gebbia" TargetMode="External"/><Relationship Id="rId4" Type="http://schemas.openxmlformats.org/officeDocument/2006/relationships/hyperlink" Target="https://en.wikipedia.org/wiki/Brian_Chesk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59720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4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2" sqref="I42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7" t="s">
        <v>54</v>
      </c>
      <c r="B1" s="2" t="s">
        <v>64</v>
      </c>
    </row>
    <row r="2" spans="1:117" x14ac:dyDescent="0.15">
      <c r="B2" s="3" t="s">
        <v>36</v>
      </c>
      <c r="C2" s="4">
        <v>197.83</v>
      </c>
      <c r="D2" s="65">
        <v>44245</v>
      </c>
      <c r="E2" s="6" t="s">
        <v>21</v>
      </c>
      <c r="F2" s="7">
        <v>5.0000000000000001E-3</v>
      </c>
      <c r="I2" s="16"/>
      <c r="L2" s="2"/>
    </row>
    <row r="3" spans="1:117" x14ac:dyDescent="0.15">
      <c r="A3" s="2" t="s">
        <v>34</v>
      </c>
      <c r="B3" s="3" t="s">
        <v>13</v>
      </c>
      <c r="C3" s="8">
        <f>Reports!L18</f>
        <v>530.94500000000005</v>
      </c>
      <c r="D3" s="66" t="s">
        <v>63</v>
      </c>
      <c r="E3" s="6" t="s">
        <v>22</v>
      </c>
      <c r="F3" s="7">
        <v>0.02</v>
      </c>
      <c r="G3" s="5" t="s">
        <v>55</v>
      </c>
      <c r="I3" s="16"/>
    </row>
    <row r="4" spans="1:117" x14ac:dyDescent="0.15">
      <c r="A4" s="68" t="s">
        <v>73</v>
      </c>
      <c r="B4" s="3" t="s">
        <v>37</v>
      </c>
      <c r="C4" s="10">
        <f>C2*C3</f>
        <v>105036.84935000002</v>
      </c>
      <c r="D4" s="66"/>
      <c r="E4" s="6" t="s">
        <v>23</v>
      </c>
      <c r="F4" s="7">
        <v>7.0000000000000007E-2</v>
      </c>
      <c r="G4" s="5" t="s">
        <v>59</v>
      </c>
      <c r="I4" s="19"/>
      <c r="L4" s="9" t="s">
        <v>60</v>
      </c>
    </row>
    <row r="5" spans="1:117" x14ac:dyDescent="0.15">
      <c r="B5" s="3" t="s">
        <v>18</v>
      </c>
      <c r="C5" s="8">
        <f>Reports!L30</f>
        <v>4551</v>
      </c>
      <c r="D5" s="66" t="s">
        <v>63</v>
      </c>
      <c r="E5" s="6" t="s">
        <v>24</v>
      </c>
      <c r="F5" s="11">
        <f>NPV(F4,G26:GR26)</f>
        <v>85009.466184932448</v>
      </c>
      <c r="G5" s="5" t="s">
        <v>61</v>
      </c>
      <c r="I5" s="19"/>
    </row>
    <row r="6" spans="1:117" x14ac:dyDescent="0.15">
      <c r="A6" s="2" t="s">
        <v>35</v>
      </c>
      <c r="B6" s="3" t="s">
        <v>38</v>
      </c>
      <c r="C6" s="10">
        <f>C4-C5</f>
        <v>100485.84935000002</v>
      </c>
      <c r="D6" s="66"/>
      <c r="E6" s="12" t="s">
        <v>25</v>
      </c>
      <c r="F6" s="13">
        <f>F5+C5</f>
        <v>89560.466184932448</v>
      </c>
      <c r="I6" s="19"/>
    </row>
    <row r="7" spans="1:117" x14ac:dyDescent="0.15">
      <c r="A7" s="68" t="s">
        <v>73</v>
      </c>
      <c r="B7" s="5" t="s">
        <v>39</v>
      </c>
      <c r="C7" s="43">
        <f>C6/C3</f>
        <v>189.25849070996057</v>
      </c>
      <c r="D7" s="66"/>
      <c r="E7" s="14" t="s">
        <v>39</v>
      </c>
      <c r="F7" s="42">
        <f>F6/C3</f>
        <v>168.68124981859219</v>
      </c>
      <c r="G7" s="19">
        <f>F7/C2-1</f>
        <v>-0.14734241612196242</v>
      </c>
    </row>
    <row r="8" spans="1:117" x14ac:dyDescent="0.15">
      <c r="A8" s="68" t="s">
        <v>74</v>
      </c>
      <c r="E8" s="6"/>
      <c r="F8" s="15"/>
    </row>
    <row r="9" spans="1:117" x14ac:dyDescent="0.15">
      <c r="B9" s="38">
        <v>2015</v>
      </c>
      <c r="C9" s="38">
        <v>2016</v>
      </c>
      <c r="D9" s="38">
        <v>2017</v>
      </c>
      <c r="E9" s="38">
        <f>D9+1</f>
        <v>2018</v>
      </c>
      <c r="F9" s="38">
        <f t="shared" ref="F9:U9" si="0">E9+1</f>
        <v>2019</v>
      </c>
      <c r="G9" s="38">
        <f t="shared" si="0"/>
        <v>2020</v>
      </c>
      <c r="H9" s="38">
        <f t="shared" si="0"/>
        <v>2021</v>
      </c>
      <c r="I9" s="38">
        <f t="shared" si="0"/>
        <v>2022</v>
      </c>
      <c r="J9" s="38">
        <f t="shared" si="0"/>
        <v>2023</v>
      </c>
      <c r="K9" s="38">
        <f t="shared" si="0"/>
        <v>2024</v>
      </c>
      <c r="L9" s="38">
        <f t="shared" si="0"/>
        <v>2025</v>
      </c>
      <c r="M9" s="38">
        <f t="shared" si="0"/>
        <v>2026</v>
      </c>
      <c r="N9" s="38">
        <f t="shared" si="0"/>
        <v>2027</v>
      </c>
      <c r="O9" s="38">
        <f t="shared" si="0"/>
        <v>2028</v>
      </c>
      <c r="P9" s="38">
        <f t="shared" si="0"/>
        <v>2029</v>
      </c>
      <c r="Q9" s="38">
        <f t="shared" si="0"/>
        <v>2030</v>
      </c>
      <c r="R9" s="38">
        <f t="shared" si="0"/>
        <v>2031</v>
      </c>
      <c r="S9" s="38">
        <f t="shared" si="0"/>
        <v>2032</v>
      </c>
      <c r="T9" s="38">
        <f t="shared" si="0"/>
        <v>2033</v>
      </c>
      <c r="U9" s="38">
        <f t="shared" si="0"/>
        <v>2034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8" t="s">
        <v>69</v>
      </c>
      <c r="B10" s="37">
        <v>919</v>
      </c>
      <c r="C10" s="37">
        <v>1655.576</v>
      </c>
      <c r="D10" s="37">
        <v>2561.721</v>
      </c>
      <c r="E10" s="37">
        <f>SUM(Reports!B3:E3)</f>
        <v>3651.9850000000001</v>
      </c>
      <c r="F10" s="37">
        <v>4805.2389999999996</v>
      </c>
      <c r="G10" s="37">
        <f>SUM(Reports!J3:M3)</f>
        <v>3515.0514000000003</v>
      </c>
      <c r="H10" s="37">
        <f>G10*1.5</f>
        <v>5272.5771000000004</v>
      </c>
      <c r="I10" s="37">
        <f>H10*1.45</f>
        <v>7645.2367950000007</v>
      </c>
      <c r="J10" s="37">
        <f>I10*1.4</f>
        <v>10703.331513000001</v>
      </c>
      <c r="K10" s="37">
        <f>J10*1.35</f>
        <v>14449.497542550002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</row>
    <row r="11" spans="1:117" x14ac:dyDescent="0.15">
      <c r="A11" s="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</row>
    <row r="12" spans="1:117" s="16" customFormat="1" x14ac:dyDescent="0.15">
      <c r="A12" s="16" t="s">
        <v>65</v>
      </c>
      <c r="B12" s="16">
        <v>72.400000000000006</v>
      </c>
      <c r="C12" s="16">
        <v>125.7</v>
      </c>
      <c r="D12" s="16">
        <v>185.8</v>
      </c>
      <c r="E12" s="16">
        <v>250.3</v>
      </c>
      <c r="F12" s="16">
        <v>326.89999999999998</v>
      </c>
    </row>
    <row r="13" spans="1:117" x14ac:dyDescent="0.15">
      <c r="A13" s="8" t="s">
        <v>71</v>
      </c>
      <c r="B13" s="55">
        <f>B10/B12</f>
        <v>12.693370165745856</v>
      </c>
      <c r="C13" s="55">
        <f>C10/C12</f>
        <v>13.17085123309467</v>
      </c>
      <c r="D13" s="55">
        <f>D10/D12</f>
        <v>13.787518837459633</v>
      </c>
      <c r="E13" s="55">
        <f>E10/E12</f>
        <v>14.590431482221334</v>
      </c>
      <c r="F13" s="55">
        <f>F10/F12</f>
        <v>14.699415723462833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</row>
    <row r="14" spans="1:117" s="58" customFormat="1" x14ac:dyDescent="0.15">
      <c r="F14" s="47"/>
      <c r="G14" s="47"/>
      <c r="H14" s="47"/>
      <c r="I14" s="47"/>
    </row>
    <row r="15" spans="1:117" x14ac:dyDescent="0.15">
      <c r="A15" s="2" t="s">
        <v>0</v>
      </c>
      <c r="B15" s="24">
        <f>SUM(B10:B10)</f>
        <v>919</v>
      </c>
      <c r="C15" s="24">
        <f>SUM(C10:C10)</f>
        <v>1655.576</v>
      </c>
      <c r="D15" s="24">
        <f>SUM(D10:D10)</f>
        <v>2561.721</v>
      </c>
      <c r="E15" s="24">
        <f>SUM(E10:E10)</f>
        <v>3651.9850000000001</v>
      </c>
      <c r="F15" s="24">
        <f>SUM(F10:F10)</f>
        <v>4805.2389999999996</v>
      </c>
      <c r="G15" s="46">
        <f>G10</f>
        <v>3515.0514000000003</v>
      </c>
      <c r="H15" s="46">
        <f>H10</f>
        <v>5272.5771000000004</v>
      </c>
      <c r="I15" s="46">
        <f>I10</f>
        <v>7645.2367950000007</v>
      </c>
      <c r="J15" s="46">
        <f>J10</f>
        <v>10703.331513000001</v>
      </c>
      <c r="K15" s="46">
        <f>K10</f>
        <v>14449.497542550002</v>
      </c>
      <c r="L15" s="46">
        <f>K15*1.2</f>
        <v>17339.397051060001</v>
      </c>
      <c r="M15" s="46">
        <f t="shared" ref="M15:P15" si="1">L15*1.2</f>
        <v>20807.276461272002</v>
      </c>
      <c r="N15" s="46">
        <f t="shared" si="1"/>
        <v>24968.731753526401</v>
      </c>
      <c r="O15" s="46">
        <f t="shared" si="1"/>
        <v>29962.478104231679</v>
      </c>
      <c r="P15" s="46">
        <f t="shared" si="1"/>
        <v>35954.973725078016</v>
      </c>
      <c r="Q15" s="46">
        <f>P15*1.1</f>
        <v>39550.471097585818</v>
      </c>
      <c r="R15" s="46">
        <f t="shared" ref="R15:U15" si="2">Q15*1.1</f>
        <v>43505.518207344401</v>
      </c>
      <c r="S15" s="46">
        <f t="shared" si="2"/>
        <v>47856.070028078844</v>
      </c>
      <c r="T15" s="46">
        <f t="shared" si="2"/>
        <v>52641.677030886734</v>
      </c>
      <c r="U15" s="46">
        <f t="shared" si="2"/>
        <v>57905.844733975413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x14ac:dyDescent="0.15">
      <c r="A16" s="3" t="s">
        <v>1</v>
      </c>
      <c r="B16" s="37">
        <f>226+181</f>
        <v>407</v>
      </c>
      <c r="C16" s="37">
        <f>413+270</f>
        <v>683</v>
      </c>
      <c r="D16" s="37">
        <f>648+396</f>
        <v>1044</v>
      </c>
      <c r="E16" s="37">
        <f>SUM(Reports!B6:E6)</f>
        <v>1473</v>
      </c>
      <c r="F16" s="37">
        <f>1196+815</f>
        <v>2011</v>
      </c>
      <c r="G16" s="23">
        <f>SUM(Reports!J6:M6)</f>
        <v>1671.2</v>
      </c>
      <c r="H16" s="23">
        <f t="shared" ref="H16" si="3">H15-H17</f>
        <v>2206.5817221786474</v>
      </c>
      <c r="I16" s="23">
        <f t="shared" ref="I16:P16" si="4">I15-I17</f>
        <v>3199.5434971590385</v>
      </c>
      <c r="J16" s="23">
        <f t="shared" si="4"/>
        <v>4479.3608960226547</v>
      </c>
      <c r="K16" s="23">
        <f>K15-K17</f>
        <v>6047.137209630584</v>
      </c>
      <c r="L16" s="23">
        <f t="shared" si="4"/>
        <v>7256.5646515567005</v>
      </c>
      <c r="M16" s="23">
        <f t="shared" si="4"/>
        <v>8707.8775818680406</v>
      </c>
      <c r="N16" s="23">
        <f t="shared" si="4"/>
        <v>10449.453098241647</v>
      </c>
      <c r="O16" s="23">
        <f t="shared" si="4"/>
        <v>12539.343717889977</v>
      </c>
      <c r="P16" s="23">
        <f t="shared" si="4"/>
        <v>15047.212461467971</v>
      </c>
      <c r="Q16" s="23">
        <f t="shared" ref="Q16:U16" si="5">Q15-Q17</f>
        <v>16551.933707614768</v>
      </c>
      <c r="R16" s="23">
        <f t="shared" si="5"/>
        <v>18207.127078376248</v>
      </c>
      <c r="S16" s="23">
        <f t="shared" si="5"/>
        <v>20027.839786213874</v>
      </c>
      <c r="T16" s="23">
        <f t="shared" si="5"/>
        <v>22030.623764835262</v>
      </c>
      <c r="U16" s="23">
        <f t="shared" si="5"/>
        <v>24233.686141318794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2</v>
      </c>
      <c r="B17" s="26">
        <f>B15-B16</f>
        <v>512</v>
      </c>
      <c r="C17" s="26">
        <f>C15-C16</f>
        <v>972.57600000000002</v>
      </c>
      <c r="D17" s="26">
        <f>D15-D16</f>
        <v>1517.721</v>
      </c>
      <c r="E17" s="26">
        <f>E15-E16</f>
        <v>2178.9850000000001</v>
      </c>
      <c r="F17" s="26">
        <f>F15-F16</f>
        <v>2794.2389999999996</v>
      </c>
      <c r="G17" s="23">
        <f>G15*F30</f>
        <v>2043.9969185475686</v>
      </c>
      <c r="H17" s="23">
        <f t="shared" ref="H17:U17" si="6">H15*G30</f>
        <v>3065.995377821353</v>
      </c>
      <c r="I17" s="23">
        <f t="shared" si="6"/>
        <v>4445.6932978409623</v>
      </c>
      <c r="J17" s="23">
        <f t="shared" si="6"/>
        <v>6223.9706169773463</v>
      </c>
      <c r="K17" s="23">
        <f>K15*J30</f>
        <v>8402.3603329194175</v>
      </c>
      <c r="L17" s="23">
        <f t="shared" si="6"/>
        <v>10082.832399503301</v>
      </c>
      <c r="M17" s="23">
        <f t="shared" si="6"/>
        <v>12099.398879403961</v>
      </c>
      <c r="N17" s="23">
        <f t="shared" si="6"/>
        <v>14519.278655284754</v>
      </c>
      <c r="O17" s="23">
        <f t="shared" si="6"/>
        <v>17423.134386341702</v>
      </c>
      <c r="P17" s="23">
        <f t="shared" si="6"/>
        <v>20907.761263610046</v>
      </c>
      <c r="Q17" s="23">
        <f t="shared" si="6"/>
        <v>22998.53738997105</v>
      </c>
      <c r="R17" s="23">
        <f t="shared" si="6"/>
        <v>25298.391128968153</v>
      </c>
      <c r="S17" s="23">
        <f t="shared" si="6"/>
        <v>27828.230241864971</v>
      </c>
      <c r="T17" s="23">
        <f t="shared" si="6"/>
        <v>30611.053266051473</v>
      </c>
      <c r="U17" s="23">
        <f t="shared" si="6"/>
        <v>33672.158592656619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3</v>
      </c>
      <c r="B18" s="37">
        <v>100</v>
      </c>
      <c r="C18" s="37">
        <v>228</v>
      </c>
      <c r="D18" s="37">
        <v>401</v>
      </c>
      <c r="E18" s="37">
        <f>SUM(Reports!B8:E8)</f>
        <v>579</v>
      </c>
      <c r="F18" s="37">
        <v>977</v>
      </c>
      <c r="G18" s="23">
        <f>SUM(Reports!J8:M8)</f>
        <v>917.4</v>
      </c>
      <c r="H18" s="23">
        <f t="shared" ref="H18:K18" si="7">G18*1.4</f>
        <v>1284.3599999999999</v>
      </c>
      <c r="I18" s="23">
        <f t="shared" si="7"/>
        <v>1798.1039999999998</v>
      </c>
      <c r="J18" s="23">
        <f t="shared" si="7"/>
        <v>2517.3455999999996</v>
      </c>
      <c r="K18" s="23">
        <f t="shared" si="7"/>
        <v>3524.2838399999991</v>
      </c>
      <c r="L18" s="23">
        <f>K18*1.2</f>
        <v>4229.1406079999988</v>
      </c>
      <c r="M18" s="23">
        <f t="shared" ref="M18:U18" si="8">L18*1.2</f>
        <v>5074.9687295999984</v>
      </c>
      <c r="N18" s="23">
        <f t="shared" si="8"/>
        <v>6089.9624755199975</v>
      </c>
      <c r="O18" s="23">
        <f t="shared" si="8"/>
        <v>7307.9549706239968</v>
      </c>
      <c r="P18" s="23">
        <f t="shared" si="8"/>
        <v>8769.5459647487951</v>
      </c>
      <c r="Q18" s="23">
        <f>P18*1.1</f>
        <v>9646.5005612236746</v>
      </c>
      <c r="R18" s="23">
        <f t="shared" ref="R18:U18" si="9">Q18*1.1</f>
        <v>10611.150617346042</v>
      </c>
      <c r="S18" s="23">
        <f t="shared" si="9"/>
        <v>11672.265679080647</v>
      </c>
      <c r="T18" s="23">
        <f t="shared" si="9"/>
        <v>12839.492246988713</v>
      </c>
      <c r="U18" s="23">
        <f t="shared" si="9"/>
        <v>14123.441471687585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4</v>
      </c>
      <c r="B19" s="37">
        <v>397</v>
      </c>
      <c r="C19" s="37">
        <v>663</v>
      </c>
      <c r="D19" s="37">
        <v>872</v>
      </c>
      <c r="E19" s="37">
        <f>SUM(Reports!B9:E9)</f>
        <v>1101</v>
      </c>
      <c r="F19" s="37">
        <v>1622</v>
      </c>
      <c r="G19" s="23">
        <f>SUM(Reports!J9:M9)</f>
        <v>763.5</v>
      </c>
      <c r="H19" s="23">
        <f t="shared" ref="H19:K19" si="10">G19*1.2</f>
        <v>916.19999999999993</v>
      </c>
      <c r="I19" s="23">
        <f t="shared" si="10"/>
        <v>1099.4399999999998</v>
      </c>
      <c r="J19" s="23">
        <f t="shared" si="10"/>
        <v>1319.3279999999997</v>
      </c>
      <c r="K19" s="23">
        <f t="shared" si="10"/>
        <v>1583.1935999999996</v>
      </c>
      <c r="L19" s="23">
        <f>K19*1.15</f>
        <v>1820.6726399999993</v>
      </c>
      <c r="M19" s="23">
        <f t="shared" ref="M19:P19" si="11">L19*1.15</f>
        <v>2093.7735359999992</v>
      </c>
      <c r="N19" s="23">
        <f t="shared" si="11"/>
        <v>2407.8395663999991</v>
      </c>
      <c r="O19" s="23">
        <f t="shared" si="11"/>
        <v>2769.0155013599988</v>
      </c>
      <c r="P19" s="23">
        <f t="shared" si="11"/>
        <v>3184.3678265639983</v>
      </c>
      <c r="Q19" s="23">
        <f>P19*1.1</f>
        <v>3502.8046092203986</v>
      </c>
      <c r="R19" s="23">
        <f t="shared" ref="R19:U19" si="12">Q19*1.1</f>
        <v>3853.0850701424388</v>
      </c>
      <c r="S19" s="23">
        <f t="shared" si="12"/>
        <v>4238.393577156683</v>
      </c>
      <c r="T19" s="23">
        <f t="shared" si="12"/>
        <v>4662.2329348723515</v>
      </c>
      <c r="U19" s="23">
        <f t="shared" si="12"/>
        <v>5128.4562283595869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5</v>
      </c>
      <c r="B20" s="37">
        <v>138</v>
      </c>
      <c r="C20" s="37">
        <v>214</v>
      </c>
      <c r="D20" s="37">
        <v>327</v>
      </c>
      <c r="E20" s="37">
        <f>SUM(Reports!B10:E10)</f>
        <v>480</v>
      </c>
      <c r="F20" s="37">
        <v>697</v>
      </c>
      <c r="G20" s="23">
        <f>SUM(Reports!J10:M10)</f>
        <v>786.7</v>
      </c>
      <c r="H20" s="23">
        <f t="shared" ref="H20:K20" si="13">G20*1.2</f>
        <v>944.04</v>
      </c>
      <c r="I20" s="23">
        <f t="shared" si="13"/>
        <v>1132.848</v>
      </c>
      <c r="J20" s="23">
        <f t="shared" si="13"/>
        <v>1359.4176</v>
      </c>
      <c r="K20" s="23">
        <f t="shared" si="13"/>
        <v>1631.3011199999999</v>
      </c>
      <c r="L20" s="23">
        <f>K20*1.15</f>
        <v>1875.9962879999996</v>
      </c>
      <c r="M20" s="23">
        <f t="shared" ref="M20:P20" si="14">L20*1.15</f>
        <v>2157.3957311999993</v>
      </c>
      <c r="N20" s="23">
        <f t="shared" si="14"/>
        <v>2481.005090879999</v>
      </c>
      <c r="O20" s="23">
        <f t="shared" si="14"/>
        <v>2853.1558545119988</v>
      </c>
      <c r="P20" s="23">
        <f t="shared" si="14"/>
        <v>3281.1292326887983</v>
      </c>
      <c r="Q20" s="23">
        <f>P20*1.05</f>
        <v>3445.1856943232383</v>
      </c>
      <c r="R20" s="23">
        <f t="shared" ref="R20:U20" si="15">Q20*1.05</f>
        <v>3617.4449790394006</v>
      </c>
      <c r="S20" s="23">
        <f t="shared" si="15"/>
        <v>3798.3172279913706</v>
      </c>
      <c r="T20" s="23">
        <f t="shared" si="15"/>
        <v>3988.2330893909393</v>
      </c>
      <c r="U20" s="23">
        <f t="shared" si="15"/>
        <v>4187.6447438604864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6</v>
      </c>
      <c r="B21" s="26">
        <f>SUM(B18:B20)</f>
        <v>635</v>
      </c>
      <c r="C21" s="26">
        <f>SUM(C18:C20)</f>
        <v>1105</v>
      </c>
      <c r="D21" s="26">
        <f>SUM(D18:D20)</f>
        <v>1600</v>
      </c>
      <c r="E21" s="26">
        <f>SUM(E18:E20)</f>
        <v>2160</v>
      </c>
      <c r="F21" s="26">
        <f>SUM(F18:F20)</f>
        <v>3296</v>
      </c>
      <c r="G21" s="23">
        <f t="shared" ref="G21:H21" si="16">SUM(G18:G20)</f>
        <v>2467.6000000000004</v>
      </c>
      <c r="H21" s="23">
        <f t="shared" si="16"/>
        <v>3144.6</v>
      </c>
      <c r="I21" s="23">
        <f t="shared" ref="I21:P21" si="17">SUM(I18:I20)</f>
        <v>4030.3919999999998</v>
      </c>
      <c r="J21" s="23">
        <f t="shared" si="17"/>
        <v>5196.0911999999989</v>
      </c>
      <c r="K21" s="23">
        <f t="shared" si="17"/>
        <v>6738.7785599999988</v>
      </c>
      <c r="L21" s="23">
        <f t="shared" si="17"/>
        <v>7925.8095359999979</v>
      </c>
      <c r="M21" s="23">
        <f t="shared" si="17"/>
        <v>9326.1379967999965</v>
      </c>
      <c r="N21" s="23">
        <f t="shared" si="17"/>
        <v>10978.807132799995</v>
      </c>
      <c r="O21" s="23">
        <f t="shared" si="17"/>
        <v>12930.126326495994</v>
      </c>
      <c r="P21" s="23">
        <f t="shared" si="17"/>
        <v>15235.04302400159</v>
      </c>
      <c r="Q21" s="23">
        <f t="shared" ref="Q21:U21" si="18">SUM(Q18:Q20)</f>
        <v>16594.490864767311</v>
      </c>
      <c r="R21" s="23">
        <f t="shared" si="18"/>
        <v>18081.680666527882</v>
      </c>
      <c r="S21" s="23">
        <f t="shared" si="18"/>
        <v>19708.9764842287</v>
      </c>
      <c r="T21" s="23">
        <f t="shared" si="18"/>
        <v>21489.958271252002</v>
      </c>
      <c r="U21" s="23">
        <f t="shared" si="18"/>
        <v>23439.54244390766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7</v>
      </c>
      <c r="B22" s="26">
        <f>B17-B21</f>
        <v>-123</v>
      </c>
      <c r="C22" s="26">
        <f>C17-C21</f>
        <v>-132.42399999999998</v>
      </c>
      <c r="D22" s="26">
        <f>D17-D21</f>
        <v>-82.278999999999996</v>
      </c>
      <c r="E22" s="26">
        <f>E17-E21</f>
        <v>18.985000000000127</v>
      </c>
      <c r="F22" s="26">
        <f>F17-F21</f>
        <v>-501.76100000000042</v>
      </c>
      <c r="G22" s="23">
        <f t="shared" ref="G22:H22" si="19">G17-G21</f>
        <v>-423.60308145243175</v>
      </c>
      <c r="H22" s="23">
        <f t="shared" si="19"/>
        <v>-78.604622178646878</v>
      </c>
      <c r="I22" s="23">
        <f t="shared" ref="I22:P22" si="20">I17-I21</f>
        <v>415.30129784096243</v>
      </c>
      <c r="J22" s="23">
        <f t="shared" si="20"/>
        <v>1027.8794169773473</v>
      </c>
      <c r="K22" s="23">
        <f t="shared" si="20"/>
        <v>1663.5817729194187</v>
      </c>
      <c r="L22" s="23">
        <f t="shared" si="20"/>
        <v>2157.0228635033027</v>
      </c>
      <c r="M22" s="23">
        <f t="shared" si="20"/>
        <v>2773.260882603965</v>
      </c>
      <c r="N22" s="23">
        <f t="shared" si="20"/>
        <v>3540.4715224847587</v>
      </c>
      <c r="O22" s="23">
        <f t="shared" si="20"/>
        <v>4493.008059845708</v>
      </c>
      <c r="P22" s="23">
        <f t="shared" si="20"/>
        <v>5672.7182396084554</v>
      </c>
      <c r="Q22" s="23">
        <f t="shared" ref="Q22:U22" si="21">Q17-Q21</f>
        <v>6404.0465252037393</v>
      </c>
      <c r="R22" s="23">
        <f t="shared" si="21"/>
        <v>7216.7104624402709</v>
      </c>
      <c r="S22" s="23">
        <f t="shared" si="21"/>
        <v>8119.2537576362702</v>
      </c>
      <c r="T22" s="23">
        <f t="shared" si="21"/>
        <v>9121.0949947994704</v>
      </c>
      <c r="U22" s="23">
        <f t="shared" si="21"/>
        <v>10232.616148748959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8</v>
      </c>
      <c r="B23" s="37">
        <f>4-8-3</f>
        <v>-7</v>
      </c>
      <c r="C23" s="37">
        <f>12-12-3</f>
        <v>-3</v>
      </c>
      <c r="D23" s="37">
        <f>32-16+7</f>
        <v>23</v>
      </c>
      <c r="E23" s="37">
        <f>SUM(Reports!B13:E13)</f>
        <v>28</v>
      </c>
      <c r="F23" s="37">
        <f>86-10+14</f>
        <v>90</v>
      </c>
      <c r="G23" s="23">
        <f>SUM(Reports!J13:M13)</f>
        <v>-308</v>
      </c>
      <c r="H23" s="23">
        <f t="shared" ref="G23:U23" si="22">G40*$F$3</f>
        <v>46.544349400629571</v>
      </c>
      <c r="I23" s="23">
        <f t="shared" si="22"/>
        <v>45.967264490625261</v>
      </c>
      <c r="J23" s="23">
        <f t="shared" si="22"/>
        <v>54.270098612593841</v>
      </c>
      <c r="K23" s="23">
        <f t="shared" si="22"/>
        <v>73.748789893212788</v>
      </c>
      <c r="L23" s="23">
        <f t="shared" si="22"/>
        <v>105.02074002384016</v>
      </c>
      <c r="M23" s="23">
        <f t="shared" si="22"/>
        <v>145.73752488732873</v>
      </c>
      <c r="N23" s="23">
        <f t="shared" si="22"/>
        <v>198.27949622217201</v>
      </c>
      <c r="O23" s="23">
        <f t="shared" si="22"/>
        <v>265.57701455889679</v>
      </c>
      <c r="P23" s="23">
        <f t="shared" si="22"/>
        <v>351.2315458981796</v>
      </c>
      <c r="Q23" s="23">
        <f t="shared" si="22"/>
        <v>459.66264203729901</v>
      </c>
      <c r="R23" s="23">
        <f t="shared" si="22"/>
        <v>583.20940704763768</v>
      </c>
      <c r="S23" s="23">
        <f t="shared" si="22"/>
        <v>723.60796469842001</v>
      </c>
      <c r="T23" s="23">
        <f t="shared" si="22"/>
        <v>882.77947570044432</v>
      </c>
      <c r="U23" s="23">
        <f t="shared" si="22"/>
        <v>1062.8492161694428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9</v>
      </c>
      <c r="B24" s="26">
        <f>B22+B23</f>
        <v>-130</v>
      </c>
      <c r="C24" s="26">
        <f>C22+C23</f>
        <v>-135.42399999999998</v>
      </c>
      <c r="D24" s="26">
        <f>D22+D23</f>
        <v>-59.278999999999996</v>
      </c>
      <c r="E24" s="26">
        <f>E22+E23</f>
        <v>46.985000000000127</v>
      </c>
      <c r="F24" s="26">
        <f>F22+F23</f>
        <v>-411.76100000000042</v>
      </c>
      <c r="G24" s="23">
        <f t="shared" ref="G24:H24" si="23">G22+G23</f>
        <v>-731.60308145243175</v>
      </c>
      <c r="H24" s="23">
        <f t="shared" si="23"/>
        <v>-32.060272778017307</v>
      </c>
      <c r="I24" s="23">
        <f t="shared" ref="I24" si="24">I22+I23</f>
        <v>461.2685623315877</v>
      </c>
      <c r="J24" s="23">
        <f t="shared" ref="J24" si="25">J22+J23</f>
        <v>1082.1495155899411</v>
      </c>
      <c r="K24" s="23">
        <f t="shared" ref="K24" si="26">K22+K23</f>
        <v>1737.3305628126313</v>
      </c>
      <c r="L24" s="23">
        <f t="shared" ref="L24" si="27">L22+L23</f>
        <v>2262.0436035271427</v>
      </c>
      <c r="M24" s="23">
        <f t="shared" ref="M24" si="28">M22+M23</f>
        <v>2918.9984074912936</v>
      </c>
      <c r="N24" s="23">
        <f t="shared" ref="N24" si="29">N22+N23</f>
        <v>3738.7510187069306</v>
      </c>
      <c r="O24" s="23">
        <f t="shared" ref="O24" si="30">O22+O23</f>
        <v>4758.5850744046047</v>
      </c>
      <c r="P24" s="23">
        <f t="shared" ref="P24:Q24" si="31">P22+P23</f>
        <v>6023.9497855066347</v>
      </c>
      <c r="Q24" s="23">
        <f t="shared" si="31"/>
        <v>6863.7091672410379</v>
      </c>
      <c r="R24" s="23">
        <f t="shared" ref="R24:U24" si="32">R22+R23</f>
        <v>7799.9198694879087</v>
      </c>
      <c r="S24" s="23">
        <f t="shared" si="32"/>
        <v>8842.8617223346901</v>
      </c>
      <c r="T24" s="23">
        <f t="shared" si="32"/>
        <v>10003.874470499915</v>
      </c>
      <c r="U24" s="23">
        <f t="shared" si="32"/>
        <v>11295.465364918402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10</v>
      </c>
      <c r="B25" s="37">
        <v>5</v>
      </c>
      <c r="C25" s="37">
        <v>11</v>
      </c>
      <c r="D25" s="37">
        <v>11</v>
      </c>
      <c r="E25" s="37">
        <f>SUM(Reports!B15:E15)</f>
        <v>64</v>
      </c>
      <c r="F25" s="37">
        <v>263</v>
      </c>
      <c r="G25" s="23">
        <f>SUM(Reports!J15:M15)</f>
        <v>15.179448516089817</v>
      </c>
      <c r="H25" s="23">
        <f t="shared" ref="H25:P25" si="33">H24*0.1</f>
        <v>-3.2060272778017307</v>
      </c>
      <c r="I25" s="23">
        <f t="shared" si="33"/>
        <v>46.126856233158776</v>
      </c>
      <c r="J25" s="23">
        <f t="shared" si="33"/>
        <v>108.21495155899412</v>
      </c>
      <c r="K25" s="23">
        <f t="shared" si="33"/>
        <v>173.73305628126315</v>
      </c>
      <c r="L25" s="23">
        <f t="shared" si="33"/>
        <v>226.20436035271427</v>
      </c>
      <c r="M25" s="23">
        <f t="shared" si="33"/>
        <v>291.8998407491294</v>
      </c>
      <c r="N25" s="23">
        <f t="shared" si="33"/>
        <v>373.87510187069307</v>
      </c>
      <c r="O25" s="23">
        <f t="shared" si="33"/>
        <v>475.85850744046047</v>
      </c>
      <c r="P25" s="23">
        <f t="shared" si="33"/>
        <v>602.3949785506635</v>
      </c>
      <c r="Q25" s="23">
        <f t="shared" ref="Q25:U25" si="34">Q24*0.1</f>
        <v>686.37091672410384</v>
      </c>
      <c r="R25" s="23">
        <f t="shared" si="34"/>
        <v>779.9919869487909</v>
      </c>
      <c r="S25" s="23">
        <f t="shared" si="34"/>
        <v>884.28617223346907</v>
      </c>
      <c r="T25" s="23">
        <f t="shared" si="34"/>
        <v>1000.3874470499916</v>
      </c>
      <c r="U25" s="23">
        <f t="shared" si="34"/>
        <v>1129.5465364918402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s="2" customFormat="1" x14ac:dyDescent="0.15">
      <c r="A26" s="2" t="s">
        <v>11</v>
      </c>
      <c r="B26" s="24">
        <f>B24-B25</f>
        <v>-135</v>
      </c>
      <c r="C26" s="24">
        <f>C24-C25</f>
        <v>-146.42399999999998</v>
      </c>
      <c r="D26" s="24">
        <f>D24-D25</f>
        <v>-70.278999999999996</v>
      </c>
      <c r="E26" s="24">
        <f>E24-E25</f>
        <v>-17.014999999999873</v>
      </c>
      <c r="F26" s="24">
        <f t="shared" ref="F26:H26" si="35">F24-F25</f>
        <v>-674.76100000000042</v>
      </c>
      <c r="G26" s="24">
        <f>G24-G25</f>
        <v>-746.78252996852154</v>
      </c>
      <c r="H26" s="24">
        <f t="shared" si="35"/>
        <v>-28.854245500215576</v>
      </c>
      <c r="I26" s="24">
        <f t="shared" ref="I26:P26" si="36">I24-I25</f>
        <v>415.14170609842893</v>
      </c>
      <c r="J26" s="24">
        <f t="shared" si="36"/>
        <v>973.93456403094694</v>
      </c>
      <c r="K26" s="24">
        <f t="shared" si="36"/>
        <v>1563.5975065313683</v>
      </c>
      <c r="L26" s="24">
        <f t="shared" si="36"/>
        <v>2035.8392431744285</v>
      </c>
      <c r="M26" s="24">
        <f t="shared" si="36"/>
        <v>2627.0985667421642</v>
      </c>
      <c r="N26" s="24">
        <f t="shared" si="36"/>
        <v>3364.8759168362376</v>
      </c>
      <c r="O26" s="24">
        <f t="shared" si="36"/>
        <v>4282.7265669641438</v>
      </c>
      <c r="P26" s="24">
        <f t="shared" si="36"/>
        <v>5421.5548069559709</v>
      </c>
      <c r="Q26" s="24">
        <f t="shared" ref="Q26:U26" si="37">Q24-Q25</f>
        <v>6177.3382505169338</v>
      </c>
      <c r="R26" s="24">
        <f t="shared" si="37"/>
        <v>7019.9278825391175</v>
      </c>
      <c r="S26" s="24">
        <f t="shared" si="37"/>
        <v>7958.5755501012209</v>
      </c>
      <c r="T26" s="24">
        <f t="shared" si="37"/>
        <v>9003.4870234499231</v>
      </c>
      <c r="U26" s="24">
        <f t="shared" si="37"/>
        <v>10165.918828426562</v>
      </c>
      <c r="V26" s="24">
        <f t="shared" ref="V26:BA26" si="38">U26*($F$2+1)</f>
        <v>10216.748422568693</v>
      </c>
      <c r="W26" s="24">
        <f t="shared" si="38"/>
        <v>10267.832164681535</v>
      </c>
      <c r="X26" s="24">
        <f t="shared" si="38"/>
        <v>10319.171325504942</v>
      </c>
      <c r="Y26" s="24">
        <f t="shared" si="38"/>
        <v>10370.767182132466</v>
      </c>
      <c r="Z26" s="24">
        <f t="shared" si="38"/>
        <v>10422.621018043126</v>
      </c>
      <c r="AA26" s="24">
        <f t="shared" si="38"/>
        <v>10474.734123133341</v>
      </c>
      <c r="AB26" s="24">
        <f t="shared" si="38"/>
        <v>10527.107793749006</v>
      </c>
      <c r="AC26" s="24">
        <f t="shared" si="38"/>
        <v>10579.74333271775</v>
      </c>
      <c r="AD26" s="24">
        <f t="shared" si="38"/>
        <v>10632.642049381337</v>
      </c>
      <c r="AE26" s="24">
        <f t="shared" si="38"/>
        <v>10685.805259628241</v>
      </c>
      <c r="AF26" s="24">
        <f t="shared" si="38"/>
        <v>10739.234285926381</v>
      </c>
      <c r="AG26" s="24">
        <f t="shared" si="38"/>
        <v>10792.930457356011</v>
      </c>
      <c r="AH26" s="24">
        <f t="shared" si="38"/>
        <v>10846.89510964279</v>
      </c>
      <c r="AI26" s="24">
        <f t="shared" si="38"/>
        <v>10901.129585191004</v>
      </c>
      <c r="AJ26" s="24">
        <f t="shared" si="38"/>
        <v>10955.635233116958</v>
      </c>
      <c r="AK26" s="24">
        <f t="shared" si="38"/>
        <v>11010.413409282542</v>
      </c>
      <c r="AL26" s="24">
        <f t="shared" si="38"/>
        <v>11065.465476328955</v>
      </c>
      <c r="AM26" s="24">
        <f t="shared" si="38"/>
        <v>11120.792803710598</v>
      </c>
      <c r="AN26" s="24">
        <f t="shared" si="38"/>
        <v>11176.396767729149</v>
      </c>
      <c r="AO26" s="24">
        <f t="shared" si="38"/>
        <v>11232.278751567794</v>
      </c>
      <c r="AP26" s="24">
        <f t="shared" si="38"/>
        <v>11288.440145325632</v>
      </c>
      <c r="AQ26" s="24">
        <f t="shared" si="38"/>
        <v>11344.88234605226</v>
      </c>
      <c r="AR26" s="24">
        <f t="shared" si="38"/>
        <v>11401.60675778252</v>
      </c>
      <c r="AS26" s="24">
        <f t="shared" si="38"/>
        <v>11458.614791571432</v>
      </c>
      <c r="AT26" s="24">
        <f t="shared" si="38"/>
        <v>11515.907865529287</v>
      </c>
      <c r="AU26" s="24">
        <f t="shared" si="38"/>
        <v>11573.487404856933</v>
      </c>
      <c r="AV26" s="24">
        <f t="shared" si="38"/>
        <v>11631.354841881217</v>
      </c>
      <c r="AW26" s="24">
        <f t="shared" si="38"/>
        <v>11689.511616090622</v>
      </c>
      <c r="AX26" s="24">
        <f t="shared" si="38"/>
        <v>11747.959174171074</v>
      </c>
      <c r="AY26" s="24">
        <f t="shared" si="38"/>
        <v>11806.698970041927</v>
      </c>
      <c r="AZ26" s="24">
        <f t="shared" si="38"/>
        <v>11865.732464892135</v>
      </c>
      <c r="BA26" s="24">
        <f t="shared" si="38"/>
        <v>11925.061127216595</v>
      </c>
      <c r="BB26" s="24">
        <f t="shared" ref="BB26:CG26" si="39">BA26*($F$2+1)</f>
        <v>11984.686432852677</v>
      </c>
      <c r="BC26" s="24">
        <f t="shared" si="39"/>
        <v>12044.609865016939</v>
      </c>
      <c r="BD26" s="24">
        <f t="shared" si="39"/>
        <v>12104.832914342021</v>
      </c>
      <c r="BE26" s="24">
        <f t="shared" si="39"/>
        <v>12165.35707891373</v>
      </c>
      <c r="BF26" s="24">
        <f t="shared" si="39"/>
        <v>12226.183864308297</v>
      </c>
      <c r="BG26" s="24">
        <f t="shared" si="39"/>
        <v>12287.314783629838</v>
      </c>
      <c r="BH26" s="24">
        <f t="shared" si="39"/>
        <v>12348.751357547986</v>
      </c>
      <c r="BI26" s="24">
        <f t="shared" si="39"/>
        <v>12410.495114335725</v>
      </c>
      <c r="BJ26" s="24">
        <f t="shared" si="39"/>
        <v>12472.547589907403</v>
      </c>
      <c r="BK26" s="24">
        <f t="shared" si="39"/>
        <v>12534.910327856938</v>
      </c>
      <c r="BL26" s="24">
        <f t="shared" si="39"/>
        <v>12597.584879496222</v>
      </c>
      <c r="BM26" s="24">
        <f t="shared" si="39"/>
        <v>12660.572803893701</v>
      </c>
      <c r="BN26" s="24">
        <f t="shared" si="39"/>
        <v>12723.875667913169</v>
      </c>
      <c r="BO26" s="24">
        <f t="shared" si="39"/>
        <v>12787.495046252734</v>
      </c>
      <c r="BP26" s="24">
        <f t="shared" si="39"/>
        <v>12851.432521483996</v>
      </c>
      <c r="BQ26" s="24">
        <f t="shared" si="39"/>
        <v>12915.689684091414</v>
      </c>
      <c r="BR26" s="24">
        <f t="shared" si="39"/>
        <v>12980.26813251187</v>
      </c>
      <c r="BS26" s="24">
        <f t="shared" si="39"/>
        <v>13045.169473174428</v>
      </c>
      <c r="BT26" s="24">
        <f t="shared" si="39"/>
        <v>13110.3953205403</v>
      </c>
      <c r="BU26" s="24">
        <f t="shared" si="39"/>
        <v>13175.947297143</v>
      </c>
      <c r="BV26" s="24">
        <f t="shared" si="39"/>
        <v>13241.827033628713</v>
      </c>
      <c r="BW26" s="24">
        <f t="shared" si="39"/>
        <v>13308.036168796856</v>
      </c>
      <c r="BX26" s="24">
        <f t="shared" si="39"/>
        <v>13374.57634964084</v>
      </c>
      <c r="BY26" s="24">
        <f t="shared" si="39"/>
        <v>13441.449231389042</v>
      </c>
      <c r="BZ26" s="24">
        <f t="shared" si="39"/>
        <v>13508.656477545986</v>
      </c>
      <c r="CA26" s="24">
        <f t="shared" si="39"/>
        <v>13576.199759933716</v>
      </c>
      <c r="CB26" s="24">
        <f t="shared" si="39"/>
        <v>13644.080758733382</v>
      </c>
      <c r="CC26" s="24">
        <f t="shared" si="39"/>
        <v>13712.301162527048</v>
      </c>
      <c r="CD26" s="24">
        <f t="shared" si="39"/>
        <v>13780.862668339681</v>
      </c>
      <c r="CE26" s="24">
        <f t="shared" si="39"/>
        <v>13849.766981681378</v>
      </c>
      <c r="CF26" s="24">
        <f t="shared" si="39"/>
        <v>13919.015816589783</v>
      </c>
      <c r="CG26" s="24">
        <f t="shared" si="39"/>
        <v>13988.610895672729</v>
      </c>
      <c r="CH26" s="24">
        <f t="shared" ref="CH26:DM26" si="40">CG26*($F$2+1)</f>
        <v>14058.553950151092</v>
      </c>
      <c r="CI26" s="24">
        <f t="shared" si="40"/>
        <v>14128.846719901847</v>
      </c>
      <c r="CJ26" s="24">
        <f t="shared" si="40"/>
        <v>14199.490953501354</v>
      </c>
      <c r="CK26" s="24">
        <f t="shared" si="40"/>
        <v>14270.488408268859</v>
      </c>
      <c r="CL26" s="24">
        <f t="shared" si="40"/>
        <v>14341.840850310202</v>
      </c>
      <c r="CM26" s="24">
        <f t="shared" si="40"/>
        <v>14413.550054561751</v>
      </c>
      <c r="CN26" s="24">
        <f t="shared" si="40"/>
        <v>14485.617804834557</v>
      </c>
      <c r="CO26" s="24">
        <f t="shared" si="40"/>
        <v>14558.045893858729</v>
      </c>
      <c r="CP26" s="24">
        <f t="shared" si="40"/>
        <v>14630.836123328021</v>
      </c>
      <c r="CQ26" s="24">
        <f t="shared" si="40"/>
        <v>14703.99030394466</v>
      </c>
      <c r="CR26" s="24">
        <f t="shared" si="40"/>
        <v>14777.510255464382</v>
      </c>
      <c r="CS26" s="24">
        <f t="shared" si="40"/>
        <v>14851.397806741703</v>
      </c>
      <c r="CT26" s="24">
        <f t="shared" si="40"/>
        <v>14925.65479577541</v>
      </c>
      <c r="CU26" s="24">
        <f t="shared" si="40"/>
        <v>15000.283069754285</v>
      </c>
      <c r="CV26" s="24">
        <f t="shared" si="40"/>
        <v>15075.284485103055</v>
      </c>
      <c r="CW26" s="24">
        <f t="shared" si="40"/>
        <v>15150.660907528569</v>
      </c>
      <c r="CX26" s="24">
        <f t="shared" si="40"/>
        <v>15226.414212066209</v>
      </c>
      <c r="CY26" s="24">
        <f t="shared" si="40"/>
        <v>15302.546283126538</v>
      </c>
      <c r="CZ26" s="24">
        <f t="shared" si="40"/>
        <v>15379.059014542168</v>
      </c>
      <c r="DA26" s="24">
        <f t="shared" si="40"/>
        <v>15455.954309614877</v>
      </c>
      <c r="DB26" s="24">
        <f t="shared" si="40"/>
        <v>15533.234081162949</v>
      </c>
      <c r="DC26" s="24">
        <f t="shared" si="40"/>
        <v>15610.900251568763</v>
      </c>
      <c r="DD26" s="24">
        <f t="shared" si="40"/>
        <v>15688.954752826605</v>
      </c>
      <c r="DE26" s="24">
        <f t="shared" si="40"/>
        <v>15767.399526590736</v>
      </c>
      <c r="DF26" s="24">
        <f t="shared" si="40"/>
        <v>15846.236524223688</v>
      </c>
      <c r="DG26" s="24">
        <f t="shared" si="40"/>
        <v>15925.467706844805</v>
      </c>
      <c r="DH26" s="24">
        <f t="shared" si="40"/>
        <v>16005.095045379028</v>
      </c>
      <c r="DI26" s="24">
        <f t="shared" si="40"/>
        <v>16085.120520605922</v>
      </c>
      <c r="DJ26" s="24">
        <f t="shared" si="40"/>
        <v>16165.546123208949</v>
      </c>
      <c r="DK26" s="24">
        <f t="shared" si="40"/>
        <v>16246.373853824993</v>
      </c>
      <c r="DL26" s="24">
        <f t="shared" si="40"/>
        <v>16327.605723094115</v>
      </c>
      <c r="DM26" s="24">
        <f t="shared" si="40"/>
        <v>16409.243751709582</v>
      </c>
      <c r="DN26" s="24">
        <f t="shared" ref="DN26:ES26" si="41">DM26*($F$2+1)</f>
        <v>16491.289970468129</v>
      </c>
      <c r="DO26" s="24">
        <f t="shared" si="41"/>
        <v>16573.746420320469</v>
      </c>
      <c r="DP26" s="24">
        <f t="shared" si="41"/>
        <v>16656.61515242207</v>
      </c>
      <c r="DQ26" s="24">
        <f t="shared" si="41"/>
        <v>16739.898228184178</v>
      </c>
      <c r="DR26" s="24">
        <f t="shared" si="41"/>
        <v>16823.597719325098</v>
      </c>
      <c r="DS26" s="24">
        <f t="shared" si="41"/>
        <v>16907.715707921721</v>
      </c>
      <c r="DT26" s="24">
        <f t="shared" si="41"/>
        <v>16992.254286461328</v>
      </c>
      <c r="DU26" s="24">
        <f t="shared" si="41"/>
        <v>17077.215557893633</v>
      </c>
      <c r="DV26" s="24">
        <f t="shared" si="41"/>
        <v>17162.601635683099</v>
      </c>
      <c r="DW26" s="24">
        <f t="shared" si="41"/>
        <v>17248.414643861513</v>
      </c>
      <c r="DX26" s="24">
        <f t="shared" si="41"/>
        <v>17334.656717080819</v>
      </c>
      <c r="DY26" s="24">
        <f t="shared" si="41"/>
        <v>17421.330000666221</v>
      </c>
      <c r="DZ26" s="24">
        <f t="shared" si="41"/>
        <v>17508.436650669551</v>
      </c>
      <c r="EA26" s="24">
        <f t="shared" si="41"/>
        <v>17595.978833922898</v>
      </c>
      <c r="EB26" s="24">
        <f t="shared" si="41"/>
        <v>17683.958728092512</v>
      </c>
      <c r="EC26" s="24">
        <f t="shared" si="41"/>
        <v>17772.378521732971</v>
      </c>
      <c r="ED26" s="24">
        <f t="shared" si="41"/>
        <v>17861.240414341635</v>
      </c>
      <c r="EE26" s="24">
        <f t="shared" si="41"/>
        <v>17950.546616413343</v>
      </c>
      <c r="EF26" s="24">
        <f t="shared" si="41"/>
        <v>18040.299349495406</v>
      </c>
      <c r="EG26" s="24">
        <f t="shared" si="41"/>
        <v>18130.500846242881</v>
      </c>
      <c r="EH26" s="24">
        <f t="shared" si="41"/>
        <v>18221.153350474095</v>
      </c>
      <c r="EI26" s="24">
        <f t="shared" si="41"/>
        <v>18312.259117226462</v>
      </c>
      <c r="EJ26" s="24">
        <f t="shared" si="41"/>
        <v>18403.820412812591</v>
      </c>
      <c r="EK26" s="24">
        <f t="shared" si="41"/>
        <v>18495.83951487665</v>
      </c>
      <c r="EL26" s="24">
        <f t="shared" si="41"/>
        <v>18588.318712451033</v>
      </c>
      <c r="EM26" s="24">
        <f t="shared" si="41"/>
        <v>18681.260306013286</v>
      </c>
      <c r="EN26" s="24">
        <f t="shared" si="41"/>
        <v>18774.66660754335</v>
      </c>
      <c r="EO26" s="24">
        <f t="shared" si="41"/>
        <v>18868.539940581064</v>
      </c>
      <c r="EP26" s="24">
        <f t="shared" si="41"/>
        <v>18962.882640283966</v>
      </c>
      <c r="EQ26" s="24">
        <f t="shared" si="41"/>
        <v>19057.697053485383</v>
      </c>
      <c r="ER26" s="24">
        <f t="shared" si="41"/>
        <v>19152.985538752808</v>
      </c>
      <c r="ES26" s="24">
        <f t="shared" si="41"/>
        <v>19248.75046644657</v>
      </c>
      <c r="ET26" s="24">
        <f t="shared" ref="ET26:FY26" si="42">ES26*($F$2+1)</f>
        <v>19344.9942187788</v>
      </c>
      <c r="EU26" s="24">
        <f t="shared" si="42"/>
        <v>19441.719189872692</v>
      </c>
      <c r="EV26" s="24">
        <f t="shared" si="42"/>
        <v>19538.927785822052</v>
      </c>
      <c r="EW26" s="24">
        <f t="shared" si="42"/>
        <v>19636.62242475116</v>
      </c>
      <c r="EX26" s="24">
        <f t="shared" si="42"/>
        <v>19734.805536874912</v>
      </c>
      <c r="EY26" s="24">
        <f t="shared" si="42"/>
        <v>19833.479564559286</v>
      </c>
      <c r="EZ26" s="24">
        <f t="shared" si="42"/>
        <v>19932.646962382081</v>
      </c>
      <c r="FA26" s="24">
        <f t="shared" si="42"/>
        <v>20032.31019719399</v>
      </c>
      <c r="FB26" s="24">
        <f t="shared" si="42"/>
        <v>20132.47174817996</v>
      </c>
      <c r="FC26" s="24">
        <f t="shared" si="42"/>
        <v>20233.134106920857</v>
      </c>
      <c r="FD26" s="24">
        <f t="shared" si="42"/>
        <v>20334.299777455461</v>
      </c>
      <c r="FE26" s="24">
        <f t="shared" si="42"/>
        <v>20435.971276342734</v>
      </c>
      <c r="FF26" s="24">
        <f t="shared" si="42"/>
        <v>20538.151132724444</v>
      </c>
      <c r="FG26" s="24">
        <f t="shared" si="42"/>
        <v>20640.841888388066</v>
      </c>
      <c r="FH26" s="24">
        <f t="shared" si="42"/>
        <v>20744.046097830003</v>
      </c>
      <c r="FI26" s="24">
        <f t="shared" si="42"/>
        <v>20847.76632831915</v>
      </c>
      <c r="FJ26" s="24">
        <f t="shared" si="42"/>
        <v>20952.005159960743</v>
      </c>
      <c r="FK26" s="24">
        <f t="shared" si="42"/>
        <v>21056.765185760545</v>
      </c>
      <c r="FL26" s="24">
        <f t="shared" si="42"/>
        <v>21162.049011689345</v>
      </c>
      <c r="FM26" s="24">
        <f t="shared" si="42"/>
        <v>21267.85925674779</v>
      </c>
      <c r="FN26" s="24">
        <f t="shared" si="42"/>
        <v>21374.198553031525</v>
      </c>
      <c r="FO26" s="24">
        <f t="shared" si="42"/>
        <v>21481.069545796679</v>
      </c>
      <c r="FP26" s="24">
        <f t="shared" si="42"/>
        <v>21588.474893525661</v>
      </c>
      <c r="FQ26" s="24">
        <f t="shared" si="42"/>
        <v>21696.417267993289</v>
      </c>
      <c r="FR26" s="24">
        <f t="shared" si="42"/>
        <v>21804.899354333254</v>
      </c>
      <c r="FS26" s="24">
        <f t="shared" si="42"/>
        <v>21913.923851104919</v>
      </c>
      <c r="FT26" s="24">
        <f t="shared" si="42"/>
        <v>22023.493470360441</v>
      </c>
      <c r="FU26" s="24">
        <f t="shared" si="42"/>
        <v>22133.610937712241</v>
      </c>
      <c r="FV26" s="24">
        <f t="shared" si="42"/>
        <v>22244.278992400799</v>
      </c>
      <c r="FW26" s="24">
        <f t="shared" si="42"/>
        <v>22355.500387362801</v>
      </c>
      <c r="FX26" s="24">
        <f t="shared" si="42"/>
        <v>22467.277889299614</v>
      </c>
      <c r="FY26" s="24">
        <f t="shared" si="42"/>
        <v>22579.61427874611</v>
      </c>
      <c r="FZ26" s="24">
        <f t="shared" ref="FZ26:GR26" si="43">FY26*($F$2+1)</f>
        <v>22692.512350139838</v>
      </c>
      <c r="GA26" s="24">
        <f t="shared" si="43"/>
        <v>22805.974911890535</v>
      </c>
      <c r="GB26" s="24">
        <f t="shared" si="43"/>
        <v>22920.004786449987</v>
      </c>
      <c r="GC26" s="24">
        <f t="shared" si="43"/>
        <v>23034.604810382232</v>
      </c>
      <c r="GD26" s="24">
        <f t="shared" si="43"/>
        <v>23149.777834434142</v>
      </c>
      <c r="GE26" s="24">
        <f t="shared" si="43"/>
        <v>23265.526723606312</v>
      </c>
      <c r="GF26" s="24">
        <f t="shared" si="43"/>
        <v>23381.85435722434</v>
      </c>
      <c r="GG26" s="24">
        <f t="shared" si="43"/>
        <v>23498.76362901046</v>
      </c>
      <c r="GH26" s="24">
        <f t="shared" si="43"/>
        <v>23616.257447155509</v>
      </c>
      <c r="GI26" s="24">
        <f t="shared" si="43"/>
        <v>23734.338734391284</v>
      </c>
      <c r="GJ26" s="24">
        <f t="shared" si="43"/>
        <v>23853.010428063237</v>
      </c>
      <c r="GK26" s="24">
        <f t="shared" si="43"/>
        <v>23972.275480203549</v>
      </c>
      <c r="GL26" s="24">
        <f t="shared" si="43"/>
        <v>24092.136857604564</v>
      </c>
      <c r="GM26" s="24">
        <f t="shared" si="43"/>
        <v>24212.597541892585</v>
      </c>
      <c r="GN26" s="24">
        <f t="shared" si="43"/>
        <v>24333.660529602046</v>
      </c>
      <c r="GO26" s="24">
        <f t="shared" si="43"/>
        <v>24455.328832250052</v>
      </c>
      <c r="GP26" s="24">
        <f t="shared" si="43"/>
        <v>24577.6054764113</v>
      </c>
      <c r="GQ26" s="24">
        <f t="shared" si="43"/>
        <v>24700.493503793354</v>
      </c>
      <c r="GR26" s="24">
        <f t="shared" si="43"/>
        <v>24823.995971312317</v>
      </c>
    </row>
    <row r="27" spans="1:200" x14ac:dyDescent="0.15">
      <c r="A27" s="3" t="s">
        <v>12</v>
      </c>
      <c r="B27" s="28">
        <f t="shared" ref="B27:C27" si="44">B26/B28</f>
        <v>-0.54319835189596344</v>
      </c>
      <c r="C27" s="28">
        <f t="shared" si="44"/>
        <v>-0.58256413520911576</v>
      </c>
      <c r="D27" s="28">
        <f t="shared" ref="D27:G27" si="45">D26/D28</f>
        <v>-0.27559743692305277</v>
      </c>
      <c r="E27" s="28">
        <f t="shared" si="45"/>
        <v>-6.638031257071024E-2</v>
      </c>
      <c r="F27" s="28">
        <f t="shared" si="45"/>
        <v>-2.5896966487050785</v>
      </c>
      <c r="G27" s="48">
        <f t="shared" si="45"/>
        <v>-2.8661114308191773</v>
      </c>
      <c r="H27" s="48">
        <f t="shared" ref="H27" si="46">H26/H28</f>
        <v>-0.11074105182845752</v>
      </c>
      <c r="I27" s="48">
        <f t="shared" ref="I27:P27" si="47">I26/I28</f>
        <v>1.5932916766392982</v>
      </c>
      <c r="J27" s="48">
        <f t="shared" si="47"/>
        <v>3.7379087951570757</v>
      </c>
      <c r="K27" s="48">
        <f t="shared" si="47"/>
        <v>6.0010036480885809</v>
      </c>
      <c r="L27" s="48">
        <f t="shared" si="47"/>
        <v>7.8134421896806394</v>
      </c>
      <c r="M27" s="48">
        <f t="shared" si="47"/>
        <v>10.082663867814075</v>
      </c>
      <c r="N27" s="48">
        <f t="shared" si="47"/>
        <v>12.914213899646287</v>
      </c>
      <c r="O27" s="48">
        <f t="shared" si="47"/>
        <v>16.436875631204593</v>
      </c>
      <c r="P27" s="48">
        <f t="shared" si="47"/>
        <v>20.807637540321355</v>
      </c>
      <c r="Q27" s="48">
        <f t="shared" ref="Q27:U27" si="48">Q26/Q28</f>
        <v>23.708293996365214</v>
      </c>
      <c r="R27" s="48">
        <f t="shared" si="48"/>
        <v>26.942107963505418</v>
      </c>
      <c r="S27" s="48">
        <f t="shared" si="48"/>
        <v>30.544587536273283</v>
      </c>
      <c r="T27" s="48">
        <f t="shared" si="48"/>
        <v>34.55490191532693</v>
      </c>
      <c r="U27" s="48">
        <f t="shared" si="48"/>
        <v>39.016253045128735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s="16" customFormat="1" x14ac:dyDescent="0.15">
      <c r="A28" s="16" t="s">
        <v>13</v>
      </c>
      <c r="B28" s="23">
        <v>248.52799999999999</v>
      </c>
      <c r="C28" s="23">
        <v>251.34399999999999</v>
      </c>
      <c r="D28" s="23">
        <v>255.006</v>
      </c>
      <c r="E28" s="23">
        <v>256.32600000000002</v>
      </c>
      <c r="F28" s="23">
        <v>260.55599999999998</v>
      </c>
      <c r="G28" s="23">
        <f t="shared" ref="G28" si="49">F28</f>
        <v>260.55599999999998</v>
      </c>
      <c r="H28" s="23">
        <f t="shared" ref="H28" si="50">G28</f>
        <v>260.55599999999998</v>
      </c>
      <c r="I28" s="23">
        <f t="shared" ref="I28" si="51">H28</f>
        <v>260.55599999999998</v>
      </c>
      <c r="J28" s="23">
        <f t="shared" ref="J28" si="52">I28</f>
        <v>260.55599999999998</v>
      </c>
      <c r="K28" s="23">
        <f t="shared" ref="K28" si="53">J28</f>
        <v>260.55599999999998</v>
      </c>
      <c r="L28" s="23">
        <f t="shared" ref="L28" si="54">K28</f>
        <v>260.55599999999998</v>
      </c>
      <c r="M28" s="23">
        <f t="shared" ref="M28" si="55">L28</f>
        <v>260.55599999999998</v>
      </c>
      <c r="N28" s="23">
        <f t="shared" ref="N28" si="56">M28</f>
        <v>260.55599999999998</v>
      </c>
      <c r="O28" s="23">
        <f t="shared" ref="O28" si="57">N28</f>
        <v>260.55599999999998</v>
      </c>
      <c r="P28" s="23">
        <f t="shared" ref="P28:U28" si="58">O28</f>
        <v>260.55599999999998</v>
      </c>
      <c r="Q28" s="23">
        <f t="shared" si="58"/>
        <v>260.55599999999998</v>
      </c>
      <c r="R28" s="23">
        <f t="shared" si="58"/>
        <v>260.55599999999998</v>
      </c>
      <c r="S28" s="23">
        <f t="shared" si="58"/>
        <v>260.55599999999998</v>
      </c>
      <c r="T28" s="23">
        <f t="shared" si="58"/>
        <v>260.55599999999998</v>
      </c>
      <c r="U28" s="23">
        <f t="shared" si="58"/>
        <v>260.55599999999998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</row>
    <row r="29" spans="1:200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A30" s="3" t="s">
        <v>15</v>
      </c>
      <c r="B30" s="33">
        <f t="shared" ref="B30:C30" si="59">IFERROR(B17/B15,0)</f>
        <v>0.5571273122959739</v>
      </c>
      <c r="C30" s="33">
        <f t="shared" si="59"/>
        <v>0.58745475894794319</v>
      </c>
      <c r="D30" s="33">
        <f t="shared" ref="D30:P30" si="60">IFERROR(D17/D15,0)</f>
        <v>0.59246147414179762</v>
      </c>
      <c r="E30" s="33">
        <f>IFERROR(E17/E15,0)</f>
        <v>0.59665770806835183</v>
      </c>
      <c r="F30" s="33">
        <f t="shared" si="60"/>
        <v>0.58149844367782744</v>
      </c>
      <c r="G30" s="33">
        <f t="shared" si="60"/>
        <v>0.58149844367782744</v>
      </c>
      <c r="H30" s="33">
        <f>IFERROR(H17/H15,0)</f>
        <v>0.58149844367782744</v>
      </c>
      <c r="I30" s="33">
        <f t="shared" si="60"/>
        <v>0.58149844367782744</v>
      </c>
      <c r="J30" s="33">
        <f t="shared" si="60"/>
        <v>0.58149844367782744</v>
      </c>
      <c r="K30" s="33">
        <f t="shared" si="60"/>
        <v>0.58149844367782744</v>
      </c>
      <c r="L30" s="33">
        <f t="shared" si="60"/>
        <v>0.58149844367782744</v>
      </c>
      <c r="M30" s="33">
        <f t="shared" si="60"/>
        <v>0.58149844367782744</v>
      </c>
      <c r="N30" s="33">
        <f t="shared" si="60"/>
        <v>0.58149844367782744</v>
      </c>
      <c r="O30" s="33">
        <f t="shared" si="60"/>
        <v>0.58149844367782744</v>
      </c>
      <c r="P30" s="33">
        <f t="shared" si="60"/>
        <v>0.58149844367782744</v>
      </c>
      <c r="Q30" s="33">
        <f t="shared" ref="Q30:U30" si="61">IFERROR(Q17/Q15,0)</f>
        <v>0.58149844367782744</v>
      </c>
      <c r="R30" s="33">
        <f t="shared" si="61"/>
        <v>0.58149844367782744</v>
      </c>
      <c r="S30" s="33">
        <f t="shared" si="61"/>
        <v>0.58149844367782744</v>
      </c>
      <c r="T30" s="33">
        <f t="shared" si="61"/>
        <v>0.58149844367782744</v>
      </c>
      <c r="U30" s="33">
        <f t="shared" si="61"/>
        <v>0.58149844367782733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3" t="s">
        <v>16</v>
      </c>
      <c r="B31" s="35">
        <f t="shared" ref="B31:C31" si="62">IFERROR(B22/B15,0)</f>
        <v>-0.13384113166485309</v>
      </c>
      <c r="C31" s="35">
        <f t="shared" si="62"/>
        <v>-7.9986663251943715E-2</v>
      </c>
      <c r="D31" s="35">
        <f t="shared" ref="D31:P31" si="63">IFERROR(D22/D15,0)</f>
        <v>-3.2118642115983746E-2</v>
      </c>
      <c r="E31" s="35">
        <f>IFERROR(E22/E15,0)</f>
        <v>5.1985427103342779E-3</v>
      </c>
      <c r="F31" s="35">
        <f t="shared" si="63"/>
        <v>-0.10441957205458469</v>
      </c>
      <c r="G31" s="35">
        <f>IFERROR(G22/G15,0)</f>
        <v>-0.12051120545561061</v>
      </c>
      <c r="H31" s="35">
        <f t="shared" si="63"/>
        <v>-1.4908197772707178E-2</v>
      </c>
      <c r="I31" s="35">
        <f t="shared" si="63"/>
        <v>5.4321574200627804E-2</v>
      </c>
      <c r="J31" s="35">
        <f t="shared" si="63"/>
        <v>9.6033596243273456E-2</v>
      </c>
      <c r="K31" s="35">
        <f t="shared" si="63"/>
        <v>0.11513076963545647</v>
      </c>
      <c r="L31" s="35">
        <f t="shared" si="63"/>
        <v>0.12440010786715554</v>
      </c>
      <c r="M31" s="35">
        <f t="shared" si="63"/>
        <v>0.13328322367253387</v>
      </c>
      <c r="N31" s="35">
        <f t="shared" si="63"/>
        <v>0.14179620965268805</v>
      </c>
      <c r="O31" s="35">
        <f t="shared" si="63"/>
        <v>0.14995448788366902</v>
      </c>
      <c r="P31" s="35">
        <f t="shared" si="63"/>
        <v>0.15777283785502605</v>
      </c>
      <c r="Q31" s="35">
        <f t="shared" ref="Q31:U31" si="64">IFERROR(Q22/Q15,0)</f>
        <v>0.16192086585776841</v>
      </c>
      <c r="R31" s="35">
        <f t="shared" si="64"/>
        <v>0.16588034713311331</v>
      </c>
      <c r="S31" s="35">
        <f t="shared" si="64"/>
        <v>0.16965985198685177</v>
      </c>
      <c r="T31" s="35">
        <f t="shared" si="64"/>
        <v>0.17326756116542033</v>
      </c>
      <c r="U31" s="35">
        <f t="shared" si="64"/>
        <v>0.17671128356314469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17</v>
      </c>
      <c r="B32" s="35">
        <f t="shared" ref="B32:C32" si="65">IFERROR(B25/B24,0)</f>
        <v>-3.8461538461538464E-2</v>
      </c>
      <c r="C32" s="35">
        <f t="shared" si="65"/>
        <v>-8.1226370510396995E-2</v>
      </c>
      <c r="D32" s="35">
        <f t="shared" ref="D32:P32" si="66">IFERROR(D25/D24,0)</f>
        <v>-0.18556318426424198</v>
      </c>
      <c r="E32" s="35">
        <f>IFERROR(E25/E24,0)</f>
        <v>1.3621368521868644</v>
      </c>
      <c r="F32" s="35">
        <f t="shared" si="66"/>
        <v>-0.63872003419459278</v>
      </c>
      <c r="G32" s="35">
        <f t="shared" si="66"/>
        <v>-2.0748201997665822E-2</v>
      </c>
      <c r="H32" s="35">
        <f t="shared" si="66"/>
        <v>0.1</v>
      </c>
      <c r="I32" s="35">
        <f t="shared" si="66"/>
        <v>0.1</v>
      </c>
      <c r="J32" s="35">
        <f t="shared" si="66"/>
        <v>0.1</v>
      </c>
      <c r="K32" s="35">
        <f t="shared" si="66"/>
        <v>0.1</v>
      </c>
      <c r="L32" s="35">
        <f t="shared" si="66"/>
        <v>0.1</v>
      </c>
      <c r="M32" s="35">
        <f t="shared" si="66"/>
        <v>0.1</v>
      </c>
      <c r="N32" s="35">
        <f t="shared" si="66"/>
        <v>0.1</v>
      </c>
      <c r="O32" s="35">
        <f t="shared" si="66"/>
        <v>0.1</v>
      </c>
      <c r="P32" s="35">
        <f t="shared" si="66"/>
        <v>0.1</v>
      </c>
      <c r="Q32" s="35">
        <f t="shared" ref="Q32:U32" si="67">IFERROR(Q25/Q24,0)</f>
        <v>0.1</v>
      </c>
      <c r="R32" s="35">
        <f t="shared" si="67"/>
        <v>0.1</v>
      </c>
      <c r="S32" s="35">
        <f t="shared" si="67"/>
        <v>0.1</v>
      </c>
      <c r="T32" s="35">
        <f t="shared" si="67"/>
        <v>0.1</v>
      </c>
      <c r="U32" s="35">
        <f t="shared" si="67"/>
        <v>0.1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2" t="s">
        <v>14</v>
      </c>
      <c r="B34" s="49"/>
      <c r="C34" s="49"/>
      <c r="D34" s="49"/>
      <c r="E34" s="49">
        <f t="shared" ref="E34:U34" si="68">E15/D15-1</f>
        <v>0.42559825991979605</v>
      </c>
      <c r="F34" s="49">
        <f>F15/E15-1</f>
        <v>0.31578826309527552</v>
      </c>
      <c r="G34" s="49">
        <f t="shared" si="68"/>
        <v>-0.26849603110271925</v>
      </c>
      <c r="H34" s="49">
        <f t="shared" si="68"/>
        <v>0.5</v>
      </c>
      <c r="I34" s="49">
        <f t="shared" si="68"/>
        <v>0.44999999999999996</v>
      </c>
      <c r="J34" s="49">
        <f t="shared" si="68"/>
        <v>0.39999999999999991</v>
      </c>
      <c r="K34" s="49">
        <f t="shared" si="68"/>
        <v>0.35000000000000009</v>
      </c>
      <c r="L34" s="49">
        <f t="shared" si="68"/>
        <v>0.19999999999999996</v>
      </c>
      <c r="M34" s="49">
        <f t="shared" si="68"/>
        <v>0.19999999999999996</v>
      </c>
      <c r="N34" s="49">
        <f t="shared" si="68"/>
        <v>0.19999999999999996</v>
      </c>
      <c r="O34" s="49">
        <f t="shared" si="68"/>
        <v>0.19999999999999996</v>
      </c>
      <c r="P34" s="49">
        <f t="shared" si="68"/>
        <v>0.19999999999999996</v>
      </c>
      <c r="Q34" s="49">
        <f t="shared" si="68"/>
        <v>0.10000000000000009</v>
      </c>
      <c r="R34" s="49">
        <f t="shared" si="68"/>
        <v>0.10000000000000009</v>
      </c>
      <c r="S34" s="49">
        <f t="shared" si="68"/>
        <v>0.10000000000000009</v>
      </c>
      <c r="T34" s="49">
        <f t="shared" si="68"/>
        <v>0.10000000000000009</v>
      </c>
      <c r="U34" s="49">
        <f t="shared" si="68"/>
        <v>0.10000000000000009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3" t="s">
        <v>30</v>
      </c>
      <c r="B35" s="35"/>
      <c r="C35" s="35"/>
      <c r="D35" s="35"/>
      <c r="E35" s="35">
        <f t="shared" ref="E35:U35" si="69">E18/D18-1</f>
        <v>0.44389027431421457</v>
      </c>
      <c r="F35" s="35">
        <f t="shared" si="69"/>
        <v>0.68739205526770286</v>
      </c>
      <c r="G35" s="35">
        <f t="shared" si="69"/>
        <v>-6.1003070624360278E-2</v>
      </c>
      <c r="H35" s="35">
        <f t="shared" si="69"/>
        <v>0.39999999999999991</v>
      </c>
      <c r="I35" s="35">
        <f t="shared" si="69"/>
        <v>0.39999999999999991</v>
      </c>
      <c r="J35" s="35">
        <f t="shared" si="69"/>
        <v>0.39999999999999991</v>
      </c>
      <c r="K35" s="35">
        <f t="shared" si="69"/>
        <v>0.39999999999999991</v>
      </c>
      <c r="L35" s="35">
        <f t="shared" si="69"/>
        <v>0.19999999999999996</v>
      </c>
      <c r="M35" s="35">
        <f t="shared" si="69"/>
        <v>0.19999999999999996</v>
      </c>
      <c r="N35" s="35">
        <f t="shared" si="69"/>
        <v>0.19999999999999996</v>
      </c>
      <c r="O35" s="35">
        <f t="shared" si="69"/>
        <v>0.19999999999999996</v>
      </c>
      <c r="P35" s="35">
        <f t="shared" si="69"/>
        <v>0.19999999999999996</v>
      </c>
      <c r="Q35" s="35">
        <f>Q18/P18-1</f>
        <v>0.10000000000000009</v>
      </c>
      <c r="R35" s="35">
        <f t="shared" si="69"/>
        <v>0.10000000000000009</v>
      </c>
      <c r="S35" s="35">
        <f t="shared" si="69"/>
        <v>0.10000000000000009</v>
      </c>
      <c r="T35" s="35">
        <f t="shared" si="69"/>
        <v>0.10000000000000009</v>
      </c>
      <c r="U35" s="35">
        <f t="shared" si="69"/>
        <v>0.10000000000000009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31</v>
      </c>
      <c r="B36" s="35"/>
      <c r="C36" s="35"/>
      <c r="D36" s="35"/>
      <c r="E36" s="35">
        <f t="shared" ref="E36:U36" si="70">E19/D19-1</f>
        <v>0.26261467889908263</v>
      </c>
      <c r="F36" s="35">
        <f t="shared" si="70"/>
        <v>0.4732061762034514</v>
      </c>
      <c r="G36" s="35">
        <f t="shared" si="70"/>
        <v>-0.52928483353884093</v>
      </c>
      <c r="H36" s="35">
        <f t="shared" si="70"/>
        <v>0.19999999999999996</v>
      </c>
      <c r="I36" s="35">
        <f t="shared" si="70"/>
        <v>0.19999999999999996</v>
      </c>
      <c r="J36" s="35">
        <f t="shared" si="70"/>
        <v>0.19999999999999996</v>
      </c>
      <c r="K36" s="35">
        <f t="shared" si="70"/>
        <v>0.19999999999999996</v>
      </c>
      <c r="L36" s="35">
        <f t="shared" si="70"/>
        <v>0.14999999999999991</v>
      </c>
      <c r="M36" s="35">
        <f t="shared" si="70"/>
        <v>0.14999999999999991</v>
      </c>
      <c r="N36" s="35">
        <f t="shared" si="70"/>
        <v>0.14999999999999991</v>
      </c>
      <c r="O36" s="35">
        <f t="shared" si="70"/>
        <v>0.14999999999999991</v>
      </c>
      <c r="P36" s="35">
        <f t="shared" si="70"/>
        <v>0.14999999999999991</v>
      </c>
      <c r="Q36" s="35">
        <f t="shared" si="70"/>
        <v>0.10000000000000009</v>
      </c>
      <c r="R36" s="35">
        <f t="shared" si="70"/>
        <v>0.10000000000000009</v>
      </c>
      <c r="S36" s="35">
        <f t="shared" si="70"/>
        <v>0.10000000000000009</v>
      </c>
      <c r="T36" s="35">
        <f t="shared" si="70"/>
        <v>0.10000000000000009</v>
      </c>
      <c r="U36" s="35">
        <f t="shared" si="70"/>
        <v>0.10000000000000009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3" t="s">
        <v>32</v>
      </c>
      <c r="B37" s="35"/>
      <c r="C37" s="35"/>
      <c r="D37" s="35"/>
      <c r="E37" s="35">
        <f t="shared" ref="E37:U37" si="71">E20/D20-1</f>
        <v>0.46788990825688082</v>
      </c>
      <c r="F37" s="35">
        <f t="shared" si="71"/>
        <v>0.45208333333333339</v>
      </c>
      <c r="G37" s="35">
        <f t="shared" si="71"/>
        <v>0.12869440459110471</v>
      </c>
      <c r="H37" s="35">
        <f t="shared" si="71"/>
        <v>0.19999999999999996</v>
      </c>
      <c r="I37" s="35">
        <f t="shared" si="71"/>
        <v>0.19999999999999996</v>
      </c>
      <c r="J37" s="35">
        <f t="shared" si="71"/>
        <v>0.19999999999999996</v>
      </c>
      <c r="K37" s="35">
        <f t="shared" si="71"/>
        <v>0.19999999999999996</v>
      </c>
      <c r="L37" s="35">
        <f t="shared" si="71"/>
        <v>0.14999999999999991</v>
      </c>
      <c r="M37" s="35">
        <f t="shared" si="71"/>
        <v>0.14999999999999991</v>
      </c>
      <c r="N37" s="35">
        <f t="shared" si="71"/>
        <v>0.14999999999999991</v>
      </c>
      <c r="O37" s="35">
        <f t="shared" si="71"/>
        <v>0.14999999999999991</v>
      </c>
      <c r="P37" s="35">
        <f t="shared" si="71"/>
        <v>0.14999999999999991</v>
      </c>
      <c r="Q37" s="35">
        <f t="shared" si="71"/>
        <v>5.0000000000000044E-2</v>
      </c>
      <c r="R37" s="35">
        <f t="shared" si="71"/>
        <v>5.0000000000000044E-2</v>
      </c>
      <c r="S37" s="35">
        <f t="shared" si="71"/>
        <v>5.0000000000000044E-2</v>
      </c>
      <c r="T37" s="35">
        <f t="shared" si="71"/>
        <v>5.0000000000000044E-2</v>
      </c>
      <c r="U37" s="35">
        <f t="shared" si="71"/>
        <v>5.0000000000000044E-2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6" t="s">
        <v>75</v>
      </c>
      <c r="B38" s="44"/>
      <c r="C38" s="44"/>
      <c r="D38" s="44"/>
      <c r="E38" s="44">
        <f>E21/D21-1</f>
        <v>0.35000000000000009</v>
      </c>
      <c r="F38" s="44">
        <f t="shared" ref="F38:U38" si="72">F21/E21-1</f>
        <v>0.52592592592592591</v>
      </c>
      <c r="G38" s="44">
        <f t="shared" si="72"/>
        <v>-0.25133495145631057</v>
      </c>
      <c r="H38" s="44">
        <f t="shared" si="72"/>
        <v>0.27435564921381084</v>
      </c>
      <c r="I38" s="44">
        <f t="shared" si="72"/>
        <v>0.28168670101125737</v>
      </c>
      <c r="J38" s="44">
        <f t="shared" si="72"/>
        <v>0.28922725134428595</v>
      </c>
      <c r="K38" s="44">
        <f t="shared" si="72"/>
        <v>0.29689381895375511</v>
      </c>
      <c r="L38" s="44">
        <f>L21/K21-1</f>
        <v>0.17614927771124145</v>
      </c>
      <c r="M38" s="44">
        <f t="shared" si="72"/>
        <v>0.17667954982258083</v>
      </c>
      <c r="N38" s="44">
        <f t="shared" si="72"/>
        <v>0.1772083081514626</v>
      </c>
      <c r="O38" s="44">
        <f t="shared" si="72"/>
        <v>0.17773508270004035</v>
      </c>
      <c r="P38" s="44">
        <f t="shared" si="72"/>
        <v>0.17825941056603867</v>
      </c>
      <c r="Q38" s="44">
        <f t="shared" si="72"/>
        <v>8.9231637785598616E-2</v>
      </c>
      <c r="R38" s="44">
        <f t="shared" si="72"/>
        <v>8.9619489617370984E-2</v>
      </c>
      <c r="S38" s="44">
        <f t="shared" si="72"/>
        <v>8.9996933786868905E-2</v>
      </c>
      <c r="T38" s="44">
        <f t="shared" si="72"/>
        <v>9.0363991679043298E-2</v>
      </c>
      <c r="U38" s="44">
        <f t="shared" si="72"/>
        <v>9.0720705366082344E-2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A40" s="2" t="s">
        <v>18</v>
      </c>
      <c r="B40" s="44"/>
      <c r="C40" s="44"/>
      <c r="D40" s="44"/>
      <c r="E40" s="24">
        <f>E41-E42</f>
        <v>2888</v>
      </c>
      <c r="F40" s="24">
        <f>F41-F42</f>
        <v>3074</v>
      </c>
      <c r="G40" s="50">
        <f>F40+G26</f>
        <v>2327.2174700314786</v>
      </c>
      <c r="H40" s="50">
        <f>G40+H26</f>
        <v>2298.3632245312629</v>
      </c>
      <c r="I40" s="50">
        <f t="shared" ref="I40:U40" si="73">H40+I26</f>
        <v>2713.5049306296919</v>
      </c>
      <c r="J40" s="50">
        <f t="shared" si="73"/>
        <v>3687.439494660639</v>
      </c>
      <c r="K40" s="50">
        <f t="shared" si="73"/>
        <v>5251.0370011920077</v>
      </c>
      <c r="L40" s="50">
        <f t="shared" si="73"/>
        <v>7286.8762443664364</v>
      </c>
      <c r="M40" s="50">
        <f t="shared" si="73"/>
        <v>9913.974811108601</v>
      </c>
      <c r="N40" s="50">
        <f t="shared" si="73"/>
        <v>13278.850727944839</v>
      </c>
      <c r="O40" s="50">
        <f t="shared" si="73"/>
        <v>17561.577294908981</v>
      </c>
      <c r="P40" s="50">
        <f t="shared" si="73"/>
        <v>22983.132101864951</v>
      </c>
      <c r="Q40" s="50">
        <f t="shared" si="73"/>
        <v>29160.470352381883</v>
      </c>
      <c r="R40" s="50">
        <f t="shared" si="73"/>
        <v>36180.398234920998</v>
      </c>
      <c r="S40" s="50">
        <f t="shared" si="73"/>
        <v>44138.973785022215</v>
      </c>
      <c r="T40" s="50">
        <f t="shared" si="73"/>
        <v>53142.46080847214</v>
      </c>
      <c r="U40" s="50">
        <f t="shared" si="73"/>
        <v>63308.379636898702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19</v>
      </c>
      <c r="B41" s="44"/>
      <c r="C41" s="44"/>
      <c r="D41" s="44"/>
      <c r="E41" s="51">
        <f>Reports!E31</f>
        <v>2888</v>
      </c>
      <c r="F41" s="51">
        <f>Reports!I31</f>
        <v>3074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23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20</v>
      </c>
      <c r="B42" s="44"/>
      <c r="C42" s="44"/>
      <c r="D42" s="44"/>
      <c r="E42" s="51">
        <f>Reports!E32</f>
        <v>0</v>
      </c>
      <c r="F42" s="51">
        <f>Reports!I32</f>
        <v>0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3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B43" s="44"/>
      <c r="C43" s="44"/>
      <c r="D43" s="44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3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44</v>
      </c>
      <c r="B44" s="44"/>
      <c r="C44" s="44"/>
      <c r="D44" s="44"/>
      <c r="E44" s="51">
        <f>Reports!E34</f>
        <v>0</v>
      </c>
      <c r="F44" s="51">
        <f>Reports!I34</f>
        <v>0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</row>
    <row r="45" spans="1:117" x14ac:dyDescent="0.15">
      <c r="A45" s="3" t="s">
        <v>45</v>
      </c>
      <c r="B45" s="44"/>
      <c r="C45" s="44"/>
      <c r="D45" s="44"/>
      <c r="E45" s="51">
        <f>Reports!E35</f>
        <v>6613</v>
      </c>
      <c r="F45" s="51">
        <f>Reports!I35</f>
        <v>8310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46</v>
      </c>
      <c r="B46" s="44"/>
      <c r="C46" s="44"/>
      <c r="D46" s="44"/>
      <c r="E46" s="51">
        <f>Reports!E36</f>
        <v>7390</v>
      </c>
      <c r="F46" s="51">
        <f>Reports!I36</f>
        <v>9736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B47" s="44"/>
      <c r="C47" s="44"/>
      <c r="D47" s="4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47</v>
      </c>
      <c r="B48" s="44"/>
      <c r="C48" s="44"/>
      <c r="D48" s="44"/>
      <c r="E48" s="55">
        <f>E45-E44-E41</f>
        <v>3725</v>
      </c>
      <c r="F48" s="55">
        <f>F45-F44-F41</f>
        <v>5236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</row>
    <row r="49" spans="1:117" x14ac:dyDescent="0.15">
      <c r="A49" s="3" t="s">
        <v>48</v>
      </c>
      <c r="B49" s="44"/>
      <c r="C49" s="44"/>
      <c r="D49" s="44"/>
      <c r="E49" s="55">
        <f>E45-E46</f>
        <v>-777</v>
      </c>
      <c r="F49" s="55">
        <f>F45-F46</f>
        <v>-1426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A51" s="18" t="s">
        <v>50</v>
      </c>
      <c r="B51" s="56"/>
      <c r="C51" s="56"/>
      <c r="D51" s="56"/>
      <c r="E51" s="56">
        <f>E26/E49</f>
        <v>2.1898326898326735E-2</v>
      </c>
      <c r="F51" s="56">
        <f>F26/F49</f>
        <v>0.47318443197755988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18" t="s">
        <v>51</v>
      </c>
      <c r="B52" s="56"/>
      <c r="C52" s="56"/>
      <c r="D52" s="56"/>
      <c r="E52" s="56">
        <f>E26/E45</f>
        <v>-2.5729623468924651E-3</v>
      </c>
      <c r="F52" s="56">
        <f>F26/F45</f>
        <v>-8.1198676293622193E-2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18" t="s">
        <v>52</v>
      </c>
      <c r="B53" s="56"/>
      <c r="C53" s="56"/>
      <c r="D53" s="56"/>
      <c r="E53" s="56">
        <f>E26/(E49-E44)</f>
        <v>2.1898326898326735E-2</v>
      </c>
      <c r="F53" s="56">
        <f>F26/(F49-F44)</f>
        <v>0.47318443197755988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  <row r="54" spans="1:117" x14ac:dyDescent="0.15">
      <c r="A54" s="18" t="s">
        <v>53</v>
      </c>
      <c r="B54" s="56"/>
      <c r="C54" s="56"/>
      <c r="D54" s="56"/>
      <c r="E54" s="56">
        <f>E26/E48</f>
        <v>-4.5677852348992949E-3</v>
      </c>
      <c r="F54" s="56">
        <f>F26/F48</f>
        <v>-0.12886955691367463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A56" s="6" t="s">
        <v>70</v>
      </c>
      <c r="B56" s="56"/>
      <c r="C56" s="56">
        <f>C10/B10-1</f>
        <v>0.8014972796517954</v>
      </c>
      <c r="D56" s="56">
        <f>D10/C10-1</f>
        <v>0.54732914707630465</v>
      </c>
      <c r="E56" s="56">
        <f>E10/D10-1</f>
        <v>0.42559825991979605</v>
      </c>
      <c r="F56" s="56">
        <f>F10/E10-1</f>
        <v>0.31578826309527552</v>
      </c>
      <c r="G56" s="56">
        <f t="shared" ref="G56:K56" si="74">G10/F10-1</f>
        <v>-0.26849603110271925</v>
      </c>
      <c r="H56" s="56">
        <f t="shared" si="74"/>
        <v>0.5</v>
      </c>
      <c r="I56" s="56">
        <f t="shared" si="74"/>
        <v>0.44999999999999996</v>
      </c>
      <c r="J56" s="56">
        <f t="shared" si="74"/>
        <v>0.39999999999999991</v>
      </c>
      <c r="K56" s="56">
        <f t="shared" si="74"/>
        <v>0.35000000000000009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8" spans="1:117" x14ac:dyDescent="0.15">
      <c r="A58" s="3" t="s">
        <v>66</v>
      </c>
      <c r="C58" s="19">
        <f t="shared" ref="C58:F59" si="75">C12/B12-1</f>
        <v>0.73618784530386727</v>
      </c>
      <c r="D58" s="19">
        <f t="shared" si="75"/>
        <v>0.47812251392203664</v>
      </c>
      <c r="E58" s="19">
        <f t="shared" si="75"/>
        <v>0.34714747039827776</v>
      </c>
      <c r="F58" s="19">
        <f t="shared" si="75"/>
        <v>0.30603276068717533</v>
      </c>
      <c r="G58" s="19"/>
      <c r="H58" s="19"/>
      <c r="I58" s="19"/>
      <c r="J58" s="19"/>
      <c r="K58" s="19"/>
    </row>
    <row r="59" spans="1:117" x14ac:dyDescent="0.15">
      <c r="A59" s="3" t="s">
        <v>72</v>
      </c>
      <c r="C59" s="19">
        <f t="shared" si="75"/>
        <v>3.7616571573508173E-2</v>
      </c>
      <c r="D59" s="19">
        <f t="shared" si="75"/>
        <v>4.6820633947747492E-2</v>
      </c>
      <c r="E59" s="19">
        <f t="shared" si="75"/>
        <v>5.8234745078298511E-2</v>
      </c>
      <c r="F59" s="19">
        <f t="shared" si="75"/>
        <v>7.4695694486004438E-3</v>
      </c>
      <c r="G59" s="19"/>
      <c r="H59" s="19"/>
      <c r="I59" s="19"/>
      <c r="J59" s="19"/>
      <c r="K59" s="19"/>
    </row>
    <row r="61" spans="1:117" s="16" customFormat="1" x14ac:dyDescent="0.15">
      <c r="A61" s="16" t="s">
        <v>67</v>
      </c>
      <c r="B61" s="16">
        <v>8057.7</v>
      </c>
      <c r="C61" s="16">
        <v>13924.8</v>
      </c>
      <c r="D61" s="16">
        <v>20975.3</v>
      </c>
      <c r="E61" s="16">
        <v>29440.7</v>
      </c>
      <c r="F61" s="16">
        <v>37962.6</v>
      </c>
    </row>
    <row r="62" spans="1:117" x14ac:dyDescent="0.15">
      <c r="A62" s="3" t="s">
        <v>68</v>
      </c>
      <c r="C62" s="19">
        <f>C61/B61-1</f>
        <v>0.72813582039539804</v>
      </c>
      <c r="D62" s="19">
        <f>D61/C61-1</f>
        <v>0.50632684131908534</v>
      </c>
      <c r="E62" s="19">
        <f>E61/D61-1</f>
        <v>0.40358898323265935</v>
      </c>
      <c r="F62" s="19">
        <f>F61/E61-1</f>
        <v>0.28945982941981674</v>
      </c>
    </row>
    <row r="64" spans="1:117" s="19" customFormat="1" x14ac:dyDescent="0.15">
      <c r="A64" s="19" t="s">
        <v>76</v>
      </c>
      <c r="B64" s="19">
        <f>B15/B61</f>
        <v>0.11405239708601711</v>
      </c>
      <c r="C64" s="19">
        <f>C15/C61</f>
        <v>0.11889405951970586</v>
      </c>
      <c r="D64" s="19">
        <f>D15/D61</f>
        <v>0.12213036285535844</v>
      </c>
      <c r="E64" s="19">
        <f>E15/E61</f>
        <v>0.12404545408227385</v>
      </c>
      <c r="F64" s="19">
        <f>F15/F61</f>
        <v>0.12657823752851491</v>
      </c>
    </row>
  </sheetData>
  <hyperlinks>
    <hyperlink ref="A1" r:id="rId1" xr:uid="{00000000-0004-0000-0000-000000000000}"/>
    <hyperlink ref="L4" r:id="rId2" xr:uid="{CBCA994A-BC74-CB48-8009-AD2DE8254A02}"/>
    <hyperlink ref="A4" r:id="rId3" xr:uid="{606FB931-DDDA-0844-8613-7FFB04EE7E4D}"/>
    <hyperlink ref="A7" r:id="rId4" xr:uid="{A829725C-CA8B-8146-B4EA-1D513093D185}"/>
    <hyperlink ref="A8" r:id="rId5" xr:uid="{34D0BF07-1AEB-874D-9377-D889FE649DD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="125" zoomScaleNormal="125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N35" sqref="N35"/>
    </sheetView>
  </sheetViews>
  <sheetFormatPr baseColWidth="10" defaultRowHeight="13" x14ac:dyDescent="0.15"/>
  <cols>
    <col min="1" max="1" width="17.16406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6384" width="10.83203125" style="6"/>
  </cols>
  <sheetData>
    <row r="1" spans="1:13" x14ac:dyDescent="0.15">
      <c r="A1" s="67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56</v>
      </c>
      <c r="K1" s="23" t="s">
        <v>62</v>
      </c>
      <c r="L1" s="23" t="s">
        <v>63</v>
      </c>
      <c r="M1" s="23" t="s">
        <v>57</v>
      </c>
    </row>
    <row r="2" spans="1:13" s="20" customFormat="1" x14ac:dyDescent="0.15">
      <c r="A2" s="1"/>
      <c r="B2" s="60">
        <v>43190</v>
      </c>
      <c r="C2" s="59">
        <v>43281</v>
      </c>
      <c r="D2" s="59">
        <v>43373</v>
      </c>
      <c r="E2" s="59">
        <v>43465</v>
      </c>
      <c r="F2" s="60">
        <v>43555</v>
      </c>
      <c r="G2" s="59">
        <v>43646</v>
      </c>
      <c r="H2" s="59">
        <v>43738</v>
      </c>
      <c r="I2" s="59">
        <v>43830</v>
      </c>
      <c r="J2" s="60">
        <v>43921</v>
      </c>
      <c r="K2" s="59">
        <v>44012</v>
      </c>
      <c r="L2" s="59">
        <v>44104</v>
      </c>
    </row>
    <row r="3" spans="1:13" s="8" customFormat="1" x14ac:dyDescent="0.15">
      <c r="A3" s="8" t="s">
        <v>69</v>
      </c>
      <c r="B3" s="22">
        <v>642.84</v>
      </c>
      <c r="C3" s="23">
        <v>903.43100000000004</v>
      </c>
      <c r="D3" s="23">
        <v>1265.127</v>
      </c>
      <c r="E3" s="23">
        <v>840.58699999999999</v>
      </c>
      <c r="F3" s="22">
        <v>839.00400000000002</v>
      </c>
      <c r="G3" s="23">
        <v>1213.6780000000001</v>
      </c>
      <c r="H3" s="23">
        <v>1645.761</v>
      </c>
      <c r="I3" s="23">
        <v>1106.796</v>
      </c>
      <c r="J3" s="22">
        <v>841.83</v>
      </c>
      <c r="K3" s="23">
        <v>334.774</v>
      </c>
      <c r="L3" s="23">
        <v>1342.3309999999999</v>
      </c>
      <c r="M3" s="23">
        <f>I3*0.9</f>
        <v>996.11640000000011</v>
      </c>
    </row>
    <row r="4" spans="1:13" s="39" customFormat="1" x14ac:dyDescent="0.15">
      <c r="B4" s="40"/>
      <c r="F4" s="40"/>
      <c r="J4" s="40"/>
    </row>
    <row r="5" spans="1:13" s="17" customFormat="1" x14ac:dyDescent="0.15">
      <c r="A5" s="17" t="s">
        <v>0</v>
      </c>
      <c r="B5" s="25">
        <f>SUM(B3:B3)</f>
        <v>642.84</v>
      </c>
      <c r="C5" s="24">
        <f>SUM(C3:C3)</f>
        <v>903.43100000000004</v>
      </c>
      <c r="D5" s="24">
        <f>SUM(D3:D3)</f>
        <v>1265.127</v>
      </c>
      <c r="E5" s="24">
        <f>SUM(E3:E3)</f>
        <v>840.58699999999999</v>
      </c>
      <c r="F5" s="25">
        <f>SUM(F3:F3)</f>
        <v>839.00400000000002</v>
      </c>
      <c r="G5" s="24">
        <f>SUM(G3:G3)</f>
        <v>1213.6780000000001</v>
      </c>
      <c r="H5" s="24">
        <f>SUM(H3:H3)</f>
        <v>1645.761</v>
      </c>
      <c r="I5" s="24">
        <f>SUM(I3:I3)</f>
        <v>1106.796</v>
      </c>
      <c r="J5" s="25">
        <f>SUM(J3:J3)</f>
        <v>841.83</v>
      </c>
      <c r="K5" s="24">
        <f>SUM(K3:K3)</f>
        <v>334.774</v>
      </c>
      <c r="L5" s="24">
        <f>SUM(L3:L3)</f>
        <v>1342.3309999999999</v>
      </c>
      <c r="M5" s="24">
        <f>SUM(M3:M3)</f>
        <v>996.11640000000011</v>
      </c>
    </row>
    <row r="6" spans="1:13" s="8" customFormat="1" x14ac:dyDescent="0.15">
      <c r="A6" s="8" t="s">
        <v>1</v>
      </c>
      <c r="B6" s="22">
        <f>203+128</f>
        <v>331</v>
      </c>
      <c r="C6" s="23">
        <f>218+154</f>
        <v>372</v>
      </c>
      <c r="D6" s="23">
        <f>227+170</f>
        <v>397</v>
      </c>
      <c r="E6" s="23">
        <f>216+157</f>
        <v>373</v>
      </c>
      <c r="F6" s="22">
        <f>281+167</f>
        <v>448</v>
      </c>
      <c r="G6" s="23">
        <f>313+211</f>
        <v>524</v>
      </c>
      <c r="H6" s="51">
        <f>309+223</f>
        <v>532</v>
      </c>
      <c r="I6" s="51">
        <f>294+214</f>
        <v>508</v>
      </c>
      <c r="J6" s="22">
        <f>278+222</f>
        <v>500</v>
      </c>
      <c r="K6" s="51">
        <f>161+160</f>
        <v>321</v>
      </c>
      <c r="L6" s="51">
        <f>227+166</f>
        <v>393</v>
      </c>
      <c r="M6" s="51">
        <f>M5-M7</f>
        <v>457.20000000000005</v>
      </c>
    </row>
    <row r="7" spans="1:13" s="8" customFormat="1" x14ac:dyDescent="0.15">
      <c r="A7" s="8" t="s">
        <v>2</v>
      </c>
      <c r="B7" s="27">
        <f>B5-B6</f>
        <v>311.84000000000003</v>
      </c>
      <c r="C7" s="26">
        <f>C5-C6</f>
        <v>531.43100000000004</v>
      </c>
      <c r="D7" s="26">
        <f t="shared" ref="D7:F7" si="0">D5-D6</f>
        <v>868.12699999999995</v>
      </c>
      <c r="E7" s="26">
        <f t="shared" si="0"/>
        <v>467.58699999999999</v>
      </c>
      <c r="F7" s="27">
        <f t="shared" si="0"/>
        <v>391.00400000000002</v>
      </c>
      <c r="G7" s="26">
        <f t="shared" ref="G7:L7" si="1">G5-G6</f>
        <v>689.67800000000011</v>
      </c>
      <c r="H7" s="26">
        <f t="shared" si="1"/>
        <v>1113.761</v>
      </c>
      <c r="I7" s="26">
        <f t="shared" si="1"/>
        <v>598.79600000000005</v>
      </c>
      <c r="J7" s="27">
        <f t="shared" ref="J7" si="2">J5-J6</f>
        <v>341.83000000000004</v>
      </c>
      <c r="K7" s="26">
        <f t="shared" si="1"/>
        <v>13.774000000000001</v>
      </c>
      <c r="L7" s="26">
        <f t="shared" si="1"/>
        <v>949.3309999999999</v>
      </c>
      <c r="M7" s="51">
        <f>M5*I20</f>
        <v>538.91640000000007</v>
      </c>
    </row>
    <row r="8" spans="1:13" s="8" customFormat="1" x14ac:dyDescent="0.15">
      <c r="A8" s="8" t="s">
        <v>3</v>
      </c>
      <c r="B8" s="22">
        <v>123</v>
      </c>
      <c r="C8" s="23">
        <v>154</v>
      </c>
      <c r="D8" s="23">
        <v>142</v>
      </c>
      <c r="E8" s="23">
        <v>160</v>
      </c>
      <c r="F8" s="22">
        <v>185</v>
      </c>
      <c r="G8" s="23">
        <v>232</v>
      </c>
      <c r="H8" s="51">
        <v>276</v>
      </c>
      <c r="I8" s="51">
        <v>283</v>
      </c>
      <c r="J8" s="22">
        <v>259</v>
      </c>
      <c r="K8" s="51">
        <v>218</v>
      </c>
      <c r="L8" s="51">
        <v>214</v>
      </c>
      <c r="M8" s="51">
        <f>I8*0.8</f>
        <v>226.4</v>
      </c>
    </row>
    <row r="9" spans="1:13" s="8" customFormat="1" x14ac:dyDescent="0.15">
      <c r="A9" s="8" t="s">
        <v>4</v>
      </c>
      <c r="B9" s="22">
        <v>232</v>
      </c>
      <c r="C9" s="23">
        <v>264</v>
      </c>
      <c r="D9" s="23">
        <v>306</v>
      </c>
      <c r="E9" s="23">
        <v>299</v>
      </c>
      <c r="F9" s="22">
        <v>367</v>
      </c>
      <c r="G9" s="23">
        <v>388</v>
      </c>
      <c r="H9" s="51">
        <v>430</v>
      </c>
      <c r="I9" s="51">
        <v>437</v>
      </c>
      <c r="J9" s="22">
        <v>317</v>
      </c>
      <c r="K9" s="51">
        <v>115</v>
      </c>
      <c r="L9" s="51">
        <v>113</v>
      </c>
      <c r="M9" s="51">
        <f>I9*0.5</f>
        <v>218.5</v>
      </c>
    </row>
    <row r="10" spans="1:13" s="8" customFormat="1" x14ac:dyDescent="0.15">
      <c r="A10" s="8" t="s">
        <v>5</v>
      </c>
      <c r="B10" s="22">
        <v>93</v>
      </c>
      <c r="C10" s="23">
        <v>102</v>
      </c>
      <c r="D10" s="23">
        <v>98</v>
      </c>
      <c r="E10" s="23">
        <v>187</v>
      </c>
      <c r="F10" s="22">
        <v>146</v>
      </c>
      <c r="G10" s="23">
        <v>169</v>
      </c>
      <c r="H10" s="51">
        <v>175</v>
      </c>
      <c r="I10" s="51">
        <v>207</v>
      </c>
      <c r="J10" s="22">
        <v>92</v>
      </c>
      <c r="K10" s="51">
        <f>150+114</f>
        <v>264</v>
      </c>
      <c r="L10" s="51">
        <f>180+23</f>
        <v>203</v>
      </c>
      <c r="M10" s="51">
        <f>I10*1.1</f>
        <v>227.70000000000002</v>
      </c>
    </row>
    <row r="11" spans="1:13" s="8" customFormat="1" x14ac:dyDescent="0.15">
      <c r="A11" s="8" t="s">
        <v>6</v>
      </c>
      <c r="B11" s="27">
        <f t="shared" ref="B11" si="3">SUM(B8:B10)</f>
        <v>448</v>
      </c>
      <c r="C11" s="26">
        <f t="shared" ref="C11:D11" si="4">SUM(C8:C10)</f>
        <v>520</v>
      </c>
      <c r="D11" s="26">
        <f t="shared" si="4"/>
        <v>546</v>
      </c>
      <c r="E11" s="26">
        <f t="shared" ref="E11:G11" si="5">SUM(E8:E10)</f>
        <v>646</v>
      </c>
      <c r="F11" s="27">
        <f t="shared" si="5"/>
        <v>698</v>
      </c>
      <c r="G11" s="26">
        <f t="shared" si="5"/>
        <v>789</v>
      </c>
      <c r="H11" s="26">
        <f t="shared" ref="H11:I11" si="6">SUM(H8:H10)</f>
        <v>881</v>
      </c>
      <c r="I11" s="26">
        <f t="shared" si="6"/>
        <v>927</v>
      </c>
      <c r="J11" s="27">
        <f t="shared" ref="J11:L11" si="7">SUM(J8:J10)</f>
        <v>668</v>
      </c>
      <c r="K11" s="26">
        <f t="shared" si="7"/>
        <v>597</v>
      </c>
      <c r="L11" s="26">
        <f t="shared" si="7"/>
        <v>530</v>
      </c>
      <c r="M11" s="26">
        <f t="shared" ref="M11" si="8">SUM(M8:M10)</f>
        <v>672.6</v>
      </c>
    </row>
    <row r="12" spans="1:13" s="8" customFormat="1" x14ac:dyDescent="0.15">
      <c r="A12" s="8" t="s">
        <v>7</v>
      </c>
      <c r="B12" s="27">
        <f t="shared" ref="B12:D12" si="9">B7-B11</f>
        <v>-136.15999999999997</v>
      </c>
      <c r="C12" s="26">
        <f t="shared" si="9"/>
        <v>11.43100000000004</v>
      </c>
      <c r="D12" s="26">
        <f t="shared" si="9"/>
        <v>322.12699999999995</v>
      </c>
      <c r="E12" s="26">
        <f t="shared" ref="E12:G12" si="10">E7-E11</f>
        <v>-178.41300000000001</v>
      </c>
      <c r="F12" s="27">
        <f t="shared" si="10"/>
        <v>-306.99599999999998</v>
      </c>
      <c r="G12" s="26">
        <f t="shared" si="10"/>
        <v>-99.321999999999889</v>
      </c>
      <c r="H12" s="26">
        <f t="shared" ref="H12:I12" si="11">H7-H11</f>
        <v>232.76099999999997</v>
      </c>
      <c r="I12" s="26">
        <f t="shared" si="11"/>
        <v>-328.20399999999995</v>
      </c>
      <c r="J12" s="27">
        <f t="shared" ref="J12:L12" si="12">J7-J11</f>
        <v>-326.16999999999996</v>
      </c>
      <c r="K12" s="26">
        <f t="shared" si="12"/>
        <v>-583.226</v>
      </c>
      <c r="L12" s="26">
        <f t="shared" si="12"/>
        <v>419.3309999999999</v>
      </c>
      <c r="M12" s="26">
        <f t="shared" ref="M12" si="13">M7-M11</f>
        <v>-133.68359999999996</v>
      </c>
    </row>
    <row r="13" spans="1:13" s="8" customFormat="1" x14ac:dyDescent="0.15">
      <c r="A13" s="8" t="s">
        <v>8</v>
      </c>
      <c r="B13" s="22">
        <f>10-5-2</f>
        <v>3</v>
      </c>
      <c r="C13" s="23">
        <f>16-6+0</f>
        <v>10</v>
      </c>
      <c r="D13" s="23">
        <f>20-5-6</f>
        <v>9</v>
      </c>
      <c r="E13" s="23">
        <f>21-10-5</f>
        <v>6</v>
      </c>
      <c r="F13" s="22">
        <f>22-2+7</f>
        <v>27</v>
      </c>
      <c r="G13" s="23">
        <f>24-2+6</f>
        <v>28</v>
      </c>
      <c r="H13" s="51">
        <f>22-3+29</f>
        <v>48</v>
      </c>
      <c r="I13" s="51">
        <f>17-3-28</f>
        <v>-14</v>
      </c>
      <c r="J13" s="22">
        <f>17+2-47</f>
        <v>-28</v>
      </c>
      <c r="K13" s="51">
        <f>6-49-13</f>
        <v>-56</v>
      </c>
      <c r="L13" s="51">
        <f>4-60-56</f>
        <v>-112</v>
      </c>
      <c r="M13" s="51">
        <f>L13</f>
        <v>-112</v>
      </c>
    </row>
    <row r="14" spans="1:13" s="8" customFormat="1" x14ac:dyDescent="0.15">
      <c r="A14" s="8" t="s">
        <v>9</v>
      </c>
      <c r="B14" s="27">
        <f t="shared" ref="B14" si="14">B12+B13</f>
        <v>-133.15999999999997</v>
      </c>
      <c r="C14" s="26">
        <f t="shared" ref="C14" si="15">C12+C13</f>
        <v>21.43100000000004</v>
      </c>
      <c r="D14" s="26">
        <f t="shared" ref="D14:H14" si="16">D12+D13</f>
        <v>331.12699999999995</v>
      </c>
      <c r="E14" s="26">
        <f t="shared" si="16"/>
        <v>-172.41300000000001</v>
      </c>
      <c r="F14" s="27">
        <f t="shared" si="16"/>
        <v>-279.99599999999998</v>
      </c>
      <c r="G14" s="26">
        <f t="shared" si="16"/>
        <v>-71.321999999999889</v>
      </c>
      <c r="H14" s="26">
        <f t="shared" si="16"/>
        <v>280.76099999999997</v>
      </c>
      <c r="I14" s="26">
        <f t="shared" ref="I14" si="17">I12+I13</f>
        <v>-342.20399999999995</v>
      </c>
      <c r="J14" s="27">
        <f t="shared" ref="J14:M14" si="18">J12+J13</f>
        <v>-354.16999999999996</v>
      </c>
      <c r="K14" s="26">
        <f t="shared" si="18"/>
        <v>-639.226</v>
      </c>
      <c r="L14" s="26">
        <f t="shared" si="18"/>
        <v>307.3309999999999</v>
      </c>
      <c r="M14" s="26">
        <f t="shared" si="18"/>
        <v>-245.68359999999996</v>
      </c>
    </row>
    <row r="15" spans="1:13" s="8" customFormat="1" x14ac:dyDescent="0.15">
      <c r="A15" s="8" t="s">
        <v>10</v>
      </c>
      <c r="B15" s="22">
        <v>14</v>
      </c>
      <c r="C15" s="23">
        <v>12</v>
      </c>
      <c r="D15" s="23">
        <v>-8</v>
      </c>
      <c r="E15" s="23">
        <v>46</v>
      </c>
      <c r="F15" s="22">
        <v>13</v>
      </c>
      <c r="G15" s="23">
        <v>225</v>
      </c>
      <c r="H15" s="23">
        <v>15</v>
      </c>
      <c r="I15" s="23">
        <v>10</v>
      </c>
      <c r="J15" s="22">
        <v>-16</v>
      </c>
      <c r="K15" s="23">
        <v>-64</v>
      </c>
      <c r="L15" s="23">
        <v>88</v>
      </c>
      <c r="M15" s="23">
        <f>M14*I22</f>
        <v>7.1794485160898169</v>
      </c>
    </row>
    <row r="16" spans="1:13" s="17" customFormat="1" x14ac:dyDescent="0.15">
      <c r="A16" s="17" t="s">
        <v>11</v>
      </c>
      <c r="B16" s="25">
        <f>B14-B15</f>
        <v>-147.15999999999997</v>
      </c>
      <c r="C16" s="24">
        <f>C14-C15</f>
        <v>9.43100000000004</v>
      </c>
      <c r="D16" s="24">
        <f>D14-D15</f>
        <v>339.12699999999995</v>
      </c>
      <c r="E16" s="24">
        <f>E14-E15</f>
        <v>-218.41300000000001</v>
      </c>
      <c r="F16" s="25">
        <f>F14-F15</f>
        <v>-292.99599999999998</v>
      </c>
      <c r="G16" s="24">
        <f>G14-G15</f>
        <v>-296.32199999999989</v>
      </c>
      <c r="H16" s="24">
        <f>H14-H15</f>
        <v>265.76099999999997</v>
      </c>
      <c r="I16" s="24">
        <f>I14-I15</f>
        <v>-352.20399999999995</v>
      </c>
      <c r="J16" s="25">
        <f>J14-J15</f>
        <v>-338.16999999999996</v>
      </c>
      <c r="K16" s="24">
        <f>K14-K15</f>
        <v>-575.226</v>
      </c>
      <c r="L16" s="24">
        <f>L14-L15</f>
        <v>219.3309999999999</v>
      </c>
      <c r="M16" s="24">
        <f>M14-M15</f>
        <v>-252.86304851608978</v>
      </c>
    </row>
    <row r="17" spans="1:13" s="4" customFormat="1" x14ac:dyDescent="0.15">
      <c r="A17" s="4" t="s">
        <v>12</v>
      </c>
      <c r="B17" s="62">
        <f t="shared" ref="B17:G17" si="19">IFERROR(B16/B18,0)</f>
        <v>0</v>
      </c>
      <c r="C17" s="61">
        <f t="shared" si="19"/>
        <v>0</v>
      </c>
      <c r="D17" s="61">
        <f t="shared" si="19"/>
        <v>0</v>
      </c>
      <c r="E17" s="61">
        <f t="shared" si="19"/>
        <v>0</v>
      </c>
      <c r="F17" s="62">
        <f t="shared" si="19"/>
        <v>0</v>
      </c>
      <c r="G17" s="61">
        <f t="shared" si="19"/>
        <v>0</v>
      </c>
      <c r="H17" s="61">
        <f t="shared" ref="H17:I17" si="20">IFERROR(H16/H18,0)</f>
        <v>0</v>
      </c>
      <c r="I17" s="61">
        <f t="shared" si="20"/>
        <v>0</v>
      </c>
      <c r="J17" s="62">
        <f t="shared" ref="J17:L17" si="21">IFERROR(J16/J18,0)</f>
        <v>0</v>
      </c>
      <c r="K17" s="61">
        <f t="shared" si="21"/>
        <v>0</v>
      </c>
      <c r="L17" s="61">
        <f t="shared" si="21"/>
        <v>0.41309551836819236</v>
      </c>
      <c r="M17" s="61">
        <f t="shared" ref="M17" si="22">IFERROR(M16/M18,0)</f>
        <v>0</v>
      </c>
    </row>
    <row r="18" spans="1:13" s="8" customFormat="1" x14ac:dyDescent="0.15">
      <c r="A18" s="8" t="s">
        <v>13</v>
      </c>
      <c r="B18" s="22"/>
      <c r="C18" s="23"/>
      <c r="D18" s="23"/>
      <c r="E18" s="23"/>
      <c r="F18" s="22"/>
      <c r="G18" s="23"/>
      <c r="H18" s="51"/>
      <c r="I18" s="51"/>
      <c r="J18" s="22"/>
      <c r="K18" s="51"/>
      <c r="L18" s="51">
        <v>530.94500000000005</v>
      </c>
      <c r="M18" s="51"/>
    </row>
    <row r="19" spans="1:13" s="41" customFormat="1" x14ac:dyDescent="0.15">
      <c r="B19" s="57"/>
      <c r="E19" s="39"/>
      <c r="F19" s="57"/>
      <c r="J19" s="57"/>
    </row>
    <row r="20" spans="1:13" x14ac:dyDescent="0.15">
      <c r="A20" s="6" t="s">
        <v>15</v>
      </c>
      <c r="B20" s="34">
        <f>IFERROR(B7/B5,0)</f>
        <v>0.48509738037458777</v>
      </c>
      <c r="C20" s="33">
        <f>IFERROR(C7/C5,0)</f>
        <v>0.58823640100904218</v>
      </c>
      <c r="D20" s="33">
        <f>IFERROR(D7/D5,0)</f>
        <v>0.68619751218652358</v>
      </c>
      <c r="E20" s="33">
        <f>IFERROR(E7/E5,0)</f>
        <v>0.55626246896513987</v>
      </c>
      <c r="F20" s="34">
        <f>IFERROR(F7/F5,0)</f>
        <v>0.46603353500102501</v>
      </c>
      <c r="G20" s="33">
        <f>IFERROR(G7/G5,0)</f>
        <v>0.56825451231710555</v>
      </c>
      <c r="H20" s="33">
        <f>IFERROR(H7/H5,0)</f>
        <v>0.6767452868308339</v>
      </c>
      <c r="I20" s="33">
        <f>IFERROR(I7/I5,0)</f>
        <v>0.54101749554570133</v>
      </c>
      <c r="J20" s="34">
        <f>IFERROR(J7/J5,0)</f>
        <v>0.40605585450744214</v>
      </c>
      <c r="K20" s="33">
        <f>IFERROR(K7/K5,0)</f>
        <v>4.114417487618513E-2</v>
      </c>
      <c r="L20" s="33">
        <f>IFERROR(L7/L5,0)</f>
        <v>0.70722571407499335</v>
      </c>
      <c r="M20" s="33">
        <f>IFERROR(M7/M5,0)</f>
        <v>0.54101749554570133</v>
      </c>
    </row>
    <row r="21" spans="1:13" x14ac:dyDescent="0.15">
      <c r="A21" s="6" t="s">
        <v>16</v>
      </c>
      <c r="B21" s="36">
        <f>IFERROR(B12/B5,0)</f>
        <v>-0.21181009271358342</v>
      </c>
      <c r="C21" s="35">
        <f>IFERROR(C12/C5,0)</f>
        <v>1.2652875537810901E-2</v>
      </c>
      <c r="D21" s="35">
        <f>IFERROR(D12/D5,0)</f>
        <v>0.25462028713322848</v>
      </c>
      <c r="E21" s="35">
        <f>IFERROR(E12/E5,0)</f>
        <v>-0.21224810757244642</v>
      </c>
      <c r="F21" s="36">
        <f>IFERROR(F12/F5,0)</f>
        <v>-0.3659052876982708</v>
      </c>
      <c r="G21" s="35">
        <f>IFERROR(G12/G5,0)</f>
        <v>-8.1835544518397696E-2</v>
      </c>
      <c r="H21" s="35">
        <f>IFERROR(H12/H5,0)</f>
        <v>0.1414306208495644</v>
      </c>
      <c r="I21" s="35">
        <f>IFERROR(I12/I5,0)</f>
        <v>-0.29653522419669021</v>
      </c>
      <c r="J21" s="36">
        <f>IFERROR(J12/J5,0)</f>
        <v>-0.38745352387061516</v>
      </c>
      <c r="K21" s="35">
        <f>IFERROR(K12/K5,0)</f>
        <v>-1.742148434466237</v>
      </c>
      <c r="L21" s="35">
        <f>IFERROR(L12/L5,0)</f>
        <v>0.31239016308198198</v>
      </c>
      <c r="M21" s="35">
        <f>IFERROR(M12/M5,0)</f>
        <v>-0.13420479775255176</v>
      </c>
    </row>
    <row r="22" spans="1:13" x14ac:dyDescent="0.15">
      <c r="A22" s="6" t="s">
        <v>17</v>
      </c>
      <c r="B22" s="36">
        <f>IFERROR(B15/B14,0)</f>
        <v>-0.10513667768098531</v>
      </c>
      <c r="C22" s="35">
        <f>IFERROR(C15/C14,0)</f>
        <v>0.55993654052540609</v>
      </c>
      <c r="D22" s="35">
        <f>IFERROR(D15/D14,0)</f>
        <v>-2.4159914473902765E-2</v>
      </c>
      <c r="E22" s="35">
        <f>IFERROR(E15/E14,0)</f>
        <v>-0.26680122728564548</v>
      </c>
      <c r="F22" s="36">
        <f>IFERROR(F15/F14,0)</f>
        <v>-4.642923470335291E-2</v>
      </c>
      <c r="G22" s="35">
        <f>IFERROR(G15/G14,0)</f>
        <v>-3.1547068225792931</v>
      </c>
      <c r="H22" s="35">
        <f>IFERROR(H15/H14,0)</f>
        <v>5.3426223727654487E-2</v>
      </c>
      <c r="I22" s="35">
        <f>IFERROR(I15/I14,0)</f>
        <v>-2.9222335215251725E-2</v>
      </c>
      <c r="J22" s="36">
        <f>IFERROR(J15/J14,0)</f>
        <v>4.5176045401925637E-2</v>
      </c>
      <c r="K22" s="35">
        <f>IFERROR(K15/K14,0)</f>
        <v>0.10012108393588497</v>
      </c>
      <c r="L22" s="35">
        <f>IFERROR(L15/L14,0)</f>
        <v>0.28633623031845151</v>
      </c>
      <c r="M22" s="35">
        <f>IFERROR(M15/M14,0)</f>
        <v>-2.9222335215251725E-2</v>
      </c>
    </row>
    <row r="23" spans="1:13" s="41" customFormat="1" x14ac:dyDescent="0.15">
      <c r="B23" s="57"/>
      <c r="E23" s="39"/>
      <c r="F23" s="57"/>
      <c r="J23" s="57"/>
    </row>
    <row r="24" spans="1:13" s="12" customFormat="1" x14ac:dyDescent="0.15">
      <c r="A24" s="12" t="s">
        <v>14</v>
      </c>
      <c r="B24" s="30"/>
      <c r="C24" s="29"/>
      <c r="D24" s="29"/>
      <c r="E24" s="29"/>
      <c r="F24" s="30">
        <f>IFERROR((F5/B5)-1,0)</f>
        <v>0.30515213739033031</v>
      </c>
      <c r="G24" s="29">
        <f>IFERROR((G5/C5)-1,0)</f>
        <v>0.3434097346670637</v>
      </c>
      <c r="H24" s="29">
        <f>IFERROR((H5/D5)-1,0)</f>
        <v>0.30086623714457117</v>
      </c>
      <c r="I24" s="29">
        <f>IFERROR((I5/E5)-1,0)</f>
        <v>0.31669416729023903</v>
      </c>
      <c r="J24" s="30">
        <f>IFERROR((J5/F5)-1,0)</f>
        <v>3.3682795314444736E-3</v>
      </c>
      <c r="K24" s="29">
        <f>IFERROR((K5/G5)-1,0)</f>
        <v>-0.7241657177603944</v>
      </c>
      <c r="L24" s="29">
        <f>IFERROR((L5/H5)-1,0)</f>
        <v>-0.18437063461827086</v>
      </c>
      <c r="M24" s="29">
        <f>IFERROR((M5/I5)-1,0)</f>
        <v>-9.9999999999999978E-2</v>
      </c>
    </row>
    <row r="25" spans="1:13" s="12" customFormat="1" x14ac:dyDescent="0.15">
      <c r="A25" s="6" t="s">
        <v>30</v>
      </c>
      <c r="B25" s="32"/>
      <c r="C25" s="31"/>
      <c r="D25" s="31"/>
      <c r="E25" s="31"/>
      <c r="F25" s="32">
        <f>F8/B8-1</f>
        <v>0.50406504065040658</v>
      </c>
      <c r="G25" s="31">
        <f>G8/C8-1</f>
        <v>0.50649350649350655</v>
      </c>
      <c r="H25" s="31">
        <f>H8/D8-1</f>
        <v>0.94366197183098599</v>
      </c>
      <c r="I25" s="31">
        <f>I8/E8-1</f>
        <v>0.76875000000000004</v>
      </c>
      <c r="J25" s="32">
        <f>J8/F8-1</f>
        <v>0.39999999999999991</v>
      </c>
      <c r="K25" s="31">
        <f>K8/G8-1</f>
        <v>-6.0344827586206851E-2</v>
      </c>
      <c r="L25" s="31">
        <f>L8/H8-1</f>
        <v>-0.22463768115942029</v>
      </c>
      <c r="M25" s="31">
        <f>M8/I8-1</f>
        <v>-0.19999999999999996</v>
      </c>
    </row>
    <row r="26" spans="1:13" s="12" customFormat="1" x14ac:dyDescent="0.15">
      <c r="A26" s="6" t="s">
        <v>31</v>
      </c>
      <c r="B26" s="32"/>
      <c r="C26" s="31"/>
      <c r="D26" s="31"/>
      <c r="E26" s="31"/>
      <c r="F26" s="32">
        <f>F9/B9-1</f>
        <v>0.5818965517241379</v>
      </c>
      <c r="G26" s="31">
        <f>G9/C9-1</f>
        <v>0.46969696969696972</v>
      </c>
      <c r="H26" s="31">
        <f>H9/D9-1</f>
        <v>0.40522875816993453</v>
      </c>
      <c r="I26" s="31">
        <f>I9/E9-1</f>
        <v>0.46153846153846145</v>
      </c>
      <c r="J26" s="32">
        <f>J9/F9-1</f>
        <v>-0.13623978201634879</v>
      </c>
      <c r="K26" s="31">
        <f>K9/G9-1</f>
        <v>-0.70360824742268036</v>
      </c>
      <c r="L26" s="31">
        <f>L9/H9-1</f>
        <v>-0.73720930232558146</v>
      </c>
      <c r="M26" s="31">
        <f>M9/I9-1</f>
        <v>-0.5</v>
      </c>
    </row>
    <row r="27" spans="1:13" s="12" customFormat="1" x14ac:dyDescent="0.15">
      <c r="A27" s="6" t="s">
        <v>32</v>
      </c>
      <c r="B27" s="32"/>
      <c r="C27" s="31"/>
      <c r="D27" s="31"/>
      <c r="E27" s="31"/>
      <c r="F27" s="32">
        <f>F10/B10-1</f>
        <v>0.56989247311827951</v>
      </c>
      <c r="G27" s="31">
        <f>G10/C10-1</f>
        <v>0.65686274509803932</v>
      </c>
      <c r="H27" s="31">
        <f>H10/D10-1</f>
        <v>0.78571428571428581</v>
      </c>
      <c r="I27" s="31">
        <f>I10/E10-1</f>
        <v>0.10695187165775399</v>
      </c>
      <c r="J27" s="32">
        <f>J10/F10-1</f>
        <v>-0.36986301369863017</v>
      </c>
      <c r="K27" s="31">
        <f>K10/G10-1</f>
        <v>0.56213017751479288</v>
      </c>
      <c r="L27" s="31">
        <f>L10/H10-1</f>
        <v>0.15999999999999992</v>
      </c>
      <c r="M27" s="31">
        <f>M10/I10-1</f>
        <v>0.10000000000000009</v>
      </c>
    </row>
    <row r="28" spans="1:13" x14ac:dyDescent="0.15">
      <c r="A28" s="6" t="s">
        <v>75</v>
      </c>
      <c r="B28" s="34"/>
      <c r="C28" s="33"/>
      <c r="D28" s="33"/>
      <c r="E28" s="33"/>
      <c r="F28" s="34">
        <f>F11/B11-1</f>
        <v>0.55803571428571419</v>
      </c>
      <c r="G28" s="33">
        <f>G11/C11-1</f>
        <v>0.51730769230769225</v>
      </c>
      <c r="H28" s="33">
        <f>H11/D11-1</f>
        <v>0.61355311355311359</v>
      </c>
      <c r="I28" s="33">
        <f>I11/E11-1</f>
        <v>0.43498452012383892</v>
      </c>
      <c r="J28" s="34">
        <f>J11/F11-1</f>
        <v>-4.2979942693409767E-2</v>
      </c>
      <c r="K28" s="33">
        <f>K11/G11-1</f>
        <v>-0.24334600760456271</v>
      </c>
      <c r="L28" s="33">
        <f>L11/H11-1</f>
        <v>-0.398410896708286</v>
      </c>
      <c r="M28" s="33">
        <f>M11/I11-1</f>
        <v>-0.27443365695792876</v>
      </c>
    </row>
    <row r="29" spans="1:13" x14ac:dyDescent="0.15">
      <c r="B29" s="45"/>
      <c r="C29" s="44"/>
      <c r="D29" s="44"/>
      <c r="E29" s="44"/>
      <c r="G29" s="44"/>
    </row>
    <row r="30" spans="1:13" s="17" customFormat="1" x14ac:dyDescent="0.15">
      <c r="A30" s="17" t="s">
        <v>18</v>
      </c>
      <c r="B30" s="45"/>
      <c r="C30" s="44"/>
      <c r="D30" s="44"/>
      <c r="E30" s="24">
        <f t="shared" ref="E30" si="23">E31-E32</f>
        <v>2888</v>
      </c>
      <c r="F30" s="21"/>
      <c r="G30" s="44"/>
      <c r="H30" s="20"/>
      <c r="I30" s="24">
        <f t="shared" ref="I30" si="24">I31-I32</f>
        <v>3074</v>
      </c>
      <c r="J30" s="21"/>
      <c r="K30" s="20"/>
      <c r="L30" s="24">
        <f t="shared" ref="J30:L30" si="25">L31-L32</f>
        <v>4551</v>
      </c>
      <c r="M30" s="46"/>
    </row>
    <row r="31" spans="1:13" s="8" customFormat="1" x14ac:dyDescent="0.15">
      <c r="A31" s="8" t="s">
        <v>19</v>
      </c>
      <c r="B31" s="22"/>
      <c r="C31" s="23"/>
      <c r="D31" s="23"/>
      <c r="E31" s="23">
        <v>2888</v>
      </c>
      <c r="F31" s="22"/>
      <c r="G31" s="23"/>
      <c r="H31" s="23"/>
      <c r="I31" s="23">
        <v>3074</v>
      </c>
      <c r="J31" s="22"/>
      <c r="K31" s="23"/>
      <c r="L31" s="23">
        <f>4495+56</f>
        <v>4551</v>
      </c>
      <c r="M31" s="23"/>
    </row>
    <row r="32" spans="1:13" s="8" customFormat="1" x14ac:dyDescent="0.15">
      <c r="A32" s="8" t="s">
        <v>20</v>
      </c>
      <c r="B32" s="22"/>
      <c r="C32" s="23"/>
      <c r="D32" s="23"/>
      <c r="E32" s="23">
        <v>0</v>
      </c>
      <c r="F32" s="22"/>
      <c r="G32" s="23"/>
      <c r="H32" s="23"/>
      <c r="I32" s="23">
        <v>0</v>
      </c>
      <c r="J32" s="22"/>
      <c r="K32" s="23"/>
      <c r="L32" s="23">
        <v>0</v>
      </c>
      <c r="M32" s="23"/>
    </row>
    <row r="33" spans="1:13" s="8" customFormat="1" x14ac:dyDescent="0.15">
      <c r="B33" s="22"/>
      <c r="C33" s="23"/>
      <c r="D33" s="23"/>
      <c r="E33" s="23"/>
      <c r="F33" s="22"/>
      <c r="G33" s="23"/>
      <c r="H33" s="23"/>
      <c r="I33" s="23"/>
      <c r="J33" s="22"/>
      <c r="K33" s="23"/>
      <c r="L33" s="23"/>
      <c r="M33" s="23"/>
    </row>
    <row r="34" spans="1:13" s="8" customFormat="1" x14ac:dyDescent="0.15">
      <c r="A34" s="63" t="s">
        <v>44</v>
      </c>
      <c r="B34" s="22"/>
      <c r="C34" s="23"/>
      <c r="D34" s="23"/>
      <c r="E34" s="23">
        <v>0</v>
      </c>
      <c r="F34" s="22"/>
      <c r="G34" s="23"/>
      <c r="H34" s="23"/>
      <c r="I34" s="23">
        <v>0</v>
      </c>
      <c r="J34" s="22"/>
      <c r="K34" s="23"/>
      <c r="L34" s="23">
        <v>0</v>
      </c>
      <c r="M34" s="23"/>
    </row>
    <row r="35" spans="1:13" s="8" customFormat="1" x14ac:dyDescent="0.15">
      <c r="A35" s="63" t="s">
        <v>45</v>
      </c>
      <c r="B35" s="22"/>
      <c r="C35" s="23"/>
      <c r="D35" s="23"/>
      <c r="E35" s="23">
        <v>6613</v>
      </c>
      <c r="F35" s="22"/>
      <c r="G35" s="23"/>
      <c r="H35" s="23"/>
      <c r="I35" s="23">
        <v>8310</v>
      </c>
      <c r="J35" s="22"/>
      <c r="K35" s="23"/>
      <c r="L35" s="23">
        <v>8728</v>
      </c>
      <c r="M35" s="23"/>
    </row>
    <row r="36" spans="1:13" s="8" customFormat="1" x14ac:dyDescent="0.15">
      <c r="A36" s="63" t="s">
        <v>46</v>
      </c>
      <c r="B36" s="22"/>
      <c r="C36" s="23"/>
      <c r="D36" s="23"/>
      <c r="E36" s="23">
        <f>3899+3232+259</f>
        <v>7390</v>
      </c>
      <c r="F36" s="22"/>
      <c r="G36" s="23"/>
      <c r="H36" s="23"/>
      <c r="I36" s="23">
        <f>5886+3232+618</f>
        <v>9736</v>
      </c>
      <c r="J36" s="22"/>
      <c r="K36" s="23"/>
      <c r="L36" s="23">
        <f>6873+3232+744</f>
        <v>10849</v>
      </c>
      <c r="M36" s="23"/>
    </row>
    <row r="37" spans="1:13" s="8" customFormat="1" x14ac:dyDescent="0.15">
      <c r="B37" s="22"/>
      <c r="C37" s="23"/>
      <c r="D37" s="23"/>
      <c r="E37" s="23"/>
      <c r="F37" s="22"/>
      <c r="G37" s="23"/>
      <c r="H37" s="23"/>
      <c r="I37" s="23"/>
      <c r="J37" s="22"/>
      <c r="K37" s="23"/>
      <c r="L37" s="23"/>
      <c r="M37" s="23"/>
    </row>
    <row r="38" spans="1:13" s="8" customFormat="1" x14ac:dyDescent="0.15">
      <c r="A38" s="63" t="s">
        <v>47</v>
      </c>
      <c r="B38" s="45"/>
      <c r="C38" s="44"/>
      <c r="D38" s="44"/>
      <c r="E38" s="26">
        <f t="shared" ref="E38" si="26">E35-E31-E34</f>
        <v>3725</v>
      </c>
      <c r="F38" s="21"/>
      <c r="G38" s="44"/>
      <c r="H38" s="20"/>
      <c r="I38" s="26">
        <f t="shared" ref="F38:J38" si="27">I35-I31-I34</f>
        <v>5236</v>
      </c>
      <c r="K38" s="20"/>
      <c r="L38" s="26">
        <f t="shared" ref="K38:L38" si="28">L35-L31-L34</f>
        <v>4177</v>
      </c>
      <c r="M38" s="23"/>
    </row>
    <row r="39" spans="1:13" s="8" customFormat="1" x14ac:dyDescent="0.15">
      <c r="A39" s="63" t="s">
        <v>48</v>
      </c>
      <c r="B39" s="45"/>
      <c r="C39" s="44"/>
      <c r="D39" s="44"/>
      <c r="E39" s="26">
        <f>E35-E36</f>
        <v>-777</v>
      </c>
      <c r="F39" s="21"/>
      <c r="G39" s="44"/>
      <c r="H39" s="20"/>
      <c r="I39" s="26">
        <f>I35-I36</f>
        <v>-1426</v>
      </c>
      <c r="J39" s="21"/>
      <c r="K39" s="20"/>
      <c r="L39" s="26">
        <f>L35-L36</f>
        <v>-2121</v>
      </c>
      <c r="M39" s="23"/>
    </row>
    <row r="40" spans="1:13" s="8" customFormat="1" x14ac:dyDescent="0.15">
      <c r="B40" s="45"/>
      <c r="C40" s="44"/>
      <c r="D40" s="44"/>
      <c r="E40" s="23"/>
      <c r="F40" s="21"/>
      <c r="G40" s="44"/>
      <c r="H40" s="20"/>
      <c r="I40" s="23"/>
      <c r="J40" s="21"/>
      <c r="K40" s="20"/>
      <c r="L40" s="23"/>
      <c r="M40" s="23"/>
    </row>
    <row r="41" spans="1:13" s="17" customFormat="1" x14ac:dyDescent="0.15">
      <c r="A41" s="64" t="s">
        <v>49</v>
      </c>
      <c r="B41" s="45"/>
      <c r="C41" s="44"/>
      <c r="D41" s="44"/>
      <c r="E41" s="24">
        <f t="shared" ref="E41:I41" si="29">SUM(B16:E16)</f>
        <v>-17.014999999999986</v>
      </c>
      <c r="F41" s="21"/>
      <c r="G41" s="44"/>
      <c r="H41" s="20"/>
      <c r="I41" s="24">
        <f t="shared" si="29"/>
        <v>-675.76099999999985</v>
      </c>
      <c r="J41" s="21"/>
      <c r="K41" s="20"/>
      <c r="L41" s="24">
        <f>SUM(I16:L16)</f>
        <v>-1046.269</v>
      </c>
      <c r="M41" s="46"/>
    </row>
    <row r="42" spans="1:13" x14ac:dyDescent="0.15">
      <c r="A42" s="18" t="s">
        <v>50</v>
      </c>
      <c r="B42" s="45"/>
      <c r="C42" s="44"/>
      <c r="D42" s="44"/>
      <c r="E42" s="33">
        <f t="shared" ref="E42" si="30">E41/E39</f>
        <v>2.1898326898326881E-2</v>
      </c>
      <c r="G42" s="44"/>
      <c r="I42" s="33">
        <f t="shared" ref="F42:J42" si="31">I41/I39</f>
        <v>0.47388569424964927</v>
      </c>
      <c r="L42" s="33">
        <f t="shared" ref="K42:L42" si="32">L41/L39</f>
        <v>0.49329042904290427</v>
      </c>
    </row>
    <row r="43" spans="1:13" x14ac:dyDescent="0.15">
      <c r="A43" s="18" t="s">
        <v>51</v>
      </c>
      <c r="B43" s="45"/>
      <c r="C43" s="44"/>
      <c r="D43" s="44"/>
      <c r="E43" s="33">
        <f t="shared" ref="E43" si="33">E41/E35</f>
        <v>-2.5729623468924824E-3</v>
      </c>
      <c r="G43" s="44"/>
      <c r="I43" s="33">
        <f t="shared" ref="F43:J43" si="34">I41/I35</f>
        <v>-8.1319013237063767E-2</v>
      </c>
      <c r="L43" s="33">
        <f t="shared" ref="K43:L43" si="35">L41/L35</f>
        <v>-0.119875</v>
      </c>
    </row>
    <row r="44" spans="1:13" x14ac:dyDescent="0.15">
      <c r="A44" s="18" t="s">
        <v>52</v>
      </c>
      <c r="B44" s="45"/>
      <c r="C44" s="44"/>
      <c r="D44" s="44"/>
      <c r="E44" s="33">
        <f t="shared" ref="E44" si="36">E41/(E39-E34)</f>
        <v>2.1898326898326881E-2</v>
      </c>
      <c r="G44" s="44"/>
      <c r="I44" s="33">
        <f t="shared" ref="F44:J44" si="37">I41/(I39-I34)</f>
        <v>0.47388569424964927</v>
      </c>
      <c r="L44" s="33">
        <f t="shared" ref="K44:L44" si="38">L41/(L39-L34)</f>
        <v>0.49329042904290427</v>
      </c>
    </row>
    <row r="45" spans="1:13" x14ac:dyDescent="0.15">
      <c r="A45" s="18" t="s">
        <v>53</v>
      </c>
      <c r="B45" s="45"/>
      <c r="C45" s="44"/>
      <c r="D45" s="44"/>
      <c r="E45" s="33">
        <f t="shared" ref="E45" si="39">E41/E38</f>
        <v>-4.5677852348993252E-3</v>
      </c>
      <c r="G45" s="44"/>
      <c r="I45" s="33">
        <f t="shared" ref="F45:J45" si="40">I41/I38</f>
        <v>-0.12906054239877768</v>
      </c>
      <c r="L45" s="33">
        <f t="shared" ref="K45:L45" si="41">L41/L38</f>
        <v>-0.25048336126406512</v>
      </c>
    </row>
    <row r="47" spans="1:13" s="69" customFormat="1" x14ac:dyDescent="0.15">
      <c r="A47" s="69" t="s">
        <v>70</v>
      </c>
      <c r="B47" s="34"/>
      <c r="C47" s="33"/>
      <c r="D47" s="33"/>
      <c r="E47" s="33"/>
      <c r="F47" s="34">
        <f>F3/B3-1</f>
        <v>0.30515213739033031</v>
      </c>
      <c r="G47" s="33">
        <f>G3/C3-1</f>
        <v>0.3434097346670637</v>
      </c>
      <c r="H47" s="33">
        <f>H3/D3-1</f>
        <v>0.30086623714457117</v>
      </c>
      <c r="I47" s="33">
        <f>I3/E3-1</f>
        <v>0.31669416729023903</v>
      </c>
      <c r="J47" s="34">
        <f>J3/F3-1</f>
        <v>3.3682795314444736E-3</v>
      </c>
      <c r="K47" s="33">
        <f>K3/G3-1</f>
        <v>-0.7241657177603944</v>
      </c>
      <c r="L47" s="33">
        <f>L3/H3-1</f>
        <v>-0.18437063461827086</v>
      </c>
      <c r="M47" s="33">
        <f>M3/I3-1</f>
        <v>-9.9999999999999978E-2</v>
      </c>
    </row>
    <row r="48" spans="1:13" x14ac:dyDescent="0.15">
      <c r="B48" s="34"/>
      <c r="C48" s="33"/>
      <c r="D48" s="33"/>
      <c r="E48" s="33"/>
      <c r="F48" s="34"/>
      <c r="G48" s="33"/>
      <c r="H48" s="33"/>
      <c r="I48" s="33"/>
      <c r="J48" s="34"/>
      <c r="K48" s="33"/>
      <c r="L48" s="33"/>
      <c r="M48" s="33"/>
    </row>
    <row r="49" spans="2:13" x14ac:dyDescent="0.15">
      <c r="B49" s="34"/>
      <c r="C49" s="33"/>
      <c r="D49" s="33"/>
      <c r="E49" s="33"/>
      <c r="F49" s="34"/>
      <c r="G49" s="33"/>
      <c r="H49" s="33"/>
      <c r="I49" s="33"/>
      <c r="J49" s="34"/>
      <c r="K49" s="33"/>
      <c r="L49" s="33"/>
      <c r="M49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zoomScale="120" zoomScaleNormal="120"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2021-02-18T22:09:14Z</dcterms:modified>
</cp:coreProperties>
</file>