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CAC5CC38-E4E1-814A-89CF-D535E657F49D}" xr6:coauthVersionLast="46" xr6:coauthVersionMax="46" xr10:uidLastSave="{00000000-0000-0000-0000-000000000000}"/>
  <bookViews>
    <workbookView xWindow="-56520" yWindow="-5940" windowWidth="282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E18" i="2"/>
  <c r="D18" i="2"/>
  <c r="H18" i="2"/>
  <c r="H67" i="2"/>
  <c r="G67" i="2"/>
  <c r="H70" i="2" s="1"/>
  <c r="F67" i="2"/>
  <c r="E67" i="2"/>
  <c r="E70" i="2"/>
  <c r="J28" i="2"/>
  <c r="E23" i="2"/>
  <c r="F23" i="2" s="1"/>
  <c r="G23" i="2" s="1"/>
  <c r="H23" i="2" s="1"/>
  <c r="I23" i="2" s="1"/>
  <c r="J23" i="2" s="1"/>
  <c r="K23" i="2" s="1"/>
  <c r="L23" i="2" s="1"/>
  <c r="M23" i="2" s="1"/>
  <c r="E22" i="2"/>
  <c r="F22" i="2" s="1"/>
  <c r="G22" i="2" s="1"/>
  <c r="H22" i="2" s="1"/>
  <c r="I22" i="2" s="1"/>
  <c r="J22" i="2" s="1"/>
  <c r="E21" i="2"/>
  <c r="F21" i="2" s="1"/>
  <c r="G21" i="2" s="1"/>
  <c r="H21" i="2" s="1"/>
  <c r="I21" i="2" s="1"/>
  <c r="D22" i="2"/>
  <c r="D21" i="2"/>
  <c r="D23" i="2"/>
  <c r="O18" i="2"/>
  <c r="P18" i="2" s="1"/>
  <c r="Q18" i="2" s="1"/>
  <c r="R18" i="2" s="1"/>
  <c r="N18" i="2"/>
  <c r="K18" i="2"/>
  <c r="L18" i="2" s="1"/>
  <c r="M18" i="2" s="1"/>
  <c r="J18" i="2"/>
  <c r="I18" i="2"/>
  <c r="C5" i="2"/>
  <c r="E68" i="2"/>
  <c r="G18" i="2"/>
  <c r="F18" i="2"/>
  <c r="D70" i="2"/>
  <c r="H15" i="2"/>
  <c r="G15" i="2"/>
  <c r="F15" i="2"/>
  <c r="E15" i="2"/>
  <c r="D15" i="2"/>
  <c r="F16" i="2"/>
  <c r="G16" i="2" s="1"/>
  <c r="E16" i="2"/>
  <c r="D16" i="2"/>
  <c r="F65" i="2"/>
  <c r="D65" i="2"/>
  <c r="D64" i="2"/>
  <c r="C65" i="2"/>
  <c r="C64" i="2"/>
  <c r="C62" i="2"/>
  <c r="C61" i="2"/>
  <c r="C60" i="2"/>
  <c r="C59" i="2"/>
  <c r="C70" i="2"/>
  <c r="B70" i="2"/>
  <c r="C16" i="2"/>
  <c r="B16" i="2"/>
  <c r="C15" i="2"/>
  <c r="B15" i="2"/>
  <c r="I11" i="1"/>
  <c r="I9" i="1"/>
  <c r="E11" i="1"/>
  <c r="E9" i="1"/>
  <c r="D68" i="2"/>
  <c r="C68" i="2"/>
  <c r="D67" i="2"/>
  <c r="C18" i="2"/>
  <c r="C13" i="2"/>
  <c r="C12" i="2"/>
  <c r="C11" i="2"/>
  <c r="C10" i="2"/>
  <c r="B18" i="2"/>
  <c r="B28" i="2"/>
  <c r="B26" i="2"/>
  <c r="B23" i="2"/>
  <c r="B22" i="2"/>
  <c r="B21" i="2"/>
  <c r="B19" i="2"/>
  <c r="B13" i="2"/>
  <c r="B12" i="2"/>
  <c r="B11" i="2"/>
  <c r="B10" i="2"/>
  <c r="M30" i="1"/>
  <c r="M61" i="1"/>
  <c r="M11" i="1"/>
  <c r="L11" i="1"/>
  <c r="L64" i="1" s="1"/>
  <c r="K64" i="1"/>
  <c r="J64" i="1"/>
  <c r="G64" i="1"/>
  <c r="F64" i="1"/>
  <c r="F55" i="1"/>
  <c r="F54" i="1"/>
  <c r="F53" i="1"/>
  <c r="G55" i="1"/>
  <c r="G54" i="1"/>
  <c r="G53" i="1"/>
  <c r="I56" i="1"/>
  <c r="I55" i="1"/>
  <c r="I54" i="1"/>
  <c r="I53" i="1"/>
  <c r="H56" i="1"/>
  <c r="H55" i="1"/>
  <c r="H54" i="1"/>
  <c r="H53" i="1"/>
  <c r="K58" i="1"/>
  <c r="K55" i="1"/>
  <c r="K54" i="1"/>
  <c r="K53" i="1"/>
  <c r="K42" i="1"/>
  <c r="K45" i="1" s="1"/>
  <c r="K38" i="1"/>
  <c r="K36" i="1"/>
  <c r="K37" i="1"/>
  <c r="K44" i="1" s="1"/>
  <c r="I42" i="1"/>
  <c r="I38" i="1"/>
  <c r="I37" i="1"/>
  <c r="K33" i="1"/>
  <c r="K32" i="1"/>
  <c r="K31" i="1"/>
  <c r="K19" i="1"/>
  <c r="K17" i="1"/>
  <c r="K12" i="1"/>
  <c r="K6" i="1"/>
  <c r="K56" i="1" s="1"/>
  <c r="K62" i="1"/>
  <c r="G9" i="1"/>
  <c r="G11" i="1" s="1"/>
  <c r="G30" i="1" s="1"/>
  <c r="B12" i="1"/>
  <c r="C12" i="1"/>
  <c r="C11" i="1"/>
  <c r="D12" i="1"/>
  <c r="D11" i="1"/>
  <c r="E12" i="1"/>
  <c r="F12" i="1"/>
  <c r="G12" i="1"/>
  <c r="H12" i="1"/>
  <c r="I12" i="1"/>
  <c r="J12" i="1"/>
  <c r="J62" i="1"/>
  <c r="J58" i="1"/>
  <c r="J56" i="1"/>
  <c r="J55" i="1"/>
  <c r="J54" i="1"/>
  <c r="J53" i="1"/>
  <c r="F9" i="1"/>
  <c r="J9" i="1"/>
  <c r="J11" i="1" s="1"/>
  <c r="B6" i="1"/>
  <c r="B11" i="1" s="1"/>
  <c r="C6" i="1"/>
  <c r="D6" i="1"/>
  <c r="E6" i="1"/>
  <c r="F6" i="1"/>
  <c r="F56" i="1" s="1"/>
  <c r="G6" i="1"/>
  <c r="G56" i="1" s="1"/>
  <c r="H6" i="1"/>
  <c r="H11" i="1" s="1"/>
  <c r="H30" i="1" s="1"/>
  <c r="I6" i="1"/>
  <c r="J6" i="1"/>
  <c r="G68" i="2" l="1"/>
  <c r="H68" i="2"/>
  <c r="F68" i="2"/>
  <c r="F70" i="2"/>
  <c r="G70" i="2"/>
  <c r="K22" i="2"/>
  <c r="F64" i="2"/>
  <c r="E64" i="2"/>
  <c r="H16" i="2"/>
  <c r="H65" i="2" s="1"/>
  <c r="G65" i="2"/>
  <c r="E65" i="2"/>
  <c r="I30" i="1"/>
  <c r="L30" i="1"/>
  <c r="K9" i="1"/>
  <c r="J59" i="1"/>
  <c r="F11" i="1"/>
  <c r="J30" i="1" s="1"/>
  <c r="D37" i="2"/>
  <c r="L22" i="2" l="1"/>
  <c r="G64" i="2"/>
  <c r="H64" i="2"/>
  <c r="K59" i="1"/>
  <c r="K11" i="1"/>
  <c r="E37" i="2"/>
  <c r="M22" i="2" l="1"/>
  <c r="K30" i="1"/>
  <c r="K13" i="1"/>
  <c r="C49" i="2"/>
  <c r="C48" i="2"/>
  <c r="C31" i="2"/>
  <c r="D31" i="2" s="1"/>
  <c r="C28" i="2"/>
  <c r="C26" i="2"/>
  <c r="C22" i="2"/>
  <c r="C21" i="2"/>
  <c r="C19" i="2"/>
  <c r="C44" i="2"/>
  <c r="I45" i="1"/>
  <c r="I32" i="1"/>
  <c r="I31" i="1"/>
  <c r="I17" i="1"/>
  <c r="K26" i="1" l="1"/>
  <c r="K18" i="1"/>
  <c r="D38" i="2"/>
  <c r="J21" i="2"/>
  <c r="D39" i="2"/>
  <c r="C52" i="2"/>
  <c r="I36" i="1"/>
  <c r="I44" i="1"/>
  <c r="C45" i="2"/>
  <c r="C43" i="2" s="1"/>
  <c r="D26" i="2" s="1"/>
  <c r="I13" i="1"/>
  <c r="I26" i="1" s="1"/>
  <c r="C47" i="2"/>
  <c r="K21" i="2" l="1"/>
  <c r="J24" i="2"/>
  <c r="K27" i="1"/>
  <c r="K20" i="1"/>
  <c r="N22" i="2"/>
  <c r="O22" i="2" s="1"/>
  <c r="P22" i="2" s="1"/>
  <c r="Q22" i="2" s="1"/>
  <c r="R22" i="2" s="1"/>
  <c r="I18" i="1"/>
  <c r="C51" i="2"/>
  <c r="C20" i="2"/>
  <c r="L21" i="2" l="1"/>
  <c r="K24" i="2"/>
  <c r="K22" i="1"/>
  <c r="K23" i="1" s="1"/>
  <c r="K28" i="1"/>
  <c r="N39" i="2"/>
  <c r="I27" i="1"/>
  <c r="I20" i="1"/>
  <c r="M21" i="2" l="1"/>
  <c r="L24" i="2"/>
  <c r="I22" i="1"/>
  <c r="I28" i="1"/>
  <c r="N21" i="2" l="1"/>
  <c r="M24" i="2"/>
  <c r="O39" i="2"/>
  <c r="I23" i="1"/>
  <c r="J32" i="1"/>
  <c r="J31" i="1"/>
  <c r="J17" i="1"/>
  <c r="N38" i="2" l="1"/>
  <c r="O21" i="2"/>
  <c r="P39" i="2"/>
  <c r="H13" i="1"/>
  <c r="H17" i="1"/>
  <c r="J13" i="1"/>
  <c r="C4" i="2"/>
  <c r="H31" i="1"/>
  <c r="H32" i="1"/>
  <c r="G32" i="1"/>
  <c r="G31" i="1"/>
  <c r="C17" i="1"/>
  <c r="D17" i="1"/>
  <c r="I33" i="1"/>
  <c r="D13" i="1"/>
  <c r="D26" i="1" s="1"/>
  <c r="C13" i="1"/>
  <c r="B17" i="1"/>
  <c r="F32" i="1"/>
  <c r="F31" i="1"/>
  <c r="B13" i="1"/>
  <c r="B26" i="1" s="1"/>
  <c r="F13" i="1"/>
  <c r="J33" i="1"/>
  <c r="B31" i="2"/>
  <c r="E31" i="2"/>
  <c r="F31" i="2" s="1"/>
  <c r="G31" i="2" s="1"/>
  <c r="H31" i="2" s="1"/>
  <c r="I31" i="2" s="1"/>
  <c r="J31" i="2" s="1"/>
  <c r="K31" i="2" s="1"/>
  <c r="L31" i="2" s="1"/>
  <c r="M31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P21" i="2" l="1"/>
  <c r="O38" i="2"/>
  <c r="N31" i="2"/>
  <c r="O31" i="2" s="1"/>
  <c r="P31" i="2" s="1"/>
  <c r="Q31" i="2" s="1"/>
  <c r="R31" i="2" s="1"/>
  <c r="N9" i="2"/>
  <c r="O9" i="2" s="1"/>
  <c r="P9" i="2" s="1"/>
  <c r="Q9" i="2" s="1"/>
  <c r="R9" i="2" s="1"/>
  <c r="Q39" i="2"/>
  <c r="F30" i="1"/>
  <c r="G13" i="1"/>
  <c r="G26" i="1" s="1"/>
  <c r="E13" i="1"/>
  <c r="E26" i="1" s="1"/>
  <c r="F17" i="1"/>
  <c r="J34" i="1" s="1"/>
  <c r="C23" i="2"/>
  <c r="E17" i="1"/>
  <c r="H18" i="1"/>
  <c r="H20" i="1" s="1"/>
  <c r="H22" i="1" s="1"/>
  <c r="J18" i="1"/>
  <c r="J26" i="1"/>
  <c r="C18" i="1"/>
  <c r="C20" i="1" s="1"/>
  <c r="C26" i="1"/>
  <c r="H33" i="1"/>
  <c r="D18" i="1"/>
  <c r="B18" i="1"/>
  <c r="G17" i="1"/>
  <c r="K34" i="1" s="1"/>
  <c r="F33" i="1"/>
  <c r="C6" i="2"/>
  <c r="C7" i="2" s="1"/>
  <c r="F26" i="1"/>
  <c r="G33" i="1"/>
  <c r="H34" i="1"/>
  <c r="Q21" i="2" l="1"/>
  <c r="P38" i="2"/>
  <c r="D40" i="2"/>
  <c r="D24" i="2"/>
  <c r="N23" i="2"/>
  <c r="R39" i="2"/>
  <c r="E18" i="1"/>
  <c r="E27" i="1" s="1"/>
  <c r="C27" i="1"/>
  <c r="C24" i="2"/>
  <c r="C25" i="2" s="1"/>
  <c r="C27" i="2" s="1"/>
  <c r="H23" i="1"/>
  <c r="F18" i="1"/>
  <c r="F20" i="1" s="1"/>
  <c r="F28" i="1" s="1"/>
  <c r="I34" i="1"/>
  <c r="F34" i="1"/>
  <c r="G34" i="1"/>
  <c r="J27" i="1"/>
  <c r="J20" i="1"/>
  <c r="C22" i="1"/>
  <c r="C28" i="1"/>
  <c r="B27" i="1"/>
  <c r="B20" i="1"/>
  <c r="C39" i="2"/>
  <c r="D20" i="1"/>
  <c r="D27" i="1"/>
  <c r="B20" i="2"/>
  <c r="G18" i="1"/>
  <c r="B24" i="2"/>
  <c r="R21" i="2" l="1"/>
  <c r="R38" i="2" s="1"/>
  <c r="Q38" i="2"/>
  <c r="N40" i="2"/>
  <c r="N24" i="2"/>
  <c r="D41" i="2"/>
  <c r="E28" i="1"/>
  <c r="F22" i="1"/>
  <c r="F23" i="1" s="1"/>
  <c r="F27" i="1"/>
  <c r="J22" i="1"/>
  <c r="K47" i="1" s="1"/>
  <c r="J28" i="1"/>
  <c r="C38" i="2"/>
  <c r="G20" i="1"/>
  <c r="G27" i="1"/>
  <c r="D22" i="1"/>
  <c r="D28" i="1"/>
  <c r="H26" i="1"/>
  <c r="C40" i="2"/>
  <c r="B25" i="2"/>
  <c r="B33" i="2"/>
  <c r="B28" i="1"/>
  <c r="B22" i="1"/>
  <c r="C23" i="1"/>
  <c r="C41" i="2"/>
  <c r="K51" i="1" l="1"/>
  <c r="K48" i="1"/>
  <c r="K50" i="1"/>
  <c r="K49" i="1"/>
  <c r="E22" i="1"/>
  <c r="E23" i="1" s="1"/>
  <c r="J23" i="1"/>
  <c r="H27" i="1"/>
  <c r="E24" i="2"/>
  <c r="G28" i="1"/>
  <c r="G22" i="1"/>
  <c r="E39" i="2"/>
  <c r="C37" i="2"/>
  <c r="D23" i="1"/>
  <c r="B23" i="1"/>
  <c r="B34" i="2"/>
  <c r="B27" i="2"/>
  <c r="N41" i="2" l="1"/>
  <c r="G23" i="1"/>
  <c r="I47" i="1"/>
  <c r="E41" i="2"/>
  <c r="E38" i="2"/>
  <c r="C33" i="2"/>
  <c r="D20" i="2" s="1"/>
  <c r="E40" i="2"/>
  <c r="F39" i="2"/>
  <c r="B35" i="2"/>
  <c r="B29" i="2"/>
  <c r="D33" i="2" l="1"/>
  <c r="D19" i="2"/>
  <c r="D25" i="2"/>
  <c r="O23" i="2"/>
  <c r="I51" i="1"/>
  <c r="I49" i="1"/>
  <c r="I50" i="1"/>
  <c r="I48" i="1"/>
  <c r="F24" i="2"/>
  <c r="F41" i="2" s="1"/>
  <c r="F38" i="2"/>
  <c r="H28" i="1"/>
  <c r="B30" i="2"/>
  <c r="G39" i="2"/>
  <c r="C34" i="2"/>
  <c r="F40" i="2"/>
  <c r="D34" i="2" l="1"/>
  <c r="D27" i="2"/>
  <c r="O40" i="2"/>
  <c r="P23" i="2"/>
  <c r="O24" i="2"/>
  <c r="O41" i="2" s="1"/>
  <c r="E20" i="2"/>
  <c r="E19" i="2" s="1"/>
  <c r="G24" i="2"/>
  <c r="G41" i="2" s="1"/>
  <c r="G38" i="2"/>
  <c r="C35" i="2"/>
  <c r="F37" i="2"/>
  <c r="H39" i="2"/>
  <c r="G40" i="2"/>
  <c r="N37" i="2" l="1"/>
  <c r="D35" i="2"/>
  <c r="P40" i="2"/>
  <c r="P24" i="2"/>
  <c r="P41" i="2" s="1"/>
  <c r="Q23" i="2"/>
  <c r="E33" i="2"/>
  <c r="F20" i="2" s="1"/>
  <c r="F19" i="2" s="1"/>
  <c r="E25" i="2"/>
  <c r="E34" i="2" s="1"/>
  <c r="C29" i="2"/>
  <c r="H38" i="2"/>
  <c r="G37" i="2"/>
  <c r="H40" i="2"/>
  <c r="H24" i="2"/>
  <c r="H41" i="2" s="1"/>
  <c r="I39" i="2"/>
  <c r="D29" i="2" l="1"/>
  <c r="D43" i="2" s="1"/>
  <c r="Q40" i="2"/>
  <c r="R23" i="2"/>
  <c r="Q24" i="2"/>
  <c r="Q41" i="2" s="1"/>
  <c r="F33" i="2"/>
  <c r="G20" i="2" s="1"/>
  <c r="G33" i="2" s="1"/>
  <c r="H20" i="2" s="1"/>
  <c r="H19" i="2" s="1"/>
  <c r="F25" i="2"/>
  <c r="F34" i="2" s="1"/>
  <c r="C30" i="2"/>
  <c r="C54" i="2"/>
  <c r="C56" i="2"/>
  <c r="C55" i="2"/>
  <c r="C57" i="2"/>
  <c r="I38" i="2"/>
  <c r="I40" i="2"/>
  <c r="H37" i="2"/>
  <c r="I24" i="2"/>
  <c r="I41" i="2" s="1"/>
  <c r="J39" i="2"/>
  <c r="D30" i="2" l="1"/>
  <c r="G19" i="2"/>
  <c r="G25" i="2"/>
  <c r="G34" i="2" s="1"/>
  <c r="R40" i="2"/>
  <c r="R24" i="2"/>
  <c r="R41" i="2" s="1"/>
  <c r="J38" i="2"/>
  <c r="H25" i="2"/>
  <c r="H33" i="2"/>
  <c r="I20" i="2" s="1"/>
  <c r="I37" i="2"/>
  <c r="J41" i="2"/>
  <c r="K39" i="2"/>
  <c r="J40" i="2"/>
  <c r="K38" i="2" l="1"/>
  <c r="J37" i="2"/>
  <c r="L39" i="2"/>
  <c r="I25" i="2"/>
  <c r="I33" i="2"/>
  <c r="J20" i="2" s="1"/>
  <c r="H34" i="2"/>
  <c r="I19" i="2"/>
  <c r="K40" i="2"/>
  <c r="K41" i="2"/>
  <c r="L38" i="2" l="1"/>
  <c r="J25" i="2"/>
  <c r="J33" i="2"/>
  <c r="K20" i="2" s="1"/>
  <c r="J19" i="2"/>
  <c r="L40" i="2"/>
  <c r="I34" i="2"/>
  <c r="L41" i="2"/>
  <c r="M39" i="2"/>
  <c r="K37" i="2"/>
  <c r="M38" i="2" l="1"/>
  <c r="K33" i="2"/>
  <c r="L20" i="2" s="1"/>
  <c r="L19" i="2" s="1"/>
  <c r="K25" i="2"/>
  <c r="K19" i="2"/>
  <c r="L37" i="2"/>
  <c r="M41" i="2"/>
  <c r="E26" i="2"/>
  <c r="E27" i="2" s="1"/>
  <c r="M40" i="2"/>
  <c r="J34" i="2"/>
  <c r="E35" i="2" l="1"/>
  <c r="K34" i="2"/>
  <c r="M37" i="2"/>
  <c r="L25" i="2"/>
  <c r="L33" i="2"/>
  <c r="M20" i="2" s="1"/>
  <c r="O37" i="2" l="1"/>
  <c r="E29" i="2"/>
  <c r="M25" i="2"/>
  <c r="M33" i="2"/>
  <c r="N20" i="2" s="1"/>
  <c r="M19" i="2"/>
  <c r="L34" i="2"/>
  <c r="N33" i="2" l="1"/>
  <c r="N25" i="2"/>
  <c r="N34" i="2" s="1"/>
  <c r="N19" i="2"/>
  <c r="O20" i="2"/>
  <c r="P37" i="2"/>
  <c r="E30" i="2"/>
  <c r="E43" i="2"/>
  <c r="F26" i="2" s="1"/>
  <c r="F27" i="2" s="1"/>
  <c r="M34" i="2"/>
  <c r="Q37" i="2" l="1"/>
  <c r="O33" i="2"/>
  <c r="P20" i="2" s="1"/>
  <c r="O25" i="2"/>
  <c r="O19" i="2"/>
  <c r="F35" i="2"/>
  <c r="O34" i="2" l="1"/>
  <c r="P33" i="2"/>
  <c r="Q20" i="2" s="1"/>
  <c r="P25" i="2"/>
  <c r="P19" i="2"/>
  <c r="R37" i="2"/>
  <c r="F29" i="2"/>
  <c r="F43" i="2" l="1"/>
  <c r="P34" i="2"/>
  <c r="Q19" i="2"/>
  <c r="Q33" i="2"/>
  <c r="R20" i="2" s="1"/>
  <c r="Q25" i="2"/>
  <c r="F30" i="2"/>
  <c r="G26" i="2"/>
  <c r="G27" i="2" s="1"/>
  <c r="Q34" i="2" l="1"/>
  <c r="R33" i="2"/>
  <c r="R25" i="2"/>
  <c r="R19" i="2"/>
  <c r="G35" i="2"/>
  <c r="R34" i="2" l="1"/>
  <c r="G29" i="2"/>
  <c r="G30" i="2" l="1"/>
  <c r="G43" i="2"/>
  <c r="H26" i="2" s="1"/>
  <c r="H27" i="2" s="1"/>
  <c r="H35" i="2" l="1"/>
  <c r="H29" i="2" l="1"/>
  <c r="H30" i="2" s="1"/>
  <c r="H43" i="2" l="1"/>
  <c r="I26" i="2" s="1"/>
  <c r="I27" i="2" s="1"/>
  <c r="I35" i="2" l="1"/>
  <c r="I29" i="2" l="1"/>
  <c r="I30" i="2" s="1"/>
  <c r="I43" i="2" l="1"/>
  <c r="J26" i="2" s="1"/>
  <c r="J27" i="2" s="1"/>
  <c r="J35" i="2" l="1"/>
  <c r="J29" i="2" l="1"/>
  <c r="J30" i="2" l="1"/>
  <c r="J43" i="2"/>
  <c r="K26" i="2" l="1"/>
  <c r="K27" i="2" s="1"/>
  <c r="K28" i="2" s="1"/>
  <c r="K35" i="2" l="1"/>
  <c r="K29" i="2" l="1"/>
  <c r="K30" i="2" s="1"/>
  <c r="K43" i="2"/>
  <c r="L26" i="2" l="1"/>
  <c r="L27" i="2" s="1"/>
  <c r="L28" i="2" s="1"/>
  <c r="L35" i="2" l="1"/>
  <c r="L29" i="2" l="1"/>
  <c r="L30" i="2" s="1"/>
  <c r="L43" i="2"/>
  <c r="M26" i="2" l="1"/>
  <c r="M27" i="2" s="1"/>
  <c r="M28" i="2" l="1"/>
  <c r="M35" i="2" s="1"/>
  <c r="M29" i="2" l="1"/>
  <c r="M30" i="2" l="1"/>
  <c r="M43" i="2"/>
  <c r="N26" i="2" l="1"/>
  <c r="N27" i="2" s="1"/>
  <c r="N28" i="2" l="1"/>
  <c r="N35" i="2" s="1"/>
  <c r="N29" i="2" l="1"/>
  <c r="N30" i="2"/>
  <c r="N43" i="2"/>
  <c r="O26" i="2" s="1"/>
  <c r="O27" i="2" s="1"/>
  <c r="O28" i="2" s="1"/>
  <c r="O35" i="2" s="1"/>
  <c r="O29" i="2" l="1"/>
  <c r="O30" i="2" s="1"/>
  <c r="O43" i="2"/>
  <c r="P26" i="2" s="1"/>
  <c r="P27" i="2" s="1"/>
  <c r="P28" i="2" l="1"/>
  <c r="P35" i="2" s="1"/>
  <c r="P29" i="2" l="1"/>
  <c r="P30" i="2" l="1"/>
  <c r="P43" i="2"/>
  <c r="Q26" i="2" l="1"/>
  <c r="Q27" i="2" s="1"/>
  <c r="Q28" i="2" l="1"/>
  <c r="Q35" i="2" s="1"/>
  <c r="Q29" i="2" l="1"/>
  <c r="Q30" i="2" s="1"/>
  <c r="Q43" i="2"/>
  <c r="R26" i="2" l="1"/>
  <c r="R27" i="2" s="1"/>
  <c r="R28" i="2" l="1"/>
  <c r="R35" i="2" s="1"/>
  <c r="R29" i="2" l="1"/>
  <c r="S29" i="2" s="1"/>
  <c r="R30" i="2" l="1"/>
  <c r="R43" i="2"/>
  <c r="T29" i="2" l="1"/>
  <c r="U29" i="2" l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GN29" i="2" s="1"/>
  <c r="F6" i="2" l="1"/>
  <c r="F7" i="2" s="1"/>
  <c r="G7" i="2" s="1"/>
</calcChain>
</file>

<file path=xl/sharedStrings.xml><?xml version="1.0" encoding="utf-8"?>
<sst xmlns="http://schemas.openxmlformats.org/spreadsheetml/2006/main" count="141" uniqueCount="87">
  <si>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</si>
  <si>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</si>
  <si>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</si>
  <si>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</si>
  <si>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</si>
  <si>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</si>
  <si>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</si>
  <si>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</si>
  <si>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</si>
  <si>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</si>
  <si>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</si>
  <si>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</si>
  <si>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</si>
  <si>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</si>
  <si>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</si>
  <si>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</si>
  <si>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</si>
  <si>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</si>
  <si>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</si>
  <si>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</si>
  <si>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</si>
  <si>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</si>
  <si>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</si>
  <si>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</si>
  <si>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</si>
  <si>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</si>
  <si>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</si>
  <si>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</si>
  <si>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</si>
  <si>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</si>
  <si>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</si>
  <si>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</si>
  <si>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</si>
  <si>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</si>
  <si>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</si>
  <si>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</si>
  <si>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</si>
  <si>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</si>
  <si>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</si>
  <si>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</si>
  <si>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</si>
  <si>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</si>
  <si>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</si>
  <si>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</si>
  <si>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</si>
  <si>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</si>
  <si>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</si>
  <si>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</si>
  <si>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</si>
  <si>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</si>
  <si>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</si>
  <si>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</si>
  <si>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</si>
  <si>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</si>
  <si>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</si>
  <si>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</si>
  <si>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</si>
  <si>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</si>
  <si>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</si>
  <si>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</si>
  <si>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PRODUCTS</t>
  </si>
  <si>
    <t>Q121</t>
  </si>
  <si>
    <t>Q221</t>
  </si>
  <si>
    <t>Q321</t>
  </si>
  <si>
    <t>Q421</t>
  </si>
  <si>
    <t>APRU y/y</t>
  </si>
  <si>
    <t>GMV</t>
  </si>
  <si>
    <t>GMV y/y</t>
  </si>
  <si>
    <t>R/GMV</t>
  </si>
  <si>
    <t>Affirm Holdings Inc (AFRM)</t>
  </si>
  <si>
    <t>Max Levchin</t>
  </si>
  <si>
    <t>Merchant</t>
  </si>
  <si>
    <t>Virtual card</t>
  </si>
  <si>
    <t>Interest</t>
  </si>
  <si>
    <t>Loans and servicing</t>
  </si>
  <si>
    <t>Merchant y/y</t>
  </si>
  <si>
    <t>Virtual card y/y</t>
  </si>
  <si>
    <t>Interest y/y</t>
  </si>
  <si>
    <t>Loans and servicing y/y</t>
  </si>
  <si>
    <t>Customers</t>
  </si>
  <si>
    <t>ARPC</t>
  </si>
  <si>
    <t>Customers y/y</t>
  </si>
  <si>
    <t>Consumer Platform</t>
  </si>
  <si>
    <t>Merchant Platform</t>
  </si>
  <si>
    <t>Buy now, pay later</t>
  </si>
  <si>
    <t>POS, analytics, promotions, ads</t>
  </si>
  <si>
    <t>POST 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</si>
</sst>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4" applyBorder="1" applyAlignment="1">
      <alignment horizontal="left"/>
    </xf>
    <xf numFmtId="9" fontId="6" fillId="0" borderId="0" xfId="0" applyNumberFormat="1" applyFont="1" applyBorder="1" applyAlignment="1">
      <alignment horizontal="left"/>
    </xf>
    <xf numFmtId="9" fontId="6" fillId="0" borderId="0" xfId="0" applyNumberFormat="1" applyFont="1" applyBorder="1"/>
    <xf numFmtId="0" fontId="4" fillId="0" borderId="0" xfId="4" applyBorder="1"/>
    <xf numFmtId="0" fontId="4" fillId="0" borderId="0" xfId="4"/>
    <xf numFmtId="166" fontId="6" fillId="0" borderId="0" xfId="0" applyNumberFormat="1" applyFont="1" applyBorder="1" applyAlignment="1">
      <alignment horizontal="left"/>
    </xf>
    <xf numFmtId="166" fontId="6" fillId="0" borderId="0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6" fillId="0" borderId="0" xfId="0" applyNumberFormat="1" applyFont="1" applyBorder="1"/>
    <xf numFmtId="166" fontId="6" fillId="0" borderId="0" xfId="0" applyNumberFormat="1" applyFont="1" applyAlignment="1">
      <alignment horizontal="right"/>
    </xf>
    <xf numFmtId="166" fontId="6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7</xdr:row>
      <xdr:rowOff>152400</xdr:rowOff>
    </xdr:from>
    <xdr:to>
      <xdr:col>3</xdr:col>
      <xdr:colOff>205740</xdr:colOff>
      <xdr:row>70</xdr:row>
      <xdr:rowOff>142240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406140" y="1290320"/>
          <a:ext cx="0" cy="102311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0</xdr:row>
      <xdr:rowOff>152400</xdr:rowOff>
    </xdr:from>
    <xdr:to>
      <xdr:col>11</xdr:col>
      <xdr:colOff>236220</xdr:colOff>
      <xdr:row>65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9979660" y="152400"/>
          <a:ext cx="0" cy="10414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levchin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affirm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twitter.com/mlevch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820953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70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50" sqref="H50"/>
    </sheetView>
  </sheetViews>
  <sheetFormatPr baseColWidth="10" defaultRowHeight="13" x14ac:dyDescent="0.15"/>
  <cols>
    <col min="1" max="1" width="20.33203125" style="2" bestFit="1" customWidth="1"/>
    <col min="2" max="16384" width="10.83203125" style="2"/>
  </cols>
  <sheetData>
    <row r="1" spans="1:113" x14ac:dyDescent="0.15">
      <c r="A1" s="74" t="s">
        <v>50</v>
      </c>
      <c r="B1" s="1" t="s">
        <v>69</v>
      </c>
    </row>
    <row r="2" spans="1:113" x14ac:dyDescent="0.15">
      <c r="B2" s="2" t="s">
        <v>32</v>
      </c>
      <c r="C2" s="3">
        <v>125.96</v>
      </c>
      <c r="D2" s="58">
        <v>44239</v>
      </c>
      <c r="E2" s="5" t="s">
        <v>21</v>
      </c>
      <c r="F2" s="6">
        <v>5.0000000000000001E-3</v>
      </c>
      <c r="I2" s="15"/>
      <c r="L2" s="1"/>
    </row>
    <row r="3" spans="1:113" x14ac:dyDescent="0.15">
      <c r="A3" s="1" t="s">
        <v>30</v>
      </c>
      <c r="B3" s="2" t="s">
        <v>13</v>
      </c>
      <c r="C3" s="7">
        <v>121.34632999999999</v>
      </c>
      <c r="D3" s="59" t="s">
        <v>86</v>
      </c>
      <c r="E3" s="5" t="s">
        <v>22</v>
      </c>
      <c r="F3" s="6">
        <v>0.02</v>
      </c>
      <c r="G3" s="4" t="s">
        <v>51</v>
      </c>
      <c r="I3" s="15"/>
    </row>
    <row r="4" spans="1:113" x14ac:dyDescent="0.15">
      <c r="A4" s="75" t="s">
        <v>70</v>
      </c>
      <c r="B4" s="2" t="s">
        <v>33</v>
      </c>
      <c r="C4" s="9">
        <f>C2*C3</f>
        <v>15284.783726799998</v>
      </c>
      <c r="D4" s="59"/>
      <c r="E4" s="5" t="s">
        <v>23</v>
      </c>
      <c r="F4" s="6">
        <v>7.0000000000000007E-2</v>
      </c>
      <c r="G4" s="4" t="s">
        <v>55</v>
      </c>
      <c r="I4" s="18"/>
      <c r="L4" s="8" t="s">
        <v>56</v>
      </c>
    </row>
    <row r="5" spans="1:113" x14ac:dyDescent="0.15">
      <c r="B5" s="2" t="s">
        <v>18</v>
      </c>
      <c r="C5" s="7">
        <f>Reports!K36</f>
        <v>903</v>
      </c>
      <c r="D5" s="59" t="s">
        <v>62</v>
      </c>
      <c r="E5" s="5" t="s">
        <v>24</v>
      </c>
      <c r="F5" s="10">
        <f>NPV(F4,D29:GN29)</f>
        <v>13616.539340653655</v>
      </c>
      <c r="G5" s="4" t="s">
        <v>57</v>
      </c>
      <c r="I5" s="18"/>
    </row>
    <row r="6" spans="1:113" x14ac:dyDescent="0.15">
      <c r="A6" s="1" t="s">
        <v>31</v>
      </c>
      <c r="B6" s="2" t="s">
        <v>34</v>
      </c>
      <c r="C6" s="9">
        <f>C4-C5</f>
        <v>14381.783726799998</v>
      </c>
      <c r="D6" s="59"/>
      <c r="E6" s="11" t="s">
        <v>25</v>
      </c>
      <c r="F6" s="12">
        <f>F5+C5</f>
        <v>14519.539340653655</v>
      </c>
      <c r="I6" s="18"/>
    </row>
    <row r="7" spans="1:113" x14ac:dyDescent="0.15">
      <c r="A7" s="75" t="s">
        <v>70</v>
      </c>
      <c r="B7" s="4" t="s">
        <v>35</v>
      </c>
      <c r="C7" s="41">
        <f>C6/C3</f>
        <v>118.51848940796148</v>
      </c>
      <c r="D7" s="59"/>
      <c r="E7" s="13" t="s">
        <v>35</v>
      </c>
      <c r="F7" s="40">
        <f>F6/C3</f>
        <v>119.653716273526</v>
      </c>
      <c r="G7" s="18">
        <f>F7/C2-1</f>
        <v>-5.0065764738599472E-2</v>
      </c>
    </row>
    <row r="8" spans="1:113" x14ac:dyDescent="0.15">
      <c r="A8" s="75"/>
      <c r="B8" s="5"/>
      <c r="C8" s="14"/>
    </row>
    <row r="9" spans="1:113" x14ac:dyDescent="0.15">
      <c r="B9" s="37">
        <v>2019</v>
      </c>
      <c r="C9" s="37">
        <f t="shared" ref="C9:R9" si="0">B9+1</f>
        <v>2020</v>
      </c>
      <c r="D9" s="37">
        <f t="shared" si="0"/>
        <v>2021</v>
      </c>
      <c r="E9" s="37">
        <f t="shared" si="0"/>
        <v>2022</v>
      </c>
      <c r="F9" s="37">
        <f t="shared" si="0"/>
        <v>2023</v>
      </c>
      <c r="G9" s="37">
        <f t="shared" si="0"/>
        <v>2024</v>
      </c>
      <c r="H9" s="37">
        <f t="shared" si="0"/>
        <v>2025</v>
      </c>
      <c r="I9" s="37">
        <f t="shared" si="0"/>
        <v>2026</v>
      </c>
      <c r="J9" s="37">
        <f t="shared" si="0"/>
        <v>2027</v>
      </c>
      <c r="K9" s="37">
        <f t="shared" si="0"/>
        <v>2028</v>
      </c>
      <c r="L9" s="37">
        <f t="shared" si="0"/>
        <v>2029</v>
      </c>
      <c r="M9" s="37">
        <f t="shared" si="0"/>
        <v>2030</v>
      </c>
      <c r="N9" s="37">
        <f t="shared" si="0"/>
        <v>2031</v>
      </c>
      <c r="O9" s="37">
        <f t="shared" si="0"/>
        <v>2032</v>
      </c>
      <c r="P9" s="37">
        <f t="shared" si="0"/>
        <v>2033</v>
      </c>
      <c r="Q9" s="37">
        <f t="shared" si="0"/>
        <v>2034</v>
      </c>
      <c r="R9" s="37">
        <f t="shared" si="0"/>
        <v>2035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</row>
    <row r="10" spans="1:113" x14ac:dyDescent="0.15">
      <c r="A10" s="62" t="s">
        <v>71</v>
      </c>
      <c r="B10" s="36">
        <f>SUM(Reports!B3:E3)</f>
        <v>132.363</v>
      </c>
      <c r="C10" s="36">
        <f>SUM(Reports!F3:I3)</f>
        <v>256.75199999999995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</row>
    <row r="11" spans="1:113" x14ac:dyDescent="0.15">
      <c r="A11" s="62" t="s">
        <v>72</v>
      </c>
      <c r="B11" s="36">
        <f>SUM(Reports!B4:E4)</f>
        <v>7.9110000000000005</v>
      </c>
      <c r="C11" s="36">
        <f>SUM(Reports!F4:I4)</f>
        <v>19.339999999999996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</row>
    <row r="12" spans="1:113" x14ac:dyDescent="0.15">
      <c r="A12" s="62" t="s">
        <v>73</v>
      </c>
      <c r="B12" s="36">
        <f>SUM(Reports!B5:E5)</f>
        <v>119.404</v>
      </c>
      <c r="C12" s="36">
        <f>SUM(Reports!F5:I5)</f>
        <v>186.73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</row>
    <row r="13" spans="1:113" x14ac:dyDescent="0.15">
      <c r="A13" s="62" t="s">
        <v>74</v>
      </c>
      <c r="B13" s="36">
        <f>SUM(Reports!B6:E6)</f>
        <v>4.6890000000000001</v>
      </c>
      <c r="C13" s="36">
        <f>SUM(Reports!F6:I6)</f>
        <v>46.705999999999996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</row>
    <row r="14" spans="1:113" x14ac:dyDescent="0.15">
      <c r="A14" s="62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</row>
    <row r="15" spans="1:113" s="81" customFormat="1" x14ac:dyDescent="0.15">
      <c r="A15" s="76" t="s">
        <v>79</v>
      </c>
      <c r="B15" s="80">
        <f>Reports!E8</f>
        <v>2.0449999999999999</v>
      </c>
      <c r="C15" s="80">
        <f>Reports!I8</f>
        <v>3.6179999999999999</v>
      </c>
      <c r="D15" s="80">
        <f>C15*1.4</f>
        <v>5.0651999999999999</v>
      </c>
      <c r="E15" s="80">
        <f>D15*1.35</f>
        <v>6.8380200000000002</v>
      </c>
      <c r="F15" s="80">
        <f>E15*1.3</f>
        <v>8.8894260000000003</v>
      </c>
      <c r="G15" s="80">
        <f>F15*1.25</f>
        <v>11.1117825</v>
      </c>
      <c r="H15" s="80">
        <f>G15*1.2</f>
        <v>13.334139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</row>
    <row r="16" spans="1:113" s="15" customFormat="1" x14ac:dyDescent="0.15">
      <c r="A16" s="62" t="s">
        <v>80</v>
      </c>
      <c r="B16" s="51">
        <f>SUM(B10:B13)/B15</f>
        <v>129.27481662591688</v>
      </c>
      <c r="C16" s="51">
        <f>SUM(C10:C13)/C15</f>
        <v>140.83139856274184</v>
      </c>
      <c r="D16" s="15">
        <f>C16*1.1</f>
        <v>154.91453841901603</v>
      </c>
      <c r="E16" s="15">
        <f t="shared" ref="E16:H16" si="1">D16*1.1</f>
        <v>170.40599226091763</v>
      </c>
      <c r="F16" s="15">
        <f t="shared" si="1"/>
        <v>187.44659148700941</v>
      </c>
      <c r="G16" s="15">
        <f t="shared" si="1"/>
        <v>206.19125063571036</v>
      </c>
      <c r="H16" s="15">
        <f t="shared" si="1"/>
        <v>226.81037569928142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</row>
    <row r="17" spans="1:196" s="37" customFormat="1" x14ac:dyDescent="0.15">
      <c r="C17" s="36"/>
      <c r="D17" s="36">
        <v>760</v>
      </c>
      <c r="E17" s="36"/>
      <c r="F17" s="36"/>
    </row>
    <row r="18" spans="1:196" x14ac:dyDescent="0.15">
      <c r="A18" s="1" t="s">
        <v>0</v>
      </c>
      <c r="B18" s="23">
        <f>SUM(B10:B13)</f>
        <v>264.36700000000002</v>
      </c>
      <c r="C18" s="23">
        <f>SUM(C10:C13)</f>
        <v>509.52799999999991</v>
      </c>
      <c r="D18" s="44">
        <f>D16*D15</f>
        <v>784.67311999999993</v>
      </c>
      <c r="E18" s="44">
        <f>E16*E15</f>
        <v>1165.2395832</v>
      </c>
      <c r="F18" s="44">
        <f t="shared" ref="E18:G18" si="2">F16*F15</f>
        <v>1666.2926039760002</v>
      </c>
      <c r="G18" s="44">
        <f t="shared" si="2"/>
        <v>2291.1523304670004</v>
      </c>
      <c r="H18" s="44">
        <f>H16*H15</f>
        <v>3024.3210762164408</v>
      </c>
      <c r="I18" s="44">
        <f>H18*1.2</f>
        <v>3629.1852914597289</v>
      </c>
      <c r="J18" s="44">
        <f t="shared" ref="J18:M18" si="3">I18*1.2</f>
        <v>4355.0223497516745</v>
      </c>
      <c r="K18" s="44">
        <f t="shared" si="3"/>
        <v>5226.0268197020096</v>
      </c>
      <c r="L18" s="44">
        <f t="shared" si="3"/>
        <v>6271.2321836424117</v>
      </c>
      <c r="M18" s="44">
        <f t="shared" si="3"/>
        <v>7525.4786203708936</v>
      </c>
      <c r="N18" s="44">
        <f>M18*1.1</f>
        <v>8278.0264824079841</v>
      </c>
      <c r="O18" s="44">
        <f t="shared" ref="O18:R18" si="4">N18*1.1</f>
        <v>9105.8291306487827</v>
      </c>
      <c r="P18" s="44">
        <f t="shared" si="4"/>
        <v>10016.412043713663</v>
      </c>
      <c r="Q18" s="44">
        <f t="shared" si="4"/>
        <v>11018.053248085029</v>
      </c>
      <c r="R18" s="44">
        <f t="shared" si="4"/>
        <v>12119.858572893532</v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</row>
    <row r="19" spans="1:196" x14ac:dyDescent="0.15">
      <c r="A19" s="2" t="s">
        <v>1</v>
      </c>
      <c r="B19" s="36">
        <f>SUM(Reports!B12:E12)</f>
        <v>209.97200000000001</v>
      </c>
      <c r="C19" s="36">
        <f>SUM(Reports!F12:I12)</f>
        <v>348.666</v>
      </c>
      <c r="D19" s="22">
        <f t="shared" ref="D19:E19" si="5">D18-D20</f>
        <v>536.94564000000003</v>
      </c>
      <c r="E19" s="22">
        <f t="shared" si="5"/>
        <v>797.36427540000022</v>
      </c>
      <c r="F19" s="22">
        <f t="shared" ref="F19:N19" si="6">F18-F20</f>
        <v>1140.2309138220003</v>
      </c>
      <c r="G19" s="22">
        <f t="shared" si="6"/>
        <v>1567.8175065052505</v>
      </c>
      <c r="H19" s="22">
        <f>H18-H20</f>
        <v>2069.519108586931</v>
      </c>
      <c r="I19" s="22">
        <f t="shared" si="6"/>
        <v>2483.4229303043171</v>
      </c>
      <c r="J19" s="22">
        <f t="shared" si="6"/>
        <v>2980.1075163651803</v>
      </c>
      <c r="K19" s="22">
        <f t="shared" si="6"/>
        <v>3576.129019638217</v>
      </c>
      <c r="L19" s="22">
        <f t="shared" si="6"/>
        <v>4291.35482356586</v>
      </c>
      <c r="M19" s="22">
        <f t="shared" si="6"/>
        <v>5149.6257882790323</v>
      </c>
      <c r="N19" s="22">
        <f t="shared" si="6"/>
        <v>5664.5883671069359</v>
      </c>
      <c r="O19" s="22">
        <f t="shared" ref="O19:R19" si="7">O18-O20</f>
        <v>6231.0472038176295</v>
      </c>
      <c r="P19" s="22">
        <f t="shared" si="7"/>
        <v>6854.1519241993938</v>
      </c>
      <c r="Q19" s="22">
        <f t="shared" si="7"/>
        <v>7539.5671166193333</v>
      </c>
      <c r="R19" s="22">
        <f t="shared" si="7"/>
        <v>8293.5238282812661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</row>
    <row r="20" spans="1:196" x14ac:dyDescent="0.15">
      <c r="A20" s="2" t="s">
        <v>2</v>
      </c>
      <c r="B20" s="25">
        <f t="shared" ref="B20:C20" si="8">B18-B19</f>
        <v>54.39500000000001</v>
      </c>
      <c r="C20" s="25">
        <f t="shared" si="8"/>
        <v>160.86199999999991</v>
      </c>
      <c r="D20" s="22">
        <f t="shared" ref="D20:R20" si="9">D18*C33</f>
        <v>247.72747999999987</v>
      </c>
      <c r="E20" s="22">
        <f t="shared" si="9"/>
        <v>367.8753077999998</v>
      </c>
      <c r="F20" s="22">
        <f t="shared" si="9"/>
        <v>526.06169015399985</v>
      </c>
      <c r="G20" s="22">
        <f t="shared" si="9"/>
        <v>723.33482396174986</v>
      </c>
      <c r="H20" s="22">
        <f>H18*G33</f>
        <v>954.80196762950982</v>
      </c>
      <c r="I20" s="22">
        <f t="shared" si="9"/>
        <v>1145.7623611554118</v>
      </c>
      <c r="J20" s="22">
        <f t="shared" si="9"/>
        <v>1374.9148333864941</v>
      </c>
      <c r="K20" s="22">
        <f t="shared" si="9"/>
        <v>1649.8978000637928</v>
      </c>
      <c r="L20" s="22">
        <f t="shared" si="9"/>
        <v>1979.8773600765517</v>
      </c>
      <c r="M20" s="22">
        <f t="shared" si="9"/>
        <v>2375.8528320918617</v>
      </c>
      <c r="N20" s="22">
        <f t="shared" si="9"/>
        <v>2613.4381153010481</v>
      </c>
      <c r="O20" s="22">
        <f t="shared" si="9"/>
        <v>2874.7819268311532</v>
      </c>
      <c r="P20" s="22">
        <f t="shared" si="9"/>
        <v>3162.2601195142688</v>
      </c>
      <c r="Q20" s="22">
        <f t="shared" si="9"/>
        <v>3478.486131465696</v>
      </c>
      <c r="R20" s="22">
        <f t="shared" si="9"/>
        <v>3826.3347446122657</v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</row>
    <row r="21" spans="1:196" x14ac:dyDescent="0.15">
      <c r="A21" s="2" t="s">
        <v>3</v>
      </c>
      <c r="B21" s="36">
        <f>SUM(Reports!B14:E14)</f>
        <v>76</v>
      </c>
      <c r="C21" s="36">
        <f>SUM(Reports!F14:I14)</f>
        <v>123</v>
      </c>
      <c r="D21" s="22">
        <f>C21*1.4</f>
        <v>172.2</v>
      </c>
      <c r="E21" s="22">
        <f t="shared" ref="E21:H21" si="10">D21*1.4</f>
        <v>241.07999999999996</v>
      </c>
      <c r="F21" s="22">
        <f t="shared" si="10"/>
        <v>337.51199999999994</v>
      </c>
      <c r="G21" s="22">
        <f t="shared" si="10"/>
        <v>472.51679999999988</v>
      </c>
      <c r="H21" s="22">
        <f t="shared" si="10"/>
        <v>661.52351999999973</v>
      </c>
      <c r="I21" s="22">
        <f>H21*1.2</f>
        <v>793.82822399999964</v>
      </c>
      <c r="J21" s="22">
        <f t="shared" ref="J21" si="11">I21*1.1</f>
        <v>873.21104639999965</v>
      </c>
      <c r="K21" s="22">
        <f t="shared" ref="K21" si="12">J21*1.1</f>
        <v>960.53215103999969</v>
      </c>
      <c r="L21" s="22">
        <f t="shared" ref="L21" si="13">K21*1.1</f>
        <v>1056.5853661439996</v>
      </c>
      <c r="M21" s="22">
        <f t="shared" ref="M21" si="14">L21*1.1</f>
        <v>1162.2439027583996</v>
      </c>
      <c r="N21" s="22">
        <f>M21*1.05</f>
        <v>1220.3560978963196</v>
      </c>
      <c r="O21" s="22">
        <f>N21*1.05</f>
        <v>1281.3739027911356</v>
      </c>
      <c r="P21" s="22">
        <f t="shared" ref="P21:R21" si="15">O21*1.05</f>
        <v>1345.4425979306925</v>
      </c>
      <c r="Q21" s="22">
        <f t="shared" si="15"/>
        <v>1412.7147278272271</v>
      </c>
      <c r="R21" s="22">
        <f t="shared" si="15"/>
        <v>1483.3504642185885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</row>
    <row r="22" spans="1:196" x14ac:dyDescent="0.15">
      <c r="A22" s="2" t="s">
        <v>4</v>
      </c>
      <c r="B22" s="36">
        <f>SUM(Reports!B15:E15)</f>
        <v>16</v>
      </c>
      <c r="C22" s="36">
        <f>SUM(Reports!F15:I15)</f>
        <v>25</v>
      </c>
      <c r="D22" s="22">
        <f>C22*1.35</f>
        <v>33.75</v>
      </c>
      <c r="E22" s="22">
        <f t="shared" ref="E22:H22" si="16">D22*1.35</f>
        <v>45.5625</v>
      </c>
      <c r="F22" s="22">
        <f t="shared" si="16"/>
        <v>61.509375000000006</v>
      </c>
      <c r="G22" s="22">
        <f t="shared" si="16"/>
        <v>83.037656250000012</v>
      </c>
      <c r="H22" s="22">
        <f t="shared" si="16"/>
        <v>112.10083593750002</v>
      </c>
      <c r="I22" s="22">
        <f>H22*1.15</f>
        <v>128.91596132812501</v>
      </c>
      <c r="J22" s="22">
        <f t="shared" ref="J22:M22" si="17">I22*1.15</f>
        <v>148.25335552734376</v>
      </c>
      <c r="K22" s="22">
        <f t="shared" si="17"/>
        <v>170.49135885644532</v>
      </c>
      <c r="L22" s="22">
        <f t="shared" si="17"/>
        <v>196.06506268491211</v>
      </c>
      <c r="M22" s="22">
        <f t="shared" si="17"/>
        <v>225.4748220876489</v>
      </c>
      <c r="N22" s="22">
        <f>M22*0.95</f>
        <v>214.20108098326645</v>
      </c>
      <c r="O22" s="22">
        <f>N22*0.95</f>
        <v>203.49102693410313</v>
      </c>
      <c r="P22" s="22">
        <f t="shared" ref="P22:R22" si="18">O22*0.95</f>
        <v>193.31647558739797</v>
      </c>
      <c r="Q22" s="22">
        <f t="shared" si="18"/>
        <v>183.65065180802807</v>
      </c>
      <c r="R22" s="22">
        <f t="shared" si="18"/>
        <v>174.46811921762665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</row>
    <row r="23" spans="1:196" x14ac:dyDescent="0.15">
      <c r="A23" s="2" t="s">
        <v>5</v>
      </c>
      <c r="B23" s="36">
        <f>SUM(Reports!B16:E16)</f>
        <v>89</v>
      </c>
      <c r="C23" s="36">
        <f>SUM(Reports!F16:I16)</f>
        <v>121</v>
      </c>
      <c r="D23" s="22">
        <f>C23*1.2</f>
        <v>145.19999999999999</v>
      </c>
      <c r="E23" s="22">
        <f t="shared" ref="E23:H23" si="19">D23*1.2</f>
        <v>174.23999999999998</v>
      </c>
      <c r="F23" s="22">
        <f t="shared" si="19"/>
        <v>209.08799999999997</v>
      </c>
      <c r="G23" s="22">
        <f t="shared" si="19"/>
        <v>250.90559999999994</v>
      </c>
      <c r="H23" s="22">
        <f t="shared" si="19"/>
        <v>301.0867199999999</v>
      </c>
      <c r="I23" s="22">
        <f>H23*0.95</f>
        <v>286.03238399999987</v>
      </c>
      <c r="J23" s="22">
        <f t="shared" ref="J23:M23" si="20">I23*0.95</f>
        <v>271.73076479999986</v>
      </c>
      <c r="K23" s="22">
        <f t="shared" si="20"/>
        <v>258.14422655999988</v>
      </c>
      <c r="L23" s="22">
        <f t="shared" si="20"/>
        <v>245.23701523199986</v>
      </c>
      <c r="M23" s="22">
        <f t="shared" si="20"/>
        <v>232.97516447039985</v>
      </c>
      <c r="N23" s="22">
        <f t="shared" ref="N23:R23" si="21">M23*0.98</f>
        <v>228.31566118099184</v>
      </c>
      <c r="O23" s="22">
        <f t="shared" si="21"/>
        <v>223.74934795737201</v>
      </c>
      <c r="P23" s="22">
        <f t="shared" si="21"/>
        <v>219.27436099822455</v>
      </c>
      <c r="Q23" s="22">
        <f t="shared" si="21"/>
        <v>214.88887377826006</v>
      </c>
      <c r="R23" s="22">
        <f t="shared" si="21"/>
        <v>210.59109630269487</v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</row>
    <row r="24" spans="1:196" x14ac:dyDescent="0.15">
      <c r="A24" s="2" t="s">
        <v>6</v>
      </c>
      <c r="B24" s="25">
        <f t="shared" ref="B24:C24" si="22">SUM(B21:B23)</f>
        <v>181</v>
      </c>
      <c r="C24" s="25">
        <f t="shared" si="22"/>
        <v>269</v>
      </c>
      <c r="D24" s="22">
        <f t="shared" ref="D24:E24" si="23">SUM(D21:D23)</f>
        <v>351.15</v>
      </c>
      <c r="E24" s="22">
        <f t="shared" si="23"/>
        <v>460.88249999999994</v>
      </c>
      <c r="F24" s="22">
        <f t="shared" ref="F24:I24" si="24">SUM(F21:F23)</f>
        <v>608.10937499999989</v>
      </c>
      <c r="G24" s="22">
        <f t="shared" si="24"/>
        <v>806.46005624999987</v>
      </c>
      <c r="H24" s="22">
        <f t="shared" si="24"/>
        <v>1074.7110759374996</v>
      </c>
      <c r="I24" s="22">
        <f t="shared" si="24"/>
        <v>1208.7765693281244</v>
      </c>
      <c r="J24" s="22">
        <f t="shared" ref="J24:M24" si="25">SUM(J21:J23)</f>
        <v>1293.1951667273433</v>
      </c>
      <c r="K24" s="22">
        <f t="shared" si="25"/>
        <v>1389.1677364564448</v>
      </c>
      <c r="L24" s="22">
        <f t="shared" si="25"/>
        <v>1497.8874440609115</v>
      </c>
      <c r="M24" s="22">
        <f t="shared" si="25"/>
        <v>1620.6938893164483</v>
      </c>
      <c r="N24" s="22">
        <f t="shared" ref="N24" si="26">SUM(N21:N23)</f>
        <v>1662.8728400605778</v>
      </c>
      <c r="O24" s="22">
        <f t="shared" ref="O24:R24" si="27">SUM(O21:O23)</f>
        <v>1708.6142776826107</v>
      </c>
      <c r="P24" s="22">
        <f t="shared" si="27"/>
        <v>1758.0334345163151</v>
      </c>
      <c r="Q24" s="22">
        <f t="shared" si="27"/>
        <v>1811.254253413515</v>
      </c>
      <c r="R24" s="22">
        <f t="shared" si="27"/>
        <v>1868.4096797389102</v>
      </c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</row>
    <row r="25" spans="1:196" x14ac:dyDescent="0.15">
      <c r="A25" s="2" t="s">
        <v>7</v>
      </c>
      <c r="B25" s="25">
        <f t="shared" ref="B25:C25" si="28">B20-B24</f>
        <v>-126.60499999999999</v>
      </c>
      <c r="C25" s="25">
        <f t="shared" si="28"/>
        <v>-108.13800000000009</v>
      </c>
      <c r="D25" s="22">
        <f t="shared" ref="D25:E25" si="29">D20-D24</f>
        <v>-103.42252000000011</v>
      </c>
      <c r="E25" s="22">
        <f t="shared" si="29"/>
        <v>-93.007192200000134</v>
      </c>
      <c r="F25" s="22">
        <f t="shared" ref="F25:N25" si="30">F20-F24</f>
        <v>-82.047684846000038</v>
      </c>
      <c r="G25" s="22">
        <f t="shared" si="30"/>
        <v>-83.125232288250004</v>
      </c>
      <c r="H25" s="22">
        <f t="shared" si="30"/>
        <v>-119.90910830798975</v>
      </c>
      <c r="I25" s="22">
        <f t="shared" si="30"/>
        <v>-63.014208172712642</v>
      </c>
      <c r="J25" s="22">
        <f t="shared" si="30"/>
        <v>81.719666659150789</v>
      </c>
      <c r="K25" s="22">
        <f t="shared" si="30"/>
        <v>260.73006360734803</v>
      </c>
      <c r="L25" s="22">
        <f t="shared" si="30"/>
        <v>481.98991601564012</v>
      </c>
      <c r="M25" s="22">
        <f t="shared" si="30"/>
        <v>755.15894277541338</v>
      </c>
      <c r="N25" s="22">
        <f t="shared" si="30"/>
        <v>950.56527524047033</v>
      </c>
      <c r="O25" s="22">
        <f t="shared" ref="O25:R25" si="31">O20-O24</f>
        <v>1166.1676491485425</v>
      </c>
      <c r="P25" s="22">
        <f t="shared" si="31"/>
        <v>1404.2266849979537</v>
      </c>
      <c r="Q25" s="22">
        <f t="shared" si="31"/>
        <v>1667.2318780521809</v>
      </c>
      <c r="R25" s="22">
        <f t="shared" si="31"/>
        <v>1957.9250648733555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</row>
    <row r="26" spans="1:196" x14ac:dyDescent="0.15">
      <c r="A26" s="2" t="s">
        <v>8</v>
      </c>
      <c r="B26" s="36">
        <f>SUM(Reports!B19:E19)</f>
        <v>7</v>
      </c>
      <c r="C26" s="36">
        <f>SUM(Reports!F19:I19)</f>
        <v>-4</v>
      </c>
      <c r="D26" s="22">
        <f t="shared" ref="D26:R26" si="32">C43*$F$3</f>
        <v>9.4</v>
      </c>
      <c r="E26" s="22">
        <f t="shared" si="32"/>
        <v>7.5195495999999977</v>
      </c>
      <c r="F26" s="22">
        <f t="shared" si="32"/>
        <v>5.8097967479999957</v>
      </c>
      <c r="G26" s="22">
        <f t="shared" si="32"/>
        <v>4.2850389860399947</v>
      </c>
      <c r="H26" s="22">
        <f t="shared" si="32"/>
        <v>2.7082351199957944</v>
      </c>
      <c r="I26" s="22">
        <f t="shared" si="32"/>
        <v>0.36421765623591484</v>
      </c>
      <c r="J26" s="22">
        <f t="shared" si="32"/>
        <v>-0.88878215409361971</v>
      </c>
      <c r="K26" s="22">
        <f t="shared" si="32"/>
        <v>0.56617376699740951</v>
      </c>
      <c r="L26" s="22">
        <f t="shared" si="32"/>
        <v>5.269506039735627</v>
      </c>
      <c r="M26" s="22">
        <f t="shared" si="32"/>
        <v>14.040175636732391</v>
      </c>
      <c r="N26" s="22">
        <f t="shared" si="32"/>
        <v>27.885759768151015</v>
      </c>
      <c r="O26" s="22">
        <f t="shared" si="32"/>
        <v>45.497878398306206</v>
      </c>
      <c r="P26" s="22">
        <f t="shared" si="32"/>
        <v>67.307857894149478</v>
      </c>
      <c r="Q26" s="22">
        <f t="shared" si="32"/>
        <v>93.795479666207342</v>
      </c>
      <c r="R26" s="22">
        <f t="shared" si="32"/>
        <v>125.49397210513833</v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</row>
    <row r="27" spans="1:196" x14ac:dyDescent="0.15">
      <c r="A27" s="2" t="s">
        <v>9</v>
      </c>
      <c r="B27" s="25">
        <f t="shared" ref="B27:C27" si="33">B25+B26</f>
        <v>-119.60499999999999</v>
      </c>
      <c r="C27" s="25">
        <f t="shared" si="33"/>
        <v>-112.13800000000009</v>
      </c>
      <c r="D27" s="22">
        <f t="shared" ref="D27:E27" si="34">D25+D26</f>
        <v>-94.0225200000001</v>
      </c>
      <c r="E27" s="22">
        <f t="shared" si="34"/>
        <v>-85.487642600000129</v>
      </c>
      <c r="F27" s="22">
        <f t="shared" ref="F27" si="35">F25+F26</f>
        <v>-76.237888098000042</v>
      </c>
      <c r="G27" s="22">
        <f t="shared" ref="G27" si="36">G25+G26</f>
        <v>-78.840193302210011</v>
      </c>
      <c r="H27" s="22">
        <f t="shared" ref="H27" si="37">H25+H26</f>
        <v>-117.20087318799396</v>
      </c>
      <c r="I27" s="22">
        <f t="shared" ref="I27" si="38">I25+I26</f>
        <v>-62.649990516476727</v>
      </c>
      <c r="J27" s="22">
        <f t="shared" ref="J27" si="39">J25+J26</f>
        <v>80.83088450505717</v>
      </c>
      <c r="K27" s="22">
        <f t="shared" ref="K27" si="40">K25+K26</f>
        <v>261.29623737434542</v>
      </c>
      <c r="L27" s="22">
        <f t="shared" ref="L27" si="41">L25+L26</f>
        <v>487.25942205537575</v>
      </c>
      <c r="M27" s="22">
        <f t="shared" ref="M27:N27" si="42">M25+M26</f>
        <v>769.19911841214582</v>
      </c>
      <c r="N27" s="22">
        <f t="shared" si="42"/>
        <v>978.45103500862137</v>
      </c>
      <c r="O27" s="22">
        <f t="shared" ref="O27:R27" si="43">O25+O26</f>
        <v>1211.6655275468488</v>
      </c>
      <c r="P27" s="22">
        <f t="shared" si="43"/>
        <v>1471.5345428921032</v>
      </c>
      <c r="Q27" s="22">
        <f t="shared" si="43"/>
        <v>1761.0273577183882</v>
      </c>
      <c r="R27" s="22">
        <f t="shared" si="43"/>
        <v>2083.4190369784938</v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</row>
    <row r="28" spans="1:196" x14ac:dyDescent="0.15">
      <c r="A28" s="2" t="s">
        <v>10</v>
      </c>
      <c r="B28" s="36">
        <f>SUM(Reports!B21:E21)</f>
        <v>0</v>
      </c>
      <c r="C28" s="36">
        <f>SUM(Reports!F21:I21)</f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f t="shared" ref="J28:N28" si="44">J27*0.1</f>
        <v>8.0830884505057181</v>
      </c>
      <c r="K28" s="22">
        <f t="shared" si="44"/>
        <v>26.129623737434542</v>
      </c>
      <c r="L28" s="22">
        <f t="shared" si="44"/>
        <v>48.725942205537578</v>
      </c>
      <c r="M28" s="22">
        <f t="shared" si="44"/>
        <v>76.919911841214585</v>
      </c>
      <c r="N28" s="22">
        <f t="shared" si="44"/>
        <v>97.845103500862137</v>
      </c>
      <c r="O28" s="22">
        <f t="shared" ref="O28:R28" si="45">O27*0.1</f>
        <v>121.16655275468489</v>
      </c>
      <c r="P28" s="22">
        <f t="shared" si="45"/>
        <v>147.15345428921032</v>
      </c>
      <c r="Q28" s="22">
        <f t="shared" si="45"/>
        <v>176.10273577183884</v>
      </c>
      <c r="R28" s="22">
        <f t="shared" si="45"/>
        <v>208.34190369784938</v>
      </c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</row>
    <row r="29" spans="1:196" s="1" customFormat="1" x14ac:dyDescent="0.15">
      <c r="A29" s="1" t="s">
        <v>11</v>
      </c>
      <c r="B29" s="23">
        <f>B27-B28</f>
        <v>-119.60499999999999</v>
      </c>
      <c r="C29" s="23">
        <f t="shared" ref="C29:E29" si="46">C27-C28</f>
        <v>-112.13800000000009</v>
      </c>
      <c r="D29" s="23">
        <f t="shared" ref="D29" si="47">D27-D28</f>
        <v>-94.0225200000001</v>
      </c>
      <c r="E29" s="23">
        <f t="shared" si="46"/>
        <v>-85.487642600000129</v>
      </c>
      <c r="F29" s="23">
        <f t="shared" ref="F29:N29" si="48">F27-F28</f>
        <v>-76.237888098000042</v>
      </c>
      <c r="G29" s="23">
        <f t="shared" si="48"/>
        <v>-78.840193302210011</v>
      </c>
      <c r="H29" s="23">
        <f t="shared" si="48"/>
        <v>-117.20087318799396</v>
      </c>
      <c r="I29" s="23">
        <f t="shared" si="48"/>
        <v>-62.649990516476727</v>
      </c>
      <c r="J29" s="23">
        <f t="shared" si="48"/>
        <v>72.747796054551458</v>
      </c>
      <c r="K29" s="23">
        <f t="shared" si="48"/>
        <v>235.16661363691088</v>
      </c>
      <c r="L29" s="23">
        <f t="shared" si="48"/>
        <v>438.53347984983816</v>
      </c>
      <c r="M29" s="23">
        <f t="shared" si="48"/>
        <v>692.27920657093125</v>
      </c>
      <c r="N29" s="23">
        <f t="shared" si="48"/>
        <v>880.60593150775924</v>
      </c>
      <c r="O29" s="23">
        <f t="shared" ref="O29:R29" si="49">O27-O28</f>
        <v>1090.4989747921638</v>
      </c>
      <c r="P29" s="23">
        <f t="shared" si="49"/>
        <v>1324.381088602893</v>
      </c>
      <c r="Q29" s="23">
        <f t="shared" si="49"/>
        <v>1584.9246219465495</v>
      </c>
      <c r="R29" s="23">
        <f t="shared" si="49"/>
        <v>1875.0771332806444</v>
      </c>
      <c r="S29" s="23">
        <f t="shared" ref="S29:AX29" si="50">R29*($F$2+1)</f>
        <v>1884.4525189470473</v>
      </c>
      <c r="T29" s="23">
        <f t="shared" si="50"/>
        <v>1893.8747815417823</v>
      </c>
      <c r="U29" s="23">
        <f t="shared" si="50"/>
        <v>1903.3441554494912</v>
      </c>
      <c r="V29" s="23">
        <f t="shared" si="50"/>
        <v>1912.8608762267384</v>
      </c>
      <c r="W29" s="23">
        <f t="shared" si="50"/>
        <v>1922.4251806078719</v>
      </c>
      <c r="X29" s="23">
        <f t="shared" si="50"/>
        <v>1932.0373065109111</v>
      </c>
      <c r="Y29" s="23">
        <f t="shared" si="50"/>
        <v>1941.6974930434656</v>
      </c>
      <c r="Z29" s="23">
        <f t="shared" si="50"/>
        <v>1951.4059805086827</v>
      </c>
      <c r="AA29" s="23">
        <f t="shared" si="50"/>
        <v>1961.163010411226</v>
      </c>
      <c r="AB29" s="23">
        <f t="shared" si="50"/>
        <v>1970.968825463282</v>
      </c>
      <c r="AC29" s="23">
        <f t="shared" si="50"/>
        <v>1980.8236695905982</v>
      </c>
      <c r="AD29" s="23">
        <f t="shared" si="50"/>
        <v>1990.727787938551</v>
      </c>
      <c r="AE29" s="23">
        <f t="shared" si="50"/>
        <v>2000.6814268782437</v>
      </c>
      <c r="AF29" s="23">
        <f t="shared" si="50"/>
        <v>2010.6848340126346</v>
      </c>
      <c r="AG29" s="23">
        <f t="shared" si="50"/>
        <v>2020.7382581826976</v>
      </c>
      <c r="AH29" s="23">
        <f t="shared" si="50"/>
        <v>2030.8419494736108</v>
      </c>
      <c r="AI29" s="23">
        <f t="shared" si="50"/>
        <v>2040.9961592209786</v>
      </c>
      <c r="AJ29" s="23">
        <f t="shared" si="50"/>
        <v>2051.2011400170832</v>
      </c>
      <c r="AK29" s="23">
        <f t="shared" si="50"/>
        <v>2061.4571457171683</v>
      </c>
      <c r="AL29" s="23">
        <f t="shared" si="50"/>
        <v>2071.7644314457539</v>
      </c>
      <c r="AM29" s="23">
        <f t="shared" si="50"/>
        <v>2082.1232536029825</v>
      </c>
      <c r="AN29" s="23">
        <f t="shared" si="50"/>
        <v>2092.533869870997</v>
      </c>
      <c r="AO29" s="23">
        <f t="shared" si="50"/>
        <v>2102.9965392203517</v>
      </c>
      <c r="AP29" s="23">
        <f t="shared" si="50"/>
        <v>2113.5115219164531</v>
      </c>
      <c r="AQ29" s="23">
        <f t="shared" si="50"/>
        <v>2124.079079526035</v>
      </c>
      <c r="AR29" s="23">
        <f t="shared" si="50"/>
        <v>2134.6994749236651</v>
      </c>
      <c r="AS29" s="23">
        <f t="shared" si="50"/>
        <v>2145.372972298283</v>
      </c>
      <c r="AT29" s="23">
        <f t="shared" si="50"/>
        <v>2156.0998371597743</v>
      </c>
      <c r="AU29" s="23">
        <f t="shared" si="50"/>
        <v>2166.8803363455731</v>
      </c>
      <c r="AV29" s="23">
        <f t="shared" si="50"/>
        <v>2177.7147380273009</v>
      </c>
      <c r="AW29" s="23">
        <f t="shared" si="50"/>
        <v>2188.603311717437</v>
      </c>
      <c r="AX29" s="23">
        <f t="shared" si="50"/>
        <v>2199.5463282760238</v>
      </c>
      <c r="AY29" s="23">
        <f t="shared" ref="AY29:CD29" si="51">AX29*($F$2+1)</f>
        <v>2210.5440599174035</v>
      </c>
      <c r="AZ29" s="23">
        <f t="shared" si="51"/>
        <v>2221.5967802169903</v>
      </c>
      <c r="BA29" s="23">
        <f t="shared" si="51"/>
        <v>2232.7047641180752</v>
      </c>
      <c r="BB29" s="23">
        <f t="shared" si="51"/>
        <v>2243.8682879386652</v>
      </c>
      <c r="BC29" s="23">
        <f t="shared" si="51"/>
        <v>2255.0876293783581</v>
      </c>
      <c r="BD29" s="23">
        <f t="shared" si="51"/>
        <v>2266.3630675252498</v>
      </c>
      <c r="BE29" s="23">
        <f t="shared" si="51"/>
        <v>2277.6948828628756</v>
      </c>
      <c r="BF29" s="23">
        <f t="shared" si="51"/>
        <v>2289.0833572771899</v>
      </c>
      <c r="BG29" s="23">
        <f t="shared" si="51"/>
        <v>2300.5287740635754</v>
      </c>
      <c r="BH29" s="23">
        <f t="shared" si="51"/>
        <v>2312.031417933893</v>
      </c>
      <c r="BI29" s="23">
        <f t="shared" si="51"/>
        <v>2323.5915750235622</v>
      </c>
      <c r="BJ29" s="23">
        <f t="shared" si="51"/>
        <v>2335.2095328986798</v>
      </c>
      <c r="BK29" s="23">
        <f t="shared" si="51"/>
        <v>2346.8855805631729</v>
      </c>
      <c r="BL29" s="23">
        <f t="shared" si="51"/>
        <v>2358.6200084659886</v>
      </c>
      <c r="BM29" s="23">
        <f t="shared" si="51"/>
        <v>2370.4131085083181</v>
      </c>
      <c r="BN29" s="23">
        <f t="shared" si="51"/>
        <v>2382.2651740508595</v>
      </c>
      <c r="BO29" s="23">
        <f t="shared" si="51"/>
        <v>2394.1764999211136</v>
      </c>
      <c r="BP29" s="23">
        <f t="shared" si="51"/>
        <v>2406.1473824207192</v>
      </c>
      <c r="BQ29" s="23">
        <f t="shared" si="51"/>
        <v>2418.1781193328225</v>
      </c>
      <c r="BR29" s="23">
        <f t="shared" si="51"/>
        <v>2430.2690099294864</v>
      </c>
      <c r="BS29" s="23">
        <f t="shared" si="51"/>
        <v>2442.4203549791337</v>
      </c>
      <c r="BT29" s="23">
        <f t="shared" si="51"/>
        <v>2454.6324567540291</v>
      </c>
      <c r="BU29" s="23">
        <f t="shared" si="51"/>
        <v>2466.9056190377992</v>
      </c>
      <c r="BV29" s="23">
        <f t="shared" si="51"/>
        <v>2479.2401471329881</v>
      </c>
      <c r="BW29" s="23">
        <f t="shared" si="51"/>
        <v>2491.6363478686526</v>
      </c>
      <c r="BX29" s="23">
        <f t="shared" si="51"/>
        <v>2504.0945296079958</v>
      </c>
      <c r="BY29" s="23">
        <f t="shared" si="51"/>
        <v>2516.6150022560355</v>
      </c>
      <c r="BZ29" s="23">
        <f t="shared" si="51"/>
        <v>2529.1980772673155</v>
      </c>
      <c r="CA29" s="23">
        <f t="shared" si="51"/>
        <v>2541.844067653652</v>
      </c>
      <c r="CB29" s="23">
        <f t="shared" si="51"/>
        <v>2554.5532879919201</v>
      </c>
      <c r="CC29" s="23">
        <f t="shared" si="51"/>
        <v>2567.3260544318796</v>
      </c>
      <c r="CD29" s="23">
        <f t="shared" si="51"/>
        <v>2580.1626847040388</v>
      </c>
      <c r="CE29" s="23">
        <f t="shared" ref="CE29:DJ29" si="52">CD29*($F$2+1)</f>
        <v>2593.0634981275589</v>
      </c>
      <c r="CF29" s="23">
        <f t="shared" si="52"/>
        <v>2606.0288156181964</v>
      </c>
      <c r="CG29" s="23">
        <f t="shared" si="52"/>
        <v>2619.0589596962873</v>
      </c>
      <c r="CH29" s="23">
        <f t="shared" si="52"/>
        <v>2632.1542544947683</v>
      </c>
      <c r="CI29" s="23">
        <f t="shared" si="52"/>
        <v>2645.3150257672419</v>
      </c>
      <c r="CJ29" s="23">
        <f t="shared" si="52"/>
        <v>2658.5416008960779</v>
      </c>
      <c r="CK29" s="23">
        <f t="shared" si="52"/>
        <v>2671.834308900558</v>
      </c>
      <c r="CL29" s="23">
        <f t="shared" si="52"/>
        <v>2685.1934804450607</v>
      </c>
      <c r="CM29" s="23">
        <f t="shared" si="52"/>
        <v>2698.6194478472858</v>
      </c>
      <c r="CN29" s="23">
        <f t="shared" si="52"/>
        <v>2712.112545086522</v>
      </c>
      <c r="CO29" s="23">
        <f t="shared" si="52"/>
        <v>2725.6731078119542</v>
      </c>
      <c r="CP29" s="23">
        <f t="shared" si="52"/>
        <v>2739.3014733510136</v>
      </c>
      <c r="CQ29" s="23">
        <f t="shared" si="52"/>
        <v>2752.9979807177683</v>
      </c>
      <c r="CR29" s="23">
        <f t="shared" si="52"/>
        <v>2766.762970621357</v>
      </c>
      <c r="CS29" s="23">
        <f t="shared" si="52"/>
        <v>2780.5967854744636</v>
      </c>
      <c r="CT29" s="23">
        <f t="shared" si="52"/>
        <v>2794.4997694018357</v>
      </c>
      <c r="CU29" s="23">
        <f t="shared" si="52"/>
        <v>2808.4722682488446</v>
      </c>
      <c r="CV29" s="23">
        <f t="shared" si="52"/>
        <v>2822.5146295900886</v>
      </c>
      <c r="CW29" s="23">
        <f t="shared" si="52"/>
        <v>2836.6272027380387</v>
      </c>
      <c r="CX29" s="23">
        <f t="shared" si="52"/>
        <v>2850.8103387517285</v>
      </c>
      <c r="CY29" s="23">
        <f t="shared" si="52"/>
        <v>2865.0643904454869</v>
      </c>
      <c r="CZ29" s="23">
        <f t="shared" si="52"/>
        <v>2879.389712397714</v>
      </c>
      <c r="DA29" s="23">
        <f t="shared" si="52"/>
        <v>2893.7866609597022</v>
      </c>
      <c r="DB29" s="23">
        <f t="shared" si="52"/>
        <v>2908.2555942645004</v>
      </c>
      <c r="DC29" s="23">
        <f t="shared" si="52"/>
        <v>2922.7968722358228</v>
      </c>
      <c r="DD29" s="23">
        <f t="shared" si="52"/>
        <v>2937.4108565970014</v>
      </c>
      <c r="DE29" s="23">
        <f t="shared" si="52"/>
        <v>2952.0979108799861</v>
      </c>
      <c r="DF29" s="23">
        <f t="shared" si="52"/>
        <v>2966.8584004343857</v>
      </c>
      <c r="DG29" s="23">
        <f t="shared" si="52"/>
        <v>2981.6926924365571</v>
      </c>
      <c r="DH29" s="23">
        <f t="shared" si="52"/>
        <v>2996.6011558987398</v>
      </c>
      <c r="DI29" s="23">
        <f t="shared" si="52"/>
        <v>3011.5841616782332</v>
      </c>
      <c r="DJ29" s="23">
        <f t="shared" si="52"/>
        <v>3026.6420824866241</v>
      </c>
      <c r="DK29" s="23">
        <f t="shared" ref="DK29:EP29" si="53">DJ29*($F$2+1)</f>
        <v>3041.7752928990567</v>
      </c>
      <c r="DL29" s="23">
        <f t="shared" si="53"/>
        <v>3056.9841693635517</v>
      </c>
      <c r="DM29" s="23">
        <f t="shared" si="53"/>
        <v>3072.2690902103691</v>
      </c>
      <c r="DN29" s="23">
        <f t="shared" si="53"/>
        <v>3087.6304356614205</v>
      </c>
      <c r="DO29" s="23">
        <f t="shared" si="53"/>
        <v>3103.0685878397271</v>
      </c>
      <c r="DP29" s="23">
        <f t="shared" si="53"/>
        <v>3118.5839307789256</v>
      </c>
      <c r="DQ29" s="23">
        <f t="shared" si="53"/>
        <v>3134.1768504328197</v>
      </c>
      <c r="DR29" s="23">
        <f t="shared" si="53"/>
        <v>3149.8477346849836</v>
      </c>
      <c r="DS29" s="23">
        <f t="shared" si="53"/>
        <v>3165.5969733584084</v>
      </c>
      <c r="DT29" s="23">
        <f t="shared" si="53"/>
        <v>3181.4249582252</v>
      </c>
      <c r="DU29" s="23">
        <f t="shared" si="53"/>
        <v>3197.3320830163257</v>
      </c>
      <c r="DV29" s="23">
        <f t="shared" si="53"/>
        <v>3213.3187434314068</v>
      </c>
      <c r="DW29" s="23">
        <f t="shared" si="53"/>
        <v>3229.3853371485634</v>
      </c>
      <c r="DX29" s="23">
        <f t="shared" si="53"/>
        <v>3245.5322638343059</v>
      </c>
      <c r="DY29" s="23">
        <f t="shared" si="53"/>
        <v>3261.7599251534771</v>
      </c>
      <c r="DZ29" s="23">
        <f t="shared" si="53"/>
        <v>3278.0687247792439</v>
      </c>
      <c r="EA29" s="23">
        <f t="shared" si="53"/>
        <v>3294.4590684031396</v>
      </c>
      <c r="EB29" s="23">
        <f t="shared" si="53"/>
        <v>3310.9313637451551</v>
      </c>
      <c r="EC29" s="23">
        <f t="shared" si="53"/>
        <v>3327.4860205638806</v>
      </c>
      <c r="ED29" s="23">
        <f t="shared" si="53"/>
        <v>3344.1234506666997</v>
      </c>
      <c r="EE29" s="23">
        <f t="shared" si="53"/>
        <v>3360.844067920033</v>
      </c>
      <c r="EF29" s="23">
        <f t="shared" si="53"/>
        <v>3377.6482882596329</v>
      </c>
      <c r="EG29" s="23">
        <f t="shared" si="53"/>
        <v>3394.5365297009307</v>
      </c>
      <c r="EH29" s="23">
        <f t="shared" si="53"/>
        <v>3411.5092123494351</v>
      </c>
      <c r="EI29" s="23">
        <f t="shared" si="53"/>
        <v>3428.566758411182</v>
      </c>
      <c r="EJ29" s="23">
        <f t="shared" si="53"/>
        <v>3445.7095922032377</v>
      </c>
      <c r="EK29" s="23">
        <f t="shared" si="53"/>
        <v>3462.9381401642536</v>
      </c>
      <c r="EL29" s="23">
        <f t="shared" si="53"/>
        <v>3480.2528308650744</v>
      </c>
      <c r="EM29" s="23">
        <f t="shared" si="53"/>
        <v>3497.6540950193994</v>
      </c>
      <c r="EN29" s="23">
        <f t="shared" si="53"/>
        <v>3515.1423654944961</v>
      </c>
      <c r="EO29" s="23">
        <f t="shared" si="53"/>
        <v>3532.7180773219684</v>
      </c>
      <c r="EP29" s="23">
        <f t="shared" si="53"/>
        <v>3550.3816677085779</v>
      </c>
      <c r="EQ29" s="23">
        <f t="shared" ref="EQ29:FV29" si="54">EP29*($F$2+1)</f>
        <v>3568.1335760471202</v>
      </c>
      <c r="ER29" s="23">
        <f t="shared" si="54"/>
        <v>3585.9742439273555</v>
      </c>
      <c r="ES29" s="23">
        <f t="shared" si="54"/>
        <v>3603.9041151469919</v>
      </c>
      <c r="ET29" s="23">
        <f t="shared" si="54"/>
        <v>3621.9236357227264</v>
      </c>
      <c r="EU29" s="23">
        <f t="shared" si="54"/>
        <v>3640.0332539013398</v>
      </c>
      <c r="EV29" s="23">
        <f t="shared" si="54"/>
        <v>3658.2334201708459</v>
      </c>
      <c r="EW29" s="23">
        <f t="shared" si="54"/>
        <v>3676.5245872716996</v>
      </c>
      <c r="EX29" s="23">
        <f t="shared" si="54"/>
        <v>3694.9072102080577</v>
      </c>
      <c r="EY29" s="23">
        <f t="shared" si="54"/>
        <v>3713.3817462590978</v>
      </c>
      <c r="EZ29" s="23">
        <f t="shared" si="54"/>
        <v>3731.9486549903927</v>
      </c>
      <c r="FA29" s="23">
        <f t="shared" si="54"/>
        <v>3750.6083982653445</v>
      </c>
      <c r="FB29" s="23">
        <f t="shared" si="54"/>
        <v>3769.3614402566709</v>
      </c>
      <c r="FC29" s="23">
        <f t="shared" si="54"/>
        <v>3788.2082474579538</v>
      </c>
      <c r="FD29" s="23">
        <f t="shared" si="54"/>
        <v>3807.1492886952433</v>
      </c>
      <c r="FE29" s="23">
        <f t="shared" si="54"/>
        <v>3826.1850351387193</v>
      </c>
      <c r="FF29" s="23">
        <f t="shared" si="54"/>
        <v>3845.3159603144127</v>
      </c>
      <c r="FG29" s="23">
        <f t="shared" si="54"/>
        <v>3864.5425401159841</v>
      </c>
      <c r="FH29" s="23">
        <f t="shared" si="54"/>
        <v>3883.8652528165635</v>
      </c>
      <c r="FI29" s="23">
        <f t="shared" si="54"/>
        <v>3903.2845790806459</v>
      </c>
      <c r="FJ29" s="23">
        <f t="shared" si="54"/>
        <v>3922.8010019760486</v>
      </c>
      <c r="FK29" s="23">
        <f t="shared" si="54"/>
        <v>3942.4150069859284</v>
      </c>
      <c r="FL29" s="23">
        <f t="shared" si="54"/>
        <v>3962.1270820208574</v>
      </c>
      <c r="FM29" s="23">
        <f t="shared" si="54"/>
        <v>3981.9377174309611</v>
      </c>
      <c r="FN29" s="23">
        <f t="shared" si="54"/>
        <v>4001.8474060181156</v>
      </c>
      <c r="FO29" s="23">
        <f t="shared" si="54"/>
        <v>4021.8566430482056</v>
      </c>
      <c r="FP29" s="23">
        <f t="shared" si="54"/>
        <v>4041.9659262634464</v>
      </c>
      <c r="FQ29" s="23">
        <f t="shared" si="54"/>
        <v>4062.1757558947634</v>
      </c>
      <c r="FR29" s="23">
        <f t="shared" si="54"/>
        <v>4082.4866346742369</v>
      </c>
      <c r="FS29" s="23">
        <f t="shared" si="54"/>
        <v>4102.8990678476075</v>
      </c>
      <c r="FT29" s="23">
        <f t="shared" si="54"/>
        <v>4123.4135631868448</v>
      </c>
      <c r="FU29" s="23">
        <f t="shared" si="54"/>
        <v>4144.030631002779</v>
      </c>
      <c r="FV29" s="23">
        <f t="shared" si="54"/>
        <v>4164.7507841577926</v>
      </c>
      <c r="FW29" s="23">
        <f t="shared" ref="FW29:GN29" si="55">FV29*($F$2+1)</f>
        <v>4185.5745380785811</v>
      </c>
      <c r="FX29" s="23">
        <f t="shared" si="55"/>
        <v>4206.5024107689733</v>
      </c>
      <c r="FY29" s="23">
        <f t="shared" si="55"/>
        <v>4227.5349228228179</v>
      </c>
      <c r="FZ29" s="23">
        <f t="shared" si="55"/>
        <v>4248.6725974369319</v>
      </c>
      <c r="GA29" s="23">
        <f t="shared" si="55"/>
        <v>4269.9159604241158</v>
      </c>
      <c r="GB29" s="23">
        <f t="shared" si="55"/>
        <v>4291.2655402262362</v>
      </c>
      <c r="GC29" s="23">
        <f t="shared" si="55"/>
        <v>4312.7218679273674</v>
      </c>
      <c r="GD29" s="23">
        <f t="shared" si="55"/>
        <v>4334.2854772670034</v>
      </c>
      <c r="GE29" s="23">
        <f t="shared" si="55"/>
        <v>4355.9569046533379</v>
      </c>
      <c r="GF29" s="23">
        <f t="shared" si="55"/>
        <v>4377.7366891766042</v>
      </c>
      <c r="GG29" s="23">
        <f t="shared" si="55"/>
        <v>4399.6253726224868</v>
      </c>
      <c r="GH29" s="23">
        <f t="shared" si="55"/>
        <v>4421.6234994855986</v>
      </c>
      <c r="GI29" s="23">
        <f t="shared" si="55"/>
        <v>4443.7316169830265</v>
      </c>
      <c r="GJ29" s="23">
        <f t="shared" si="55"/>
        <v>4465.9502750679412</v>
      </c>
      <c r="GK29" s="23">
        <f t="shared" si="55"/>
        <v>4488.2800264432808</v>
      </c>
      <c r="GL29" s="23">
        <f t="shared" si="55"/>
        <v>4510.7214265754965</v>
      </c>
      <c r="GM29" s="23">
        <f t="shared" si="55"/>
        <v>4533.2750337083735</v>
      </c>
      <c r="GN29" s="23">
        <f t="shared" si="55"/>
        <v>4555.9414088769145</v>
      </c>
    </row>
    <row r="30" spans="1:196" x14ac:dyDescent="0.15">
      <c r="A30" s="2" t="s">
        <v>12</v>
      </c>
      <c r="B30" s="27">
        <f t="shared" ref="B30:C30" si="56">B29/B31</f>
        <v>-2.526226030158667</v>
      </c>
      <c r="C30" s="27">
        <f t="shared" si="56"/>
        <v>-2.3432027936724475</v>
      </c>
      <c r="D30" s="45">
        <f t="shared" ref="D30:E30" si="57">D29/D31</f>
        <v>-1.9646670310877989</v>
      </c>
      <c r="E30" s="45">
        <f t="shared" si="57"/>
        <v>-1.7863247334961552</v>
      </c>
      <c r="F30" s="45">
        <f t="shared" ref="F30:N30" si="58">F29/F31</f>
        <v>-1.5930445734266794</v>
      </c>
      <c r="G30" s="45">
        <f t="shared" si="58"/>
        <v>-1.6474215805473089</v>
      </c>
      <c r="H30" s="45">
        <f t="shared" si="58"/>
        <v>-2.4489951084820261</v>
      </c>
      <c r="I30" s="45">
        <f t="shared" si="58"/>
        <v>-1.309115846561919</v>
      </c>
      <c r="J30" s="45">
        <f t="shared" si="58"/>
        <v>1.5201166326181872</v>
      </c>
      <c r="K30" s="45">
        <f t="shared" si="58"/>
        <v>4.9139726591565589</v>
      </c>
      <c r="L30" s="45">
        <f t="shared" si="58"/>
        <v>9.1634671128702117</v>
      </c>
      <c r="M30" s="45">
        <f t="shared" si="58"/>
        <v>14.465663475702707</v>
      </c>
      <c r="N30" s="45">
        <f t="shared" si="58"/>
        <v>18.400883543789863</v>
      </c>
      <c r="O30" s="45">
        <f t="shared" ref="O30:R30" si="59">O29/O31</f>
        <v>22.786747081541815</v>
      </c>
      <c r="P30" s="45">
        <f t="shared" si="59"/>
        <v>27.6738792086648</v>
      </c>
      <c r="Q30" s="45">
        <f t="shared" si="59"/>
        <v>33.118120547052733</v>
      </c>
      <c r="R30" s="45">
        <f t="shared" si="59"/>
        <v>39.181062414654498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</row>
    <row r="31" spans="1:196" s="15" customFormat="1" x14ac:dyDescent="0.15">
      <c r="A31" s="15" t="s">
        <v>13</v>
      </c>
      <c r="B31" s="22">
        <f>Reports!E24</f>
        <v>47.345328000000002</v>
      </c>
      <c r="C31" s="22">
        <f>Reports!I24</f>
        <v>47.856720000000003</v>
      </c>
      <c r="D31" s="22">
        <f t="shared" ref="D31:E31" si="60">C31</f>
        <v>47.856720000000003</v>
      </c>
      <c r="E31" s="22">
        <f t="shared" si="60"/>
        <v>47.856720000000003</v>
      </c>
      <c r="F31" s="22">
        <f t="shared" ref="F31" si="61">E31</f>
        <v>47.856720000000003</v>
      </c>
      <c r="G31" s="22">
        <f t="shared" ref="G31" si="62">F31</f>
        <v>47.856720000000003</v>
      </c>
      <c r="H31" s="22">
        <f t="shared" ref="H31" si="63">G31</f>
        <v>47.856720000000003</v>
      </c>
      <c r="I31" s="22">
        <f t="shared" ref="I31" si="64">H31</f>
        <v>47.856720000000003</v>
      </c>
      <c r="J31" s="22">
        <f t="shared" ref="J31" si="65">I31</f>
        <v>47.856720000000003</v>
      </c>
      <c r="K31" s="22">
        <f t="shared" ref="K31" si="66">J31</f>
        <v>47.856720000000003</v>
      </c>
      <c r="L31" s="22">
        <f t="shared" ref="L31" si="67">K31</f>
        <v>47.856720000000003</v>
      </c>
      <c r="M31" s="22">
        <f t="shared" ref="M31:R31" si="68">L31</f>
        <v>47.856720000000003</v>
      </c>
      <c r="N31" s="22">
        <f t="shared" si="68"/>
        <v>47.856720000000003</v>
      </c>
      <c r="O31" s="22">
        <f t="shared" si="68"/>
        <v>47.856720000000003</v>
      </c>
      <c r="P31" s="22">
        <f t="shared" si="68"/>
        <v>47.856720000000003</v>
      </c>
      <c r="Q31" s="22">
        <f t="shared" si="68"/>
        <v>47.856720000000003</v>
      </c>
      <c r="R31" s="22">
        <f t="shared" si="68"/>
        <v>47.856720000000003</v>
      </c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</row>
    <row r="32" spans="1:196" x14ac:dyDescent="0.1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</row>
    <row r="33" spans="1:113" x14ac:dyDescent="0.15">
      <c r="A33" s="2" t="s">
        <v>15</v>
      </c>
      <c r="B33" s="32">
        <f>IFERROR(B20/B18,0)</f>
        <v>0.20575563515869985</v>
      </c>
      <c r="C33" s="32">
        <f t="shared" ref="C33:N33" si="69">IFERROR(C20/C18,0)</f>
        <v>0.31570787081377261</v>
      </c>
      <c r="D33" s="32">
        <f>IFERROR(D20/D18,0)</f>
        <v>0.31570787081377261</v>
      </c>
      <c r="E33" s="32">
        <f>IFERROR(E20/E18,0)</f>
        <v>0.31570787081377261</v>
      </c>
      <c r="F33" s="32">
        <f t="shared" si="69"/>
        <v>0.31570787081377261</v>
      </c>
      <c r="G33" s="32">
        <f t="shared" si="69"/>
        <v>0.31570787081377261</v>
      </c>
      <c r="H33" s="32">
        <f t="shared" si="69"/>
        <v>0.31570787081377261</v>
      </c>
      <c r="I33" s="32">
        <f t="shared" si="69"/>
        <v>0.31570787081377261</v>
      </c>
      <c r="J33" s="32">
        <f t="shared" si="69"/>
        <v>0.31570787081377261</v>
      </c>
      <c r="K33" s="32">
        <f t="shared" si="69"/>
        <v>0.31570787081377261</v>
      </c>
      <c r="L33" s="32">
        <f t="shared" si="69"/>
        <v>0.31570787081377261</v>
      </c>
      <c r="M33" s="32">
        <f t="shared" si="69"/>
        <v>0.31570787081377261</v>
      </c>
      <c r="N33" s="32">
        <f t="shared" si="69"/>
        <v>0.31570787081377261</v>
      </c>
      <c r="O33" s="32">
        <f t="shared" ref="O33:R33" si="70">IFERROR(O20/O18,0)</f>
        <v>0.31570787081377261</v>
      </c>
      <c r="P33" s="32">
        <f t="shared" si="70"/>
        <v>0.31570787081377261</v>
      </c>
      <c r="Q33" s="32">
        <f t="shared" si="70"/>
        <v>0.31570787081377261</v>
      </c>
      <c r="R33" s="32">
        <f t="shared" si="70"/>
        <v>0.31570787081377261</v>
      </c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</row>
    <row r="34" spans="1:113" x14ac:dyDescent="0.15">
      <c r="A34" s="2" t="s">
        <v>16</v>
      </c>
      <c r="B34" s="34">
        <f>IFERROR(B25/B18,0)</f>
        <v>-0.47889865225236122</v>
      </c>
      <c r="C34" s="34">
        <f t="shared" ref="C34:N34" si="71">IFERROR(C25/C18,0)</f>
        <v>-0.2122317124868508</v>
      </c>
      <c r="D34" s="34">
        <f t="shared" ref="D34" si="72">IFERROR(D25/D18,0)</f>
        <v>-0.13180331702964429</v>
      </c>
      <c r="E34" s="34">
        <f t="shared" si="71"/>
        <v>-7.9818085088203289E-2</v>
      </c>
      <c r="F34" s="34">
        <f t="shared" si="71"/>
        <v>-4.9239662139904557E-2</v>
      </c>
      <c r="G34" s="34">
        <f t="shared" si="71"/>
        <v>-3.6280971449552973E-2</v>
      </c>
      <c r="H34" s="34">
        <f t="shared" si="71"/>
        <v>-3.9648273211123915E-2</v>
      </c>
      <c r="I34" s="34">
        <f t="shared" si="71"/>
        <v>-1.7363182949352001E-2</v>
      </c>
      <c r="J34" s="34">
        <f t="shared" si="71"/>
        <v>1.8764465505856816E-2</v>
      </c>
      <c r="K34" s="34">
        <f t="shared" si="71"/>
        <v>4.9890686099122429E-2</v>
      </c>
      <c r="L34" s="34">
        <f t="shared" si="71"/>
        <v>7.6857290864280239E-2</v>
      </c>
      <c r="M34" s="34">
        <f t="shared" si="71"/>
        <v>0.10034696540513131</v>
      </c>
      <c r="N34" s="34">
        <f t="shared" si="71"/>
        <v>0.11482993890640003</v>
      </c>
      <c r="O34" s="34">
        <f t="shared" ref="O34:R34" si="73">IFERROR(O25/O18,0)</f>
        <v>0.12806825522602949</v>
      </c>
      <c r="P34" s="34">
        <f t="shared" si="73"/>
        <v>0.1401925838183995</v>
      </c>
      <c r="Q34" s="34">
        <f t="shared" si="73"/>
        <v>0.15131819029300397</v>
      </c>
      <c r="R34" s="34">
        <f t="shared" si="73"/>
        <v>0.16154685742392408</v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</row>
    <row r="35" spans="1:113" x14ac:dyDescent="0.15">
      <c r="A35" s="2" t="s">
        <v>17</v>
      </c>
      <c r="B35" s="34">
        <f>IFERROR(B28/B27,0)</f>
        <v>0</v>
      </c>
      <c r="C35" s="34">
        <f t="shared" ref="C35:N35" si="74">IFERROR(C28/C27,0)</f>
        <v>0</v>
      </c>
      <c r="D35" s="34">
        <f t="shared" ref="D35" si="75">IFERROR(D28/D27,0)</f>
        <v>0</v>
      </c>
      <c r="E35" s="34">
        <f t="shared" si="74"/>
        <v>0</v>
      </c>
      <c r="F35" s="34">
        <f t="shared" si="74"/>
        <v>0</v>
      </c>
      <c r="G35" s="34">
        <f t="shared" si="74"/>
        <v>0</v>
      </c>
      <c r="H35" s="34">
        <f t="shared" si="74"/>
        <v>0</v>
      </c>
      <c r="I35" s="34">
        <f t="shared" si="74"/>
        <v>0</v>
      </c>
      <c r="J35" s="34">
        <f t="shared" si="74"/>
        <v>0.10000000000000002</v>
      </c>
      <c r="K35" s="34">
        <f t="shared" si="74"/>
        <v>0.1</v>
      </c>
      <c r="L35" s="34">
        <f t="shared" si="74"/>
        <v>0.1</v>
      </c>
      <c r="M35" s="34">
        <f t="shared" si="74"/>
        <v>0.1</v>
      </c>
      <c r="N35" s="34">
        <f t="shared" si="74"/>
        <v>0.1</v>
      </c>
      <c r="O35" s="34">
        <f t="shared" ref="O35:R35" si="76">IFERROR(O28/O27,0)</f>
        <v>0.1</v>
      </c>
      <c r="P35" s="34">
        <f t="shared" si="76"/>
        <v>9.9999999999999992E-2</v>
      </c>
      <c r="Q35" s="34">
        <f t="shared" si="76"/>
        <v>0.1</v>
      </c>
      <c r="R35" s="34">
        <f t="shared" si="76"/>
        <v>0.1</v>
      </c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</row>
    <row r="36" spans="1:113" x14ac:dyDescent="0.1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</row>
    <row r="37" spans="1:113" x14ac:dyDescent="0.15">
      <c r="A37" s="1" t="s">
        <v>14</v>
      </c>
      <c r="B37" s="46"/>
      <c r="C37" s="46">
        <f>C18/B18-1</f>
        <v>0.92735099312697833</v>
      </c>
      <c r="D37" s="46">
        <f t="shared" ref="D37:R37" si="77">D18/C18-1</f>
        <v>0.54</v>
      </c>
      <c r="E37" s="46">
        <f>E18/D18-1</f>
        <v>0.4850000000000001</v>
      </c>
      <c r="F37" s="46">
        <f t="shared" si="77"/>
        <v>0.43000000000000016</v>
      </c>
      <c r="G37" s="46">
        <f t="shared" si="77"/>
        <v>0.375</v>
      </c>
      <c r="H37" s="46">
        <f t="shared" si="77"/>
        <v>0.32000000000000006</v>
      </c>
      <c r="I37" s="46">
        <f t="shared" si="77"/>
        <v>0.19999999999999996</v>
      </c>
      <c r="J37" s="46">
        <f t="shared" si="77"/>
        <v>0.19999999999999996</v>
      </c>
      <c r="K37" s="46">
        <f t="shared" si="77"/>
        <v>0.19999999999999996</v>
      </c>
      <c r="L37" s="46">
        <f t="shared" si="77"/>
        <v>0.19999999999999996</v>
      </c>
      <c r="M37" s="46">
        <f t="shared" si="77"/>
        <v>0.19999999999999996</v>
      </c>
      <c r="N37" s="46">
        <f t="shared" si="77"/>
        <v>0.10000000000000009</v>
      </c>
      <c r="O37" s="46">
        <f t="shared" si="77"/>
        <v>0.10000000000000009</v>
      </c>
      <c r="P37" s="46">
        <f t="shared" si="77"/>
        <v>0.10000000000000009</v>
      </c>
      <c r="Q37" s="46">
        <f t="shared" si="77"/>
        <v>0.10000000000000009</v>
      </c>
      <c r="R37" s="46">
        <f t="shared" si="77"/>
        <v>0.10000000000000009</v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</row>
    <row r="38" spans="1:113" x14ac:dyDescent="0.15">
      <c r="A38" s="2" t="s">
        <v>26</v>
      </c>
      <c r="B38" s="34"/>
      <c r="C38" s="34">
        <f t="shared" ref="C38:R38" si="78">C21/B21-1</f>
        <v>0.61842105263157898</v>
      </c>
      <c r="D38" s="34">
        <f t="shared" si="78"/>
        <v>0.39999999999999991</v>
      </c>
      <c r="E38" s="34">
        <f t="shared" si="78"/>
        <v>0.39999999999999991</v>
      </c>
      <c r="F38" s="34">
        <f t="shared" si="78"/>
        <v>0.40000000000000013</v>
      </c>
      <c r="G38" s="34">
        <f t="shared" si="78"/>
        <v>0.39999999999999991</v>
      </c>
      <c r="H38" s="34">
        <f t="shared" si="78"/>
        <v>0.39999999999999991</v>
      </c>
      <c r="I38" s="34">
        <f t="shared" si="78"/>
        <v>0.19999999999999996</v>
      </c>
      <c r="J38" s="34">
        <f t="shared" si="78"/>
        <v>0.10000000000000009</v>
      </c>
      <c r="K38" s="34">
        <f t="shared" si="78"/>
        <v>0.10000000000000009</v>
      </c>
      <c r="L38" s="34">
        <f t="shared" si="78"/>
        <v>9.9999999999999867E-2</v>
      </c>
      <c r="M38" s="34">
        <f t="shared" si="78"/>
        <v>0.10000000000000009</v>
      </c>
      <c r="N38" s="34">
        <f t="shared" si="78"/>
        <v>5.0000000000000044E-2</v>
      </c>
      <c r="O38" s="34">
        <f t="shared" si="78"/>
        <v>5.0000000000000044E-2</v>
      </c>
      <c r="P38" s="34">
        <f t="shared" si="78"/>
        <v>5.0000000000000044E-2</v>
      </c>
      <c r="Q38" s="34">
        <f t="shared" si="78"/>
        <v>5.0000000000000044E-2</v>
      </c>
      <c r="R38" s="34">
        <f t="shared" si="78"/>
        <v>5.0000000000000044E-2</v>
      </c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</row>
    <row r="39" spans="1:113" x14ac:dyDescent="0.15">
      <c r="A39" s="2" t="s">
        <v>27</v>
      </c>
      <c r="B39" s="34"/>
      <c r="C39" s="34">
        <f t="shared" ref="C39:R39" si="79">C22/B22-1</f>
        <v>0.5625</v>
      </c>
      <c r="D39" s="34">
        <f t="shared" si="79"/>
        <v>0.35000000000000009</v>
      </c>
      <c r="E39" s="34">
        <f t="shared" si="79"/>
        <v>0.35000000000000009</v>
      </c>
      <c r="F39" s="34">
        <f t="shared" si="79"/>
        <v>0.35000000000000009</v>
      </c>
      <c r="G39" s="34">
        <f t="shared" si="79"/>
        <v>0.35000000000000009</v>
      </c>
      <c r="H39" s="34">
        <f t="shared" si="79"/>
        <v>0.35000000000000009</v>
      </c>
      <c r="I39" s="34">
        <f t="shared" si="79"/>
        <v>0.14999999999999991</v>
      </c>
      <c r="J39" s="34">
        <f t="shared" si="79"/>
        <v>0.14999999999999991</v>
      </c>
      <c r="K39" s="34">
        <f t="shared" si="79"/>
        <v>0.14999999999999991</v>
      </c>
      <c r="L39" s="34">
        <f t="shared" si="79"/>
        <v>0.14999999999999991</v>
      </c>
      <c r="M39" s="34">
        <f t="shared" si="79"/>
        <v>0.14999999999999991</v>
      </c>
      <c r="N39" s="34">
        <f t="shared" si="79"/>
        <v>-5.0000000000000044E-2</v>
      </c>
      <c r="O39" s="34">
        <f t="shared" si="79"/>
        <v>-4.9999999999999933E-2</v>
      </c>
      <c r="P39" s="34">
        <f t="shared" si="79"/>
        <v>-5.0000000000000044E-2</v>
      </c>
      <c r="Q39" s="34">
        <f t="shared" si="79"/>
        <v>-5.0000000000000044E-2</v>
      </c>
      <c r="R39" s="34">
        <f t="shared" si="79"/>
        <v>-5.0000000000000155E-2</v>
      </c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</row>
    <row r="40" spans="1:113" x14ac:dyDescent="0.15">
      <c r="A40" s="2" t="s">
        <v>28</v>
      </c>
      <c r="B40" s="34"/>
      <c r="C40" s="34">
        <f t="shared" ref="C40:R40" si="80">C23/B23-1</f>
        <v>0.3595505617977528</v>
      </c>
      <c r="D40" s="34">
        <f t="shared" si="80"/>
        <v>0.19999999999999996</v>
      </c>
      <c r="E40" s="34">
        <f t="shared" si="80"/>
        <v>0.19999999999999996</v>
      </c>
      <c r="F40" s="34">
        <f t="shared" si="80"/>
        <v>0.19999999999999996</v>
      </c>
      <c r="G40" s="34">
        <f t="shared" si="80"/>
        <v>0.19999999999999996</v>
      </c>
      <c r="H40" s="34">
        <f t="shared" si="80"/>
        <v>0.19999999999999996</v>
      </c>
      <c r="I40" s="34">
        <f t="shared" si="80"/>
        <v>-5.0000000000000155E-2</v>
      </c>
      <c r="J40" s="34">
        <f t="shared" si="80"/>
        <v>-5.0000000000000044E-2</v>
      </c>
      <c r="K40" s="34">
        <f t="shared" si="80"/>
        <v>-4.9999999999999933E-2</v>
      </c>
      <c r="L40" s="34">
        <f t="shared" si="80"/>
        <v>-5.0000000000000044E-2</v>
      </c>
      <c r="M40" s="34">
        <f t="shared" si="80"/>
        <v>-5.0000000000000044E-2</v>
      </c>
      <c r="N40" s="34">
        <f t="shared" si="80"/>
        <v>-2.0000000000000018E-2</v>
      </c>
      <c r="O40" s="34">
        <f t="shared" si="80"/>
        <v>-2.0000000000000018E-2</v>
      </c>
      <c r="P40" s="34">
        <f t="shared" si="80"/>
        <v>-2.0000000000000129E-2</v>
      </c>
      <c r="Q40" s="34">
        <f t="shared" si="80"/>
        <v>-2.0000000000000018E-2</v>
      </c>
      <c r="R40" s="34">
        <f t="shared" si="80"/>
        <v>-2.0000000000000018E-2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</row>
    <row r="41" spans="1:113" x14ac:dyDescent="0.15">
      <c r="A41" s="5" t="s">
        <v>52</v>
      </c>
      <c r="B41" s="42"/>
      <c r="C41" s="42">
        <f t="shared" ref="C41:R41" si="81">C24/B24-1</f>
        <v>0.48618784530386749</v>
      </c>
      <c r="D41" s="42">
        <f t="shared" si="81"/>
        <v>0.30539033457249065</v>
      </c>
      <c r="E41" s="42">
        <f t="shared" si="81"/>
        <v>0.31249466040153773</v>
      </c>
      <c r="F41" s="42">
        <f t="shared" si="81"/>
        <v>0.31944557452279043</v>
      </c>
      <c r="G41" s="42">
        <f t="shared" si="81"/>
        <v>0.32617599630000771</v>
      </c>
      <c r="H41" s="42">
        <f t="shared" si="81"/>
        <v>0.3326277818827803</v>
      </c>
      <c r="I41" s="42">
        <f>I24/H24-1</f>
        <v>0.12474561432585585</v>
      </c>
      <c r="J41" s="42">
        <f t="shared" si="81"/>
        <v>6.9838049099629318E-2</v>
      </c>
      <c r="K41" s="42">
        <f t="shared" si="81"/>
        <v>7.421352337093623E-2</v>
      </c>
      <c r="L41" s="42">
        <f t="shared" si="81"/>
        <v>7.8262476698310213E-2</v>
      </c>
      <c r="M41" s="42">
        <f t="shared" si="81"/>
        <v>8.1986430784543485E-2</v>
      </c>
      <c r="N41" s="42">
        <f t="shared" si="81"/>
        <v>2.6025242041184615E-2</v>
      </c>
      <c r="O41" s="42">
        <f t="shared" si="81"/>
        <v>2.7507477733755392E-2</v>
      </c>
      <c r="P41" s="42">
        <f t="shared" si="81"/>
        <v>2.8923530301251832E-2</v>
      </c>
      <c r="Q41" s="42">
        <f t="shared" si="81"/>
        <v>3.0272927608935074E-2</v>
      </c>
      <c r="R41" s="42">
        <f t="shared" si="81"/>
        <v>3.1555716828644664E-2</v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</row>
    <row r="42" spans="1:113" x14ac:dyDescent="0.1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</row>
    <row r="43" spans="1:113" x14ac:dyDescent="0.15">
      <c r="A43" s="1" t="s">
        <v>18</v>
      </c>
      <c r="B43" s="42"/>
      <c r="C43" s="23">
        <f t="shared" ref="C43" si="82">C44-C45</f>
        <v>470</v>
      </c>
      <c r="D43" s="47">
        <f>C43+D29</f>
        <v>375.9774799999999</v>
      </c>
      <c r="E43" s="47">
        <f>D43+E29</f>
        <v>290.48983739999977</v>
      </c>
      <c r="F43" s="47">
        <f t="shared" ref="F43:R43" si="83">E43+F29</f>
        <v>214.25194930199973</v>
      </c>
      <c r="G43" s="47">
        <f t="shared" si="83"/>
        <v>135.4117559997897</v>
      </c>
      <c r="H43" s="47">
        <f t="shared" si="83"/>
        <v>18.210882811795742</v>
      </c>
      <c r="I43" s="47">
        <f t="shared" si="83"/>
        <v>-44.439107704680985</v>
      </c>
      <c r="J43" s="47">
        <f t="shared" si="83"/>
        <v>28.308688349870472</v>
      </c>
      <c r="K43" s="47">
        <f t="shared" si="83"/>
        <v>263.47530198678135</v>
      </c>
      <c r="L43" s="47">
        <f t="shared" si="83"/>
        <v>702.00878183661951</v>
      </c>
      <c r="M43" s="47">
        <f t="shared" si="83"/>
        <v>1394.2879884075508</v>
      </c>
      <c r="N43" s="47">
        <f t="shared" si="83"/>
        <v>2274.8939199153101</v>
      </c>
      <c r="O43" s="47">
        <f t="shared" si="83"/>
        <v>3365.3928947074737</v>
      </c>
      <c r="P43" s="47">
        <f t="shared" si="83"/>
        <v>4689.7739833103669</v>
      </c>
      <c r="Q43" s="47">
        <f t="shared" si="83"/>
        <v>6274.6986052569164</v>
      </c>
      <c r="R43" s="47">
        <f t="shared" si="83"/>
        <v>8149.7757385375608</v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</row>
    <row r="44" spans="1:113" x14ac:dyDescent="0.15">
      <c r="A44" s="2" t="s">
        <v>19</v>
      </c>
      <c r="B44" s="42"/>
      <c r="C44" s="48">
        <f>Reports!I37</f>
        <v>1362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</row>
    <row r="45" spans="1:113" x14ac:dyDescent="0.15">
      <c r="A45" s="2" t="s">
        <v>20</v>
      </c>
      <c r="B45" s="42"/>
      <c r="C45" s="48">
        <f>Reports!I38</f>
        <v>892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</row>
    <row r="46" spans="1:113" x14ac:dyDescent="0.15">
      <c r="B46" s="42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</row>
    <row r="47" spans="1:113" x14ac:dyDescent="0.15">
      <c r="A47" s="2" t="s">
        <v>40</v>
      </c>
      <c r="B47" s="42"/>
      <c r="C47" s="48">
        <f>Reports!I40</f>
        <v>0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</row>
    <row r="48" spans="1:113" x14ac:dyDescent="0.15">
      <c r="A48" s="2" t="s">
        <v>41</v>
      </c>
      <c r="B48" s="42"/>
      <c r="C48" s="48">
        <f>Reports!I41</f>
        <v>1402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</row>
    <row r="49" spans="1:113" x14ac:dyDescent="0.15">
      <c r="A49" s="2" t="s">
        <v>42</v>
      </c>
      <c r="B49" s="42"/>
      <c r="C49" s="48">
        <f>Reports!I42</f>
        <v>1769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</row>
    <row r="50" spans="1:113" x14ac:dyDescent="0.15">
      <c r="B50" s="42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</row>
    <row r="51" spans="1:113" x14ac:dyDescent="0.15">
      <c r="A51" s="2" t="s">
        <v>43</v>
      </c>
      <c r="B51" s="42"/>
      <c r="C51" s="51">
        <f t="shared" ref="C51" si="84">C48-C47-C44</f>
        <v>40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</row>
    <row r="52" spans="1:113" x14ac:dyDescent="0.15">
      <c r="A52" s="2" t="s">
        <v>44</v>
      </c>
      <c r="B52" s="42"/>
      <c r="C52" s="51">
        <f t="shared" ref="C52" si="85">C48-C49</f>
        <v>-367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</row>
    <row r="53" spans="1:113" x14ac:dyDescent="0.15">
      <c r="B53" s="42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</row>
    <row r="54" spans="1:113" x14ac:dyDescent="0.15">
      <c r="A54" s="17" t="s">
        <v>46</v>
      </c>
      <c r="B54" s="42"/>
      <c r="C54" s="52">
        <f t="shared" ref="C54" si="86">C29/C52</f>
        <v>0.30555313351498664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</row>
    <row r="55" spans="1:113" x14ac:dyDescent="0.15">
      <c r="A55" s="17" t="s">
        <v>47</v>
      </c>
      <c r="B55" s="42"/>
      <c r="C55" s="52">
        <f t="shared" ref="C55" si="87">C29/C48</f>
        <v>-7.9984308131241147E-2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</row>
    <row r="56" spans="1:113" x14ac:dyDescent="0.15">
      <c r="A56" s="17" t="s">
        <v>48</v>
      </c>
      <c r="B56" s="42"/>
      <c r="C56" s="52">
        <f t="shared" ref="C56" si="88">C29/(C52-C47)</f>
        <v>0.30555313351498664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</row>
    <row r="57" spans="1:113" x14ac:dyDescent="0.15">
      <c r="A57" s="17" t="s">
        <v>49</v>
      </c>
      <c r="B57" s="42"/>
      <c r="C57" s="52">
        <f t="shared" ref="C57" si="89">C29/C51</f>
        <v>-2.8034500000000024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</row>
    <row r="58" spans="1:113" x14ac:dyDescent="0.15">
      <c r="B58" s="42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</row>
    <row r="59" spans="1:113" s="18" customFormat="1" x14ac:dyDescent="0.15">
      <c r="A59" s="66" t="s">
        <v>75</v>
      </c>
      <c r="B59" s="42"/>
      <c r="C59" s="18">
        <f>C10/B10-1</f>
        <v>0.93975657850003369</v>
      </c>
    </row>
    <row r="60" spans="1:113" s="18" customFormat="1" x14ac:dyDescent="0.15">
      <c r="A60" s="66" t="s">
        <v>76</v>
      </c>
      <c r="B60" s="42"/>
      <c r="C60" s="18">
        <f>C11/B11-1</f>
        <v>1.4446972569839458</v>
      </c>
    </row>
    <row r="61" spans="1:113" s="18" customFormat="1" x14ac:dyDescent="0.15">
      <c r="A61" s="66" t="s">
        <v>77</v>
      </c>
      <c r="B61" s="42"/>
      <c r="C61" s="18">
        <f>C12/B12-1</f>
        <v>0.56385045727111316</v>
      </c>
    </row>
    <row r="62" spans="1:113" s="18" customFormat="1" x14ac:dyDescent="0.15">
      <c r="A62" s="66" t="s">
        <v>78</v>
      </c>
      <c r="B62" s="42"/>
      <c r="C62" s="18">
        <f>C13/B13-1</f>
        <v>8.9607592237150762</v>
      </c>
    </row>
    <row r="63" spans="1:113" s="18" customFormat="1" x14ac:dyDescent="0.15">
      <c r="A63" s="66"/>
      <c r="B63" s="42"/>
    </row>
    <row r="64" spans="1:113" x14ac:dyDescent="0.15">
      <c r="A64" s="72" t="s">
        <v>81</v>
      </c>
      <c r="B64" s="42"/>
      <c r="C64" s="18">
        <f>C15/B15-1</f>
        <v>0.76919315403422983</v>
      </c>
      <c r="D64" s="18">
        <f t="shared" ref="D64:H64" si="90">D15/C15-1</f>
        <v>0.40000000000000013</v>
      </c>
      <c r="E64" s="18">
        <f t="shared" si="90"/>
        <v>0.35000000000000009</v>
      </c>
      <c r="F64" s="18">
        <f t="shared" si="90"/>
        <v>0.30000000000000004</v>
      </c>
      <c r="G64" s="18">
        <f t="shared" si="90"/>
        <v>0.25</v>
      </c>
      <c r="H64" s="18">
        <f t="shared" si="90"/>
        <v>0.19999999999999996</v>
      </c>
    </row>
    <row r="65" spans="1:8" x14ac:dyDescent="0.15">
      <c r="A65" s="66" t="s">
        <v>65</v>
      </c>
      <c r="C65" s="18">
        <f>C16/B16-1</f>
        <v>8.9395461842087132E-2</v>
      </c>
      <c r="D65" s="18">
        <f t="shared" ref="D65:H65" si="91">D16/C16-1</f>
        <v>0.10000000000000009</v>
      </c>
      <c r="E65" s="18">
        <f t="shared" si="91"/>
        <v>0.10000000000000009</v>
      </c>
      <c r="F65" s="18">
        <f t="shared" si="91"/>
        <v>0.10000000000000009</v>
      </c>
      <c r="G65" s="18">
        <f t="shared" si="91"/>
        <v>0.10000000000000009</v>
      </c>
      <c r="H65" s="18">
        <f t="shared" si="91"/>
        <v>0.10000000000000009</v>
      </c>
    </row>
    <row r="66" spans="1:8" s="15" customFormat="1" x14ac:dyDescent="0.15">
      <c r="A66" s="62"/>
      <c r="D66" s="15">
        <v>7250</v>
      </c>
    </row>
    <row r="67" spans="1:8" s="15" customFormat="1" x14ac:dyDescent="0.15">
      <c r="A67" s="62" t="s">
        <v>66</v>
      </c>
      <c r="B67" s="15">
        <v>2620.0590000000002</v>
      </c>
      <c r="C67" s="15">
        <v>4637.22</v>
      </c>
      <c r="D67" s="15">
        <f>SUM(Reports!J61:M61)</f>
        <v>7395.7389999999996</v>
      </c>
      <c r="E67" s="15">
        <f>D67*1.5</f>
        <v>11093.608499999998</v>
      </c>
      <c r="F67" s="15">
        <f>E67*1.45</f>
        <v>16085.732324999997</v>
      </c>
      <c r="G67" s="15">
        <f>F67*1.4</f>
        <v>22520.025254999993</v>
      </c>
      <c r="H67" s="15">
        <f>G67*1.35</f>
        <v>30402.034094249993</v>
      </c>
    </row>
    <row r="68" spans="1:8" s="18" customFormat="1" x14ac:dyDescent="0.15">
      <c r="A68" s="72" t="s">
        <v>67</v>
      </c>
      <c r="C68" s="18">
        <f>C67/B67-1</f>
        <v>0.76989144137593835</v>
      </c>
      <c r="D68" s="18">
        <f>D67/C67-1</f>
        <v>0.59486481124466795</v>
      </c>
      <c r="E68" s="18">
        <f t="shared" ref="E68:H68" si="92">E67/D67-1</f>
        <v>0.49999999999999978</v>
      </c>
      <c r="F68" s="18">
        <f t="shared" si="92"/>
        <v>0.44999999999999996</v>
      </c>
      <c r="G68" s="18">
        <f t="shared" si="92"/>
        <v>0.39999999999999991</v>
      </c>
      <c r="H68" s="18">
        <f t="shared" si="92"/>
        <v>0.35000000000000009</v>
      </c>
    </row>
    <row r="69" spans="1:8" x14ac:dyDescent="0.15">
      <c r="A69" s="66"/>
    </row>
    <row r="70" spans="1:8" s="18" customFormat="1" x14ac:dyDescent="0.15">
      <c r="A70" s="72" t="s">
        <v>68</v>
      </c>
      <c r="B70" s="18">
        <f>B18/B67</f>
        <v>0.10090116291274356</v>
      </c>
      <c r="C70" s="18">
        <f>C18/C67</f>
        <v>0.10987790098377904</v>
      </c>
      <c r="D70" s="18">
        <f>D18/D67</f>
        <v>0.10609800048379209</v>
      </c>
      <c r="E70" s="18">
        <f t="shared" ref="E70:H70" si="93">E18/E67</f>
        <v>0.10503702047895418</v>
      </c>
      <c r="F70" s="18">
        <f t="shared" si="93"/>
        <v>0.10358823398958932</v>
      </c>
      <c r="G70" s="18">
        <f t="shared" si="93"/>
        <v>0.1017384440969181</v>
      </c>
      <c r="H70" s="18">
        <f t="shared" si="93"/>
        <v>9.9477589783653245E-2</v>
      </c>
    </row>
  </sheetData>
  <hyperlinks>
    <hyperlink ref="A1" r:id="rId1" xr:uid="{00000000-0004-0000-0000-000000000000}"/>
    <hyperlink ref="L4" r:id="rId2" xr:uid="{CBCA994A-BC74-CB48-8009-AD2DE8254A02}"/>
    <hyperlink ref="A4" r:id="rId3" xr:uid="{7B50C906-7A52-D74B-9F00-5A27BBA2C66B}"/>
    <hyperlink ref="A7" r:id="rId4" xr:uid="{529FA410-FA0A-144A-9AD8-38112F91A9FA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zoomScale="125" zoomScaleNormal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64" sqref="J64"/>
    </sheetView>
  </sheetViews>
  <sheetFormatPr baseColWidth="10" defaultRowHeight="13" x14ac:dyDescent="0.15"/>
  <cols>
    <col min="1" max="1" width="19.83203125" style="66" bestFit="1" customWidth="1"/>
    <col min="2" max="2" width="10.83203125" style="20"/>
    <col min="3" max="5" width="10.83203125" style="19"/>
    <col min="6" max="6" width="10.83203125" style="20"/>
    <col min="7" max="9" width="10.83203125" style="19"/>
    <col min="10" max="10" width="10.83203125" style="20"/>
    <col min="11" max="13" width="10.83203125" style="19"/>
    <col min="14" max="16384" width="10.83203125" style="5"/>
  </cols>
  <sheetData>
    <row r="1" spans="1:13" s="19" customFormat="1" x14ac:dyDescent="0.15">
      <c r="A1" s="71" t="s">
        <v>29</v>
      </c>
      <c r="B1" s="21" t="s">
        <v>36</v>
      </c>
      <c r="C1" s="22" t="s">
        <v>37</v>
      </c>
      <c r="D1" s="22" t="s">
        <v>38</v>
      </c>
      <c r="E1" s="22" t="s">
        <v>39</v>
      </c>
      <c r="F1" s="21" t="s">
        <v>53</v>
      </c>
      <c r="G1" s="22" t="s">
        <v>58</v>
      </c>
      <c r="H1" s="22" t="s">
        <v>59</v>
      </c>
      <c r="I1" s="22" t="s">
        <v>54</v>
      </c>
      <c r="J1" s="20" t="s">
        <v>61</v>
      </c>
      <c r="K1" s="19" t="s">
        <v>62</v>
      </c>
      <c r="L1" s="19" t="s">
        <v>63</v>
      </c>
      <c r="M1" s="19" t="s">
        <v>64</v>
      </c>
    </row>
    <row r="2" spans="1:13" s="19" customFormat="1" x14ac:dyDescent="0.15">
      <c r="A2" s="61"/>
      <c r="B2" s="55">
        <v>43373</v>
      </c>
      <c r="C2" s="54">
        <v>43465</v>
      </c>
      <c r="D2" s="54">
        <v>43555</v>
      </c>
      <c r="E2" s="54">
        <v>43646</v>
      </c>
      <c r="F2" s="55">
        <v>43738</v>
      </c>
      <c r="G2" s="54">
        <v>43830</v>
      </c>
      <c r="H2" s="54">
        <v>43921</v>
      </c>
      <c r="I2" s="54">
        <v>44012</v>
      </c>
      <c r="J2" s="55">
        <v>44104</v>
      </c>
      <c r="K2" s="54">
        <v>44196</v>
      </c>
      <c r="L2" s="54"/>
      <c r="M2" s="54"/>
    </row>
    <row r="3" spans="1:13" s="7" customFormat="1" x14ac:dyDescent="0.15">
      <c r="A3" s="62" t="s">
        <v>71</v>
      </c>
      <c r="B3" s="21">
        <v>23.266999999999999</v>
      </c>
      <c r="C3" s="22">
        <v>39.856999999999999</v>
      </c>
      <c r="D3" s="22">
        <v>36.256</v>
      </c>
      <c r="E3" s="22">
        <v>32.982999999999997</v>
      </c>
      <c r="F3" s="21">
        <v>36.389000000000003</v>
      </c>
      <c r="G3" s="22">
        <v>67.763999999999996</v>
      </c>
      <c r="H3" s="22">
        <v>67.349999999999994</v>
      </c>
      <c r="I3" s="22">
        <v>85.248999999999995</v>
      </c>
      <c r="J3" s="21">
        <v>93.265000000000001</v>
      </c>
      <c r="K3" s="22">
        <v>99.63</v>
      </c>
      <c r="L3" s="22"/>
      <c r="M3" s="22"/>
    </row>
    <row r="4" spans="1:13" s="7" customFormat="1" x14ac:dyDescent="0.15">
      <c r="A4" s="62" t="s">
        <v>72</v>
      </c>
      <c r="B4" s="21">
        <v>1.454</v>
      </c>
      <c r="C4" s="22">
        <v>1.5960000000000001</v>
      </c>
      <c r="D4" s="22">
        <v>1.9430000000000001</v>
      </c>
      <c r="E4" s="22">
        <v>2.9180000000000001</v>
      </c>
      <c r="F4" s="21">
        <v>3.601</v>
      </c>
      <c r="G4" s="22">
        <v>7.11</v>
      </c>
      <c r="H4" s="22">
        <v>5.93</v>
      </c>
      <c r="I4" s="22">
        <v>2.6989999999999998</v>
      </c>
      <c r="J4" s="21">
        <v>5.9580000000000002</v>
      </c>
      <c r="K4" s="22">
        <v>10.82</v>
      </c>
      <c r="L4" s="22"/>
      <c r="M4" s="22"/>
    </row>
    <row r="5" spans="1:13" s="7" customFormat="1" x14ac:dyDescent="0.15">
      <c r="A5" s="62" t="s">
        <v>73</v>
      </c>
      <c r="B5" s="21">
        <v>24.428000000000001</v>
      </c>
      <c r="C5" s="22">
        <v>27.41</v>
      </c>
      <c r="D5" s="22">
        <v>31.966000000000001</v>
      </c>
      <c r="E5" s="22">
        <v>35.6</v>
      </c>
      <c r="F5" s="21">
        <v>40.167999999999999</v>
      </c>
      <c r="G5" s="22">
        <v>45.073</v>
      </c>
      <c r="H5" s="22">
        <v>52.372</v>
      </c>
      <c r="I5" s="22">
        <v>49.116999999999997</v>
      </c>
      <c r="J5" s="21">
        <v>54.237000000000002</v>
      </c>
      <c r="K5" s="22">
        <v>73.856999999999999</v>
      </c>
      <c r="L5" s="22"/>
      <c r="M5" s="22"/>
    </row>
    <row r="6" spans="1:13" s="7" customFormat="1" x14ac:dyDescent="0.15">
      <c r="A6" s="62" t="s">
        <v>74</v>
      </c>
      <c r="B6" s="21">
        <f>2.094+0.74</f>
        <v>2.8339999999999996</v>
      </c>
      <c r="C6" s="22">
        <f>-0.191+0.98</f>
        <v>0.78899999999999992</v>
      </c>
      <c r="D6" s="22">
        <f>1.493+1.468</f>
        <v>2.9610000000000003</v>
      </c>
      <c r="E6" s="22">
        <f>-3.836+1.941</f>
        <v>-1.8949999999999998</v>
      </c>
      <c r="F6" s="21">
        <f>5.725+2.064</f>
        <v>7.7889999999999997</v>
      </c>
      <c r="G6" s="22">
        <f>4.738+5.291</f>
        <v>10.029</v>
      </c>
      <c r="H6" s="22">
        <f>9.866+2.755</f>
        <v>12.620999999999999</v>
      </c>
      <c r="I6" s="22">
        <f>11.578+4.689</f>
        <v>16.266999999999999</v>
      </c>
      <c r="J6" s="21">
        <f>16.434+4.084</f>
        <v>20.518000000000001</v>
      </c>
      <c r="K6" s="22">
        <f>14.56+5.174</f>
        <v>19.734000000000002</v>
      </c>
      <c r="L6" s="22"/>
      <c r="M6" s="22"/>
    </row>
    <row r="7" spans="1:13" s="7" customFormat="1" x14ac:dyDescent="0.15">
      <c r="A7" s="62"/>
      <c r="B7" s="21"/>
      <c r="C7" s="22"/>
      <c r="D7" s="22"/>
      <c r="E7" s="22"/>
      <c r="F7" s="21"/>
      <c r="G7" s="22"/>
      <c r="H7" s="22"/>
      <c r="I7" s="22"/>
      <c r="J7" s="21"/>
      <c r="K7" s="22"/>
      <c r="L7" s="22"/>
      <c r="M7" s="22"/>
    </row>
    <row r="8" spans="1:13" s="79" customFormat="1" x14ac:dyDescent="0.15">
      <c r="A8" s="76" t="s">
        <v>79</v>
      </c>
      <c r="B8" s="78"/>
      <c r="C8" s="77"/>
      <c r="D8" s="77"/>
      <c r="E8" s="77">
        <v>2.0449999999999999</v>
      </c>
      <c r="F8" s="78">
        <v>2.383</v>
      </c>
      <c r="G8" s="77">
        <v>3</v>
      </c>
      <c r="I8" s="77">
        <v>3.6179999999999999</v>
      </c>
      <c r="J8" s="78">
        <v>3.8820000000000001</v>
      </c>
      <c r="K8" s="77">
        <v>4.5</v>
      </c>
      <c r="L8" s="77"/>
      <c r="M8" s="77"/>
    </row>
    <row r="9" spans="1:13" s="7" customFormat="1" x14ac:dyDescent="0.15">
      <c r="A9" s="62" t="s">
        <v>80</v>
      </c>
      <c r="B9" s="21"/>
      <c r="C9" s="22"/>
      <c r="D9" s="22"/>
      <c r="E9" s="25">
        <f>SUM(E3:E6)/E8</f>
        <v>34.037163814180936</v>
      </c>
      <c r="F9" s="26">
        <f>SUM(F3:F6)/F8</f>
        <v>36.906000839278221</v>
      </c>
      <c r="G9" s="25">
        <f>SUM(G3:G6)/G8</f>
        <v>43.325333333333333</v>
      </c>
      <c r="I9" s="25">
        <f>SUM(I3:I6)/I8</f>
        <v>42.380320619126586</v>
      </c>
      <c r="J9" s="26">
        <f>SUM(J3:J6)/J8</f>
        <v>44.816589386913961</v>
      </c>
      <c r="K9" s="25">
        <f>SUM(K3:K6)/K8</f>
        <v>45.342444444444446</v>
      </c>
      <c r="L9" s="22"/>
      <c r="M9" s="22"/>
    </row>
    <row r="10" spans="1:13" s="22" customFormat="1" x14ac:dyDescent="0.15">
      <c r="A10" s="62"/>
      <c r="B10" s="21"/>
      <c r="F10" s="21"/>
      <c r="J10" s="21"/>
      <c r="L10" s="22">
        <v>185</v>
      </c>
    </row>
    <row r="11" spans="1:13" s="16" customFormat="1" x14ac:dyDescent="0.15">
      <c r="A11" s="63" t="s">
        <v>0</v>
      </c>
      <c r="B11" s="24">
        <f>SUM(B3:B6)</f>
        <v>51.983000000000004</v>
      </c>
      <c r="C11" s="23">
        <f>SUM(C3:C6)</f>
        <v>69.652000000000001</v>
      </c>
      <c r="D11" s="23">
        <f>SUM(D3:D6)</f>
        <v>73.125999999999991</v>
      </c>
      <c r="E11" s="23">
        <f>E8*E9</f>
        <v>69.606000000000009</v>
      </c>
      <c r="F11" s="24">
        <f>F9*F8</f>
        <v>87.947000000000003</v>
      </c>
      <c r="G11" s="23">
        <f>G9*G8</f>
        <v>129.976</v>
      </c>
      <c r="H11" s="23">
        <f>SUM(H3:H6)</f>
        <v>138.273</v>
      </c>
      <c r="I11" s="23">
        <f>I8*I9</f>
        <v>153.33199999999999</v>
      </c>
      <c r="J11" s="24">
        <f>J9*J8</f>
        <v>173.97800000000001</v>
      </c>
      <c r="K11" s="23">
        <f>K9*K8</f>
        <v>204.041</v>
      </c>
      <c r="L11" s="44">
        <f>L61*0.1</f>
        <v>180</v>
      </c>
      <c r="M11" s="44">
        <f>760-L11-K11-J11</f>
        <v>201.98099999999999</v>
      </c>
    </row>
    <row r="12" spans="1:13" s="7" customFormat="1" x14ac:dyDescent="0.15">
      <c r="A12" s="62" t="s">
        <v>1</v>
      </c>
      <c r="B12" s="21">
        <f>11.975+19.805+4.766+6.758</f>
        <v>43.304000000000002</v>
      </c>
      <c r="C12" s="22">
        <f>22.646+24.872+6.127+8.778</f>
        <v>62.423000000000002</v>
      </c>
      <c r="D12" s="22">
        <f>20.576+16.508+7.342+8.315</f>
        <v>52.741</v>
      </c>
      <c r="E12" s="22">
        <f>18.186+16.84+7.66+8.818</f>
        <v>51.503999999999991</v>
      </c>
      <c r="F12" s="21">
        <f>19.961+24.844+8.128+9.695</f>
        <v>62.628</v>
      </c>
      <c r="G12" s="22">
        <f>42.661+30.178+8.167+11.652</f>
        <v>92.658000000000001</v>
      </c>
      <c r="H12" s="48">
        <f>43.519+82.216+8.204+13.678</f>
        <v>147.61699999999999</v>
      </c>
      <c r="I12" s="48">
        <f>55.311-32.171+7.817+14.806</f>
        <v>45.762999999999998</v>
      </c>
      <c r="J12" s="21">
        <f>65.868+40.267+10.352+13.498</f>
        <v>129.98499999999999</v>
      </c>
      <c r="K12" s="22">
        <f>67.768+17.468+12.06+16.802</f>
        <v>114.09800000000001</v>
      </c>
      <c r="L12" s="22"/>
      <c r="M12" s="22"/>
    </row>
    <row r="13" spans="1:13" s="7" customFormat="1" x14ac:dyDescent="0.15">
      <c r="A13" s="62" t="s">
        <v>2</v>
      </c>
      <c r="B13" s="26">
        <f>B11-B12</f>
        <v>8.679000000000002</v>
      </c>
      <c r="C13" s="25">
        <f>C11-C12</f>
        <v>7.2289999999999992</v>
      </c>
      <c r="D13" s="25">
        <f t="shared" ref="D13:F13" si="0">D11-D12</f>
        <v>20.384999999999991</v>
      </c>
      <c r="E13" s="25">
        <f t="shared" si="0"/>
        <v>18.102000000000018</v>
      </c>
      <c r="F13" s="26">
        <f t="shared" si="0"/>
        <v>25.319000000000003</v>
      </c>
      <c r="G13" s="25">
        <f t="shared" ref="G13:K13" si="1">G11-G12</f>
        <v>37.317999999999998</v>
      </c>
      <c r="H13" s="25">
        <f t="shared" si="1"/>
        <v>-9.3439999999999941</v>
      </c>
      <c r="I13" s="25">
        <f t="shared" si="1"/>
        <v>107.56899999999999</v>
      </c>
      <c r="J13" s="26">
        <f t="shared" ref="J13" si="2">J11-J12</f>
        <v>43.993000000000023</v>
      </c>
      <c r="K13" s="25">
        <f t="shared" si="1"/>
        <v>89.942999999999984</v>
      </c>
      <c r="L13" s="22"/>
      <c r="M13" s="22"/>
    </row>
    <row r="14" spans="1:13" s="7" customFormat="1" x14ac:dyDescent="0.15">
      <c r="A14" s="62" t="s">
        <v>3</v>
      </c>
      <c r="B14" s="21">
        <v>16</v>
      </c>
      <c r="C14" s="22">
        <v>21</v>
      </c>
      <c r="D14" s="22">
        <v>18</v>
      </c>
      <c r="E14" s="22">
        <v>21</v>
      </c>
      <c r="F14" s="21">
        <v>25</v>
      </c>
      <c r="G14" s="22">
        <v>32</v>
      </c>
      <c r="H14" s="48">
        <v>34</v>
      </c>
      <c r="I14" s="48">
        <v>32</v>
      </c>
      <c r="J14" s="21">
        <v>34</v>
      </c>
      <c r="K14" s="22">
        <v>42</v>
      </c>
      <c r="L14" s="22"/>
      <c r="M14" s="22"/>
    </row>
    <row r="15" spans="1:13" s="7" customFormat="1" x14ac:dyDescent="0.15">
      <c r="A15" s="62" t="s">
        <v>4</v>
      </c>
      <c r="B15" s="21">
        <v>4</v>
      </c>
      <c r="C15" s="22">
        <v>3</v>
      </c>
      <c r="D15" s="22">
        <v>4</v>
      </c>
      <c r="E15" s="22">
        <v>5</v>
      </c>
      <c r="F15" s="21">
        <v>5</v>
      </c>
      <c r="G15" s="22">
        <v>8</v>
      </c>
      <c r="H15" s="48">
        <v>7</v>
      </c>
      <c r="I15" s="48">
        <v>5</v>
      </c>
      <c r="J15" s="21">
        <v>23</v>
      </c>
      <c r="K15" s="22">
        <v>39</v>
      </c>
      <c r="L15" s="22"/>
      <c r="M15" s="22"/>
    </row>
    <row r="16" spans="1:13" s="7" customFormat="1" x14ac:dyDescent="0.15">
      <c r="A16" s="62" t="s">
        <v>5</v>
      </c>
      <c r="B16" s="21">
        <v>16</v>
      </c>
      <c r="C16" s="22">
        <v>22</v>
      </c>
      <c r="D16" s="22">
        <v>19</v>
      </c>
      <c r="E16" s="22">
        <v>32</v>
      </c>
      <c r="F16" s="21">
        <v>28</v>
      </c>
      <c r="G16" s="22">
        <v>31</v>
      </c>
      <c r="H16" s="48">
        <v>31</v>
      </c>
      <c r="I16" s="48">
        <v>31</v>
      </c>
      <c r="J16" s="21">
        <v>32</v>
      </c>
      <c r="K16" s="22">
        <v>41</v>
      </c>
      <c r="L16" s="22"/>
      <c r="M16" s="22"/>
    </row>
    <row r="17" spans="1:13" s="7" customFormat="1" x14ac:dyDescent="0.15">
      <c r="A17" s="62" t="s">
        <v>6</v>
      </c>
      <c r="B17" s="26">
        <f t="shared" ref="B17" si="3">SUM(B14:B16)</f>
        <v>36</v>
      </c>
      <c r="C17" s="25">
        <f t="shared" ref="C17:D17" si="4">SUM(C14:C16)</f>
        <v>46</v>
      </c>
      <c r="D17" s="25">
        <f t="shared" si="4"/>
        <v>41</v>
      </c>
      <c r="E17" s="25">
        <f t="shared" ref="E17:G17" si="5">SUM(E14:E16)</f>
        <v>58</v>
      </c>
      <c r="F17" s="26">
        <f t="shared" si="5"/>
        <v>58</v>
      </c>
      <c r="G17" s="25">
        <f t="shared" si="5"/>
        <v>71</v>
      </c>
      <c r="H17" s="25">
        <f t="shared" ref="H17:I17" si="6">SUM(H14:H16)</f>
        <v>72</v>
      </c>
      <c r="I17" s="25">
        <f t="shared" si="6"/>
        <v>68</v>
      </c>
      <c r="J17" s="26">
        <f t="shared" ref="J17:K17" si="7">SUM(J14:J16)</f>
        <v>89</v>
      </c>
      <c r="K17" s="25">
        <f t="shared" si="7"/>
        <v>122</v>
      </c>
      <c r="L17" s="22"/>
      <c r="M17" s="22"/>
    </row>
    <row r="18" spans="1:13" s="7" customFormat="1" x14ac:dyDescent="0.15">
      <c r="A18" s="62" t="s">
        <v>7</v>
      </c>
      <c r="B18" s="26">
        <f t="shared" ref="B18:D18" si="8">B13-B17</f>
        <v>-27.320999999999998</v>
      </c>
      <c r="C18" s="25">
        <f t="shared" si="8"/>
        <v>-38.771000000000001</v>
      </c>
      <c r="D18" s="25">
        <f t="shared" si="8"/>
        <v>-20.615000000000009</v>
      </c>
      <c r="E18" s="25">
        <f t="shared" ref="E18:G18" si="9">E13-E17</f>
        <v>-39.897999999999982</v>
      </c>
      <c r="F18" s="26">
        <f t="shared" si="9"/>
        <v>-32.680999999999997</v>
      </c>
      <c r="G18" s="25">
        <f t="shared" si="9"/>
        <v>-33.682000000000002</v>
      </c>
      <c r="H18" s="25">
        <f t="shared" ref="H18:I18" si="10">H13-H17</f>
        <v>-81.343999999999994</v>
      </c>
      <c r="I18" s="25">
        <f t="shared" si="10"/>
        <v>39.568999999999988</v>
      </c>
      <c r="J18" s="26">
        <f t="shared" ref="J18:K18" si="11">J13-J17</f>
        <v>-45.006999999999977</v>
      </c>
      <c r="K18" s="25">
        <f t="shared" si="11"/>
        <v>-32.057000000000016</v>
      </c>
      <c r="L18" s="22"/>
      <c r="M18" s="22"/>
    </row>
    <row r="19" spans="1:13" s="7" customFormat="1" x14ac:dyDescent="0.15">
      <c r="A19" s="62" t="s">
        <v>8</v>
      </c>
      <c r="B19" s="21">
        <v>1</v>
      </c>
      <c r="C19" s="22">
        <v>1</v>
      </c>
      <c r="D19" s="22">
        <v>1</v>
      </c>
      <c r="E19" s="22">
        <v>4</v>
      </c>
      <c r="F19" s="21">
        <v>2</v>
      </c>
      <c r="G19" s="22">
        <v>2</v>
      </c>
      <c r="H19" s="48">
        <v>-4</v>
      </c>
      <c r="I19" s="48">
        <v>-4</v>
      </c>
      <c r="J19" s="21">
        <v>30</v>
      </c>
      <c r="K19" s="22">
        <f>0+2</f>
        <v>2</v>
      </c>
      <c r="L19" s="22"/>
      <c r="M19" s="22"/>
    </row>
    <row r="20" spans="1:13" s="7" customFormat="1" x14ac:dyDescent="0.15">
      <c r="A20" s="62" t="s">
        <v>9</v>
      </c>
      <c r="B20" s="26">
        <f t="shared" ref="B20" si="12">B18+B19</f>
        <v>-26.320999999999998</v>
      </c>
      <c r="C20" s="25">
        <f t="shared" ref="C20" si="13">C18+C19</f>
        <v>-37.771000000000001</v>
      </c>
      <c r="D20" s="25">
        <f t="shared" ref="D20:H20" si="14">D18+D19</f>
        <v>-19.615000000000009</v>
      </c>
      <c r="E20" s="25">
        <v>4</v>
      </c>
      <c r="F20" s="26">
        <f t="shared" si="14"/>
        <v>-30.680999999999997</v>
      </c>
      <c r="G20" s="25">
        <f t="shared" si="14"/>
        <v>-31.682000000000002</v>
      </c>
      <c r="H20" s="25">
        <f t="shared" si="14"/>
        <v>-85.343999999999994</v>
      </c>
      <c r="I20" s="25">
        <f t="shared" ref="I20" si="15">I18+I19</f>
        <v>35.568999999999988</v>
      </c>
      <c r="J20" s="26">
        <f t="shared" ref="J20:K20" si="16">J18+J19</f>
        <v>-15.006999999999977</v>
      </c>
      <c r="K20" s="25">
        <f t="shared" si="16"/>
        <v>-30.057000000000016</v>
      </c>
      <c r="L20" s="22"/>
      <c r="M20" s="22"/>
    </row>
    <row r="21" spans="1:13" s="7" customFormat="1" x14ac:dyDescent="0.15">
      <c r="A21" s="62" t="s">
        <v>10</v>
      </c>
      <c r="B21" s="21">
        <v>0</v>
      </c>
      <c r="C21" s="22">
        <v>0</v>
      </c>
      <c r="D21" s="22">
        <v>0</v>
      </c>
      <c r="E21" s="22">
        <v>0</v>
      </c>
      <c r="F21" s="21">
        <v>0</v>
      </c>
      <c r="G21" s="22">
        <v>0</v>
      </c>
      <c r="H21" s="22">
        <v>0</v>
      </c>
      <c r="I21" s="22">
        <v>0</v>
      </c>
      <c r="J21" s="21">
        <v>0</v>
      </c>
      <c r="K21" s="22">
        <v>0</v>
      </c>
      <c r="L21" s="22"/>
      <c r="M21" s="22"/>
    </row>
    <row r="22" spans="1:13" s="16" customFormat="1" x14ac:dyDescent="0.15">
      <c r="A22" s="63" t="s">
        <v>11</v>
      </c>
      <c r="B22" s="24">
        <f t="shared" ref="B22:K22" si="17">B20-B21</f>
        <v>-26.320999999999998</v>
      </c>
      <c r="C22" s="23">
        <f t="shared" si="17"/>
        <v>-37.771000000000001</v>
      </c>
      <c r="D22" s="23">
        <f t="shared" si="17"/>
        <v>-19.615000000000009</v>
      </c>
      <c r="E22" s="23">
        <f t="shared" si="17"/>
        <v>4</v>
      </c>
      <c r="F22" s="24">
        <f t="shared" si="17"/>
        <v>-30.680999999999997</v>
      </c>
      <c r="G22" s="23">
        <f t="shared" si="17"/>
        <v>-31.682000000000002</v>
      </c>
      <c r="H22" s="23">
        <f t="shared" si="17"/>
        <v>-85.343999999999994</v>
      </c>
      <c r="I22" s="23">
        <f t="shared" si="17"/>
        <v>35.568999999999988</v>
      </c>
      <c r="J22" s="24">
        <f t="shared" si="17"/>
        <v>-15.006999999999977</v>
      </c>
      <c r="K22" s="23">
        <f t="shared" si="17"/>
        <v>-30.057000000000016</v>
      </c>
      <c r="L22" s="22"/>
      <c r="M22" s="22"/>
    </row>
    <row r="23" spans="1:13" s="3" customFormat="1" x14ac:dyDescent="0.15">
      <c r="A23" s="64" t="s">
        <v>12</v>
      </c>
      <c r="B23" s="57">
        <f t="shared" ref="B23:G23" si="18">IFERROR(B22/B24,0)</f>
        <v>0</v>
      </c>
      <c r="C23" s="56">
        <f t="shared" si="18"/>
        <v>0</v>
      </c>
      <c r="D23" s="56">
        <f t="shared" si="18"/>
        <v>0</v>
      </c>
      <c r="E23" s="56">
        <f t="shared" si="18"/>
        <v>8.4485632880186193E-2</v>
      </c>
      <c r="F23" s="57">
        <f t="shared" si="18"/>
        <v>0</v>
      </c>
      <c r="G23" s="56">
        <f t="shared" si="18"/>
        <v>-0.65894525041011454</v>
      </c>
      <c r="H23" s="56">
        <f t="shared" ref="H23:I23" si="19">IFERROR(H22/H24,0)</f>
        <v>0</v>
      </c>
      <c r="I23" s="56">
        <f t="shared" si="19"/>
        <v>0.74323940295114221</v>
      </c>
      <c r="J23" s="57">
        <f t="shared" ref="J23:K23" si="20">IFERROR(J22/J24,0)</f>
        <v>0</v>
      </c>
      <c r="K23" s="56">
        <f t="shared" si="20"/>
        <v>-0.42452477821768858</v>
      </c>
      <c r="L23" s="22"/>
      <c r="M23" s="22"/>
    </row>
    <row r="24" spans="1:13" s="7" customFormat="1" x14ac:dyDescent="0.15">
      <c r="A24" s="62" t="s">
        <v>13</v>
      </c>
      <c r="B24" s="21"/>
      <c r="C24" s="22"/>
      <c r="D24" s="22"/>
      <c r="E24" s="22">
        <v>47.345328000000002</v>
      </c>
      <c r="F24" s="21"/>
      <c r="G24" s="22">
        <v>48.079867</v>
      </c>
      <c r="H24" s="48"/>
      <c r="I24" s="48">
        <v>47.856720000000003</v>
      </c>
      <c r="J24" s="21"/>
      <c r="K24" s="22">
        <v>70.801520999999994</v>
      </c>
      <c r="L24" s="22"/>
      <c r="M24" s="22"/>
    </row>
    <row r="25" spans="1:13" s="39" customFormat="1" x14ac:dyDescent="0.15">
      <c r="A25" s="65"/>
      <c r="B25" s="53"/>
      <c r="E25" s="38"/>
      <c r="F25" s="53"/>
      <c r="J25" s="53"/>
      <c r="K25" s="22"/>
      <c r="L25" s="22"/>
      <c r="M25" s="22"/>
    </row>
    <row r="26" spans="1:13" x14ac:dyDescent="0.15">
      <c r="A26" s="66" t="s">
        <v>15</v>
      </c>
      <c r="B26" s="33">
        <f t="shared" ref="B26:J26" si="21">IFERROR(B13/B11,0)</f>
        <v>0.16695842871708061</v>
      </c>
      <c r="C26" s="32">
        <f t="shared" si="21"/>
        <v>0.10378740021822774</v>
      </c>
      <c r="D26" s="32">
        <f t="shared" si="21"/>
        <v>0.27876541859256615</v>
      </c>
      <c r="E26" s="32">
        <f t="shared" si="21"/>
        <v>0.26006378760451709</v>
      </c>
      <c r="F26" s="33">
        <f t="shared" si="21"/>
        <v>0.28788929696294363</v>
      </c>
      <c r="G26" s="32">
        <f t="shared" si="21"/>
        <v>0.28711454422354893</v>
      </c>
      <c r="H26" s="32">
        <f t="shared" si="21"/>
        <v>-6.7576461058919637E-2</v>
      </c>
      <c r="I26" s="32">
        <f t="shared" si="21"/>
        <v>0.70154305689614682</v>
      </c>
      <c r="J26" s="33">
        <f t="shared" si="21"/>
        <v>0.2528653048086541</v>
      </c>
      <c r="K26" s="32">
        <f t="shared" ref="K26" si="22">IFERROR(K13/K11,0)</f>
        <v>0.44080846496537451</v>
      </c>
      <c r="L26" s="22"/>
      <c r="M26" s="22"/>
    </row>
    <row r="27" spans="1:13" x14ac:dyDescent="0.15">
      <c r="A27" s="66" t="s">
        <v>16</v>
      </c>
      <c r="B27" s="35">
        <f t="shared" ref="B27:J27" si="23">IFERROR(B18/B11,0)</f>
        <v>-0.52557566896870123</v>
      </c>
      <c r="C27" s="34">
        <f t="shared" si="23"/>
        <v>-0.55663871819904664</v>
      </c>
      <c r="D27" s="34">
        <f t="shared" si="23"/>
        <v>-0.28191067472581588</v>
      </c>
      <c r="E27" s="34">
        <f t="shared" si="23"/>
        <v>-0.57319771284084675</v>
      </c>
      <c r="F27" s="35">
        <f t="shared" si="23"/>
        <v>-0.37159880382503097</v>
      </c>
      <c r="G27" s="34">
        <f t="shared" si="23"/>
        <v>-0.25914014895057552</v>
      </c>
      <c r="H27" s="34">
        <f t="shared" si="23"/>
        <v>-0.5882854931910062</v>
      </c>
      <c r="I27" s="34">
        <f t="shared" si="23"/>
        <v>0.25806093966034482</v>
      </c>
      <c r="J27" s="35">
        <f t="shared" si="23"/>
        <v>-0.25869362792996803</v>
      </c>
      <c r="K27" s="34">
        <f t="shared" ref="K27" si="24">IFERROR(K18/K11,0)</f>
        <v>-0.15711058071662076</v>
      </c>
      <c r="L27" s="22"/>
      <c r="M27" s="22"/>
    </row>
    <row r="28" spans="1:13" x14ac:dyDescent="0.15">
      <c r="A28" s="66" t="s">
        <v>17</v>
      </c>
      <c r="B28" s="35">
        <f t="shared" ref="B28:J28" si="25">IFERROR(B21/B20,0)</f>
        <v>0</v>
      </c>
      <c r="C28" s="34">
        <f t="shared" si="25"/>
        <v>0</v>
      </c>
      <c r="D28" s="34">
        <f t="shared" si="25"/>
        <v>0</v>
      </c>
      <c r="E28" s="34">
        <f t="shared" si="25"/>
        <v>0</v>
      </c>
      <c r="F28" s="35">
        <f t="shared" si="25"/>
        <v>0</v>
      </c>
      <c r="G28" s="34">
        <f t="shared" si="25"/>
        <v>0</v>
      </c>
      <c r="H28" s="34">
        <f t="shared" si="25"/>
        <v>0</v>
      </c>
      <c r="I28" s="34">
        <f t="shared" si="25"/>
        <v>0</v>
      </c>
      <c r="J28" s="35">
        <f t="shared" si="25"/>
        <v>0</v>
      </c>
      <c r="K28" s="34">
        <f t="shared" ref="K28" si="26">IFERROR(K21/K20,0)</f>
        <v>0</v>
      </c>
      <c r="L28" s="22"/>
      <c r="M28" s="22"/>
    </row>
    <row r="29" spans="1:13" s="39" customFormat="1" x14ac:dyDescent="0.15">
      <c r="A29" s="65"/>
      <c r="B29" s="53"/>
      <c r="E29" s="38"/>
      <c r="F29" s="53"/>
      <c r="J29" s="53"/>
      <c r="L29" s="22"/>
      <c r="M29" s="22"/>
    </row>
    <row r="30" spans="1:13" s="11" customFormat="1" x14ac:dyDescent="0.15">
      <c r="A30" s="67" t="s">
        <v>14</v>
      </c>
      <c r="B30" s="29"/>
      <c r="C30" s="28"/>
      <c r="D30" s="28"/>
      <c r="E30" s="28"/>
      <c r="F30" s="29">
        <f t="shared" ref="F30" si="27">IFERROR((F11/B11)-1,0)</f>
        <v>0.69184156358809612</v>
      </c>
      <c r="G30" s="28">
        <f t="shared" ref="G30:M30" si="28">IFERROR((G11/C11)-1,0)</f>
        <v>0.8660770688566013</v>
      </c>
      <c r="H30" s="28">
        <f t="shared" si="28"/>
        <v>0.89088696222957653</v>
      </c>
      <c r="I30" s="28">
        <f t="shared" si="28"/>
        <v>1.2028560756256641</v>
      </c>
      <c r="J30" s="29">
        <f t="shared" si="28"/>
        <v>0.97821415170500425</v>
      </c>
      <c r="K30" s="28">
        <f t="shared" si="28"/>
        <v>0.5698359697174864</v>
      </c>
      <c r="L30" s="28">
        <f t="shared" si="28"/>
        <v>0.30177258033021626</v>
      </c>
      <c r="M30" s="28">
        <f t="shared" si="28"/>
        <v>0.31727884590300781</v>
      </c>
    </row>
    <row r="31" spans="1:13" s="11" customFormat="1" x14ac:dyDescent="0.15">
      <c r="A31" s="66" t="s">
        <v>26</v>
      </c>
      <c r="B31" s="31"/>
      <c r="C31" s="30"/>
      <c r="D31" s="30"/>
      <c r="E31" s="30"/>
      <c r="F31" s="31">
        <f t="shared" ref="F31:K33" si="29">F14/B14-1</f>
        <v>0.5625</v>
      </c>
      <c r="G31" s="30">
        <f t="shared" si="29"/>
        <v>0.52380952380952372</v>
      </c>
      <c r="H31" s="30">
        <f t="shared" si="29"/>
        <v>0.88888888888888884</v>
      </c>
      <c r="I31" s="30">
        <f t="shared" si="29"/>
        <v>0.52380952380952372</v>
      </c>
      <c r="J31" s="31">
        <f t="shared" si="29"/>
        <v>0.3600000000000001</v>
      </c>
      <c r="K31" s="30">
        <f t="shared" si="29"/>
        <v>0.3125</v>
      </c>
      <c r="L31" s="22"/>
      <c r="M31" s="22"/>
    </row>
    <row r="32" spans="1:13" s="11" customFormat="1" x14ac:dyDescent="0.15">
      <c r="A32" s="66" t="s">
        <v>27</v>
      </c>
      <c r="B32" s="31"/>
      <c r="C32" s="30"/>
      <c r="D32" s="30"/>
      <c r="E32" s="30"/>
      <c r="F32" s="31">
        <f t="shared" si="29"/>
        <v>0.25</v>
      </c>
      <c r="G32" s="30">
        <f t="shared" si="29"/>
        <v>1.6666666666666665</v>
      </c>
      <c r="H32" s="30">
        <f t="shared" si="29"/>
        <v>0.75</v>
      </c>
      <c r="I32" s="30">
        <f t="shared" si="29"/>
        <v>0</v>
      </c>
      <c r="J32" s="31">
        <f t="shared" si="29"/>
        <v>3.5999999999999996</v>
      </c>
      <c r="K32" s="30">
        <f t="shared" si="29"/>
        <v>3.875</v>
      </c>
      <c r="L32" s="22"/>
      <c r="M32" s="22"/>
    </row>
    <row r="33" spans="1:13" s="11" customFormat="1" x14ac:dyDescent="0.15">
      <c r="A33" s="66" t="s">
        <v>28</v>
      </c>
      <c r="B33" s="31"/>
      <c r="C33" s="30"/>
      <c r="D33" s="30"/>
      <c r="E33" s="30"/>
      <c r="F33" s="31">
        <f t="shared" si="29"/>
        <v>0.75</v>
      </c>
      <c r="G33" s="30">
        <f t="shared" si="29"/>
        <v>0.40909090909090917</v>
      </c>
      <c r="H33" s="30">
        <f t="shared" si="29"/>
        <v>0.63157894736842102</v>
      </c>
      <c r="I33" s="30">
        <f t="shared" si="29"/>
        <v>-3.125E-2</v>
      </c>
      <c r="J33" s="31">
        <f t="shared" si="29"/>
        <v>0.14285714285714279</v>
      </c>
      <c r="K33" s="30">
        <f t="shared" si="29"/>
        <v>0.32258064516129026</v>
      </c>
      <c r="L33" s="22"/>
      <c r="M33" s="22"/>
    </row>
    <row r="34" spans="1:13" x14ac:dyDescent="0.15">
      <c r="A34" s="66" t="s">
        <v>52</v>
      </c>
      <c r="B34" s="33"/>
      <c r="C34" s="32"/>
      <c r="D34" s="32"/>
      <c r="E34" s="32"/>
      <c r="F34" s="33">
        <f t="shared" ref="F34:K34" si="30">F17/B17-1</f>
        <v>0.61111111111111116</v>
      </c>
      <c r="G34" s="32">
        <f t="shared" si="30"/>
        <v>0.54347826086956519</v>
      </c>
      <c r="H34" s="32">
        <f t="shared" si="30"/>
        <v>0.75609756097560976</v>
      </c>
      <c r="I34" s="32">
        <f t="shared" si="30"/>
        <v>0.17241379310344818</v>
      </c>
      <c r="J34" s="33">
        <f t="shared" si="30"/>
        <v>0.53448275862068972</v>
      </c>
      <c r="K34" s="32">
        <f t="shared" si="30"/>
        <v>0.71830985915492951</v>
      </c>
      <c r="L34" s="22"/>
      <c r="M34" s="22"/>
    </row>
    <row r="35" spans="1:13" x14ac:dyDescent="0.15">
      <c r="B35" s="43"/>
      <c r="C35" s="42"/>
      <c r="D35" s="42"/>
      <c r="E35" s="42"/>
      <c r="G35" s="42"/>
      <c r="K35" s="22"/>
      <c r="L35" s="22"/>
      <c r="M35" s="22"/>
    </row>
    <row r="36" spans="1:13" s="16" customFormat="1" x14ac:dyDescent="0.15">
      <c r="A36" s="63" t="s">
        <v>18</v>
      </c>
      <c r="B36" s="20"/>
      <c r="C36" s="42"/>
      <c r="D36" s="19"/>
      <c r="E36" s="42"/>
      <c r="F36" s="20"/>
      <c r="G36" s="42"/>
      <c r="H36" s="19"/>
      <c r="I36" s="23">
        <f t="shared" ref="I36:K36" si="31">I37-I38</f>
        <v>470</v>
      </c>
      <c r="J36" s="20"/>
      <c r="K36" s="23">
        <f t="shared" si="31"/>
        <v>903</v>
      </c>
      <c r="L36" s="22"/>
      <c r="M36" s="22"/>
    </row>
    <row r="37" spans="1:13" s="7" customFormat="1" x14ac:dyDescent="0.15">
      <c r="A37" s="62" t="s">
        <v>19</v>
      </c>
      <c r="B37" s="21"/>
      <c r="C37" s="22"/>
      <c r="D37" s="22"/>
      <c r="E37" s="42"/>
      <c r="F37" s="21"/>
      <c r="G37" s="22"/>
      <c r="H37" s="22"/>
      <c r="I37" s="22">
        <f>267+61+1034</f>
        <v>1362</v>
      </c>
      <c r="J37" s="21"/>
      <c r="K37" s="22">
        <f>521+116+1888</f>
        <v>2525</v>
      </c>
      <c r="L37" s="22"/>
      <c r="M37" s="22"/>
    </row>
    <row r="38" spans="1:13" s="7" customFormat="1" x14ac:dyDescent="0.15">
      <c r="A38" s="62" t="s">
        <v>20</v>
      </c>
      <c r="B38" s="21"/>
      <c r="C38" s="22"/>
      <c r="D38" s="22"/>
      <c r="E38" s="42"/>
      <c r="F38" s="21"/>
      <c r="G38" s="22"/>
      <c r="H38" s="22"/>
      <c r="I38" s="22">
        <f>74+818</f>
        <v>892</v>
      </c>
      <c r="J38" s="21"/>
      <c r="K38" s="22">
        <f>0+818+804</f>
        <v>1622</v>
      </c>
      <c r="L38" s="22"/>
      <c r="M38" s="22"/>
    </row>
    <row r="39" spans="1:13" s="7" customFormat="1" x14ac:dyDescent="0.15">
      <c r="A39" s="62"/>
      <c r="B39" s="21"/>
      <c r="C39" s="22"/>
      <c r="D39" s="22"/>
      <c r="E39" s="42"/>
      <c r="F39" s="21"/>
      <c r="G39" s="22"/>
      <c r="H39" s="22"/>
      <c r="I39" s="22"/>
      <c r="J39" s="21"/>
      <c r="K39" s="22"/>
      <c r="L39" s="22"/>
      <c r="M39" s="22"/>
    </row>
    <row r="40" spans="1:13" s="7" customFormat="1" x14ac:dyDescent="0.15">
      <c r="A40" s="68" t="s">
        <v>40</v>
      </c>
      <c r="B40" s="21"/>
      <c r="C40" s="22"/>
      <c r="D40" s="22"/>
      <c r="E40" s="42"/>
      <c r="F40" s="21"/>
      <c r="G40" s="22"/>
      <c r="H40" s="22"/>
      <c r="I40" s="22">
        <v>0</v>
      </c>
      <c r="J40" s="21"/>
      <c r="K40" s="22">
        <v>0</v>
      </c>
      <c r="L40" s="22"/>
      <c r="M40" s="22"/>
    </row>
    <row r="41" spans="1:13" s="7" customFormat="1" x14ac:dyDescent="0.15">
      <c r="A41" s="68" t="s">
        <v>41</v>
      </c>
      <c r="B41" s="21"/>
      <c r="C41" s="22"/>
      <c r="D41" s="22"/>
      <c r="E41" s="42"/>
      <c r="F41" s="21"/>
      <c r="G41" s="22"/>
      <c r="H41" s="22"/>
      <c r="I41" s="22">
        <v>1402</v>
      </c>
      <c r="J41" s="21"/>
      <c r="K41" s="22">
        <v>2708</v>
      </c>
      <c r="L41" s="22"/>
      <c r="M41" s="22"/>
    </row>
    <row r="42" spans="1:13" s="7" customFormat="1" x14ac:dyDescent="0.15">
      <c r="A42" s="68" t="s">
        <v>42</v>
      </c>
      <c r="B42" s="21"/>
      <c r="C42" s="22"/>
      <c r="D42" s="22"/>
      <c r="E42" s="42"/>
      <c r="F42" s="21"/>
      <c r="G42" s="22"/>
      <c r="H42" s="22"/>
      <c r="I42" s="22">
        <f>965+804</f>
        <v>1769</v>
      </c>
      <c r="J42" s="21"/>
      <c r="K42" s="22">
        <f>1730+1327</f>
        <v>3057</v>
      </c>
      <c r="L42" s="22"/>
      <c r="M42" s="22"/>
    </row>
    <row r="43" spans="1:13" s="7" customFormat="1" x14ac:dyDescent="0.15">
      <c r="A43" s="62"/>
      <c r="B43" s="21"/>
      <c r="C43" s="22"/>
      <c r="D43" s="22"/>
      <c r="E43" s="42"/>
      <c r="F43" s="21"/>
      <c r="G43" s="22"/>
      <c r="H43" s="22"/>
      <c r="I43" s="22"/>
      <c r="J43" s="21"/>
      <c r="K43" s="22"/>
      <c r="L43" s="22"/>
      <c r="M43" s="22"/>
    </row>
    <row r="44" spans="1:13" s="7" customFormat="1" x14ac:dyDescent="0.15">
      <c r="A44" s="68" t="s">
        <v>43</v>
      </c>
      <c r="B44" s="21"/>
      <c r="C44" s="22"/>
      <c r="D44" s="22"/>
      <c r="E44" s="42"/>
      <c r="F44" s="21"/>
      <c r="G44" s="22"/>
      <c r="H44" s="22"/>
      <c r="I44" s="25">
        <f t="shared" ref="I44" si="32">I41-I37-I40</f>
        <v>40</v>
      </c>
      <c r="J44" s="21"/>
      <c r="K44" s="25">
        <f t="shared" ref="K44" si="33">K41-K37-K40</f>
        <v>183</v>
      </c>
      <c r="L44" s="22"/>
      <c r="M44" s="22"/>
    </row>
    <row r="45" spans="1:13" s="7" customFormat="1" x14ac:dyDescent="0.15">
      <c r="A45" s="68" t="s">
        <v>44</v>
      </c>
      <c r="B45" s="21"/>
      <c r="C45" s="22"/>
      <c r="D45" s="22"/>
      <c r="E45" s="42"/>
      <c r="F45" s="21"/>
      <c r="G45" s="22"/>
      <c r="H45" s="22"/>
      <c r="I45" s="25">
        <f>I41-I42</f>
        <v>-367</v>
      </c>
      <c r="J45" s="21"/>
      <c r="K45" s="25">
        <f>K41-K42</f>
        <v>-349</v>
      </c>
      <c r="L45" s="22"/>
      <c r="M45" s="22"/>
    </row>
    <row r="46" spans="1:13" s="7" customFormat="1" x14ac:dyDescent="0.15">
      <c r="A46" s="62"/>
      <c r="B46" s="21"/>
      <c r="C46" s="22"/>
      <c r="D46" s="22"/>
      <c r="E46" s="42"/>
      <c r="F46" s="21"/>
      <c r="G46" s="22"/>
      <c r="H46" s="22"/>
      <c r="I46" s="22"/>
      <c r="J46" s="21"/>
      <c r="K46" s="22"/>
      <c r="L46" s="22"/>
      <c r="M46" s="22"/>
    </row>
    <row r="47" spans="1:13" s="16" customFormat="1" x14ac:dyDescent="0.15">
      <c r="A47" s="69" t="s">
        <v>45</v>
      </c>
      <c r="B47" s="21"/>
      <c r="C47" s="22"/>
      <c r="D47" s="22"/>
      <c r="E47" s="42"/>
      <c r="F47" s="21"/>
      <c r="G47" s="22"/>
      <c r="H47" s="22"/>
      <c r="I47" s="23">
        <f t="shared" ref="I47:K47" si="34">SUM(F22:I22)</f>
        <v>-112.13800000000001</v>
      </c>
      <c r="J47" s="21"/>
      <c r="K47" s="23">
        <f t="shared" si="34"/>
        <v>-94.838999999999999</v>
      </c>
      <c r="L47" s="22"/>
      <c r="M47" s="22"/>
    </row>
    <row r="48" spans="1:13" x14ac:dyDescent="0.15">
      <c r="A48" s="70" t="s">
        <v>46</v>
      </c>
      <c r="B48" s="21"/>
      <c r="C48" s="22"/>
      <c r="D48" s="22"/>
      <c r="E48" s="42"/>
      <c r="F48" s="21"/>
      <c r="G48" s="22"/>
      <c r="H48" s="22"/>
      <c r="I48" s="32">
        <f t="shared" ref="I48" si="35">I47/I45</f>
        <v>0.30555313351498636</v>
      </c>
      <c r="J48" s="21"/>
      <c r="K48" s="32">
        <f t="shared" ref="K48" si="36">K47/K45</f>
        <v>0.27174498567335242</v>
      </c>
      <c r="L48" s="22"/>
      <c r="M48" s="22"/>
    </row>
    <row r="49" spans="1:13" x14ac:dyDescent="0.15">
      <c r="A49" s="70" t="s">
        <v>47</v>
      </c>
      <c r="B49" s="21"/>
      <c r="C49" s="22"/>
      <c r="D49" s="22"/>
      <c r="E49" s="42"/>
      <c r="F49" s="21"/>
      <c r="G49" s="22"/>
      <c r="H49" s="22"/>
      <c r="I49" s="32">
        <f t="shared" ref="I49" si="37">I47/I41</f>
        <v>-7.9984308131241091E-2</v>
      </c>
      <c r="J49" s="21"/>
      <c r="K49" s="32">
        <f t="shared" ref="K49" si="38">K47/K41</f>
        <v>-3.5021787296898081E-2</v>
      </c>
      <c r="L49" s="22"/>
      <c r="M49" s="22"/>
    </row>
    <row r="50" spans="1:13" x14ac:dyDescent="0.15">
      <c r="A50" s="70" t="s">
        <v>48</v>
      </c>
      <c r="B50" s="21"/>
      <c r="C50" s="22"/>
      <c r="D50" s="22"/>
      <c r="E50" s="42"/>
      <c r="F50" s="21"/>
      <c r="G50" s="22"/>
      <c r="H50" s="22"/>
      <c r="I50" s="32">
        <f t="shared" ref="I50" si="39">I47/(I45-I40)</f>
        <v>0.30555313351498636</v>
      </c>
      <c r="J50" s="21"/>
      <c r="K50" s="32">
        <f t="shared" ref="K50" si="40">K47/(K45-K40)</f>
        <v>0.27174498567335242</v>
      </c>
      <c r="L50" s="22"/>
      <c r="M50" s="22"/>
    </row>
    <row r="51" spans="1:13" x14ac:dyDescent="0.15">
      <c r="A51" s="70" t="s">
        <v>49</v>
      </c>
      <c r="B51" s="21"/>
      <c r="C51" s="22"/>
      <c r="D51" s="22"/>
      <c r="E51" s="42"/>
      <c r="F51" s="21"/>
      <c r="G51" s="22"/>
      <c r="H51" s="22"/>
      <c r="I51" s="32">
        <f t="shared" ref="I51" si="41">I47/I44</f>
        <v>-2.8034500000000002</v>
      </c>
      <c r="J51" s="21"/>
      <c r="K51" s="32">
        <f t="shared" ref="K51" si="42">K47/K44</f>
        <v>-0.51824590163934425</v>
      </c>
      <c r="L51" s="22"/>
      <c r="M51" s="22"/>
    </row>
    <row r="52" spans="1:13" x14ac:dyDescent="0.15">
      <c r="E52" s="42"/>
      <c r="K52" s="22"/>
      <c r="L52" s="22"/>
      <c r="M52" s="22"/>
    </row>
    <row r="53" spans="1:13" x14ac:dyDescent="0.15">
      <c r="A53" s="66" t="s">
        <v>75</v>
      </c>
      <c r="B53" s="33"/>
      <c r="C53" s="32"/>
      <c r="D53" s="32"/>
      <c r="E53" s="42"/>
      <c r="F53" s="33">
        <f t="shared" ref="F53:K56" si="43">F3/B3-1</f>
        <v>0.56397472815575722</v>
      </c>
      <c r="G53" s="32">
        <f t="shared" si="43"/>
        <v>0.70017813683920016</v>
      </c>
      <c r="H53" s="32">
        <f t="shared" si="43"/>
        <v>0.85762356575463361</v>
      </c>
      <c r="I53" s="32">
        <f t="shared" si="43"/>
        <v>1.584634508686293</v>
      </c>
      <c r="J53" s="33">
        <f t="shared" si="43"/>
        <v>1.5629998076341751</v>
      </c>
      <c r="K53" s="32">
        <f t="shared" si="43"/>
        <v>0.47024969010093853</v>
      </c>
      <c r="L53" s="32"/>
      <c r="M53" s="32"/>
    </row>
    <row r="54" spans="1:13" x14ac:dyDescent="0.15">
      <c r="A54" s="66" t="s">
        <v>76</v>
      </c>
      <c r="B54" s="33"/>
      <c r="C54" s="32"/>
      <c r="D54" s="32"/>
      <c r="E54" s="32"/>
      <c r="F54" s="33">
        <f t="shared" si="43"/>
        <v>1.4766162310866577</v>
      </c>
      <c r="G54" s="32">
        <f t="shared" si="43"/>
        <v>3.4548872180451129</v>
      </c>
      <c r="H54" s="32">
        <f t="shared" si="43"/>
        <v>2.0519814719505916</v>
      </c>
      <c r="I54" s="32">
        <f t="shared" si="43"/>
        <v>-7.505140507196717E-2</v>
      </c>
      <c r="J54" s="33">
        <f t="shared" si="43"/>
        <v>0.65454040544293268</v>
      </c>
      <c r="K54" s="32">
        <f t="shared" si="43"/>
        <v>0.52180028129395217</v>
      </c>
      <c r="L54" s="32"/>
      <c r="M54" s="32"/>
    </row>
    <row r="55" spans="1:13" x14ac:dyDescent="0.15">
      <c r="A55" s="66" t="s">
        <v>77</v>
      </c>
      <c r="B55" s="33"/>
      <c r="C55" s="32"/>
      <c r="D55" s="32"/>
      <c r="E55" s="32"/>
      <c r="F55" s="33">
        <f t="shared" si="43"/>
        <v>0.6443425577206483</v>
      </c>
      <c r="G55" s="32">
        <f t="shared" si="43"/>
        <v>0.64439985406785838</v>
      </c>
      <c r="H55" s="32">
        <f t="shared" si="43"/>
        <v>0.63836576362385022</v>
      </c>
      <c r="I55" s="32">
        <f t="shared" si="43"/>
        <v>0.37969101123595483</v>
      </c>
      <c r="J55" s="33">
        <f t="shared" si="43"/>
        <v>0.3502539334793866</v>
      </c>
      <c r="K55" s="32">
        <f t="shared" si="43"/>
        <v>0.63860847957757416</v>
      </c>
      <c r="L55" s="32"/>
      <c r="M55" s="32"/>
    </row>
    <row r="56" spans="1:13" x14ac:dyDescent="0.15">
      <c r="A56" s="66" t="s">
        <v>78</v>
      </c>
      <c r="B56" s="33"/>
      <c r="C56" s="32"/>
      <c r="D56" s="32"/>
      <c r="E56" s="32"/>
      <c r="F56" s="33">
        <f t="shared" si="43"/>
        <v>1.7484121383203957</v>
      </c>
      <c r="G56" s="32">
        <f t="shared" si="43"/>
        <v>11.711026615969583</v>
      </c>
      <c r="H56" s="32">
        <f t="shared" si="43"/>
        <v>3.2624113475177294</v>
      </c>
      <c r="I56" s="32">
        <f t="shared" si="43"/>
        <v>-9.5841688654353572</v>
      </c>
      <c r="J56" s="33">
        <f t="shared" si="43"/>
        <v>1.634227757093337</v>
      </c>
      <c r="K56" s="32">
        <f t="shared" si="43"/>
        <v>0.96769368830391889</v>
      </c>
      <c r="L56" s="32"/>
      <c r="M56" s="32"/>
    </row>
    <row r="57" spans="1:13" x14ac:dyDescent="0.15">
      <c r="L57" s="22"/>
    </row>
    <row r="58" spans="1:13" s="73" customFormat="1" x14ac:dyDescent="0.15">
      <c r="A58" s="72" t="s">
        <v>81</v>
      </c>
      <c r="B58" s="33"/>
      <c r="C58" s="32"/>
      <c r="D58" s="32"/>
      <c r="E58" s="32"/>
      <c r="F58" s="33"/>
      <c r="G58" s="32"/>
      <c r="H58" s="32"/>
      <c r="I58" s="32"/>
      <c r="J58" s="33">
        <f>J8/F8-1</f>
        <v>0.62903902643726406</v>
      </c>
      <c r="K58" s="32">
        <f>K8/G8-1</f>
        <v>0.5</v>
      </c>
      <c r="L58" s="22"/>
      <c r="M58" s="32"/>
    </row>
    <row r="59" spans="1:13" x14ac:dyDescent="0.15">
      <c r="A59" s="66" t="s">
        <v>65</v>
      </c>
      <c r="J59" s="33">
        <f>J9/F9-1</f>
        <v>0.21434423583540041</v>
      </c>
      <c r="K59" s="32">
        <f>K9/G9-1</f>
        <v>4.6557313144991008E-2</v>
      </c>
      <c r="L59" s="22"/>
      <c r="M59" s="32"/>
    </row>
    <row r="60" spans="1:13" x14ac:dyDescent="0.15">
      <c r="K60" s="22"/>
      <c r="L60" s="22">
        <v>1800</v>
      </c>
    </row>
    <row r="61" spans="1:13" s="7" customFormat="1" x14ac:dyDescent="0.15">
      <c r="A61" s="62" t="s">
        <v>66</v>
      </c>
      <c r="B61" s="21"/>
      <c r="C61" s="22"/>
      <c r="D61" s="22"/>
      <c r="E61" s="22"/>
      <c r="F61" s="21">
        <v>861.30600000000004</v>
      </c>
      <c r="G61" s="22">
        <v>1300</v>
      </c>
      <c r="I61" s="22"/>
      <c r="J61" s="21">
        <v>1475.9290000000001</v>
      </c>
      <c r="K61" s="22">
        <v>2100</v>
      </c>
      <c r="L61" s="22">
        <v>1800</v>
      </c>
      <c r="M61" s="22">
        <f>M11/0.1</f>
        <v>2019.81</v>
      </c>
    </row>
    <row r="62" spans="1:13" s="73" customFormat="1" x14ac:dyDescent="0.15">
      <c r="A62" s="72" t="s">
        <v>67</v>
      </c>
      <c r="B62" s="33"/>
      <c r="C62" s="32"/>
      <c r="D62" s="32"/>
      <c r="E62" s="32"/>
      <c r="F62" s="33"/>
      <c r="G62" s="32"/>
      <c r="H62" s="32"/>
      <c r="I62" s="32"/>
      <c r="J62" s="33">
        <f>J61/F61-1</f>
        <v>0.71359423944567912</v>
      </c>
      <c r="K62" s="32">
        <f>K61/G61-1</f>
        <v>0.61538461538461542</v>
      </c>
      <c r="L62" s="32"/>
      <c r="M62" s="32"/>
    </row>
    <row r="63" spans="1:13" x14ac:dyDescent="0.15">
      <c r="K63" s="22"/>
      <c r="L63" s="22"/>
    </row>
    <row r="64" spans="1:13" s="73" customFormat="1" x14ac:dyDescent="0.15">
      <c r="A64" s="72" t="s">
        <v>68</v>
      </c>
      <c r="B64" s="33"/>
      <c r="C64" s="32"/>
      <c r="D64" s="32"/>
      <c r="E64" s="32"/>
      <c r="F64" s="33">
        <f>F11/F61</f>
        <v>0.102108890452406</v>
      </c>
      <c r="G64" s="32">
        <f>G11/G61</f>
        <v>9.9981538461538455E-2</v>
      </c>
      <c r="H64" s="32"/>
      <c r="I64" s="32"/>
      <c r="J64" s="33">
        <f>J11/J61</f>
        <v>0.11787694394513556</v>
      </c>
      <c r="K64" s="32">
        <f>K11/K61</f>
        <v>9.7162380952380945E-2</v>
      </c>
      <c r="L64" s="32">
        <f>L11/L61</f>
        <v>0.1</v>
      </c>
      <c r="M64" s="32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7"/>
  <sheetViews>
    <sheetView zoomScale="130" zoomScaleNormal="130" workbookViewId="0">
      <selection activeCell="C10" sqref="C10"/>
    </sheetView>
  </sheetViews>
  <sheetFormatPr baseColWidth="10" defaultRowHeight="13" x14ac:dyDescent="0.15"/>
  <cols>
    <col min="1" max="1" width="10.83203125" style="2"/>
    <col min="2" max="2" width="15.83203125" style="2" bestFit="1" customWidth="1"/>
    <col min="3" max="3" width="35.6640625" style="2" bestFit="1" customWidth="1"/>
    <col min="4" max="16384" width="10.83203125" style="2"/>
  </cols>
  <sheetData>
    <row r="4" spans="2:3" x14ac:dyDescent="0.15">
      <c r="B4" s="60" t="s">
        <v>60</v>
      </c>
    </row>
    <row r="6" spans="2:3" x14ac:dyDescent="0.15">
      <c r="B6" s="2" t="s">
        <v>82</v>
      </c>
      <c r="C6" s="2" t="s">
        <v>84</v>
      </c>
    </row>
    <row r="7" spans="2:3" x14ac:dyDescent="0.15">
      <c r="B7" s="2" t="s">
        <v>83</v>
      </c>
      <c r="C7" s="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2021-02-13T11:32:35Z</dcterms:modified>
</cp:coreProperties>
</file>