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18C1EE33-F960-1A43-81BE-68487B3E345D}" xr6:coauthVersionLast="46" xr6:coauthVersionMax="46" xr10:uidLastSave="{00000000-0000-0000-0000-000000000000}"/>
  <bookViews>
    <workbookView xWindow="-26120" yWindow="-5940" windowWidth="26120" windowHeight="26720" tabRatio="500" activeTab="1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0" i="1" l="1"/>
  <c r="N50" i="1"/>
  <c r="M50" i="1"/>
  <c r="L50" i="1"/>
  <c r="K50" i="1"/>
  <c r="R50" i="1"/>
  <c r="Q50" i="1"/>
  <c r="P50" i="1"/>
  <c r="O50" i="1"/>
  <c r="V50" i="1"/>
  <c r="U50" i="1"/>
  <c r="T50" i="1"/>
  <c r="S50" i="1"/>
  <c r="W50" i="1"/>
  <c r="X50" i="1"/>
  <c r="Y50" i="1"/>
  <c r="Z50" i="1"/>
  <c r="F49" i="1"/>
  <c r="J49" i="1"/>
  <c r="I49" i="1"/>
  <c r="H49" i="1"/>
  <c r="G49" i="1"/>
  <c r="N49" i="1"/>
  <c r="M49" i="1"/>
  <c r="L49" i="1"/>
  <c r="K49" i="1"/>
  <c r="R49" i="1"/>
  <c r="Q49" i="1"/>
  <c r="P49" i="1"/>
  <c r="O49" i="1"/>
  <c r="V49" i="1"/>
  <c r="U49" i="1"/>
  <c r="T49" i="1"/>
  <c r="S49" i="1"/>
  <c r="W49" i="1"/>
  <c r="X49" i="1"/>
  <c r="Y49" i="1"/>
  <c r="Z49" i="1"/>
  <c r="D4" i="2"/>
  <c r="H45" i="2"/>
  <c r="H44" i="2"/>
  <c r="H48" i="2" s="1"/>
  <c r="H41" i="2"/>
  <c r="H19" i="2"/>
  <c r="H18" i="2"/>
  <c r="H17" i="2"/>
  <c r="H20" i="2" s="1"/>
  <c r="H15" i="2"/>
  <c r="H12" i="2"/>
  <c r="I12" i="2" s="1"/>
  <c r="J12" i="2" s="1"/>
  <c r="K12" i="2" s="1"/>
  <c r="L12" i="2" s="1"/>
  <c r="M12" i="2" s="1"/>
  <c r="H11" i="2"/>
  <c r="I11" i="2" s="1"/>
  <c r="J11" i="2" s="1"/>
  <c r="K11" i="2" s="1"/>
  <c r="L11" i="2" s="1"/>
  <c r="M11" i="2" s="1"/>
  <c r="Y53" i="1"/>
  <c r="Y52" i="1"/>
  <c r="Y26" i="1"/>
  <c r="Y25" i="1"/>
  <c r="Y24" i="1"/>
  <c r="Y15" i="1"/>
  <c r="Y13" i="1"/>
  <c r="Y7" i="1"/>
  <c r="Z53" i="1"/>
  <c r="Z52" i="1"/>
  <c r="Z41" i="1"/>
  <c r="Z36" i="1"/>
  <c r="H43" i="2" s="1"/>
  <c r="Z33" i="1"/>
  <c r="Z40" i="1" s="1"/>
  <c r="Z26" i="1"/>
  <c r="Z25" i="1"/>
  <c r="Z24" i="1"/>
  <c r="Z15" i="1"/>
  <c r="Z13" i="1"/>
  <c r="Z7" i="1"/>
  <c r="Z9" i="1" s="1"/>
  <c r="Z28" i="1" s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4" i="1"/>
  <c r="J63" i="1"/>
  <c r="J62" i="1"/>
  <c r="J61" i="1"/>
  <c r="I64" i="1"/>
  <c r="I63" i="1"/>
  <c r="I62" i="1"/>
  <c r="I61" i="1"/>
  <c r="H64" i="1"/>
  <c r="H63" i="1"/>
  <c r="H62" i="1"/>
  <c r="H61" i="1"/>
  <c r="G64" i="1"/>
  <c r="G63" i="1"/>
  <c r="G62" i="1"/>
  <c r="G61" i="1"/>
  <c r="F64" i="1"/>
  <c r="F63" i="1"/>
  <c r="F62" i="1"/>
  <c r="F61" i="1"/>
  <c r="E64" i="1"/>
  <c r="E63" i="1"/>
  <c r="E62" i="1"/>
  <c r="E61" i="1"/>
  <c r="D64" i="1"/>
  <c r="D63" i="1"/>
  <c r="D62" i="1"/>
  <c r="D61" i="1"/>
  <c r="X59" i="1"/>
  <c r="X53" i="1"/>
  <c r="X52" i="1"/>
  <c r="X41" i="1"/>
  <c r="X36" i="1"/>
  <c r="X33" i="1"/>
  <c r="X32" i="1" s="1"/>
  <c r="X25" i="1"/>
  <c r="X24" i="1"/>
  <c r="X15" i="1"/>
  <c r="X13" i="1"/>
  <c r="X7" i="1"/>
  <c r="X9" i="1" s="1"/>
  <c r="X28" i="1" s="1"/>
  <c r="Y9" i="1" l="1"/>
  <c r="Y28" i="1" s="1"/>
  <c r="H40" i="2"/>
  <c r="H47" i="2" s="1"/>
  <c r="H14" i="2"/>
  <c r="H16" i="2" s="1"/>
  <c r="H21" i="2" s="1"/>
  <c r="Z32" i="1"/>
  <c r="D6" i="2" s="1"/>
  <c r="Z14" i="1"/>
  <c r="X40" i="1"/>
  <c r="X14" i="1"/>
  <c r="Y14" i="1" l="1"/>
  <c r="H39" i="2"/>
  <c r="Y29" i="1"/>
  <c r="Y16" i="1"/>
  <c r="Z29" i="1"/>
  <c r="Z16" i="1"/>
  <c r="X16" i="1"/>
  <c r="X29" i="1"/>
  <c r="Y19" i="1" l="1"/>
  <c r="Y20" i="1" s="1"/>
  <c r="Y30" i="1"/>
  <c r="Z30" i="1"/>
  <c r="Z19" i="1"/>
  <c r="Z20" i="1" s="1"/>
  <c r="X17" i="1"/>
  <c r="G45" i="2"/>
  <c r="G44" i="2"/>
  <c r="G43" i="2"/>
  <c r="G41" i="2"/>
  <c r="G40" i="2"/>
  <c r="G27" i="2"/>
  <c r="G24" i="2"/>
  <c r="G18" i="2"/>
  <c r="I18" i="2" s="1"/>
  <c r="J18" i="2" s="1"/>
  <c r="K18" i="2" s="1"/>
  <c r="L18" i="2" s="1"/>
  <c r="G17" i="2"/>
  <c r="G15" i="2"/>
  <c r="G12" i="2"/>
  <c r="M56" i="2" s="1"/>
  <c r="G11" i="2"/>
  <c r="W53" i="1"/>
  <c r="W52" i="1"/>
  <c r="W59" i="1"/>
  <c r="W41" i="1"/>
  <c r="W36" i="1"/>
  <c r="W33" i="1"/>
  <c r="W32" i="1" s="1"/>
  <c r="W26" i="1"/>
  <c r="W25" i="1"/>
  <c r="W24" i="1"/>
  <c r="W15" i="1"/>
  <c r="H22" i="2" s="1"/>
  <c r="H23" i="2" s="1"/>
  <c r="W13" i="1"/>
  <c r="W7" i="1"/>
  <c r="V53" i="1"/>
  <c r="V52" i="1"/>
  <c r="V59" i="1"/>
  <c r="V41" i="1"/>
  <c r="V36" i="1"/>
  <c r="V33" i="1"/>
  <c r="V40" i="1" s="1"/>
  <c r="V26" i="1"/>
  <c r="V25" i="1"/>
  <c r="V24" i="1"/>
  <c r="V15" i="1"/>
  <c r="V13" i="1"/>
  <c r="V7" i="1"/>
  <c r="U53" i="1"/>
  <c r="U52" i="1"/>
  <c r="U59" i="1"/>
  <c r="U41" i="1"/>
  <c r="U36" i="1"/>
  <c r="U33" i="1"/>
  <c r="U32" i="1" s="1"/>
  <c r="U26" i="1"/>
  <c r="U25" i="1"/>
  <c r="U24" i="1"/>
  <c r="U15" i="1"/>
  <c r="U13" i="1"/>
  <c r="U7" i="1"/>
  <c r="T53" i="1"/>
  <c r="T52" i="1"/>
  <c r="T59" i="1"/>
  <c r="T41" i="1"/>
  <c r="T36" i="1"/>
  <c r="T33" i="1"/>
  <c r="T32" i="1" s="1"/>
  <c r="T25" i="1"/>
  <c r="T24" i="1"/>
  <c r="T15" i="1"/>
  <c r="T12" i="1"/>
  <c r="X26" i="1" s="1"/>
  <c r="T7" i="1"/>
  <c r="X23" i="1" s="1"/>
  <c r="X19" i="1" l="1"/>
  <c r="H24" i="2"/>
  <c r="M18" i="2"/>
  <c r="M35" i="2" s="1"/>
  <c r="W9" i="1"/>
  <c r="W28" i="1" s="1"/>
  <c r="AA23" i="1"/>
  <c r="U9" i="1"/>
  <c r="U28" i="1" s="1"/>
  <c r="Y23" i="1"/>
  <c r="L55" i="2"/>
  <c r="V9" i="1"/>
  <c r="V28" i="1" s="1"/>
  <c r="Z23" i="1"/>
  <c r="X20" i="1"/>
  <c r="T40" i="1"/>
  <c r="W40" i="1"/>
  <c r="X30" i="1"/>
  <c r="T9" i="1"/>
  <c r="T28" i="1" s="1"/>
  <c r="U40" i="1"/>
  <c r="T26" i="1"/>
  <c r="T13" i="1"/>
  <c r="V32" i="1"/>
  <c r="G19" i="2"/>
  <c r="I19" i="2" s="1"/>
  <c r="J19" i="2" s="1"/>
  <c r="K19" i="2" s="1"/>
  <c r="L19" i="2" s="1"/>
  <c r="M19" i="2" s="1"/>
  <c r="I17" i="2"/>
  <c r="J17" i="2" s="1"/>
  <c r="K17" i="2" s="1"/>
  <c r="L17" i="2" s="1"/>
  <c r="M17" i="2" s="1"/>
  <c r="G39" i="2"/>
  <c r="G47" i="2"/>
  <c r="L14" i="2"/>
  <c r="G48" i="2"/>
  <c r="G14" i="2"/>
  <c r="G16" i="2" s="1"/>
  <c r="G29" i="2" s="1"/>
  <c r="K14" i="2"/>
  <c r="I14" i="2"/>
  <c r="J14" i="2"/>
  <c r="S36" i="1"/>
  <c r="S33" i="1"/>
  <c r="S32" i="1" s="1"/>
  <c r="S15" i="1"/>
  <c r="G22" i="2" s="1"/>
  <c r="S53" i="1"/>
  <c r="S52" i="1"/>
  <c r="S59" i="1"/>
  <c r="S7" i="1"/>
  <c r="S9" i="1" s="1"/>
  <c r="S13" i="1"/>
  <c r="S41" i="1"/>
  <c r="S26" i="1"/>
  <c r="S25" i="1"/>
  <c r="S24" i="1"/>
  <c r="F45" i="2"/>
  <c r="F44" i="2"/>
  <c r="F12" i="2"/>
  <c r="F11" i="2"/>
  <c r="R36" i="1"/>
  <c r="F43" i="2" s="1"/>
  <c r="R34" i="1"/>
  <c r="F41" i="2" s="1"/>
  <c r="R33" i="1"/>
  <c r="F40" i="2" s="1"/>
  <c r="R59" i="1"/>
  <c r="R41" i="1"/>
  <c r="R15" i="1"/>
  <c r="R13" i="1"/>
  <c r="R7" i="1"/>
  <c r="F15" i="2"/>
  <c r="F17" i="2"/>
  <c r="G34" i="2" s="1"/>
  <c r="F18" i="2"/>
  <c r="F19" i="2"/>
  <c r="F24" i="2"/>
  <c r="D5" i="2"/>
  <c r="F27" i="2"/>
  <c r="H27" i="2" s="1"/>
  <c r="I27" i="2" s="1"/>
  <c r="J27" i="2" s="1"/>
  <c r="K27" i="2" s="1"/>
  <c r="L27" i="2" s="1"/>
  <c r="R53" i="1"/>
  <c r="Q53" i="1"/>
  <c r="P53" i="1"/>
  <c r="O53" i="1"/>
  <c r="N53" i="1"/>
  <c r="M53" i="1"/>
  <c r="L53" i="1"/>
  <c r="K53" i="1"/>
  <c r="J53" i="1"/>
  <c r="I53" i="1"/>
  <c r="H53" i="1"/>
  <c r="R52" i="1"/>
  <c r="Q52" i="1"/>
  <c r="P52" i="1"/>
  <c r="O52" i="1"/>
  <c r="N52" i="1"/>
  <c r="M52" i="1"/>
  <c r="L52" i="1"/>
  <c r="K52" i="1"/>
  <c r="J52" i="1"/>
  <c r="I52" i="1"/>
  <c r="H52" i="1"/>
  <c r="G53" i="1"/>
  <c r="G52" i="1"/>
  <c r="R26" i="1"/>
  <c r="R25" i="1"/>
  <c r="R24" i="1"/>
  <c r="E11" i="2"/>
  <c r="E12" i="2"/>
  <c r="E17" i="2"/>
  <c r="E18" i="2"/>
  <c r="E19" i="2"/>
  <c r="E24" i="2"/>
  <c r="E44" i="2"/>
  <c r="E45" i="2"/>
  <c r="D41" i="2"/>
  <c r="C41" i="2"/>
  <c r="E27" i="2"/>
  <c r="D27" i="2"/>
  <c r="C27" i="2"/>
  <c r="C11" i="2"/>
  <c r="E10" i="2"/>
  <c r="F10" i="2" s="1"/>
  <c r="G10" i="2" s="1"/>
  <c r="H10" i="2" s="1"/>
  <c r="I10" i="2" s="1"/>
  <c r="J10" i="2" s="1"/>
  <c r="K10" i="2" s="1"/>
  <c r="L10" i="2" s="1"/>
  <c r="N59" i="1"/>
  <c r="N36" i="1"/>
  <c r="E43" i="2" s="1"/>
  <c r="N34" i="1"/>
  <c r="E41" i="2" s="1"/>
  <c r="N33" i="1"/>
  <c r="E40" i="2" s="1"/>
  <c r="N15" i="1"/>
  <c r="N13" i="1"/>
  <c r="N7" i="1"/>
  <c r="N9" i="1" s="1"/>
  <c r="O36" i="1"/>
  <c r="O34" i="1"/>
  <c r="O33" i="1"/>
  <c r="K15" i="1"/>
  <c r="O15" i="1"/>
  <c r="O59" i="1"/>
  <c r="O7" i="1"/>
  <c r="O9" i="1" s="1"/>
  <c r="O13" i="1"/>
  <c r="O41" i="1"/>
  <c r="O26" i="1"/>
  <c r="O25" i="1"/>
  <c r="O24" i="1"/>
  <c r="K7" i="1"/>
  <c r="K13" i="1"/>
  <c r="N41" i="1"/>
  <c r="P36" i="1"/>
  <c r="P34" i="1"/>
  <c r="P33" i="1"/>
  <c r="P32" i="1" s="1"/>
  <c r="L15" i="1"/>
  <c r="P15" i="1"/>
  <c r="P59" i="1"/>
  <c r="P7" i="1"/>
  <c r="P13" i="1"/>
  <c r="P41" i="1"/>
  <c r="P26" i="1"/>
  <c r="P25" i="1"/>
  <c r="P24" i="1"/>
  <c r="L7" i="1"/>
  <c r="L9" i="1" s="1"/>
  <c r="Q59" i="1"/>
  <c r="M59" i="1"/>
  <c r="L59" i="1"/>
  <c r="K59" i="1"/>
  <c r="J59" i="1"/>
  <c r="I59" i="1"/>
  <c r="H59" i="1"/>
  <c r="G59" i="1"/>
  <c r="F59" i="1"/>
  <c r="E59" i="1"/>
  <c r="D59" i="1"/>
  <c r="C59" i="1"/>
  <c r="M8" i="1"/>
  <c r="E15" i="2" s="1"/>
  <c r="M15" i="1"/>
  <c r="M7" i="1"/>
  <c r="M13" i="1"/>
  <c r="Q7" i="1"/>
  <c r="Q9" i="1" s="1"/>
  <c r="Q13" i="1"/>
  <c r="Q15" i="1"/>
  <c r="Q37" i="1"/>
  <c r="Q41" i="1" s="1"/>
  <c r="Q36" i="1"/>
  <c r="Q33" i="1"/>
  <c r="Q34" i="1"/>
  <c r="Q26" i="1"/>
  <c r="Q25" i="1"/>
  <c r="Q24" i="1"/>
  <c r="C7" i="1"/>
  <c r="C9" i="1" s="1"/>
  <c r="C28" i="1" s="1"/>
  <c r="F7" i="1"/>
  <c r="F9" i="1" s="1"/>
  <c r="F28" i="1" s="1"/>
  <c r="F13" i="1"/>
  <c r="F15" i="1"/>
  <c r="J7" i="1"/>
  <c r="J9" i="1" s="1"/>
  <c r="J13" i="1"/>
  <c r="J15" i="1"/>
  <c r="L13" i="1"/>
  <c r="C12" i="1"/>
  <c r="G26" i="1" s="1"/>
  <c r="C15" i="1"/>
  <c r="G7" i="1"/>
  <c r="G13" i="1"/>
  <c r="G15" i="1"/>
  <c r="D7" i="1"/>
  <c r="D9" i="1" s="1"/>
  <c r="D13" i="1"/>
  <c r="D15" i="1"/>
  <c r="E7" i="1"/>
  <c r="E9" i="1" s="1"/>
  <c r="E13" i="1"/>
  <c r="E15" i="1"/>
  <c r="I7" i="1"/>
  <c r="I8" i="1"/>
  <c r="D15" i="2" s="1"/>
  <c r="I13" i="1"/>
  <c r="I15" i="1"/>
  <c r="H7" i="1"/>
  <c r="H9" i="1" s="1"/>
  <c r="H13" i="1"/>
  <c r="H15" i="1"/>
  <c r="M33" i="1"/>
  <c r="M34" i="1"/>
  <c r="D17" i="2"/>
  <c r="D18" i="2"/>
  <c r="D19" i="2"/>
  <c r="C18" i="2"/>
  <c r="C17" i="2"/>
  <c r="K26" i="1"/>
  <c r="J24" i="1"/>
  <c r="K24" i="1"/>
  <c r="H26" i="1"/>
  <c r="I26" i="1"/>
  <c r="J26" i="1"/>
  <c r="L26" i="1"/>
  <c r="M26" i="1"/>
  <c r="N26" i="1"/>
  <c r="H25" i="1"/>
  <c r="I25" i="1"/>
  <c r="J25" i="1"/>
  <c r="K25" i="1"/>
  <c r="L25" i="1"/>
  <c r="M25" i="1"/>
  <c r="N25" i="1"/>
  <c r="G25" i="1"/>
  <c r="L24" i="1"/>
  <c r="M24" i="1"/>
  <c r="N24" i="1"/>
  <c r="H24" i="1"/>
  <c r="I24" i="1"/>
  <c r="G24" i="1"/>
  <c r="J33" i="1"/>
  <c r="D40" i="2" s="1"/>
  <c r="D11" i="2"/>
  <c r="D12" i="2"/>
  <c r="G33" i="1"/>
  <c r="G32" i="1" s="1"/>
  <c r="F33" i="1"/>
  <c r="F32" i="1" s="1"/>
  <c r="H33" i="1"/>
  <c r="H32" i="1" s="1"/>
  <c r="I33" i="1"/>
  <c r="I32" i="1" s="1"/>
  <c r="K34" i="1"/>
  <c r="K33" i="1"/>
  <c r="K32" i="1" s="1"/>
  <c r="L34" i="1"/>
  <c r="L33" i="1"/>
  <c r="D24" i="2"/>
  <c r="C12" i="2"/>
  <c r="C15" i="2"/>
  <c r="C24" i="2"/>
  <c r="M10" i="2" l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U14" i="1"/>
  <c r="Q40" i="1"/>
  <c r="M27" i="2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M20" i="2"/>
  <c r="M34" i="2"/>
  <c r="N17" i="2"/>
  <c r="O17" i="2" s="1"/>
  <c r="P17" i="2" s="1"/>
  <c r="Q17" i="2" s="1"/>
  <c r="R17" i="2" s="1"/>
  <c r="V14" i="1"/>
  <c r="V29" i="1" s="1"/>
  <c r="M36" i="2"/>
  <c r="N19" i="2"/>
  <c r="O19" i="2" s="1"/>
  <c r="P19" i="2" s="1"/>
  <c r="Q19" i="2" s="1"/>
  <c r="R19" i="2" s="1"/>
  <c r="T14" i="1"/>
  <c r="T29" i="1" s="1"/>
  <c r="N18" i="2"/>
  <c r="O18" i="2" s="1"/>
  <c r="P18" i="2" s="1"/>
  <c r="Q18" i="2" s="1"/>
  <c r="R18" i="2" s="1"/>
  <c r="S18" i="2" s="1"/>
  <c r="T18" i="2" s="1"/>
  <c r="U18" i="2" s="1"/>
  <c r="V18" i="2" s="1"/>
  <c r="W18" i="2" s="1"/>
  <c r="W35" i="2" s="1"/>
  <c r="W14" i="1"/>
  <c r="W16" i="1" s="1"/>
  <c r="M55" i="2"/>
  <c r="M14" i="2"/>
  <c r="O32" i="1"/>
  <c r="Q32" i="1"/>
  <c r="C22" i="2"/>
  <c r="S40" i="1"/>
  <c r="O23" i="1"/>
  <c r="P40" i="1"/>
  <c r="C14" i="2"/>
  <c r="C16" i="2" s="1"/>
  <c r="C29" i="2" s="1"/>
  <c r="G23" i="1"/>
  <c r="S14" i="1"/>
  <c r="S16" i="1" s="1"/>
  <c r="O40" i="1"/>
  <c r="I23" i="1"/>
  <c r="M9" i="1"/>
  <c r="M14" i="1" s="1"/>
  <c r="L32" i="1"/>
  <c r="Q14" i="1"/>
  <c r="Q29" i="1" s="1"/>
  <c r="Q28" i="1"/>
  <c r="R32" i="1"/>
  <c r="R40" i="1"/>
  <c r="K9" i="1"/>
  <c r="K28" i="1" s="1"/>
  <c r="F56" i="2"/>
  <c r="M32" i="1"/>
  <c r="G20" i="2"/>
  <c r="D14" i="1"/>
  <c r="D28" i="1"/>
  <c r="O28" i="1"/>
  <c r="O14" i="1"/>
  <c r="O29" i="1" s="1"/>
  <c r="L28" i="1"/>
  <c r="L14" i="1"/>
  <c r="L29" i="1" s="1"/>
  <c r="I9" i="1"/>
  <c r="N32" i="1"/>
  <c r="P9" i="1"/>
  <c r="P14" i="1" s="1"/>
  <c r="T23" i="1"/>
  <c r="S23" i="1"/>
  <c r="M23" i="1"/>
  <c r="F14" i="2"/>
  <c r="G33" i="2" s="1"/>
  <c r="J32" i="1"/>
  <c r="E22" i="2"/>
  <c r="W23" i="1"/>
  <c r="R23" i="1"/>
  <c r="U29" i="1"/>
  <c r="U16" i="1"/>
  <c r="K23" i="1"/>
  <c r="D39" i="2"/>
  <c r="F14" i="1"/>
  <c r="H34" i="2"/>
  <c r="F22" i="2"/>
  <c r="Q23" i="1"/>
  <c r="U23" i="1"/>
  <c r="T16" i="1"/>
  <c r="D22" i="2"/>
  <c r="P23" i="1"/>
  <c r="R9" i="1"/>
  <c r="R14" i="1" s="1"/>
  <c r="V23" i="1"/>
  <c r="F39" i="2"/>
  <c r="G21" i="2"/>
  <c r="G23" i="2" s="1"/>
  <c r="G31" i="2" s="1"/>
  <c r="E20" i="2"/>
  <c r="D55" i="2"/>
  <c r="F20" i="2"/>
  <c r="D35" i="2"/>
  <c r="E34" i="2"/>
  <c r="D56" i="2"/>
  <c r="F35" i="2"/>
  <c r="F34" i="2"/>
  <c r="E14" i="2"/>
  <c r="F48" i="2"/>
  <c r="E48" i="2"/>
  <c r="H55" i="2"/>
  <c r="D20" i="2"/>
  <c r="E35" i="2"/>
  <c r="D14" i="2"/>
  <c r="D16" i="2" s="1"/>
  <c r="F36" i="2"/>
  <c r="E36" i="2"/>
  <c r="D7" i="2"/>
  <c r="D8" i="2" s="1"/>
  <c r="G56" i="2"/>
  <c r="G36" i="2"/>
  <c r="N14" i="1"/>
  <c r="N28" i="1"/>
  <c r="J28" i="1"/>
  <c r="J14" i="1"/>
  <c r="H14" i="1"/>
  <c r="H28" i="1"/>
  <c r="H35" i="2"/>
  <c r="E14" i="1"/>
  <c r="E28" i="1"/>
  <c r="E39" i="2"/>
  <c r="E47" i="2"/>
  <c r="S28" i="1"/>
  <c r="C13" i="1"/>
  <c r="C14" i="1" s="1"/>
  <c r="C40" i="2"/>
  <c r="C39" i="2" s="1"/>
  <c r="E55" i="2"/>
  <c r="N23" i="1"/>
  <c r="J23" i="1"/>
  <c r="D34" i="2"/>
  <c r="E56" i="2"/>
  <c r="G35" i="2"/>
  <c r="N40" i="1"/>
  <c r="F55" i="2"/>
  <c r="F47" i="2"/>
  <c r="G55" i="2"/>
  <c r="H23" i="1"/>
  <c r="C19" i="2"/>
  <c r="C20" i="2" s="1"/>
  <c r="G9" i="1"/>
  <c r="L23" i="1"/>
  <c r="V16" i="1" l="1"/>
  <c r="W29" i="1"/>
  <c r="S29" i="1"/>
  <c r="M33" i="2"/>
  <c r="N14" i="2"/>
  <c r="O14" i="2" s="1"/>
  <c r="P14" i="2" s="1"/>
  <c r="Q14" i="2" s="1"/>
  <c r="R14" i="2" s="1"/>
  <c r="S14" i="2" s="1"/>
  <c r="T14" i="2" s="1"/>
  <c r="U14" i="2" s="1"/>
  <c r="V14" i="2" s="1"/>
  <c r="W14" i="2" s="1"/>
  <c r="K14" i="1"/>
  <c r="Q16" i="1"/>
  <c r="L16" i="1"/>
  <c r="O16" i="1"/>
  <c r="O30" i="1" s="1"/>
  <c r="M28" i="1"/>
  <c r="G37" i="2"/>
  <c r="P28" i="1"/>
  <c r="R28" i="1"/>
  <c r="F37" i="2"/>
  <c r="F33" i="2"/>
  <c r="T19" i="1"/>
  <c r="T30" i="1"/>
  <c r="F29" i="1"/>
  <c r="F16" i="1"/>
  <c r="F16" i="2"/>
  <c r="F29" i="2" s="1"/>
  <c r="U30" i="1"/>
  <c r="U19" i="1"/>
  <c r="I14" i="1"/>
  <c r="I28" i="1"/>
  <c r="W19" i="1"/>
  <c r="W30" i="1"/>
  <c r="V30" i="1"/>
  <c r="V19" i="1"/>
  <c r="D29" i="1"/>
  <c r="D16" i="1"/>
  <c r="C21" i="2"/>
  <c r="C30" i="2" s="1"/>
  <c r="E16" i="2"/>
  <c r="E29" i="2" s="1"/>
  <c r="E37" i="2"/>
  <c r="E33" i="2"/>
  <c r="D37" i="2"/>
  <c r="D33" i="2"/>
  <c r="D36" i="2"/>
  <c r="H33" i="2"/>
  <c r="N29" i="1"/>
  <c r="N16" i="1"/>
  <c r="H36" i="2"/>
  <c r="I55" i="2"/>
  <c r="C16" i="1"/>
  <c r="C29" i="1"/>
  <c r="R16" i="1"/>
  <c r="R29" i="1"/>
  <c r="L30" i="1"/>
  <c r="L19" i="1"/>
  <c r="P16" i="1"/>
  <c r="P29" i="1"/>
  <c r="H37" i="2"/>
  <c r="J29" i="1"/>
  <c r="J16" i="1"/>
  <c r="M29" i="1"/>
  <c r="M16" i="1"/>
  <c r="D21" i="2"/>
  <c r="D29" i="2"/>
  <c r="I35" i="2"/>
  <c r="E16" i="1"/>
  <c r="E29" i="1"/>
  <c r="Q19" i="1"/>
  <c r="Q30" i="1"/>
  <c r="K29" i="1"/>
  <c r="K16" i="1"/>
  <c r="G28" i="1"/>
  <c r="G14" i="1"/>
  <c r="H56" i="2"/>
  <c r="I34" i="2"/>
  <c r="I20" i="2"/>
  <c r="H16" i="1"/>
  <c r="H29" i="1"/>
  <c r="S19" i="1"/>
  <c r="S30" i="1"/>
  <c r="V20" i="1" l="1"/>
  <c r="Y43" i="1"/>
  <c r="O19" i="1"/>
  <c r="S33" i="2"/>
  <c r="W20" i="1"/>
  <c r="Z43" i="1"/>
  <c r="Z44" i="1" s="1"/>
  <c r="F21" i="2"/>
  <c r="F30" i="2" s="1"/>
  <c r="D30" i="1"/>
  <c r="D19" i="1"/>
  <c r="D20" i="1" s="1"/>
  <c r="I29" i="1"/>
  <c r="I16" i="1"/>
  <c r="F30" i="1"/>
  <c r="F19" i="1"/>
  <c r="F20" i="1" s="1"/>
  <c r="S20" i="1"/>
  <c r="V43" i="1"/>
  <c r="X43" i="1"/>
  <c r="U20" i="1"/>
  <c r="Q20" i="1"/>
  <c r="T20" i="1"/>
  <c r="W43" i="1"/>
  <c r="E21" i="2"/>
  <c r="E30" i="2" s="1"/>
  <c r="I37" i="2"/>
  <c r="G16" i="1"/>
  <c r="G29" i="1"/>
  <c r="I56" i="2"/>
  <c r="I36" i="2"/>
  <c r="L20" i="1"/>
  <c r="R30" i="1"/>
  <c r="R19" i="1"/>
  <c r="T43" i="1" s="1"/>
  <c r="F23" i="2"/>
  <c r="M30" i="1"/>
  <c r="M19" i="1"/>
  <c r="J19" i="1"/>
  <c r="J20" i="1" s="1"/>
  <c r="J30" i="1"/>
  <c r="K19" i="1"/>
  <c r="K30" i="1"/>
  <c r="N19" i="1"/>
  <c r="N30" i="1"/>
  <c r="E30" i="1"/>
  <c r="E19" i="1"/>
  <c r="E20" i="1" s="1"/>
  <c r="C19" i="1"/>
  <c r="C20" i="1" s="1"/>
  <c r="C30" i="1"/>
  <c r="C23" i="2"/>
  <c r="J35" i="2"/>
  <c r="P19" i="1"/>
  <c r="P30" i="1"/>
  <c r="O20" i="1"/>
  <c r="H30" i="1"/>
  <c r="H19" i="1"/>
  <c r="H20" i="1" s="1"/>
  <c r="J55" i="2"/>
  <c r="J34" i="2"/>
  <c r="J20" i="2"/>
  <c r="J37" i="2" s="1"/>
  <c r="D23" i="2"/>
  <c r="D30" i="2"/>
  <c r="T33" i="2" l="1"/>
  <c r="Z47" i="1"/>
  <c r="Z45" i="1"/>
  <c r="Z46" i="1"/>
  <c r="R20" i="1"/>
  <c r="U43" i="1"/>
  <c r="V47" i="1"/>
  <c r="V44" i="1"/>
  <c r="V45" i="1"/>
  <c r="V46" i="1"/>
  <c r="E23" i="2"/>
  <c r="I30" i="1"/>
  <c r="I19" i="1"/>
  <c r="I20" i="1" s="1"/>
  <c r="W47" i="1"/>
  <c r="W44" i="1"/>
  <c r="W45" i="1"/>
  <c r="W46" i="1"/>
  <c r="T47" i="1"/>
  <c r="T46" i="1"/>
  <c r="T45" i="1"/>
  <c r="T44" i="1"/>
  <c r="X47" i="1"/>
  <c r="X45" i="1"/>
  <c r="X44" i="1"/>
  <c r="X46" i="1"/>
  <c r="F31" i="2"/>
  <c r="F25" i="2"/>
  <c r="E25" i="2"/>
  <c r="E31" i="2"/>
  <c r="K34" i="2"/>
  <c r="M20" i="1"/>
  <c r="P43" i="1"/>
  <c r="C25" i="2"/>
  <c r="C26" i="2" s="1"/>
  <c r="C31" i="2"/>
  <c r="J33" i="2"/>
  <c r="K35" i="2"/>
  <c r="D31" i="2"/>
  <c r="D25" i="2"/>
  <c r="D26" i="2" s="1"/>
  <c r="O43" i="1"/>
  <c r="K55" i="2"/>
  <c r="Q43" i="1"/>
  <c r="Q46" i="1" s="1"/>
  <c r="N20" i="1"/>
  <c r="I33" i="2"/>
  <c r="N43" i="1"/>
  <c r="K20" i="1"/>
  <c r="S43" i="1"/>
  <c r="P20" i="1"/>
  <c r="K20" i="2"/>
  <c r="K37" i="2" s="1"/>
  <c r="J36" i="2"/>
  <c r="J56" i="2"/>
  <c r="R43" i="1"/>
  <c r="G30" i="1"/>
  <c r="G19" i="1"/>
  <c r="G20" i="1" s="1"/>
  <c r="U33" i="2" l="1"/>
  <c r="U47" i="1"/>
  <c r="U44" i="1"/>
  <c r="U46" i="1"/>
  <c r="U45" i="1"/>
  <c r="K56" i="2"/>
  <c r="L56" i="2"/>
  <c r="K33" i="2"/>
  <c r="H29" i="2"/>
  <c r="I16" i="2" s="1"/>
  <c r="L34" i="2"/>
  <c r="S47" i="1"/>
  <c r="S46" i="1"/>
  <c r="S45" i="1"/>
  <c r="S44" i="1"/>
  <c r="N47" i="1"/>
  <c r="N46" i="1"/>
  <c r="N45" i="1"/>
  <c r="N44" i="1"/>
  <c r="P46" i="1"/>
  <c r="P45" i="1"/>
  <c r="P47" i="1"/>
  <c r="P44" i="1"/>
  <c r="R47" i="1"/>
  <c r="R46" i="1"/>
  <c r="R45" i="1"/>
  <c r="R44" i="1"/>
  <c r="K36" i="2"/>
  <c r="L35" i="2"/>
  <c r="F53" i="2"/>
  <c r="F52" i="2"/>
  <c r="F26" i="2"/>
  <c r="F51" i="2"/>
  <c r="F50" i="2"/>
  <c r="G30" i="2"/>
  <c r="Q44" i="1"/>
  <c r="Q47" i="1"/>
  <c r="Q45" i="1"/>
  <c r="O47" i="1"/>
  <c r="O46" i="1"/>
  <c r="O45" i="1"/>
  <c r="O44" i="1"/>
  <c r="E52" i="2"/>
  <c r="E51" i="2"/>
  <c r="E53" i="2"/>
  <c r="E50" i="2"/>
  <c r="E26" i="2"/>
  <c r="V33" i="2" l="1"/>
  <c r="L36" i="2"/>
  <c r="L20" i="2"/>
  <c r="I29" i="2"/>
  <c r="J16" i="2" s="1"/>
  <c r="I21" i="2"/>
  <c r="I15" i="2"/>
  <c r="H30" i="2"/>
  <c r="L37" i="2" l="1"/>
  <c r="M37" i="2"/>
  <c r="W33" i="2"/>
  <c r="L33" i="2"/>
  <c r="I30" i="2"/>
  <c r="N35" i="2"/>
  <c r="J21" i="2"/>
  <c r="J29" i="2"/>
  <c r="K16" i="2" s="1"/>
  <c r="J15" i="2"/>
  <c r="N20" i="2"/>
  <c r="N37" i="2" s="1"/>
  <c r="N34" i="2"/>
  <c r="G25" i="2"/>
  <c r="G26" i="2" l="1"/>
  <c r="G53" i="2"/>
  <c r="G52" i="2"/>
  <c r="G51" i="2"/>
  <c r="G50" i="2"/>
  <c r="O35" i="2"/>
  <c r="O34" i="2"/>
  <c r="J30" i="2"/>
  <c r="N33" i="2"/>
  <c r="K21" i="2"/>
  <c r="K29" i="2"/>
  <c r="L16" i="2" s="1"/>
  <c r="K15" i="2"/>
  <c r="N36" i="2"/>
  <c r="O36" i="2" l="1"/>
  <c r="P20" i="2"/>
  <c r="L21" i="2"/>
  <c r="L29" i="2"/>
  <c r="M16" i="2" s="1"/>
  <c r="L15" i="2"/>
  <c r="O20" i="2"/>
  <c r="O37" i="2" s="1"/>
  <c r="O33" i="2"/>
  <c r="P34" i="2"/>
  <c r="K30" i="2"/>
  <c r="P35" i="2"/>
  <c r="M15" i="2" l="1"/>
  <c r="M21" i="2"/>
  <c r="M29" i="2"/>
  <c r="N16" i="2" s="1"/>
  <c r="P37" i="2"/>
  <c r="H31" i="2"/>
  <c r="Q35" i="2"/>
  <c r="P36" i="2"/>
  <c r="S17" i="2"/>
  <c r="Q34" i="2"/>
  <c r="P33" i="2"/>
  <c r="L30" i="2"/>
  <c r="M30" i="2" l="1"/>
  <c r="S34" i="2"/>
  <c r="T17" i="2"/>
  <c r="R35" i="2"/>
  <c r="H25" i="2"/>
  <c r="Q36" i="2"/>
  <c r="Q33" i="2"/>
  <c r="Q20" i="2"/>
  <c r="Q37" i="2" s="1"/>
  <c r="R34" i="2"/>
  <c r="N21" i="2"/>
  <c r="N29" i="2"/>
  <c r="O16" i="2" s="1"/>
  <c r="N15" i="2"/>
  <c r="H51" i="2" l="1"/>
  <c r="H26" i="2"/>
  <c r="H52" i="2"/>
  <c r="H50" i="2"/>
  <c r="H53" i="2"/>
  <c r="R36" i="2"/>
  <c r="S19" i="2"/>
  <c r="U17" i="2"/>
  <c r="T34" i="2"/>
  <c r="S35" i="2"/>
  <c r="S20" i="2"/>
  <c r="I22" i="2"/>
  <c r="I23" i="2" s="1"/>
  <c r="R20" i="2"/>
  <c r="R37" i="2" s="1"/>
  <c r="O21" i="2"/>
  <c r="O29" i="2"/>
  <c r="P16" i="2" s="1"/>
  <c r="O15" i="2"/>
  <c r="R33" i="2"/>
  <c r="N30" i="2"/>
  <c r="U34" i="2" l="1"/>
  <c r="V17" i="2"/>
  <c r="S36" i="2"/>
  <c r="T19" i="2"/>
  <c r="T20" i="2" s="1"/>
  <c r="T37" i="2" s="1"/>
  <c r="S37" i="2"/>
  <c r="T35" i="2"/>
  <c r="P21" i="2"/>
  <c r="P29" i="2"/>
  <c r="Q16" i="2" s="1"/>
  <c r="P15" i="2"/>
  <c r="I24" i="2"/>
  <c r="I31" i="2" s="1"/>
  <c r="O30" i="2"/>
  <c r="V34" i="2" l="1"/>
  <c r="W17" i="2"/>
  <c r="T36" i="2"/>
  <c r="U19" i="2"/>
  <c r="U20" i="2" s="1"/>
  <c r="U37" i="2" s="1"/>
  <c r="U35" i="2"/>
  <c r="I25" i="2"/>
  <c r="I26" i="2" s="1"/>
  <c r="Q21" i="2"/>
  <c r="Q29" i="2"/>
  <c r="R16" i="2" s="1"/>
  <c r="Q15" i="2"/>
  <c r="P30" i="2"/>
  <c r="W34" i="2" l="1"/>
  <c r="V19" i="2"/>
  <c r="U36" i="2"/>
  <c r="V35" i="2"/>
  <c r="I39" i="2"/>
  <c r="J22" i="2" s="1"/>
  <c r="J23" i="2" s="1"/>
  <c r="R29" i="2"/>
  <c r="S16" i="2" s="1"/>
  <c r="R21" i="2"/>
  <c r="R15" i="2"/>
  <c r="Q30" i="2"/>
  <c r="V36" i="2" l="1"/>
  <c r="W19" i="2"/>
  <c r="V20" i="2"/>
  <c r="V37" i="2" s="1"/>
  <c r="S21" i="2"/>
  <c r="S29" i="2"/>
  <c r="T16" i="2" s="1"/>
  <c r="S15" i="2"/>
  <c r="R30" i="2"/>
  <c r="J24" i="2"/>
  <c r="J31" i="2" s="1"/>
  <c r="W36" i="2" l="1"/>
  <c r="W20" i="2"/>
  <c r="W37" i="2"/>
  <c r="T15" i="2"/>
  <c r="T21" i="2"/>
  <c r="T29" i="2"/>
  <c r="U16" i="2" s="1"/>
  <c r="S30" i="2"/>
  <c r="J25" i="2"/>
  <c r="J26" i="2" s="1"/>
  <c r="T30" i="2" l="1"/>
  <c r="U29" i="2"/>
  <c r="V16" i="2" s="1"/>
  <c r="U21" i="2"/>
  <c r="U15" i="2"/>
  <c r="J39" i="2"/>
  <c r="K22" i="2" s="1"/>
  <c r="K23" i="2" s="1"/>
  <c r="U30" i="2" l="1"/>
  <c r="V29" i="2"/>
  <c r="W16" i="2" s="1"/>
  <c r="V21" i="2"/>
  <c r="V15" i="2"/>
  <c r="K24" i="2"/>
  <c r="K31" i="2" s="1"/>
  <c r="W29" i="2" l="1"/>
  <c r="W21" i="2"/>
  <c r="W15" i="2"/>
  <c r="V30" i="2"/>
  <c r="K25" i="2"/>
  <c r="K26" i="2" s="1"/>
  <c r="W30" i="2" l="1"/>
  <c r="K39" i="2"/>
  <c r="L22" i="2" s="1"/>
  <c r="L23" i="2" s="1"/>
  <c r="L24" i="2" l="1"/>
  <c r="L31" i="2" s="1"/>
  <c r="L25" i="2" l="1"/>
  <c r="L26" i="2"/>
  <c r="L39" i="2"/>
  <c r="M22" i="2" l="1"/>
  <c r="M23" i="2" s="1"/>
  <c r="M24" i="2" l="1"/>
  <c r="M31" i="2" s="1"/>
  <c r="M25" i="2" l="1"/>
  <c r="M26" i="2" l="1"/>
  <c r="M39" i="2"/>
  <c r="N22" i="2" l="1"/>
  <c r="N23" i="2" s="1"/>
  <c r="N24" i="2" l="1"/>
  <c r="N31" i="2" s="1"/>
  <c r="N25" i="2"/>
  <c r="N26" i="2" l="1"/>
  <c r="N39" i="2"/>
  <c r="O22" i="2" l="1"/>
  <c r="O23" i="2" s="1"/>
  <c r="O24" i="2" l="1"/>
  <c r="O31" i="2" s="1"/>
  <c r="O25" i="2"/>
  <c r="O26" i="2" l="1"/>
  <c r="O39" i="2"/>
  <c r="P22" i="2" l="1"/>
  <c r="P23" i="2" s="1"/>
  <c r="P24" i="2" l="1"/>
  <c r="P31" i="2" s="1"/>
  <c r="P25" i="2" l="1"/>
  <c r="P26" i="2"/>
  <c r="P39" i="2"/>
  <c r="Q22" i="2" l="1"/>
  <c r="Q23" i="2" s="1"/>
  <c r="Q24" i="2" l="1"/>
  <c r="Q31" i="2" s="1"/>
  <c r="Q25" i="2"/>
  <c r="Q26" i="2" l="1"/>
  <c r="Q39" i="2"/>
  <c r="R22" i="2" l="1"/>
  <c r="R23" i="2" s="1"/>
  <c r="R24" i="2" l="1"/>
  <c r="R31" i="2" s="1"/>
  <c r="R25" i="2"/>
  <c r="R26" i="2" l="1"/>
  <c r="R39" i="2"/>
  <c r="S22" i="2" l="1"/>
  <c r="S23" i="2" s="1"/>
  <c r="S24" i="2" l="1"/>
  <c r="S31" i="2" s="1"/>
  <c r="S25" i="2"/>
  <c r="S26" i="2" l="1"/>
  <c r="S39" i="2"/>
  <c r="T22" i="2" l="1"/>
  <c r="T23" i="2" s="1"/>
  <c r="T24" i="2" l="1"/>
  <c r="T31" i="2" s="1"/>
  <c r="T25" i="2"/>
  <c r="T26" i="2" l="1"/>
  <c r="T39" i="2"/>
  <c r="U22" i="2" l="1"/>
  <c r="U23" i="2" s="1"/>
  <c r="U24" i="2" l="1"/>
  <c r="U31" i="2" s="1"/>
  <c r="U25" i="2" l="1"/>
  <c r="U26" i="2"/>
  <c r="U39" i="2"/>
  <c r="V22" i="2" l="1"/>
  <c r="V23" i="2" s="1"/>
  <c r="V24" i="2" l="1"/>
  <c r="V31" i="2" s="1"/>
  <c r="V25" i="2"/>
  <c r="V26" i="2" l="1"/>
  <c r="V39" i="2"/>
  <c r="W22" i="2" l="1"/>
  <c r="W23" i="2" s="1"/>
  <c r="W24" i="2" l="1"/>
  <c r="W31" i="2" s="1"/>
  <c r="W25" i="2"/>
  <c r="W26" i="2" l="1"/>
  <c r="X25" i="2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X25" i="2" s="1"/>
  <c r="CY25" i="2" s="1"/>
  <c r="CZ25" i="2" s="1"/>
  <c r="DA25" i="2" s="1"/>
  <c r="DB25" i="2" s="1"/>
  <c r="DC25" i="2" s="1"/>
  <c r="DD25" i="2" s="1"/>
  <c r="DE25" i="2" s="1"/>
  <c r="DF25" i="2" s="1"/>
  <c r="DG25" i="2" s="1"/>
  <c r="DH25" i="2" s="1"/>
  <c r="DI25" i="2" s="1"/>
  <c r="DJ25" i="2" s="1"/>
  <c r="DK25" i="2" s="1"/>
  <c r="DL25" i="2" s="1"/>
  <c r="DM25" i="2" s="1"/>
  <c r="DN25" i="2" s="1"/>
  <c r="DO25" i="2" s="1"/>
  <c r="DP25" i="2" s="1"/>
  <c r="DQ25" i="2" s="1"/>
  <c r="DR25" i="2" s="1"/>
  <c r="DS25" i="2" s="1"/>
  <c r="G6" i="2" s="1"/>
  <c r="G7" i="2" s="1"/>
  <c r="G8" i="2" s="1"/>
  <c r="H8" i="2" s="1"/>
  <c r="W39" i="2"/>
</calcChain>
</file>

<file path=xl/sharedStrings.xml><?xml version="1.0" encoding="utf-8"?>
<sst xmlns="http://schemas.openxmlformats.org/spreadsheetml/2006/main" count="197" uniqueCount="154">
  <si>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</si>
  <si>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</si>
  <si>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</si>
  <si>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</si>
  <si>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</si>
  <si>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</si>
  <si>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</si>
  <si>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</si>
  <si>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</si>
  <si>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</si>
  <si>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</si>
  <si>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</si>
  <si>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</si>
  <si>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</si>
  <si>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</si>
  <si>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</si>
  <si>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</si>
  <si>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</si>
  <si>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</si>
  <si>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</si>
  <si>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</si>
  <si>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</si>
  <si>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</si>
  <si>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</si>
  <si>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</si>
  <si>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</si>
  <si>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</si>
  <si>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</si>
  <si>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</si>
  <si>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</si>
  <si>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</si>
  <si>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</si>
  <si>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</si>
  <si>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</si>
  <si>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</si>
  <si>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</si>
  <si>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</si>
  <si>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</si>
  <si>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Subscription and support</t>
  </si>
  <si>
    <t>Services and other</t>
  </si>
  <si>
    <t>31/10/2017</t>
  </si>
  <si>
    <t>31/10/2016</t>
  </si>
  <si>
    <t>31/1/2017</t>
  </si>
  <si>
    <t>31/7/2017</t>
  </si>
  <si>
    <t>31/7/2016</t>
  </si>
  <si>
    <t>Sales cloud</t>
  </si>
  <si>
    <t>Service cloud</t>
  </si>
  <si>
    <t>Salesforce platform</t>
  </si>
  <si>
    <t>Marketing and commerce</t>
  </si>
  <si>
    <t>30/4/2016</t>
  </si>
  <si>
    <t>30/4/2017</t>
  </si>
  <si>
    <t>31/1/2016</t>
  </si>
  <si>
    <t>31/10/2015</t>
  </si>
  <si>
    <t>31/7/2015</t>
  </si>
  <si>
    <t>30/4/2015</t>
  </si>
  <si>
    <t>R&amp;D y/y</t>
  </si>
  <si>
    <t>S&amp;M y/y</t>
  </si>
  <si>
    <t>G&amp;A y/y</t>
  </si>
  <si>
    <t>Salesforce.com Inc (CRM)</t>
  </si>
  <si>
    <t>EDGAR</t>
  </si>
  <si>
    <t>CEO</t>
  </si>
  <si>
    <t>Founder</t>
  </si>
  <si>
    <t>Marc Benioff</t>
  </si>
  <si>
    <t>Price</t>
  </si>
  <si>
    <t>Market Cap</t>
  </si>
  <si>
    <t>EV</t>
  </si>
  <si>
    <t>per share</t>
  </si>
  <si>
    <t>Intangibles</t>
  </si>
  <si>
    <t>Total assets</t>
  </si>
  <si>
    <t>Total liabilities</t>
  </si>
  <si>
    <t>TWC</t>
  </si>
  <si>
    <t>Equity</t>
  </si>
  <si>
    <t>ROE</t>
  </si>
  <si>
    <t>ROA</t>
  </si>
  <si>
    <t>ROTB</t>
  </si>
  <si>
    <t>ROTWC</t>
  </si>
  <si>
    <t>30/4/2018</t>
  </si>
  <si>
    <t>31/7/2018</t>
  </si>
  <si>
    <t>31/10/2018</t>
  </si>
  <si>
    <t>Core business</t>
  </si>
  <si>
    <t>31/1/2018</t>
  </si>
  <si>
    <t>Q419</t>
  </si>
  <si>
    <t>Q319</t>
  </si>
  <si>
    <t>Q219</t>
  </si>
  <si>
    <t>Q119</t>
  </si>
  <si>
    <t>Subscription and support y/y</t>
  </si>
  <si>
    <t>Services and other y/y</t>
  </si>
  <si>
    <t>Parker Harris</t>
  </si>
  <si>
    <t>Heroku</t>
  </si>
  <si>
    <t>Analytics</t>
  </si>
  <si>
    <t>Trailhead</t>
  </si>
  <si>
    <t>Quip</t>
  </si>
  <si>
    <t>MuleSoft</t>
  </si>
  <si>
    <t>Datorama</t>
  </si>
  <si>
    <t>https://datorama.com/</t>
  </si>
  <si>
    <t>AI marketing services</t>
  </si>
  <si>
    <t>Integration services</t>
  </si>
  <si>
    <t>https://www.mulesoft.com/</t>
  </si>
  <si>
    <t>Collaborative productivity software</t>
  </si>
  <si>
    <t>https://www.salesforce.com/eu/products/einstein/overview/</t>
  </si>
  <si>
    <t>https://trailhead.salesforce.com/</t>
  </si>
  <si>
    <t>https://www.salesforce.com/products/salesforce-iot/overview/</t>
  </si>
  <si>
    <t>Business analytics</t>
  </si>
  <si>
    <t>https://www.heroku.com/platform</t>
  </si>
  <si>
    <t>AppExchange</t>
  </si>
  <si>
    <t>Enterprise cloud marketplace</t>
  </si>
  <si>
    <t>Salesforce Lightning</t>
  </si>
  <si>
    <t>Component-based app development</t>
  </si>
  <si>
    <t>Platform-as-a-service</t>
  </si>
  <si>
    <t>Einstein AI</t>
  </si>
  <si>
    <t>Gamified learning platform</t>
  </si>
  <si>
    <t>Embedded AI</t>
  </si>
  <si>
    <t>IoT</t>
  </si>
  <si>
    <t>Business analytics platform</t>
  </si>
  <si>
    <t>31/1/2019</t>
  </si>
  <si>
    <t>Q120</t>
  </si>
  <si>
    <t>Q220</t>
  </si>
  <si>
    <t>Q320</t>
  </si>
  <si>
    <t>Q420</t>
  </si>
  <si>
    <t>30/4/2019</t>
  </si>
  <si>
    <t>31/7/2019</t>
  </si>
  <si>
    <t>31/10/2019</t>
  </si>
  <si>
    <t>31/1/2020</t>
  </si>
  <si>
    <t>PRODUCTS</t>
  </si>
  <si>
    <t>Tableau</t>
  </si>
  <si>
    <t>ClickSoftware</t>
  </si>
  <si>
    <t>Salesforce.org</t>
  </si>
  <si>
    <t>MapAnything</t>
  </si>
  <si>
    <t>Data analytics software</t>
  </si>
  <si>
    <t>Automated mobile workforce management</t>
  </si>
  <si>
    <t>Social impact center</t>
  </si>
  <si>
    <t>Location intelligence platform</t>
  </si>
  <si>
    <t>https://mapanything.com/</t>
  </si>
  <si>
    <t>https://www.salesforce.org/</t>
  </si>
  <si>
    <t>https://www.tableau.com/</t>
  </si>
  <si>
    <t>Q121</t>
  </si>
  <si>
    <t>Q221</t>
  </si>
  <si>
    <t>Q321</t>
  </si>
  <si>
    <t>Q421</t>
  </si>
  <si>
    <t>Operating Expenses y/y</t>
  </si>
  <si>
    <t>Tax anomaly</t>
  </si>
  <si>
    <t>Sales cloud y/y</t>
  </si>
  <si>
    <t>Service cloud y/y</t>
  </si>
  <si>
    <t>Salesforce platform y/y</t>
  </si>
  <si>
    <t>Marketing and commerce y/y</t>
  </si>
  <si>
    <t>Q122</t>
  </si>
  <si>
    <t>Q222</t>
  </si>
  <si>
    <t>Q322</t>
  </si>
  <si>
    <t>Q422</t>
  </si>
  <si>
    <t>Aquired</t>
  </si>
  <si>
    <t>Net Income TTM</t>
  </si>
  <si>
    <t>Revenue TTM</t>
  </si>
  <si>
    <t>Revenue TTM y/y</t>
  </si>
  <si>
    <t>INVESTOR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</si>
</sst>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4">
    <xf numFmtId="0" fontId="0" fillId="0" borderId="0" xfId="0"/>
    <xf numFmtId="0" fontId="5" fillId="0" borderId="0" xfId="0" applyFont="1"/>
    <xf numFmtId="0" fontId="6" fillId="0" borderId="0" xfId="0" applyFont="1"/>
    <xf numFmtId="0" fontId="5" fillId="0" borderId="0" xfId="0" applyFont="1" applyBorder="1"/>
    <xf numFmtId="10" fontId="5" fillId="0" borderId="0" xfId="0" applyNumberFormat="1" applyFont="1"/>
    <xf numFmtId="0" fontId="7" fillId="0" borderId="0" xfId="4" applyFont="1"/>
    <xf numFmtId="164" fontId="5" fillId="2" borderId="0" xfId="0" applyNumberFormat="1" applyFont="1" applyFill="1"/>
    <xf numFmtId="3" fontId="5" fillId="0" borderId="0" xfId="0" applyNumberFormat="1" applyFont="1"/>
    <xf numFmtId="0" fontId="6" fillId="0" borderId="0" xfId="0" applyFont="1" applyBorder="1"/>
    <xf numFmtId="3" fontId="5" fillId="0" borderId="0" xfId="0" applyNumberFormat="1" applyFont="1" applyBorder="1"/>
    <xf numFmtId="3" fontId="6" fillId="0" borderId="0" xfId="0" applyNumberFormat="1" applyFont="1" applyBorder="1"/>
    <xf numFmtId="3" fontId="5" fillId="2" borderId="0" xfId="0" applyNumberFormat="1" applyFont="1" applyFill="1" applyBorder="1"/>
    <xf numFmtId="2" fontId="5" fillId="0" borderId="0" xfId="0" applyNumberFormat="1" applyFont="1" applyBorder="1"/>
    <xf numFmtId="9" fontId="6" fillId="0" borderId="0" xfId="1" applyFont="1" applyBorder="1"/>
    <xf numFmtId="9" fontId="5" fillId="0" borderId="0" xfId="1" applyFont="1" applyBorder="1"/>
    <xf numFmtId="9" fontId="5" fillId="0" borderId="0" xfId="0" applyNumberFormat="1" applyFont="1" applyBorder="1"/>
    <xf numFmtId="0" fontId="8" fillId="0" borderId="0" xfId="0" applyFont="1"/>
    <xf numFmtId="4" fontId="5" fillId="0" borderId="0" xfId="0" applyNumberFormat="1" applyFont="1" applyBorder="1"/>
    <xf numFmtId="164" fontId="6" fillId="2" borderId="0" xfId="0" applyNumberFormat="1" applyFont="1" applyFill="1"/>
    <xf numFmtId="0" fontId="8" fillId="0" borderId="0" xfId="0" applyFont="1" applyBorder="1"/>
    <xf numFmtId="2" fontId="5" fillId="2" borderId="0" xfId="0" applyNumberFormat="1" applyFont="1" applyFill="1"/>
    <xf numFmtId="3" fontId="6" fillId="2" borderId="0" xfId="0" applyNumberFormat="1" applyFont="1" applyFill="1" applyBorder="1"/>
    <xf numFmtId="2" fontId="5" fillId="2" borderId="0" xfId="0" applyNumberFormat="1" applyFont="1" applyFill="1" applyBorder="1"/>
    <xf numFmtId="0" fontId="5" fillId="0" borderId="0" xfId="0" applyFont="1" applyAlignment="1">
      <alignment horizontal="right"/>
    </xf>
    <xf numFmtId="3" fontId="5" fillId="0" borderId="0" xfId="0" applyNumberFormat="1" applyFont="1" applyAlignment="1">
      <alignment horizontal="right"/>
    </xf>
    <xf numFmtId="9" fontId="5" fillId="0" borderId="0" xfId="0" applyNumberFormat="1" applyFont="1"/>
    <xf numFmtId="3" fontId="5" fillId="2" borderId="0" xfId="0" applyNumberFormat="1" applyFont="1" applyFill="1"/>
    <xf numFmtId="3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3" fontId="6" fillId="0" borderId="0" xfId="0" applyNumberFormat="1" applyFont="1" applyFill="1" applyBorder="1"/>
    <xf numFmtId="4" fontId="5" fillId="2" borderId="0" xfId="0" applyNumberFormat="1" applyFont="1" applyFill="1" applyBorder="1"/>
    <xf numFmtId="0" fontId="5" fillId="0" borderId="0" xfId="0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Alignment="1">
      <alignment horizontal="right"/>
    </xf>
    <xf numFmtId="0" fontId="6" fillId="0" borderId="1" xfId="0" applyFont="1" applyBorder="1" applyAlignment="1">
      <alignment horizontal="right"/>
    </xf>
    <xf numFmtId="0" fontId="6" fillId="0" borderId="0" xfId="0" applyFont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5" fillId="2" borderId="0" xfId="0" applyNumberFormat="1" applyFont="1" applyFill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5" fillId="0" borderId="0" xfId="0" applyNumberFormat="1" applyFont="1" applyBorder="1" applyAlignment="1">
      <alignment horizontal="right"/>
    </xf>
    <xf numFmtId="9" fontId="5" fillId="0" borderId="1" xfId="0" applyNumberFormat="1" applyFont="1" applyBorder="1" applyAlignment="1">
      <alignment horizontal="right"/>
    </xf>
    <xf numFmtId="9" fontId="5" fillId="0" borderId="0" xfId="0" applyNumberFormat="1" applyFont="1" applyAlignment="1">
      <alignment horizontal="right"/>
    </xf>
    <xf numFmtId="9" fontId="5" fillId="0" borderId="0" xfId="1" applyFont="1" applyBorder="1" applyAlignment="1">
      <alignment horizontal="right"/>
    </xf>
    <xf numFmtId="9" fontId="5" fillId="0" borderId="1" xfId="1" applyFont="1" applyBorder="1" applyAlignment="1">
      <alignment horizontal="right"/>
    </xf>
    <xf numFmtId="9" fontId="5" fillId="0" borderId="0" xfId="1" applyFont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9" fontId="8" fillId="0" borderId="0" xfId="0" applyNumberFormat="1" applyFont="1" applyBorder="1"/>
    <xf numFmtId="1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3" fontId="6" fillId="0" borderId="0" xfId="0" applyNumberFormat="1" applyFont="1"/>
    <xf numFmtId="4" fontId="5" fillId="0" borderId="0" xfId="0" applyNumberFormat="1" applyFont="1"/>
    <xf numFmtId="4" fontId="5" fillId="2" borderId="0" xfId="0" applyNumberFormat="1" applyFont="1" applyFill="1" applyBorder="1" applyAlignment="1">
      <alignment horizontal="right"/>
    </xf>
    <xf numFmtId="4" fontId="5" fillId="2" borderId="1" xfId="0" applyNumberFormat="1" applyFont="1" applyFill="1" applyBorder="1" applyAlignment="1">
      <alignment horizontal="right"/>
    </xf>
    <xf numFmtId="4" fontId="5" fillId="2" borderId="0" xfId="0" applyNumberFormat="1" applyFont="1" applyFill="1" applyAlignment="1">
      <alignment horizontal="right"/>
    </xf>
    <xf numFmtId="0" fontId="9" fillId="0" borderId="0" xfId="0" applyFont="1"/>
    <xf numFmtId="0" fontId="7" fillId="0" borderId="0" xfId="4"/>
    <xf numFmtId="3" fontId="8" fillId="0" borderId="0" xfId="0" applyNumberFormat="1" applyFont="1" applyAlignment="1">
      <alignment horizontal="right"/>
    </xf>
    <xf numFmtId="3" fontId="8" fillId="0" borderId="0" xfId="0" applyNumberFormat="1" applyFont="1"/>
    <xf numFmtId="14" fontId="5" fillId="0" borderId="1" xfId="0" applyNumberFormat="1" applyFont="1" applyBorder="1" applyAlignment="1">
      <alignment horizontal="right"/>
    </xf>
    <xf numFmtId="14" fontId="5" fillId="0" borderId="0" xfId="0" applyNumberFormat="1" applyFont="1" applyAlignment="1">
      <alignment horizontal="right"/>
    </xf>
    <xf numFmtId="3" fontId="8" fillId="0" borderId="1" xfId="0" applyNumberFormat="1" applyFont="1" applyBorder="1" applyAlignment="1">
      <alignment horizontal="right"/>
    </xf>
    <xf numFmtId="3" fontId="8" fillId="0" borderId="0" xfId="0" applyNumberFormat="1" applyFont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0" fontId="7" fillId="0" borderId="0" xfId="4" applyFont="1" applyAlignment="1">
      <alignment horizontal="left"/>
    </xf>
    <xf numFmtId="3" fontId="5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left"/>
    </xf>
    <xf numFmtId="4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3" fontId="6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0" applyNumberFormat="1" applyFont="1"/>
    <xf numFmtId="9" fontId="6" fillId="0" borderId="0" xfId="0" applyNumberFormat="1" applyFont="1" applyAlignment="1">
      <alignment horizontal="left"/>
    </xf>
    <xf numFmtId="9" fontId="6" fillId="0" borderId="0" xfId="0" applyNumberFormat="1" applyFont="1" applyAlignment="1">
      <alignment horizontal="right"/>
    </xf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137746</xdr:colOff>
      <xdr:row>9</xdr:row>
      <xdr:rowOff>0</xdr:rowOff>
    </xdr:from>
    <xdr:to>
      <xdr:col>8</xdr:col>
      <xdr:colOff>137746</xdr:colOff>
      <xdr:row>57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6907823" y="1328615"/>
          <a:ext cx="0" cy="7984393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178343</xdr:colOff>
      <xdr:row>1</xdr:row>
      <xdr:rowOff>139700</xdr:rowOff>
    </xdr:from>
    <xdr:to>
      <xdr:col>26</xdr:col>
      <xdr:colOff>178343</xdr:colOff>
      <xdr:row>65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21895343" y="139700"/>
          <a:ext cx="0" cy="1015706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Marc_Benioff" TargetMode="External"/><Relationship Id="rId2" Type="http://schemas.openxmlformats.org/officeDocument/2006/relationships/hyperlink" Target="https://en.wikipedia.org/wiki/Marc_Benioff" TargetMode="External"/><Relationship Id="rId1" Type="http://schemas.openxmlformats.org/officeDocument/2006/relationships/hyperlink" Target="https://investor.salesforce.com/about-us/investor/overview/default.aspx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ompany=salesforce&amp;owner=exclude&amp;action=getcompany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lesforce.org/" TargetMode="External"/><Relationship Id="rId3" Type="http://schemas.openxmlformats.org/officeDocument/2006/relationships/hyperlink" Target="https://www.salesforce.com/eu/products/einstein/overview/" TargetMode="External"/><Relationship Id="rId7" Type="http://schemas.openxmlformats.org/officeDocument/2006/relationships/hyperlink" Target="https://mapanything.com/" TargetMode="External"/><Relationship Id="rId2" Type="http://schemas.openxmlformats.org/officeDocument/2006/relationships/hyperlink" Target="https://www.mulesoft.com/" TargetMode="External"/><Relationship Id="rId1" Type="http://schemas.openxmlformats.org/officeDocument/2006/relationships/hyperlink" Target="https://datorama.com/" TargetMode="External"/><Relationship Id="rId6" Type="http://schemas.openxmlformats.org/officeDocument/2006/relationships/hyperlink" Target="https://www.heroku.com/platform" TargetMode="External"/><Relationship Id="rId5" Type="http://schemas.openxmlformats.org/officeDocument/2006/relationships/hyperlink" Target="https://www.salesforce.com/products/salesforce-iot/overview/" TargetMode="External"/><Relationship Id="rId4" Type="http://schemas.openxmlformats.org/officeDocument/2006/relationships/hyperlink" Target="https://trailhead.salesforce.com/" TargetMode="External"/><Relationship Id="rId9" Type="http://schemas.openxmlformats.org/officeDocument/2006/relationships/hyperlink" Target="https://www.tablea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S56"/>
  <sheetViews>
    <sheetView zoomScale="130" zoomScaleNormal="130" workbookViewId="0">
      <pane xSplit="2" ySplit="10" topLeftCell="C11" activePane="bottomRight" state="frozen"/>
      <selection pane="topRight" activeCell="B1" sqref="B1"/>
      <selection pane="bottomLeft" activeCell="A11" sqref="A11"/>
      <selection pane="bottomRight" activeCell="L43" sqref="L43"/>
    </sheetView>
  </sheetViews>
  <sheetFormatPr baseColWidth="10" defaultRowHeight="13" x14ac:dyDescent="0.15"/>
  <cols>
    <col min="1" max="1" width="9.83203125" style="1" bestFit="1" customWidth="1"/>
    <col min="2" max="2" width="23.5" style="1" bestFit="1" customWidth="1"/>
    <col min="3" max="16384" width="10.83203125" style="1"/>
  </cols>
  <sheetData>
    <row r="1" spans="1:23" x14ac:dyDescent="0.15">
      <c r="A1" s="5" t="s">
        <v>153</v>
      </c>
    </row>
    <row r="2" spans="1:23" x14ac:dyDescent="0.15">
      <c r="C2" s="2" t="s">
        <v>58</v>
      </c>
      <c r="F2" s="3"/>
      <c r="G2" s="4"/>
    </row>
    <row r="3" spans="1:23" x14ac:dyDescent="0.15">
      <c r="C3" s="1" t="s">
        <v>63</v>
      </c>
      <c r="D3" s="17">
        <v>231.08</v>
      </c>
      <c r="E3" s="55">
        <v>44252</v>
      </c>
      <c r="F3" s="3" t="s">
        <v>29</v>
      </c>
      <c r="G3" s="4">
        <v>-5.0000000000000001E-3</v>
      </c>
      <c r="J3" s="7"/>
    </row>
    <row r="4" spans="1:23" x14ac:dyDescent="0.15">
      <c r="B4" s="2" t="s">
        <v>60</v>
      </c>
      <c r="C4" s="1" t="s">
        <v>17</v>
      </c>
      <c r="D4" s="9">
        <f>Reports!Z21</f>
        <v>939</v>
      </c>
      <c r="E4" s="56" t="s">
        <v>138</v>
      </c>
      <c r="F4" s="3" t="s">
        <v>30</v>
      </c>
      <c r="G4" s="4">
        <v>0.02</v>
      </c>
      <c r="H4" s="16"/>
      <c r="J4" s="7"/>
    </row>
    <row r="5" spans="1:23" x14ac:dyDescent="0.15">
      <c r="B5" s="5" t="s">
        <v>62</v>
      </c>
      <c r="C5" s="1" t="s">
        <v>64</v>
      </c>
      <c r="D5" s="11">
        <f>D3*D4</f>
        <v>216984.12000000002</v>
      </c>
      <c r="E5" s="56"/>
      <c r="F5" s="3" t="s">
        <v>31</v>
      </c>
      <c r="G5" s="4">
        <v>0.06</v>
      </c>
      <c r="H5" s="16"/>
      <c r="J5" s="25"/>
    </row>
    <row r="6" spans="1:23" x14ac:dyDescent="0.15">
      <c r="C6" s="1" t="s">
        <v>26</v>
      </c>
      <c r="D6" s="9">
        <f>Reports!Z32</f>
        <v>13202</v>
      </c>
      <c r="E6" s="56" t="s">
        <v>138</v>
      </c>
      <c r="F6" s="3" t="s">
        <v>32</v>
      </c>
      <c r="G6" s="6">
        <f>NPV(G5,G25:DS25)</f>
        <v>315612.43939359457</v>
      </c>
      <c r="H6" s="16"/>
      <c r="J6" s="25"/>
    </row>
    <row r="7" spans="1:23" x14ac:dyDescent="0.15">
      <c r="B7" s="2" t="s">
        <v>61</v>
      </c>
      <c r="C7" s="1" t="s">
        <v>65</v>
      </c>
      <c r="D7" s="11">
        <f>D5-D6</f>
        <v>203782.12000000002</v>
      </c>
      <c r="E7" s="56"/>
      <c r="F7" s="8" t="s">
        <v>33</v>
      </c>
      <c r="G7" s="18">
        <f>G6+D6</f>
        <v>328814.43939359457</v>
      </c>
      <c r="J7" s="25"/>
    </row>
    <row r="8" spans="1:23" x14ac:dyDescent="0.15">
      <c r="B8" s="5" t="s">
        <v>62</v>
      </c>
      <c r="C8" s="16" t="s">
        <v>66</v>
      </c>
      <c r="D8" s="30">
        <f>D7/D4</f>
        <v>217.02036208732696</v>
      </c>
      <c r="E8" s="56"/>
      <c r="F8" s="19" t="s">
        <v>66</v>
      </c>
      <c r="G8" s="20">
        <f>G7/D4</f>
        <v>350.17512182491436</v>
      </c>
      <c r="H8" s="25">
        <f>G8/D3-1</f>
        <v>0.5153848096975695</v>
      </c>
    </row>
    <row r="9" spans="1:23" x14ac:dyDescent="0.15">
      <c r="B9" s="1" t="s">
        <v>87</v>
      </c>
    </row>
    <row r="10" spans="1:23" x14ac:dyDescent="0.15">
      <c r="C10" s="1">
        <v>2016</v>
      </c>
      <c r="D10" s="1">
        <v>2017</v>
      </c>
      <c r="E10" s="1">
        <f>D10+1</f>
        <v>2018</v>
      </c>
      <c r="F10" s="1">
        <f t="shared" ref="F10" si="0">E10+1</f>
        <v>2019</v>
      </c>
      <c r="G10" s="1">
        <f t="shared" ref="G10" si="1">F10+1</f>
        <v>2020</v>
      </c>
      <c r="H10" s="1">
        <f t="shared" ref="H10" si="2">G10+1</f>
        <v>2021</v>
      </c>
      <c r="I10" s="1">
        <f t="shared" ref="I10" si="3">H10+1</f>
        <v>2022</v>
      </c>
      <c r="J10" s="1">
        <f t="shared" ref="J10" si="4">I10+1</f>
        <v>2023</v>
      </c>
      <c r="K10" s="1">
        <f t="shared" ref="K10" si="5">J10+1</f>
        <v>2024</v>
      </c>
      <c r="L10" s="1">
        <f t="shared" ref="L10:M10" si="6">K10+1</f>
        <v>2025</v>
      </c>
      <c r="M10" s="1">
        <f t="shared" si="6"/>
        <v>2026</v>
      </c>
      <c r="N10" s="1">
        <f t="shared" ref="N10" si="7">M10+1</f>
        <v>2027</v>
      </c>
      <c r="O10" s="1">
        <f t="shared" ref="O10" si="8">N10+1</f>
        <v>2028</v>
      </c>
      <c r="P10" s="1">
        <f t="shared" ref="P10" si="9">O10+1</f>
        <v>2029</v>
      </c>
      <c r="Q10" s="1">
        <f t="shared" ref="Q10" si="10">P10+1</f>
        <v>2030</v>
      </c>
      <c r="R10" s="1">
        <f t="shared" ref="R10:W10" si="11">Q10+1</f>
        <v>2031</v>
      </c>
      <c r="S10" s="1">
        <f t="shared" si="11"/>
        <v>2032</v>
      </c>
      <c r="T10" s="1">
        <f t="shared" si="11"/>
        <v>2033</v>
      </c>
      <c r="U10" s="1">
        <f t="shared" si="11"/>
        <v>2034</v>
      </c>
      <c r="V10" s="1">
        <f t="shared" si="11"/>
        <v>2035</v>
      </c>
      <c r="W10" s="1">
        <f t="shared" si="11"/>
        <v>2036</v>
      </c>
    </row>
    <row r="11" spans="1:23" x14ac:dyDescent="0.15">
      <c r="B11" s="1" t="s">
        <v>38</v>
      </c>
      <c r="C11" s="9">
        <f>SUM(Reports!C4:F4)</f>
        <v>6205.4</v>
      </c>
      <c r="D11" s="9">
        <f>SUM(Reports!G4:J4)</f>
        <v>7755.9</v>
      </c>
      <c r="E11" s="7">
        <f>SUM(Reports!K4:N4)</f>
        <v>9753</v>
      </c>
      <c r="F11" s="7">
        <f>SUM(Reports!O4:R4)</f>
        <v>12413</v>
      </c>
      <c r="G11" s="7">
        <f>SUM(Reports!S4:V4)</f>
        <v>16043</v>
      </c>
      <c r="H11" s="7">
        <f>SUM(Reports!W4:Z4)</f>
        <v>19976</v>
      </c>
      <c r="I11" s="7">
        <f>H11*1.25</f>
        <v>24970</v>
      </c>
      <c r="J11" s="7">
        <f t="shared" ref="J11:M11" si="12">I11*1.25</f>
        <v>31212.5</v>
      </c>
      <c r="K11" s="7">
        <f t="shared" si="12"/>
        <v>39015.625</v>
      </c>
      <c r="L11" s="7">
        <f t="shared" si="12"/>
        <v>48769.53125</v>
      </c>
      <c r="M11" s="7">
        <f t="shared" si="12"/>
        <v>60961.9140625</v>
      </c>
    </row>
    <row r="12" spans="1:23" x14ac:dyDescent="0.15">
      <c r="B12" s="1" t="s">
        <v>39</v>
      </c>
      <c r="C12" s="9">
        <f>SUM(Reports!C5:F5)</f>
        <v>461.4</v>
      </c>
      <c r="D12" s="9">
        <f>SUM(Reports!G5:J5)</f>
        <v>635.6</v>
      </c>
      <c r="E12" s="7">
        <f>SUM(Reports!K5:N5)</f>
        <v>773</v>
      </c>
      <c r="F12" s="7">
        <f>SUM(Reports!O5:R5)</f>
        <v>869</v>
      </c>
      <c r="G12" s="7">
        <f>SUM(Reports!S5:V5)</f>
        <v>1055</v>
      </c>
      <c r="H12" s="7">
        <f>SUM(Reports!W5:Z5)</f>
        <v>1276</v>
      </c>
      <c r="I12" s="7">
        <f>H12*1.15</f>
        <v>1467.3999999999999</v>
      </c>
      <c r="J12" s="7">
        <f t="shared" ref="J12:M12" si="13">I12*1.15</f>
        <v>1687.5099999999998</v>
      </c>
      <c r="K12" s="7">
        <f t="shared" si="13"/>
        <v>1940.6364999999996</v>
      </c>
      <c r="L12" s="7">
        <f t="shared" si="13"/>
        <v>2231.7319749999992</v>
      </c>
      <c r="M12" s="7">
        <f t="shared" si="13"/>
        <v>2566.4917712499991</v>
      </c>
    </row>
    <row r="13" spans="1:23" s="7" customFormat="1" x14ac:dyDescent="0.15">
      <c r="F13" s="24"/>
      <c r="G13" s="24">
        <v>16000</v>
      </c>
      <c r="H13" s="7">
        <v>20700</v>
      </c>
      <c r="I13" s="7">
        <v>25650</v>
      </c>
    </row>
    <row r="14" spans="1:23" x14ac:dyDescent="0.15">
      <c r="B14" s="2" t="s">
        <v>4</v>
      </c>
      <c r="C14" s="21">
        <f t="shared" ref="C14:H14" si="14">SUM(C11:C12)</f>
        <v>6666.7999999999993</v>
      </c>
      <c r="D14" s="21">
        <f t="shared" si="14"/>
        <v>8391.5</v>
      </c>
      <c r="E14" s="21">
        <f t="shared" si="14"/>
        <v>10526</v>
      </c>
      <c r="F14" s="21">
        <f t="shared" si="14"/>
        <v>13282</v>
      </c>
      <c r="G14" s="21">
        <f t="shared" si="14"/>
        <v>17098</v>
      </c>
      <c r="H14" s="21">
        <f t="shared" si="14"/>
        <v>21252</v>
      </c>
      <c r="I14" s="29">
        <f t="shared" ref="I14:L14" si="15">SUM(I11:I12)</f>
        <v>26437.4</v>
      </c>
      <c r="J14" s="29">
        <f t="shared" si="15"/>
        <v>32900.01</v>
      </c>
      <c r="K14" s="29">
        <f t="shared" si="15"/>
        <v>40956.261500000001</v>
      </c>
      <c r="L14" s="29">
        <f t="shared" si="15"/>
        <v>51001.263225000002</v>
      </c>
      <c r="M14" s="29">
        <f t="shared" ref="M14" si="16">SUM(M11:M12)</f>
        <v>63528.405833750003</v>
      </c>
      <c r="N14" s="10">
        <f t="shared" ref="N14:R14" si="17">M14*1.1</f>
        <v>69881.246417125003</v>
      </c>
      <c r="O14" s="10">
        <f t="shared" si="17"/>
        <v>76869.371058837511</v>
      </c>
      <c r="P14" s="10">
        <f t="shared" si="17"/>
        <v>84556.308164721268</v>
      </c>
      <c r="Q14" s="10">
        <f t="shared" si="17"/>
        <v>93011.938981193409</v>
      </c>
      <c r="R14" s="10">
        <f t="shared" si="17"/>
        <v>102313.13287931276</v>
      </c>
      <c r="S14" s="10">
        <f>R14*1.05</f>
        <v>107428.78952327841</v>
      </c>
      <c r="T14" s="10">
        <f t="shared" ref="T14:W14" si="18">S14*1.05</f>
        <v>112800.22899944233</v>
      </c>
      <c r="U14" s="10">
        <f t="shared" si="18"/>
        <v>118440.24044941446</v>
      </c>
      <c r="V14" s="10">
        <f t="shared" si="18"/>
        <v>124362.25247188519</v>
      </c>
      <c r="W14" s="10">
        <f t="shared" si="18"/>
        <v>130580.36509547946</v>
      </c>
    </row>
    <row r="15" spans="1:23" x14ac:dyDescent="0.15">
      <c r="B15" s="1" t="s">
        <v>5</v>
      </c>
      <c r="C15" s="9">
        <f>SUM(Reports!C8:F8)</f>
        <v>1654.3000000000002</v>
      </c>
      <c r="D15" s="9">
        <f>SUM(Reports!G8:J8)</f>
        <v>2233.6999999999998</v>
      </c>
      <c r="E15" s="7">
        <f>SUM(Reports!K8:N8)</f>
        <v>2772.9</v>
      </c>
      <c r="F15" s="7">
        <f>SUM(Reports!O8:R8)</f>
        <v>3451</v>
      </c>
      <c r="G15" s="9">
        <f>SUM(Reports!S8:V8)</f>
        <v>4235</v>
      </c>
      <c r="H15" s="7">
        <f>SUM(Reports!W8:Z8)</f>
        <v>5438</v>
      </c>
      <c r="I15" s="9">
        <f t="shared" ref="I15" si="19">I14-I16</f>
        <v>6764.8494824016598</v>
      </c>
      <c r="J15" s="9">
        <f t="shared" ref="J15:L15" si="20">J14-J16</f>
        <v>8418.5137577639798</v>
      </c>
      <c r="K15" s="9">
        <f t="shared" si="20"/>
        <v>10479.961887681166</v>
      </c>
      <c r="L15" s="9">
        <f t="shared" si="20"/>
        <v>13050.29500364908</v>
      </c>
      <c r="M15" s="9">
        <f t="shared" ref="M15" si="21">M14-M16</f>
        <v>16255.762795216113</v>
      </c>
      <c r="N15" s="9">
        <f t="shared" ref="N15" si="22">N14-N16</f>
        <v>17881.339074737727</v>
      </c>
      <c r="O15" s="9">
        <f t="shared" ref="O15:R15" si="23">O14-O16</f>
        <v>19669.472982211504</v>
      </c>
      <c r="P15" s="9">
        <f t="shared" si="23"/>
        <v>21636.420280432656</v>
      </c>
      <c r="Q15" s="9">
        <f t="shared" si="23"/>
        <v>23800.062308475928</v>
      </c>
      <c r="R15" s="9">
        <f t="shared" si="23"/>
        <v>26180.068539323533</v>
      </c>
      <c r="S15" s="9">
        <f t="shared" ref="S15:V15" si="24">S14-S16</f>
        <v>27489.071966289703</v>
      </c>
      <c r="T15" s="9">
        <f t="shared" si="24"/>
        <v>28863.525564604191</v>
      </c>
      <c r="U15" s="9">
        <f t="shared" si="24"/>
        <v>30306.701842834402</v>
      </c>
      <c r="V15" s="9">
        <f t="shared" si="24"/>
        <v>31822.036934976131</v>
      </c>
      <c r="W15" s="9">
        <f t="shared" ref="W15" si="25">W14-W16</f>
        <v>33413.138781724934</v>
      </c>
    </row>
    <row r="16" spans="1:23" x14ac:dyDescent="0.15">
      <c r="B16" s="1" t="s">
        <v>6</v>
      </c>
      <c r="C16" s="11">
        <f t="shared" ref="C16:H16" si="26">C14-C15</f>
        <v>5012.4999999999991</v>
      </c>
      <c r="D16" s="11">
        <f t="shared" si="26"/>
        <v>6157.8</v>
      </c>
      <c r="E16" s="11">
        <f t="shared" si="26"/>
        <v>7753.1</v>
      </c>
      <c r="F16" s="11">
        <f t="shared" si="26"/>
        <v>9831</v>
      </c>
      <c r="G16" s="11">
        <f t="shared" si="26"/>
        <v>12863</v>
      </c>
      <c r="H16" s="11">
        <f t="shared" si="26"/>
        <v>15814</v>
      </c>
      <c r="I16" s="9">
        <f t="shared" ref="I16:W16" si="27">I14*H29</f>
        <v>19672.550517598342</v>
      </c>
      <c r="J16" s="9">
        <f t="shared" si="27"/>
        <v>24481.496242236022</v>
      </c>
      <c r="K16" s="9">
        <f t="shared" si="27"/>
        <v>30476.299612318835</v>
      </c>
      <c r="L16" s="9">
        <f t="shared" si="27"/>
        <v>37950.968221350922</v>
      </c>
      <c r="M16" s="9">
        <f t="shared" si="27"/>
        <v>47272.64303853389</v>
      </c>
      <c r="N16" s="9">
        <f t="shared" si="27"/>
        <v>51999.907342387276</v>
      </c>
      <c r="O16" s="9">
        <f t="shared" si="27"/>
        <v>57199.898076626007</v>
      </c>
      <c r="P16" s="9">
        <f t="shared" si="27"/>
        <v>62919.887884288612</v>
      </c>
      <c r="Q16" s="9">
        <f t="shared" si="27"/>
        <v>69211.876672717481</v>
      </c>
      <c r="R16" s="9">
        <f t="shared" si="27"/>
        <v>76133.064339989229</v>
      </c>
      <c r="S16" s="9">
        <f t="shared" si="27"/>
        <v>79939.717556988704</v>
      </c>
      <c r="T16" s="9">
        <f t="shared" si="27"/>
        <v>83936.703434838142</v>
      </c>
      <c r="U16" s="9">
        <f t="shared" si="27"/>
        <v>88133.538606580056</v>
      </c>
      <c r="V16" s="9">
        <f t="shared" si="27"/>
        <v>92540.215536909061</v>
      </c>
      <c r="W16" s="9">
        <f t="shared" si="27"/>
        <v>97167.226313754523</v>
      </c>
    </row>
    <row r="17" spans="2:123" x14ac:dyDescent="0.15">
      <c r="B17" s="1" t="s">
        <v>7</v>
      </c>
      <c r="C17" s="9">
        <f>SUM(Reports!C10:F10)</f>
        <v>946.2</v>
      </c>
      <c r="D17" s="9">
        <f>SUM(Reports!G10:J10)</f>
        <v>1207.9000000000001</v>
      </c>
      <c r="E17" s="7">
        <f>SUM(Reports!K10:N10)</f>
        <v>1554</v>
      </c>
      <c r="F17" s="7">
        <f>SUM(Reports!O10:R10)</f>
        <v>1886</v>
      </c>
      <c r="G17" s="9">
        <f>SUM(Reports!S10:V10)</f>
        <v>2766</v>
      </c>
      <c r="H17" s="7">
        <f>SUM(Reports!W10:Z10)</f>
        <v>3598</v>
      </c>
      <c r="I17" s="9">
        <f t="shared" ref="I17:M17" si="28">H17*1.2</f>
        <v>4317.5999999999995</v>
      </c>
      <c r="J17" s="9">
        <f t="shared" si="28"/>
        <v>5181.119999999999</v>
      </c>
      <c r="K17" s="9">
        <f t="shared" si="28"/>
        <v>6217.3439999999982</v>
      </c>
      <c r="L17" s="9">
        <f t="shared" si="28"/>
        <v>7460.8127999999979</v>
      </c>
      <c r="M17" s="9">
        <f t="shared" si="28"/>
        <v>8952.9753599999967</v>
      </c>
      <c r="N17" s="9">
        <f>M17*1.1</f>
        <v>9848.2728959999968</v>
      </c>
      <c r="O17" s="9">
        <f t="shared" ref="O17:R17" si="29">N17*1.1</f>
        <v>10833.100185599997</v>
      </c>
      <c r="P17" s="9">
        <f t="shared" si="29"/>
        <v>11916.410204159998</v>
      </c>
      <c r="Q17" s="9">
        <f t="shared" si="29"/>
        <v>13108.051224575998</v>
      </c>
      <c r="R17" s="9">
        <f t="shared" si="29"/>
        <v>14418.856347033599</v>
      </c>
      <c r="S17" s="9">
        <f t="shared" ref="N17:W19" si="30">R17*1.05</f>
        <v>15139.79916438528</v>
      </c>
      <c r="T17" s="9">
        <f t="shared" si="30"/>
        <v>15896.789122604545</v>
      </c>
      <c r="U17" s="9">
        <f t="shared" si="30"/>
        <v>16691.628578734773</v>
      </c>
      <c r="V17" s="9">
        <f t="shared" si="30"/>
        <v>17526.210007671514</v>
      </c>
      <c r="W17" s="9">
        <f t="shared" si="30"/>
        <v>18402.520508055091</v>
      </c>
    </row>
    <row r="18" spans="2:123" x14ac:dyDescent="0.15">
      <c r="B18" s="1" t="s">
        <v>8</v>
      </c>
      <c r="C18" s="9">
        <f>SUM(Reports!C11:F11)</f>
        <v>3239.6000000000004</v>
      </c>
      <c r="D18" s="9">
        <f>SUM(Reports!G11:J11)</f>
        <v>3917.8</v>
      </c>
      <c r="E18" s="7">
        <f>SUM(Reports!K11:N11)</f>
        <v>4790</v>
      </c>
      <c r="F18" s="7">
        <f>SUM(Reports!O11:R11)</f>
        <v>6064</v>
      </c>
      <c r="G18" s="9">
        <f>SUM(Reports!S11:V11)</f>
        <v>7930</v>
      </c>
      <c r="H18" s="7">
        <f>SUM(Reports!W11:Z11)</f>
        <v>9674</v>
      </c>
      <c r="I18" s="9">
        <f t="shared" ref="I18:M18" si="31">H18*1.2</f>
        <v>11608.8</v>
      </c>
      <c r="J18" s="9">
        <f t="shared" si="31"/>
        <v>13930.56</v>
      </c>
      <c r="K18" s="9">
        <f t="shared" si="31"/>
        <v>16716.671999999999</v>
      </c>
      <c r="L18" s="9">
        <f t="shared" si="31"/>
        <v>20060.006399999998</v>
      </c>
      <c r="M18" s="9">
        <f t="shared" si="31"/>
        <v>24072.007679999999</v>
      </c>
      <c r="N18" s="9">
        <f t="shared" si="30"/>
        <v>25275.608064</v>
      </c>
      <c r="O18" s="9">
        <f t="shared" si="30"/>
        <v>26539.388467200002</v>
      </c>
      <c r="P18" s="9">
        <f t="shared" si="30"/>
        <v>27866.357890560004</v>
      </c>
      <c r="Q18" s="9">
        <f t="shared" si="30"/>
        <v>29259.675785088006</v>
      </c>
      <c r="R18" s="9">
        <f t="shared" si="30"/>
        <v>30722.659574342408</v>
      </c>
      <c r="S18" s="9">
        <f t="shared" si="30"/>
        <v>32258.792553059531</v>
      </c>
      <c r="T18" s="9">
        <f t="shared" si="30"/>
        <v>33871.732180712512</v>
      </c>
      <c r="U18" s="9">
        <f t="shared" si="30"/>
        <v>35565.31878974814</v>
      </c>
      <c r="V18" s="9">
        <f t="shared" si="30"/>
        <v>37343.584729235547</v>
      </c>
      <c r="W18" s="9">
        <f t="shared" si="30"/>
        <v>39210.763965697326</v>
      </c>
    </row>
    <row r="19" spans="2:123" x14ac:dyDescent="0.15">
      <c r="B19" s="1" t="s">
        <v>9</v>
      </c>
      <c r="C19" s="9">
        <f>SUM(Reports!C12:F12)</f>
        <v>711.5</v>
      </c>
      <c r="D19" s="9">
        <f>SUM(Reports!G12:J12)</f>
        <v>967.4</v>
      </c>
      <c r="E19" s="7">
        <f>SUM(Reports!K12:N12)</f>
        <v>1087.8000000000002</v>
      </c>
      <c r="F19" s="7">
        <f>SUM(Reports!O12:R12)</f>
        <v>1346</v>
      </c>
      <c r="G19" s="9">
        <f>SUM(Reports!S12:V12)</f>
        <v>1870</v>
      </c>
      <c r="H19" s="7">
        <f>SUM(Reports!W12:Z12)</f>
        <v>2087</v>
      </c>
      <c r="I19" s="9">
        <f t="shared" ref="I19:M19" si="32">H19*1.15</f>
        <v>2400.0499999999997</v>
      </c>
      <c r="J19" s="9">
        <f t="shared" si="32"/>
        <v>2760.0574999999994</v>
      </c>
      <c r="K19" s="9">
        <f t="shared" si="32"/>
        <v>3174.0661249999989</v>
      </c>
      <c r="L19" s="9">
        <f t="shared" si="32"/>
        <v>3650.1760437499984</v>
      </c>
      <c r="M19" s="9">
        <f t="shared" si="32"/>
        <v>4197.7024503124976</v>
      </c>
      <c r="N19" s="9">
        <f>M19*1.05</f>
        <v>4407.5875728281226</v>
      </c>
      <c r="O19" s="9">
        <f t="shared" si="30"/>
        <v>4627.9669514695288</v>
      </c>
      <c r="P19" s="9">
        <f t="shared" si="30"/>
        <v>4859.3652990430055</v>
      </c>
      <c r="Q19" s="9">
        <f t="shared" si="30"/>
        <v>5102.3335639951556</v>
      </c>
      <c r="R19" s="9">
        <f t="shared" si="30"/>
        <v>5357.4502421949137</v>
      </c>
      <c r="S19" s="9">
        <f t="shared" ref="S19:W19" si="33">R19*0.98</f>
        <v>5250.3012373510155</v>
      </c>
      <c r="T19" s="9">
        <f t="shared" si="33"/>
        <v>5145.2952126039954</v>
      </c>
      <c r="U19" s="9">
        <f t="shared" si="33"/>
        <v>5042.3893083519151</v>
      </c>
      <c r="V19" s="9">
        <f t="shared" si="33"/>
        <v>4941.5415221848771</v>
      </c>
      <c r="W19" s="9">
        <f t="shared" si="33"/>
        <v>4842.7106917411793</v>
      </c>
    </row>
    <row r="20" spans="2:123" x14ac:dyDescent="0.15">
      <c r="B20" s="1" t="s">
        <v>10</v>
      </c>
      <c r="C20" s="11">
        <f t="shared" ref="C20:H20" si="34">SUM(C17:C19)</f>
        <v>4897.3</v>
      </c>
      <c r="D20" s="11">
        <f t="shared" si="34"/>
        <v>6093.1</v>
      </c>
      <c r="E20" s="11">
        <f t="shared" si="34"/>
        <v>7431.8</v>
      </c>
      <c r="F20" s="11">
        <f t="shared" si="34"/>
        <v>9296</v>
      </c>
      <c r="G20" s="11">
        <f t="shared" si="34"/>
        <v>12566</v>
      </c>
      <c r="H20" s="11">
        <f t="shared" si="34"/>
        <v>15359</v>
      </c>
      <c r="I20" s="9">
        <f t="shared" ref="I20" si="35">SUM(I17:I19)</f>
        <v>18326.449999999997</v>
      </c>
      <c r="J20" s="9">
        <f t="shared" ref="J20:L20" si="36">SUM(J17:J19)</f>
        <v>21871.737499999999</v>
      </c>
      <c r="K20" s="9">
        <f t="shared" si="36"/>
        <v>26108.082124999994</v>
      </c>
      <c r="L20" s="9">
        <f t="shared" si="36"/>
        <v>31170.995243749996</v>
      </c>
      <c r="M20" s="9">
        <f t="shared" ref="M20" si="37">SUM(M17:M19)</f>
        <v>37222.685490312491</v>
      </c>
      <c r="N20" s="9">
        <f t="shared" ref="N20" si="38">SUM(N17:N19)</f>
        <v>39531.468532828119</v>
      </c>
      <c r="O20" s="9">
        <f t="shared" ref="O20:R20" si="39">SUM(O17:O19)</f>
        <v>42000.455604269526</v>
      </c>
      <c r="P20" s="9">
        <f t="shared" si="39"/>
        <v>44642.133393763004</v>
      </c>
      <c r="Q20" s="9">
        <f t="shared" si="39"/>
        <v>47470.060573659161</v>
      </c>
      <c r="R20" s="9">
        <f t="shared" si="39"/>
        <v>50498.96616357092</v>
      </c>
      <c r="S20" s="9">
        <f t="shared" ref="S20:V20" si="40">SUM(S17:S19)</f>
        <v>52648.892954795825</v>
      </c>
      <c r="T20" s="9">
        <f t="shared" si="40"/>
        <v>54913.816515921055</v>
      </c>
      <c r="U20" s="9">
        <f t="shared" si="40"/>
        <v>57299.336676834828</v>
      </c>
      <c r="V20" s="9">
        <f t="shared" si="40"/>
        <v>59811.336259091935</v>
      </c>
      <c r="W20" s="9">
        <f t="shared" ref="W20" si="41">SUM(W17:W19)</f>
        <v>62455.995165493594</v>
      </c>
    </row>
    <row r="21" spans="2:123" x14ac:dyDescent="0.15">
      <c r="B21" s="1" t="s">
        <v>11</v>
      </c>
      <c r="C21" s="11">
        <f t="shared" ref="C21:H21" si="42">C16-C20</f>
        <v>115.19999999999891</v>
      </c>
      <c r="D21" s="11">
        <f t="shared" si="42"/>
        <v>64.699999999999818</v>
      </c>
      <c r="E21" s="11">
        <f t="shared" si="42"/>
        <v>321.30000000000018</v>
      </c>
      <c r="F21" s="11">
        <f t="shared" si="42"/>
        <v>535</v>
      </c>
      <c r="G21" s="11">
        <f t="shared" si="42"/>
        <v>297</v>
      </c>
      <c r="H21" s="11">
        <f t="shared" si="42"/>
        <v>455</v>
      </c>
      <c r="I21" s="9">
        <f t="shared" ref="I21" si="43">I16-I20</f>
        <v>1346.1005175983446</v>
      </c>
      <c r="J21" s="9">
        <f t="shared" ref="J21:L21" si="44">J16-J20</f>
        <v>2609.758742236023</v>
      </c>
      <c r="K21" s="9">
        <f t="shared" si="44"/>
        <v>4368.2174873188414</v>
      </c>
      <c r="L21" s="9">
        <f t="shared" si="44"/>
        <v>6779.9729776009262</v>
      </c>
      <c r="M21" s="9">
        <f t="shared" ref="M21" si="45">M16-M20</f>
        <v>10049.957548221399</v>
      </c>
      <c r="N21" s="9">
        <f t="shared" ref="N21" si="46">N16-N20</f>
        <v>12468.438809559157</v>
      </c>
      <c r="O21" s="9">
        <f t="shared" ref="O21:R21" si="47">O16-O20</f>
        <v>15199.442472356481</v>
      </c>
      <c r="P21" s="9">
        <f t="shared" si="47"/>
        <v>18277.754490525607</v>
      </c>
      <c r="Q21" s="9">
        <f t="shared" si="47"/>
        <v>21741.81609905832</v>
      </c>
      <c r="R21" s="9">
        <f t="shared" si="47"/>
        <v>25634.098176418309</v>
      </c>
      <c r="S21" s="9">
        <f t="shared" ref="S21:V21" si="48">S16-S20</f>
        <v>27290.824602192879</v>
      </c>
      <c r="T21" s="9">
        <f t="shared" si="48"/>
        <v>29022.886918917087</v>
      </c>
      <c r="U21" s="9">
        <f t="shared" si="48"/>
        <v>30834.201929745228</v>
      </c>
      <c r="V21" s="9">
        <f t="shared" si="48"/>
        <v>32728.879277817126</v>
      </c>
      <c r="W21" s="9">
        <f t="shared" ref="W21" si="49">W16-W20</f>
        <v>34711.231148260929</v>
      </c>
    </row>
    <row r="22" spans="2:123" x14ac:dyDescent="0.15">
      <c r="B22" s="1" t="s">
        <v>12</v>
      </c>
      <c r="C22" s="9">
        <f>SUM(Reports!C15:F15)</f>
        <v>-50.599999999999994</v>
      </c>
      <c r="D22" s="9">
        <f>SUM(Reports!G15:J15)</f>
        <v>-39.100000000000009</v>
      </c>
      <c r="E22" s="7">
        <f>SUM(Reports!K15:N15)</f>
        <v>-34</v>
      </c>
      <c r="F22" s="7">
        <f>SUM(Reports!O15:R15)</f>
        <v>448</v>
      </c>
      <c r="G22" s="9">
        <f>SUM(Reports!S15:V15)</f>
        <v>409</v>
      </c>
      <c r="H22" s="7">
        <f>SUM(Reports!W15:Z15)</f>
        <v>2106</v>
      </c>
      <c r="I22" s="9">
        <f t="shared" ref="I22:W22" si="50">H39*$G$4</f>
        <v>264.04000000000002</v>
      </c>
      <c r="J22" s="9">
        <f t="shared" si="50"/>
        <v>291.41238879917188</v>
      </c>
      <c r="K22" s="9">
        <f t="shared" si="50"/>
        <v>340.73229802677014</v>
      </c>
      <c r="L22" s="9">
        <f t="shared" si="50"/>
        <v>420.78444437764557</v>
      </c>
      <c r="M22" s="9">
        <f t="shared" si="50"/>
        <v>543.19732055128134</v>
      </c>
      <c r="N22" s="9">
        <f t="shared" si="50"/>
        <v>723.28095332041687</v>
      </c>
      <c r="O22" s="9">
        <f t="shared" si="50"/>
        <v>947.54018928936966</v>
      </c>
      <c r="P22" s="9">
        <f t="shared" si="50"/>
        <v>1222.0388945373491</v>
      </c>
      <c r="Q22" s="9">
        <f t="shared" si="50"/>
        <v>1553.5353820834193</v>
      </c>
      <c r="R22" s="9">
        <f t="shared" si="50"/>
        <v>1949.5563572628289</v>
      </c>
      <c r="S22" s="9">
        <f t="shared" si="50"/>
        <v>2418.4784843354087</v>
      </c>
      <c r="T22" s="9">
        <f t="shared" si="50"/>
        <v>2923.5366368063897</v>
      </c>
      <c r="U22" s="9">
        <f t="shared" si="50"/>
        <v>3466.6258372536886</v>
      </c>
      <c r="V22" s="9">
        <f t="shared" si="50"/>
        <v>4049.7399092926703</v>
      </c>
      <c r="W22" s="9">
        <f t="shared" si="50"/>
        <v>4674.9764354735371</v>
      </c>
    </row>
    <row r="23" spans="2:123" x14ac:dyDescent="0.15">
      <c r="B23" s="1" t="s">
        <v>13</v>
      </c>
      <c r="C23" s="11">
        <f>SUM(Reports!C16:F16)</f>
        <v>64.599999999999596</v>
      </c>
      <c r="D23" s="11">
        <f>D21+D22</f>
        <v>25.59999999999981</v>
      </c>
      <c r="E23" s="11">
        <f>E21+E22</f>
        <v>287.30000000000018</v>
      </c>
      <c r="F23" s="11">
        <f>F21+F22</f>
        <v>983</v>
      </c>
      <c r="G23" s="11">
        <f>G21+G22</f>
        <v>706</v>
      </c>
      <c r="H23" s="11">
        <f>H21+H22</f>
        <v>2561</v>
      </c>
      <c r="I23" s="9">
        <f t="shared" ref="I23" si="51">I21+I22</f>
        <v>1610.1405175983446</v>
      </c>
      <c r="J23" s="9">
        <f t="shared" ref="J23:L23" si="52">J21+J22</f>
        <v>2901.1711310351948</v>
      </c>
      <c r="K23" s="9">
        <f t="shared" si="52"/>
        <v>4708.9497853456114</v>
      </c>
      <c r="L23" s="9">
        <f t="shared" si="52"/>
        <v>7200.757421978572</v>
      </c>
      <c r="M23" s="9">
        <f t="shared" ref="M23" si="53">M21+M22</f>
        <v>10593.154868772679</v>
      </c>
      <c r="N23" s="9">
        <f t="shared" ref="N23" si="54">N21+N22</f>
        <v>13191.719762879573</v>
      </c>
      <c r="O23" s="9">
        <f t="shared" ref="O23:Q23" si="55">O21+O22</f>
        <v>16146.98266164585</v>
      </c>
      <c r="P23" s="9">
        <f t="shared" si="55"/>
        <v>19499.793385062956</v>
      </c>
      <c r="Q23" s="9">
        <f t="shared" si="55"/>
        <v>23295.351481141741</v>
      </c>
      <c r="R23" s="9">
        <f t="shared" ref="R23:W23" si="56">R21+R22</f>
        <v>27583.65453368114</v>
      </c>
      <c r="S23" s="9">
        <f t="shared" si="56"/>
        <v>29709.303086528289</v>
      </c>
      <c r="T23" s="9">
        <f t="shared" si="56"/>
        <v>31946.423555723479</v>
      </c>
      <c r="U23" s="9">
        <f t="shared" si="56"/>
        <v>34300.827766998918</v>
      </c>
      <c r="V23" s="9">
        <f t="shared" si="56"/>
        <v>36778.619187109798</v>
      </c>
      <c r="W23" s="9">
        <f t="shared" si="56"/>
        <v>39386.207583734467</v>
      </c>
    </row>
    <row r="24" spans="2:123" x14ac:dyDescent="0.15">
      <c r="B24" s="1" t="s">
        <v>14</v>
      </c>
      <c r="C24" s="9">
        <f>SUM(Reports!C17:F17)</f>
        <v>111.5</v>
      </c>
      <c r="D24" s="9">
        <f>SUM(Reports!G17:J17)</f>
        <v>-154.30000000000001</v>
      </c>
      <c r="E24" s="7">
        <f>SUM(Reports!K17:N17)</f>
        <v>66</v>
      </c>
      <c r="F24" s="7">
        <f>SUM(Reports!O17:R17)</f>
        <v>-127</v>
      </c>
      <c r="G24" s="9">
        <f>SUM(Reports!S17:V17)</f>
        <v>580</v>
      </c>
      <c r="H24" s="7">
        <f>SUM(Reports!W17:Z17)</f>
        <v>459.58000000000004</v>
      </c>
      <c r="I24" s="9">
        <f t="shared" ref="I24:R24" si="57">I23*0.15</f>
        <v>241.52107763975167</v>
      </c>
      <c r="J24" s="9">
        <f t="shared" si="57"/>
        <v>435.17566965527919</v>
      </c>
      <c r="K24" s="9">
        <f t="shared" si="57"/>
        <v>706.34246780184174</v>
      </c>
      <c r="L24" s="9">
        <f t="shared" si="57"/>
        <v>1080.1136132967858</v>
      </c>
      <c r="M24" s="9">
        <f t="shared" ref="M24" si="58">M23*0.15</f>
        <v>1588.9732303159019</v>
      </c>
      <c r="N24" s="9">
        <f t="shared" si="57"/>
        <v>1978.7579644319358</v>
      </c>
      <c r="O24" s="9">
        <f t="shared" si="57"/>
        <v>2422.0473992468774</v>
      </c>
      <c r="P24" s="9">
        <f t="shared" si="57"/>
        <v>2924.9690077594432</v>
      </c>
      <c r="Q24" s="9">
        <f t="shared" si="57"/>
        <v>3494.3027221712609</v>
      </c>
      <c r="R24" s="9">
        <f t="shared" si="57"/>
        <v>4137.5481800521711</v>
      </c>
      <c r="S24" s="9">
        <f t="shared" ref="S24:V24" si="59">S23*0.15</f>
        <v>4456.3954629792433</v>
      </c>
      <c r="T24" s="9">
        <f t="shared" si="59"/>
        <v>4791.963533358522</v>
      </c>
      <c r="U24" s="9">
        <f t="shared" si="59"/>
        <v>5145.1241650498378</v>
      </c>
      <c r="V24" s="9">
        <f t="shared" si="59"/>
        <v>5516.7928780664697</v>
      </c>
      <c r="W24" s="9">
        <f t="shared" ref="W24" si="60">W23*0.15</f>
        <v>5907.9311375601701</v>
      </c>
    </row>
    <row r="25" spans="2:123" s="2" customFormat="1" x14ac:dyDescent="0.15">
      <c r="B25" s="2" t="s">
        <v>15</v>
      </c>
      <c r="C25" s="21">
        <f>C23-C24</f>
        <v>-46.900000000000404</v>
      </c>
      <c r="D25" s="21">
        <f>D23-D24</f>
        <v>179.89999999999981</v>
      </c>
      <c r="E25" s="21">
        <f>E23-E24</f>
        <v>221.30000000000018</v>
      </c>
      <c r="F25" s="21">
        <f>F23-F24</f>
        <v>1110</v>
      </c>
      <c r="G25" s="21">
        <f>G23-G24</f>
        <v>126</v>
      </c>
      <c r="H25" s="21">
        <f t="shared" ref="H25" si="61">H23-H24</f>
        <v>2101.42</v>
      </c>
      <c r="I25" s="21">
        <f t="shared" ref="I25" si="62">I23-I24</f>
        <v>1368.6194399585929</v>
      </c>
      <c r="J25" s="21">
        <f t="shared" ref="J25:L25" si="63">J23-J24</f>
        <v>2465.9954613799155</v>
      </c>
      <c r="K25" s="21">
        <f t="shared" si="63"/>
        <v>4002.6073175437696</v>
      </c>
      <c r="L25" s="21">
        <f t="shared" si="63"/>
        <v>6120.6438086817861</v>
      </c>
      <c r="M25" s="21">
        <f t="shared" ref="M25" si="64">M23-M24</f>
        <v>9004.1816384567774</v>
      </c>
      <c r="N25" s="21">
        <f t="shared" ref="N25" si="65">N23-N24</f>
        <v>11212.961798447637</v>
      </c>
      <c r="O25" s="21">
        <f t="shared" ref="O25:R25" si="66">O23-O24</f>
        <v>13724.935262398973</v>
      </c>
      <c r="P25" s="21">
        <f t="shared" si="66"/>
        <v>16574.824377303514</v>
      </c>
      <c r="Q25" s="21">
        <f t="shared" si="66"/>
        <v>19801.048758970479</v>
      </c>
      <c r="R25" s="21">
        <f t="shared" si="66"/>
        <v>23446.106353628969</v>
      </c>
      <c r="S25" s="21">
        <f t="shared" ref="S25:V25" si="67">S23-S24</f>
        <v>25252.907623549047</v>
      </c>
      <c r="T25" s="21">
        <f t="shared" si="67"/>
        <v>27154.460022364958</v>
      </c>
      <c r="U25" s="21">
        <f t="shared" si="67"/>
        <v>29155.703601949081</v>
      </c>
      <c r="V25" s="21">
        <f t="shared" si="67"/>
        <v>31261.826309043328</v>
      </c>
      <c r="W25" s="21">
        <f t="shared" ref="W25" si="68">W23-W24</f>
        <v>33478.276446174299</v>
      </c>
      <c r="X25" s="21">
        <f t="shared" ref="X25:CE25" si="69">W25*($G$3+1)</f>
        <v>33310.885063943424</v>
      </c>
      <c r="Y25" s="21">
        <f t="shared" si="69"/>
        <v>33144.330638623709</v>
      </c>
      <c r="Z25" s="21">
        <f t="shared" si="69"/>
        <v>32978.60898543059</v>
      </c>
      <c r="AA25" s="21">
        <f t="shared" si="69"/>
        <v>32813.71594050344</v>
      </c>
      <c r="AB25" s="21">
        <f t="shared" si="69"/>
        <v>32649.647360800922</v>
      </c>
      <c r="AC25" s="21">
        <f t="shared" si="69"/>
        <v>32486.399123996918</v>
      </c>
      <c r="AD25" s="21">
        <f t="shared" si="69"/>
        <v>32323.967128376935</v>
      </c>
      <c r="AE25" s="21">
        <f t="shared" si="69"/>
        <v>32162.347292735049</v>
      </c>
      <c r="AF25" s="21">
        <f t="shared" si="69"/>
        <v>32001.535556271374</v>
      </c>
      <c r="AG25" s="21">
        <f t="shared" si="69"/>
        <v>31841.527878490018</v>
      </c>
      <c r="AH25" s="21">
        <f t="shared" si="69"/>
        <v>31682.320239097568</v>
      </c>
      <c r="AI25" s="21">
        <f t="shared" si="69"/>
        <v>31523.908637902081</v>
      </c>
      <c r="AJ25" s="21">
        <f t="shared" si="69"/>
        <v>31366.289094712571</v>
      </c>
      <c r="AK25" s="21">
        <f t="shared" si="69"/>
        <v>31209.457649239008</v>
      </c>
      <c r="AL25" s="21">
        <f t="shared" si="69"/>
        <v>31053.410360992813</v>
      </c>
      <c r="AM25" s="21">
        <f t="shared" si="69"/>
        <v>30898.14330918785</v>
      </c>
      <c r="AN25" s="21">
        <f t="shared" si="69"/>
        <v>30743.652592641909</v>
      </c>
      <c r="AO25" s="21">
        <f t="shared" si="69"/>
        <v>30589.934329678701</v>
      </c>
      <c r="AP25" s="21">
        <f t="shared" si="69"/>
        <v>30436.984658030306</v>
      </c>
      <c r="AQ25" s="21">
        <f t="shared" si="69"/>
        <v>30284.799734740154</v>
      </c>
      <c r="AR25" s="21">
        <f t="shared" si="69"/>
        <v>30133.375736066453</v>
      </c>
      <c r="AS25" s="21">
        <f t="shared" si="69"/>
        <v>29982.708857386122</v>
      </c>
      <c r="AT25" s="21">
        <f t="shared" si="69"/>
        <v>29832.795313099192</v>
      </c>
      <c r="AU25" s="21">
        <f t="shared" si="69"/>
        <v>29683.631336533697</v>
      </c>
      <c r="AV25" s="21">
        <f t="shared" si="69"/>
        <v>29535.213179851027</v>
      </c>
      <c r="AW25" s="21">
        <f t="shared" si="69"/>
        <v>29387.53711395177</v>
      </c>
      <c r="AX25" s="21">
        <f t="shared" si="69"/>
        <v>29240.599428382011</v>
      </c>
      <c r="AY25" s="21">
        <f t="shared" si="69"/>
        <v>29094.3964312401</v>
      </c>
      <c r="AZ25" s="21">
        <f t="shared" si="69"/>
        <v>28948.924449083901</v>
      </c>
      <c r="BA25" s="21">
        <f t="shared" si="69"/>
        <v>28804.179826838481</v>
      </c>
      <c r="BB25" s="21">
        <f t="shared" si="69"/>
        <v>28660.158927704288</v>
      </c>
      <c r="BC25" s="21">
        <f t="shared" si="69"/>
        <v>28516.858133065765</v>
      </c>
      <c r="BD25" s="21">
        <f t="shared" si="69"/>
        <v>28374.273842400435</v>
      </c>
      <c r="BE25" s="21">
        <f t="shared" si="69"/>
        <v>28232.402473188431</v>
      </c>
      <c r="BF25" s="21">
        <f t="shared" si="69"/>
        <v>28091.24046082249</v>
      </c>
      <c r="BG25" s="21">
        <f t="shared" si="69"/>
        <v>27950.784258518379</v>
      </c>
      <c r="BH25" s="21">
        <f t="shared" si="69"/>
        <v>27811.030337225788</v>
      </c>
      <c r="BI25" s="21">
        <f t="shared" si="69"/>
        <v>27671.975185539657</v>
      </c>
      <c r="BJ25" s="21">
        <f t="shared" si="69"/>
        <v>27533.61530961196</v>
      </c>
      <c r="BK25" s="21">
        <f t="shared" si="69"/>
        <v>27395.9472330639</v>
      </c>
      <c r="BL25" s="21">
        <f t="shared" si="69"/>
        <v>27258.967496898582</v>
      </c>
      <c r="BM25" s="21">
        <f t="shared" si="69"/>
        <v>27122.672659414089</v>
      </c>
      <c r="BN25" s="21">
        <f t="shared" si="69"/>
        <v>26987.059296117019</v>
      </c>
      <c r="BO25" s="21">
        <f t="shared" si="69"/>
        <v>26852.123999636435</v>
      </c>
      <c r="BP25" s="21">
        <f t="shared" si="69"/>
        <v>26717.863379638253</v>
      </c>
      <c r="BQ25" s="21">
        <f t="shared" si="69"/>
        <v>26584.27406274006</v>
      </c>
      <c r="BR25" s="21">
        <f t="shared" si="69"/>
        <v>26451.352692426361</v>
      </c>
      <c r="BS25" s="21">
        <f t="shared" si="69"/>
        <v>26319.095928964227</v>
      </c>
      <c r="BT25" s="21">
        <f t="shared" si="69"/>
        <v>26187.500449319406</v>
      </c>
      <c r="BU25" s="21">
        <f t="shared" si="69"/>
        <v>26056.562947072809</v>
      </c>
      <c r="BV25" s="21">
        <f t="shared" si="69"/>
        <v>25926.280132337444</v>
      </c>
      <c r="BW25" s="21">
        <f t="shared" si="69"/>
        <v>25796.648731675756</v>
      </c>
      <c r="BX25" s="21">
        <f t="shared" si="69"/>
        <v>25667.665488017377</v>
      </c>
      <c r="BY25" s="21">
        <f t="shared" si="69"/>
        <v>25539.32716057729</v>
      </c>
      <c r="BZ25" s="21">
        <f t="shared" si="69"/>
        <v>25411.630524774402</v>
      </c>
      <c r="CA25" s="21">
        <f t="shared" si="69"/>
        <v>25284.572372150531</v>
      </c>
      <c r="CB25" s="21">
        <f t="shared" si="69"/>
        <v>25158.149510289779</v>
      </c>
      <c r="CC25" s="21">
        <f t="shared" si="69"/>
        <v>25032.358762738331</v>
      </c>
      <c r="CD25" s="21">
        <f t="shared" si="69"/>
        <v>24907.19696892464</v>
      </c>
      <c r="CE25" s="21">
        <f t="shared" si="69"/>
        <v>24782.660984080016</v>
      </c>
      <c r="CF25" s="21">
        <f t="shared" ref="CF25:DS25" si="70">CE25*($G$3+1)</f>
        <v>24658.747679159616</v>
      </c>
      <c r="CG25" s="21">
        <f t="shared" si="70"/>
        <v>24535.453940763819</v>
      </c>
      <c r="CH25" s="21">
        <f t="shared" si="70"/>
        <v>24412.776671060001</v>
      </c>
      <c r="CI25" s="21">
        <f t="shared" si="70"/>
        <v>24290.712787704702</v>
      </c>
      <c r="CJ25" s="21">
        <f t="shared" si="70"/>
        <v>24169.259223766177</v>
      </c>
      <c r="CK25" s="21">
        <f t="shared" si="70"/>
        <v>24048.412927647347</v>
      </c>
      <c r="CL25" s="21">
        <f t="shared" si="70"/>
        <v>23928.170863009109</v>
      </c>
      <c r="CM25" s="21">
        <f t="shared" si="70"/>
        <v>23808.530008694062</v>
      </c>
      <c r="CN25" s="21">
        <f t="shared" si="70"/>
        <v>23689.487358650593</v>
      </c>
      <c r="CO25" s="21">
        <f t="shared" si="70"/>
        <v>23571.03992185734</v>
      </c>
      <c r="CP25" s="21">
        <f t="shared" si="70"/>
        <v>23453.184722248054</v>
      </c>
      <c r="CQ25" s="21">
        <f t="shared" si="70"/>
        <v>23335.918798636812</v>
      </c>
      <c r="CR25" s="21">
        <f t="shared" si="70"/>
        <v>23219.239204643629</v>
      </c>
      <c r="CS25" s="21">
        <f t="shared" si="70"/>
        <v>23103.143008620409</v>
      </c>
      <c r="CT25" s="21">
        <f t="shared" si="70"/>
        <v>22987.627293577309</v>
      </c>
      <c r="CU25" s="21">
        <f t="shared" si="70"/>
        <v>22872.68915710942</v>
      </c>
      <c r="CV25" s="21">
        <f t="shared" si="70"/>
        <v>22758.325711323872</v>
      </c>
      <c r="CW25" s="21">
        <f t="shared" si="70"/>
        <v>22644.534082767252</v>
      </c>
      <c r="CX25" s="21">
        <f t="shared" si="70"/>
        <v>22531.311412353414</v>
      </c>
      <c r="CY25" s="21">
        <f t="shared" si="70"/>
        <v>22418.654855291647</v>
      </c>
      <c r="CZ25" s="21">
        <f t="shared" si="70"/>
        <v>22306.561581015187</v>
      </c>
      <c r="DA25" s="21">
        <f t="shared" si="70"/>
        <v>22195.028773110109</v>
      </c>
      <c r="DB25" s="21">
        <f t="shared" si="70"/>
        <v>22084.053629244558</v>
      </c>
      <c r="DC25" s="21">
        <f t="shared" si="70"/>
        <v>21973.633361098335</v>
      </c>
      <c r="DD25" s="21">
        <f t="shared" si="70"/>
        <v>21863.765194292842</v>
      </c>
      <c r="DE25" s="21">
        <f t="shared" si="70"/>
        <v>21754.44636832138</v>
      </c>
      <c r="DF25" s="21">
        <f t="shared" si="70"/>
        <v>21645.674136479774</v>
      </c>
      <c r="DG25" s="21">
        <f t="shared" si="70"/>
        <v>21537.445765797376</v>
      </c>
      <c r="DH25" s="21">
        <f t="shared" si="70"/>
        <v>21429.758536968387</v>
      </c>
      <c r="DI25" s="21">
        <f t="shared" si="70"/>
        <v>21322.609744283545</v>
      </c>
      <c r="DJ25" s="21">
        <f t="shared" si="70"/>
        <v>21215.996695562128</v>
      </c>
      <c r="DK25" s="21">
        <f t="shared" si="70"/>
        <v>21109.916712084316</v>
      </c>
      <c r="DL25" s="21">
        <f t="shared" si="70"/>
        <v>21004.367128523892</v>
      </c>
      <c r="DM25" s="21">
        <f t="shared" si="70"/>
        <v>20899.345292881273</v>
      </c>
      <c r="DN25" s="21">
        <f t="shared" si="70"/>
        <v>20794.848566416866</v>
      </c>
      <c r="DO25" s="21">
        <f t="shared" si="70"/>
        <v>20690.87432358478</v>
      </c>
      <c r="DP25" s="21">
        <f t="shared" si="70"/>
        <v>20587.419951966855</v>
      </c>
      <c r="DQ25" s="21">
        <f t="shared" si="70"/>
        <v>20484.48285220702</v>
      </c>
      <c r="DR25" s="21">
        <f t="shared" si="70"/>
        <v>20382.060437945984</v>
      </c>
      <c r="DS25" s="21">
        <f t="shared" si="70"/>
        <v>20280.150135756252</v>
      </c>
    </row>
    <row r="26" spans="2:123" x14ac:dyDescent="0.15">
      <c r="B26" s="1" t="s">
        <v>16</v>
      </c>
      <c r="C26" s="22">
        <f t="shared" ref="C26:H26" si="71">C25/C27</f>
        <v>-7.0104633781764431E-2</v>
      </c>
      <c r="D26" s="22">
        <f t="shared" si="71"/>
        <v>0.2566699957197886</v>
      </c>
      <c r="E26" s="22">
        <f t="shared" si="71"/>
        <v>0.2954606141522032</v>
      </c>
      <c r="F26" s="22">
        <f t="shared" si="71"/>
        <v>1.4122137404580153</v>
      </c>
      <c r="G26" s="22">
        <f t="shared" si="71"/>
        <v>0.1501787842669845</v>
      </c>
      <c r="H26" s="22">
        <f t="shared" si="71"/>
        <v>2.5046722288438619</v>
      </c>
      <c r="I26" s="12">
        <f t="shared" ref="I26" si="72">I25/I27</f>
        <v>1.6312508223582753</v>
      </c>
      <c r="J26" s="12">
        <f t="shared" ref="J26:L26" si="73">J25/J27</f>
        <v>2.9392079396661686</v>
      </c>
      <c r="K26" s="12">
        <f t="shared" si="73"/>
        <v>4.7706881019592009</v>
      </c>
      <c r="L26" s="12">
        <f t="shared" si="73"/>
        <v>7.295165445389495</v>
      </c>
      <c r="M26" s="12">
        <f t="shared" ref="M26" si="74">M25/M27</f>
        <v>10.73204009351225</v>
      </c>
      <c r="N26" s="12">
        <f t="shared" ref="N26" si="75">N25/N27</f>
        <v>13.364674372404812</v>
      </c>
      <c r="O26" s="12">
        <f t="shared" ref="O26:R26" si="76">O25/O27</f>
        <v>16.358683268651934</v>
      </c>
      <c r="P26" s="12">
        <f t="shared" si="76"/>
        <v>19.75545217795413</v>
      </c>
      <c r="Q26" s="12">
        <f t="shared" si="76"/>
        <v>23.600773252646579</v>
      </c>
      <c r="R26" s="12">
        <f t="shared" si="76"/>
        <v>27.945299587162062</v>
      </c>
      <c r="S26" s="12">
        <f t="shared" ref="S26:V26" si="77">S25/S27</f>
        <v>30.098817191357625</v>
      </c>
      <c r="T26" s="12">
        <f t="shared" si="77"/>
        <v>32.365268203057163</v>
      </c>
      <c r="U26" s="12">
        <f t="shared" si="77"/>
        <v>34.750540645946458</v>
      </c>
      <c r="V26" s="12">
        <f t="shared" si="77"/>
        <v>37.260818008394907</v>
      </c>
      <c r="W26" s="12">
        <f t="shared" ref="W26" si="78">W25/W27</f>
        <v>39.902594095559358</v>
      </c>
    </row>
    <row r="27" spans="2:123" x14ac:dyDescent="0.15">
      <c r="B27" s="1" t="s">
        <v>17</v>
      </c>
      <c r="C27" s="9">
        <f>Reports!F21</f>
        <v>669</v>
      </c>
      <c r="D27" s="9">
        <f>Reports!J21</f>
        <v>700.9</v>
      </c>
      <c r="E27" s="9">
        <f>Reports!N21</f>
        <v>749</v>
      </c>
      <c r="F27" s="9">
        <f>Reports!R21</f>
        <v>786</v>
      </c>
      <c r="G27" s="9">
        <f>AVERAGE(Reports!S21:V21)</f>
        <v>839</v>
      </c>
      <c r="H27" s="9">
        <f t="shared" ref="H27" si="79">G27</f>
        <v>839</v>
      </c>
      <c r="I27" s="9">
        <f t="shared" ref="I27" si="80">H27</f>
        <v>839</v>
      </c>
      <c r="J27" s="9">
        <f t="shared" ref="J27" si="81">I27</f>
        <v>839</v>
      </c>
      <c r="K27" s="9">
        <f t="shared" ref="K27" si="82">J27</f>
        <v>839</v>
      </c>
      <c r="L27" s="9">
        <f t="shared" ref="L27:M27" si="83">K27</f>
        <v>839</v>
      </c>
      <c r="M27" s="9">
        <f t="shared" si="83"/>
        <v>839</v>
      </c>
      <c r="N27" s="9">
        <f t="shared" ref="N27" si="84">M27</f>
        <v>839</v>
      </c>
      <c r="O27" s="9">
        <f t="shared" ref="O27" si="85">N27</f>
        <v>839</v>
      </c>
      <c r="P27" s="9">
        <f t="shared" ref="P27" si="86">O27</f>
        <v>839</v>
      </c>
      <c r="Q27" s="9">
        <f t="shared" ref="Q27" si="87">P27</f>
        <v>839</v>
      </c>
      <c r="R27" s="9">
        <f t="shared" ref="R27:W27" si="88">Q27</f>
        <v>839</v>
      </c>
      <c r="S27" s="9">
        <f t="shared" si="88"/>
        <v>839</v>
      </c>
      <c r="T27" s="9">
        <f t="shared" si="88"/>
        <v>839</v>
      </c>
      <c r="U27" s="9">
        <f t="shared" si="88"/>
        <v>839</v>
      </c>
      <c r="V27" s="9">
        <f t="shared" si="88"/>
        <v>839</v>
      </c>
      <c r="W27" s="9">
        <f t="shared" si="88"/>
        <v>839</v>
      </c>
    </row>
    <row r="28" spans="2:123" x14ac:dyDescent="0.15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2:123" x14ac:dyDescent="0.15">
      <c r="B29" s="1" t="s">
        <v>19</v>
      </c>
      <c r="C29" s="15">
        <f t="shared" ref="C29:R29" si="89">IFERROR(C16/C14,0)</f>
        <v>0.75185996280074396</v>
      </c>
      <c r="D29" s="15">
        <f t="shared" si="89"/>
        <v>0.73381397843055474</v>
      </c>
      <c r="E29" s="15">
        <f t="shared" si="89"/>
        <v>0.73656659699790994</v>
      </c>
      <c r="F29" s="15">
        <f t="shared" si="89"/>
        <v>0.74017467248908297</v>
      </c>
      <c r="G29" s="15">
        <f>IFERROR(G16/G14,0)</f>
        <v>0.75231021172066903</v>
      </c>
      <c r="H29" s="15">
        <f t="shared" si="89"/>
        <v>0.74411820063993972</v>
      </c>
      <c r="I29" s="15">
        <f t="shared" si="89"/>
        <v>0.74411820063993961</v>
      </c>
      <c r="J29" s="15">
        <f t="shared" si="89"/>
        <v>0.74411820063993961</v>
      </c>
      <c r="K29" s="15">
        <f t="shared" si="89"/>
        <v>0.74411820063993961</v>
      </c>
      <c r="L29" s="15">
        <f t="shared" si="89"/>
        <v>0.7441182006399395</v>
      </c>
      <c r="M29" s="15">
        <f t="shared" ref="M29" si="90">IFERROR(M16/M14,0)</f>
        <v>0.7441182006399395</v>
      </c>
      <c r="N29" s="15">
        <f t="shared" si="89"/>
        <v>0.7441182006399395</v>
      </c>
      <c r="O29" s="15">
        <f t="shared" si="89"/>
        <v>0.7441182006399395</v>
      </c>
      <c r="P29" s="15">
        <f t="shared" si="89"/>
        <v>0.7441182006399395</v>
      </c>
      <c r="Q29" s="15">
        <f t="shared" si="89"/>
        <v>0.74411820063993939</v>
      </c>
      <c r="R29" s="15">
        <f t="shared" si="89"/>
        <v>0.74411820063993939</v>
      </c>
      <c r="S29" s="15">
        <f t="shared" ref="S29:V29" si="91">IFERROR(S16/S14,0)</f>
        <v>0.74411820063993939</v>
      </c>
      <c r="T29" s="15">
        <f t="shared" si="91"/>
        <v>0.74411820063993939</v>
      </c>
      <c r="U29" s="15">
        <f t="shared" si="91"/>
        <v>0.74411820063993939</v>
      </c>
      <c r="V29" s="15">
        <f t="shared" si="91"/>
        <v>0.74411820063993939</v>
      </c>
      <c r="W29" s="15">
        <f t="shared" ref="W29" si="92">IFERROR(W16/W14,0)</f>
        <v>0.74411820063993939</v>
      </c>
    </row>
    <row r="30" spans="2:123" x14ac:dyDescent="0.15">
      <c r="B30" s="1" t="s">
        <v>20</v>
      </c>
      <c r="C30" s="14">
        <f t="shared" ref="C30:R30" si="93">IFERROR(C21/C14,0)</f>
        <v>1.7279654406911701E-2</v>
      </c>
      <c r="D30" s="14">
        <f t="shared" si="93"/>
        <v>7.7101829231960694E-3</v>
      </c>
      <c r="E30" s="14">
        <f t="shared" si="93"/>
        <v>3.0524415732471992E-2</v>
      </c>
      <c r="F30" s="14">
        <f t="shared" si="93"/>
        <v>4.0280078301460624E-2</v>
      </c>
      <c r="G30" s="14">
        <f t="shared" si="93"/>
        <v>1.7370452684524505E-2</v>
      </c>
      <c r="H30" s="14">
        <f t="shared" si="93"/>
        <v>2.1409749670619236E-2</v>
      </c>
      <c r="I30" s="14">
        <f t="shared" si="93"/>
        <v>5.0916524226979377E-2</v>
      </c>
      <c r="J30" s="14">
        <f t="shared" si="93"/>
        <v>7.932394981752354E-2</v>
      </c>
      <c r="K30" s="14">
        <f t="shared" si="93"/>
        <v>0.1066556694223383</v>
      </c>
      <c r="L30" s="14">
        <f t="shared" si="93"/>
        <v>0.13293735387866809</v>
      </c>
      <c r="M30" s="14">
        <f t="shared" ref="M30" si="94">IFERROR(M21/M14,0)</f>
        <v>0.15819628111748199</v>
      </c>
      <c r="N30" s="14">
        <f t="shared" si="93"/>
        <v>0.17842324584673777</v>
      </c>
      <c r="O30" s="14">
        <f t="shared" si="93"/>
        <v>0.19773080308830018</v>
      </c>
      <c r="P30" s="14">
        <f t="shared" si="93"/>
        <v>0.21616074409160976</v>
      </c>
      <c r="Q30" s="14">
        <f t="shared" si="93"/>
        <v>0.2337529605038598</v>
      </c>
      <c r="R30" s="14">
        <f t="shared" si="93"/>
        <v>0.25054553071555297</v>
      </c>
      <c r="S30" s="14">
        <f t="shared" ref="S30:V30" si="95">IFERROR(S21/S14,0)</f>
        <v>0.25403641540873284</v>
      </c>
      <c r="T30" s="14">
        <f t="shared" si="95"/>
        <v>0.25729457445570053</v>
      </c>
      <c r="U30" s="14">
        <f t="shared" si="95"/>
        <v>0.26033552289953721</v>
      </c>
      <c r="V30" s="14">
        <f t="shared" si="95"/>
        <v>0.26317374144711803</v>
      </c>
      <c r="W30" s="14">
        <f t="shared" ref="W30" si="96">IFERROR(W21/W14,0)</f>
        <v>0.26582274542486012</v>
      </c>
    </row>
    <row r="31" spans="2:123" x14ac:dyDescent="0.15">
      <c r="B31" s="1" t="s">
        <v>21</v>
      </c>
      <c r="C31" s="14">
        <f t="shared" ref="C31:R31" si="97">IFERROR(C24/C23,0)</f>
        <v>1.7260061919504752</v>
      </c>
      <c r="D31" s="14">
        <f t="shared" si="97"/>
        <v>-6.0273437500000453</v>
      </c>
      <c r="E31" s="14">
        <f t="shared" si="97"/>
        <v>0.22972502610511647</v>
      </c>
      <c r="F31" s="14">
        <f t="shared" si="97"/>
        <v>-0.12919633774160733</v>
      </c>
      <c r="G31" s="14">
        <f>IFERROR(G24/G23,0)</f>
        <v>0.82152974504249288</v>
      </c>
      <c r="H31" s="14">
        <f t="shared" si="97"/>
        <v>0.17945333853963297</v>
      </c>
      <c r="I31" s="14">
        <f t="shared" si="97"/>
        <v>0.15</v>
      </c>
      <c r="J31" s="14">
        <f t="shared" si="97"/>
        <v>0.15</v>
      </c>
      <c r="K31" s="14">
        <f t="shared" si="97"/>
        <v>0.15</v>
      </c>
      <c r="L31" s="14">
        <f t="shared" si="97"/>
        <v>0.15</v>
      </c>
      <c r="M31" s="14">
        <f t="shared" ref="M31" si="98">IFERROR(M24/M23,0)</f>
        <v>0.15</v>
      </c>
      <c r="N31" s="14">
        <f t="shared" si="97"/>
        <v>0.15</v>
      </c>
      <c r="O31" s="14">
        <f t="shared" si="97"/>
        <v>0.15</v>
      </c>
      <c r="P31" s="14">
        <f t="shared" si="97"/>
        <v>0.15</v>
      </c>
      <c r="Q31" s="14">
        <f t="shared" si="97"/>
        <v>0.15</v>
      </c>
      <c r="R31" s="14">
        <f t="shared" si="97"/>
        <v>0.15</v>
      </c>
      <c r="S31" s="14">
        <f t="shared" ref="S31:V31" si="99">IFERROR(S24/S23,0)</f>
        <v>0.15</v>
      </c>
      <c r="T31" s="14">
        <f t="shared" si="99"/>
        <v>0.15</v>
      </c>
      <c r="U31" s="14">
        <f t="shared" si="99"/>
        <v>0.15</v>
      </c>
      <c r="V31" s="14">
        <f t="shared" si="99"/>
        <v>0.15</v>
      </c>
      <c r="W31" s="14">
        <f t="shared" ref="W31" si="100">IFERROR(W24/W23,0)</f>
        <v>0.15</v>
      </c>
    </row>
    <row r="32" spans="2:123" x14ac:dyDescent="0.1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2:23" x14ac:dyDescent="0.15">
      <c r="B33" s="2" t="s">
        <v>18</v>
      </c>
      <c r="C33" s="8"/>
      <c r="D33" s="13">
        <f>D14/C14-1</f>
        <v>0.25869982600348007</v>
      </c>
      <c r="E33" s="13">
        <f>E14/D14-1</f>
        <v>0.25436453554191751</v>
      </c>
      <c r="F33" s="13">
        <f t="shared" ref="F33:W33" si="101">F14/E14-1</f>
        <v>0.26182785483564497</v>
      </c>
      <c r="G33" s="13">
        <f>G14/F14-1</f>
        <v>0.28730612859509108</v>
      </c>
      <c r="H33" s="13">
        <f t="shared" si="101"/>
        <v>0.24295239209264241</v>
      </c>
      <c r="I33" s="13">
        <f t="shared" si="101"/>
        <v>0.24399585921325051</v>
      </c>
      <c r="J33" s="13">
        <f t="shared" si="101"/>
        <v>0.24444952983273693</v>
      </c>
      <c r="K33" s="13">
        <f t="shared" si="101"/>
        <v>0.24487079183258609</v>
      </c>
      <c r="L33" s="13">
        <f t="shared" si="101"/>
        <v>0.24526168544460547</v>
      </c>
      <c r="M33" s="13">
        <f t="shared" si="101"/>
        <v>0.24562416333659343</v>
      </c>
      <c r="N33" s="13">
        <f t="shared" si="101"/>
        <v>0.10000000000000009</v>
      </c>
      <c r="O33" s="13">
        <f t="shared" si="101"/>
        <v>0.10000000000000009</v>
      </c>
      <c r="P33" s="13">
        <f t="shared" si="101"/>
        <v>0.10000000000000009</v>
      </c>
      <c r="Q33" s="13">
        <f t="shared" si="101"/>
        <v>0.10000000000000009</v>
      </c>
      <c r="R33" s="13">
        <f t="shared" si="101"/>
        <v>0.10000000000000009</v>
      </c>
      <c r="S33" s="13">
        <f t="shared" si="101"/>
        <v>5.0000000000000044E-2</v>
      </c>
      <c r="T33" s="13">
        <f t="shared" si="101"/>
        <v>5.0000000000000044E-2</v>
      </c>
      <c r="U33" s="13">
        <f t="shared" si="101"/>
        <v>5.0000000000000044E-2</v>
      </c>
      <c r="V33" s="13">
        <f t="shared" si="101"/>
        <v>5.0000000000000044E-2</v>
      </c>
      <c r="W33" s="13">
        <f t="shared" si="101"/>
        <v>5.0000000000000044E-2</v>
      </c>
    </row>
    <row r="34" spans="2:23" x14ac:dyDescent="0.15">
      <c r="B34" s="1" t="s">
        <v>55</v>
      </c>
      <c r="C34" s="8"/>
      <c r="D34" s="14">
        <f t="shared" ref="D34:E36" si="102">D17/C17-1</f>
        <v>0.276580004227436</v>
      </c>
      <c r="E34" s="14">
        <f t="shared" si="102"/>
        <v>0.28653034191572146</v>
      </c>
      <c r="F34" s="14">
        <f t="shared" ref="F34:W34" si="103">F17/E17-1</f>
        <v>0.21364221364221359</v>
      </c>
      <c r="G34" s="14">
        <f>G17/F17-1</f>
        <v>0.46659597030752908</v>
      </c>
      <c r="H34" s="14">
        <f t="shared" si="103"/>
        <v>0.30079537237888654</v>
      </c>
      <c r="I34" s="14">
        <f t="shared" si="103"/>
        <v>0.19999999999999996</v>
      </c>
      <c r="J34" s="14">
        <f t="shared" si="103"/>
        <v>0.19999999999999996</v>
      </c>
      <c r="K34" s="14">
        <f t="shared" si="103"/>
        <v>0.19999999999999996</v>
      </c>
      <c r="L34" s="14">
        <f t="shared" si="103"/>
        <v>0.19999999999999996</v>
      </c>
      <c r="M34" s="14">
        <f t="shared" si="103"/>
        <v>0.19999999999999996</v>
      </c>
      <c r="N34" s="14">
        <f t="shared" si="103"/>
        <v>0.10000000000000009</v>
      </c>
      <c r="O34" s="14">
        <f t="shared" si="103"/>
        <v>0.10000000000000009</v>
      </c>
      <c r="P34" s="14">
        <f t="shared" si="103"/>
        <v>0.10000000000000009</v>
      </c>
      <c r="Q34" s="14">
        <f t="shared" si="103"/>
        <v>0.10000000000000009</v>
      </c>
      <c r="R34" s="14">
        <f t="shared" si="103"/>
        <v>0.10000000000000009</v>
      </c>
      <c r="S34" s="14">
        <f t="shared" si="103"/>
        <v>5.0000000000000044E-2</v>
      </c>
      <c r="T34" s="14">
        <f t="shared" si="103"/>
        <v>5.0000000000000044E-2</v>
      </c>
      <c r="U34" s="14">
        <f t="shared" si="103"/>
        <v>5.0000000000000044E-2</v>
      </c>
      <c r="V34" s="14">
        <f t="shared" si="103"/>
        <v>5.0000000000000044E-2</v>
      </c>
      <c r="W34" s="14">
        <f t="shared" si="103"/>
        <v>5.0000000000000044E-2</v>
      </c>
    </row>
    <row r="35" spans="2:23" x14ac:dyDescent="0.15">
      <c r="B35" s="1" t="s">
        <v>56</v>
      </c>
      <c r="C35" s="8"/>
      <c r="D35" s="14">
        <f t="shared" si="102"/>
        <v>0.20934683294233847</v>
      </c>
      <c r="E35" s="14">
        <f t="shared" si="102"/>
        <v>0.22262494256980947</v>
      </c>
      <c r="F35" s="14">
        <f t="shared" ref="F35:W35" si="104">F18/E18-1</f>
        <v>0.26597077244258882</v>
      </c>
      <c r="G35" s="14">
        <f t="shared" si="104"/>
        <v>0.30771767810026396</v>
      </c>
      <c r="H35" s="14">
        <f t="shared" si="104"/>
        <v>0.21992433795712474</v>
      </c>
      <c r="I35" s="14">
        <f t="shared" si="104"/>
        <v>0.19999999999999996</v>
      </c>
      <c r="J35" s="14">
        <f t="shared" si="104"/>
        <v>0.19999999999999996</v>
      </c>
      <c r="K35" s="14">
        <f t="shared" si="104"/>
        <v>0.19999999999999996</v>
      </c>
      <c r="L35" s="14">
        <f t="shared" si="104"/>
        <v>0.19999999999999996</v>
      </c>
      <c r="M35" s="14">
        <f t="shared" si="104"/>
        <v>0.19999999999999996</v>
      </c>
      <c r="N35" s="14">
        <f t="shared" si="104"/>
        <v>5.0000000000000044E-2</v>
      </c>
      <c r="O35" s="14">
        <f t="shared" si="104"/>
        <v>5.0000000000000044E-2</v>
      </c>
      <c r="P35" s="14">
        <f t="shared" si="104"/>
        <v>5.0000000000000044E-2</v>
      </c>
      <c r="Q35" s="14">
        <f t="shared" si="104"/>
        <v>5.0000000000000044E-2</v>
      </c>
      <c r="R35" s="14">
        <f t="shared" si="104"/>
        <v>5.0000000000000044E-2</v>
      </c>
      <c r="S35" s="14">
        <f t="shared" si="104"/>
        <v>5.0000000000000044E-2</v>
      </c>
      <c r="T35" s="14">
        <f t="shared" si="104"/>
        <v>5.0000000000000044E-2</v>
      </c>
      <c r="U35" s="14">
        <f t="shared" si="104"/>
        <v>5.0000000000000044E-2</v>
      </c>
      <c r="V35" s="14">
        <f t="shared" si="104"/>
        <v>5.0000000000000044E-2</v>
      </c>
      <c r="W35" s="14">
        <f t="shared" si="104"/>
        <v>5.0000000000000044E-2</v>
      </c>
    </row>
    <row r="36" spans="2:23" x14ac:dyDescent="0.15">
      <c r="B36" s="1" t="s">
        <v>57</v>
      </c>
      <c r="C36" s="8"/>
      <c r="D36" s="14">
        <f t="shared" si="102"/>
        <v>0.35966268446943084</v>
      </c>
      <c r="E36" s="14">
        <f t="shared" si="102"/>
        <v>0.12445730824891488</v>
      </c>
      <c r="F36" s="14">
        <f t="shared" ref="F36:W36" si="105">F19/E19-1</f>
        <v>0.23735980878837992</v>
      </c>
      <c r="G36" s="14">
        <f t="shared" si="105"/>
        <v>0.38930163447251109</v>
      </c>
      <c r="H36" s="14">
        <f t="shared" si="105"/>
        <v>0.11604278074866303</v>
      </c>
      <c r="I36" s="14">
        <f t="shared" si="105"/>
        <v>0.14999999999999991</v>
      </c>
      <c r="J36" s="14">
        <f t="shared" si="105"/>
        <v>0.14999999999999991</v>
      </c>
      <c r="K36" s="14">
        <f t="shared" si="105"/>
        <v>0.14999999999999991</v>
      </c>
      <c r="L36" s="14">
        <f t="shared" si="105"/>
        <v>0.14999999999999991</v>
      </c>
      <c r="M36" s="14">
        <f t="shared" si="105"/>
        <v>0.14999999999999991</v>
      </c>
      <c r="N36" s="14">
        <f t="shared" si="105"/>
        <v>5.0000000000000044E-2</v>
      </c>
      <c r="O36" s="14">
        <f t="shared" si="105"/>
        <v>5.0000000000000044E-2</v>
      </c>
      <c r="P36" s="14">
        <f t="shared" si="105"/>
        <v>5.0000000000000044E-2</v>
      </c>
      <c r="Q36" s="14">
        <f t="shared" si="105"/>
        <v>5.0000000000000044E-2</v>
      </c>
      <c r="R36" s="14">
        <f t="shared" si="105"/>
        <v>5.0000000000000044E-2</v>
      </c>
      <c r="S36" s="14">
        <f t="shared" si="105"/>
        <v>-2.0000000000000018E-2</v>
      </c>
      <c r="T36" s="14">
        <f t="shared" si="105"/>
        <v>-1.9999999999999907E-2</v>
      </c>
      <c r="U36" s="14">
        <f t="shared" si="105"/>
        <v>-2.0000000000000129E-2</v>
      </c>
      <c r="V36" s="14">
        <f t="shared" si="105"/>
        <v>-1.9999999999999907E-2</v>
      </c>
      <c r="W36" s="14">
        <f t="shared" si="105"/>
        <v>-2.0000000000000018E-2</v>
      </c>
    </row>
    <row r="37" spans="2:23" s="16" customFormat="1" x14ac:dyDescent="0.15">
      <c r="B37" s="16" t="s">
        <v>139</v>
      </c>
      <c r="C37" s="19"/>
      <c r="D37" s="54">
        <f>D20/C20-1</f>
        <v>0.24417536193412692</v>
      </c>
      <c r="E37" s="54">
        <f>E20/D20-1</f>
        <v>0.21970753803482634</v>
      </c>
      <c r="F37" s="54">
        <f>F20/E20-1</f>
        <v>0.25084098065071725</v>
      </c>
      <c r="G37" s="54">
        <f t="shared" ref="G37:W37" si="106">G20/F20-1</f>
        <v>0.35176419965576589</v>
      </c>
      <c r="H37" s="54">
        <f t="shared" si="106"/>
        <v>0.22226643323253215</v>
      </c>
      <c r="I37" s="54">
        <f t="shared" si="106"/>
        <v>0.19320593788658091</v>
      </c>
      <c r="J37" s="54">
        <f t="shared" si="106"/>
        <v>0.19345195059599662</v>
      </c>
      <c r="K37" s="54">
        <f t="shared" si="106"/>
        <v>0.19369035610453866</v>
      </c>
      <c r="L37" s="54">
        <f t="shared" si="106"/>
        <v>0.19392129588492346</v>
      </c>
      <c r="M37" s="54">
        <f t="shared" si="106"/>
        <v>0.19414491578596293</v>
      </c>
      <c r="N37" s="54">
        <f t="shared" si="106"/>
        <v>6.2026235133316954E-2</v>
      </c>
      <c r="O37" s="54">
        <f t="shared" si="106"/>
        <v>6.2456244684942153E-2</v>
      </c>
      <c r="P37" s="54">
        <f t="shared" si="106"/>
        <v>6.2896407943368704E-2</v>
      </c>
      <c r="Q37" s="54">
        <f t="shared" si="106"/>
        <v>6.334659580339963E-2</v>
      </c>
      <c r="R37" s="54">
        <f t="shared" si="106"/>
        <v>6.3806651040855922E-2</v>
      </c>
      <c r="S37" s="54">
        <f t="shared" si="106"/>
        <v>4.2573679315752511E-2</v>
      </c>
      <c r="T37" s="54">
        <f t="shared" si="106"/>
        <v>4.3019395736770605E-2</v>
      </c>
      <c r="U37" s="54">
        <f t="shared" si="106"/>
        <v>4.3441164942927379E-2</v>
      </c>
      <c r="V37" s="54">
        <f t="shared" si="106"/>
        <v>4.3839941750541511E-2</v>
      </c>
      <c r="W37" s="54">
        <f t="shared" si="106"/>
        <v>4.4216683187706662E-2</v>
      </c>
    </row>
    <row r="38" spans="2:23" x14ac:dyDescent="0.15">
      <c r="C38" s="3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</row>
    <row r="39" spans="2:23" x14ac:dyDescent="0.15">
      <c r="B39" s="2" t="s">
        <v>26</v>
      </c>
      <c r="C39" s="21">
        <f>C40-C41</f>
        <v>1637.1999999999998</v>
      </c>
      <c r="D39" s="21">
        <f>D40-D41</f>
        <v>1092.5000000000002</v>
      </c>
      <c r="E39" s="21">
        <f t="shared" ref="E39:H39" si="107">E40-E41</f>
        <v>3478</v>
      </c>
      <c r="F39" s="21">
        <f t="shared" si="107"/>
        <v>2468</v>
      </c>
      <c r="G39" s="21">
        <f t="shared" si="107"/>
        <v>7237</v>
      </c>
      <c r="H39" s="21">
        <f t="shared" si="107"/>
        <v>13202</v>
      </c>
      <c r="I39" s="10">
        <f t="shared" ref="I39:W39" si="108">H39+I25</f>
        <v>14570.619439958593</v>
      </c>
      <c r="J39" s="10">
        <f t="shared" si="108"/>
        <v>17036.614901338507</v>
      </c>
      <c r="K39" s="10">
        <f t="shared" si="108"/>
        <v>21039.222218882278</v>
      </c>
      <c r="L39" s="10">
        <f t="shared" si="108"/>
        <v>27159.866027564065</v>
      </c>
      <c r="M39" s="10">
        <f t="shared" si="108"/>
        <v>36164.047666020844</v>
      </c>
      <c r="N39" s="10">
        <f t="shared" si="108"/>
        <v>47377.00946446848</v>
      </c>
      <c r="O39" s="10">
        <f t="shared" si="108"/>
        <v>61101.944726867456</v>
      </c>
      <c r="P39" s="10">
        <f t="shared" si="108"/>
        <v>77676.769104170962</v>
      </c>
      <c r="Q39" s="10">
        <f t="shared" si="108"/>
        <v>97477.817863141448</v>
      </c>
      <c r="R39" s="10">
        <f t="shared" si="108"/>
        <v>120923.92421677042</v>
      </c>
      <c r="S39" s="10">
        <f t="shared" si="108"/>
        <v>146176.83184031947</v>
      </c>
      <c r="T39" s="10">
        <f t="shared" si="108"/>
        <v>173331.29186268442</v>
      </c>
      <c r="U39" s="10">
        <f t="shared" si="108"/>
        <v>202486.99546463351</v>
      </c>
      <c r="V39" s="10">
        <f t="shared" si="108"/>
        <v>233748.82177367684</v>
      </c>
      <c r="W39" s="10">
        <f t="shared" si="108"/>
        <v>267227.09821985115</v>
      </c>
    </row>
    <row r="40" spans="2:23" x14ac:dyDescent="0.15">
      <c r="B40" s="1" t="s">
        <v>27</v>
      </c>
      <c r="C40" s="7">
        <f>Reports!F33</f>
        <v>2725.2</v>
      </c>
      <c r="D40" s="7">
        <f>Reports!J33</f>
        <v>2208.8000000000002</v>
      </c>
      <c r="E40" s="7">
        <f>Reports!N33</f>
        <v>5198</v>
      </c>
      <c r="F40" s="7">
        <f>Reports!R33</f>
        <v>5644</v>
      </c>
      <c r="G40" s="7">
        <f>Reports!V33</f>
        <v>9910</v>
      </c>
      <c r="H40" s="7">
        <f>Reports!Z33</f>
        <v>15875</v>
      </c>
    </row>
    <row r="41" spans="2:23" x14ac:dyDescent="0.15">
      <c r="B41" s="1" t="s">
        <v>28</v>
      </c>
      <c r="C41" s="7">
        <f>Reports!F34</f>
        <v>1088</v>
      </c>
      <c r="D41" s="7">
        <f>Reports!J34</f>
        <v>1116.3</v>
      </c>
      <c r="E41" s="7">
        <f>Reports!N34</f>
        <v>1720</v>
      </c>
      <c r="F41" s="7">
        <f>Reports!R34</f>
        <v>3176</v>
      </c>
      <c r="G41" s="7">
        <f>Reports!V34</f>
        <v>2673</v>
      </c>
      <c r="H41" s="7">
        <f>Reports!Z34</f>
        <v>2673</v>
      </c>
    </row>
    <row r="42" spans="2:23" x14ac:dyDescent="0.1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2:23" x14ac:dyDescent="0.15">
      <c r="B43" s="1" t="s">
        <v>67</v>
      </c>
      <c r="E43" s="7">
        <f>Reports!N36</f>
        <v>8140</v>
      </c>
      <c r="F43" s="7">
        <f>Reports!R36</f>
        <v>14774</v>
      </c>
      <c r="G43" s="7">
        <f>Reports!V36</f>
        <v>29858</v>
      </c>
      <c r="H43" s="7">
        <f>Reports!Z36</f>
        <v>30432</v>
      </c>
    </row>
    <row r="44" spans="2:23" x14ac:dyDescent="0.15">
      <c r="B44" s="1" t="s">
        <v>68</v>
      </c>
      <c r="E44" s="7">
        <f>Reports!N37</f>
        <v>21010</v>
      </c>
      <c r="F44" s="7">
        <f>Reports!R37</f>
        <v>30737</v>
      </c>
      <c r="G44" s="7">
        <f>Reports!V37</f>
        <v>55126</v>
      </c>
      <c r="H44" s="7">
        <f>Reports!Z37</f>
        <v>66301</v>
      </c>
    </row>
    <row r="45" spans="2:23" x14ac:dyDescent="0.15">
      <c r="B45" s="1" t="s">
        <v>69</v>
      </c>
      <c r="E45" s="7">
        <f>Reports!N38</f>
        <v>11617</v>
      </c>
      <c r="F45" s="7">
        <f>Reports!R38</f>
        <v>15132</v>
      </c>
      <c r="G45" s="7">
        <f>Reports!V38</f>
        <v>21241</v>
      </c>
      <c r="H45" s="7">
        <f>Reports!Z38</f>
        <v>24808</v>
      </c>
    </row>
    <row r="47" spans="2:23" x14ac:dyDescent="0.15">
      <c r="B47" s="1" t="s">
        <v>70</v>
      </c>
      <c r="E47" s="26">
        <f>E44-E43-E40</f>
        <v>7672</v>
      </c>
      <c r="F47" s="26">
        <f>F44-F43-F40</f>
        <v>10319</v>
      </c>
      <c r="G47" s="26">
        <f>G44-G43-G40</f>
        <v>15358</v>
      </c>
      <c r="H47" s="26">
        <f>H44-H43-H40</f>
        <v>19994</v>
      </c>
    </row>
    <row r="48" spans="2:23" x14ac:dyDescent="0.15">
      <c r="B48" s="1" t="s">
        <v>71</v>
      </c>
      <c r="E48" s="26">
        <f>E44-E45</f>
        <v>9393</v>
      </c>
      <c r="F48" s="26">
        <f>F44-F45</f>
        <v>15605</v>
      </c>
      <c r="G48" s="26">
        <f>G44-G45</f>
        <v>33885</v>
      </c>
      <c r="H48" s="26">
        <f>H44-H45</f>
        <v>41493</v>
      </c>
    </row>
    <row r="50" spans="2:13" x14ac:dyDescent="0.15">
      <c r="B50" s="1" t="s">
        <v>72</v>
      </c>
      <c r="E50" s="25">
        <f>E25/E48</f>
        <v>2.3560097945278417E-2</v>
      </c>
      <c r="F50" s="25">
        <f>F25/F48</f>
        <v>7.1131047741108622E-2</v>
      </c>
      <c r="G50" s="25">
        <f>G25/G48</f>
        <v>3.7184594953519256E-3</v>
      </c>
      <c r="H50" s="25">
        <f>H25/H48</f>
        <v>5.0645169064661509E-2</v>
      </c>
    </row>
    <row r="51" spans="2:13" x14ac:dyDescent="0.15">
      <c r="B51" s="1" t="s">
        <v>73</v>
      </c>
      <c r="E51" s="25">
        <f>E25/E44</f>
        <v>1.0533079485959076E-2</v>
      </c>
      <c r="F51" s="25">
        <f>F25/F44</f>
        <v>3.6112828187526431E-2</v>
      </c>
      <c r="G51" s="25">
        <f>G25/G44</f>
        <v>2.2856728222617278E-3</v>
      </c>
      <c r="H51" s="25">
        <f>H25/H44</f>
        <v>3.1695147886155565E-2</v>
      </c>
    </row>
    <row r="52" spans="2:13" x14ac:dyDescent="0.15">
      <c r="B52" s="1" t="s">
        <v>74</v>
      </c>
      <c r="E52" s="25">
        <f>E25/(E48-E43)</f>
        <v>0.1766161213088589</v>
      </c>
      <c r="F52" s="25">
        <f>F25/(F48-F43)</f>
        <v>1.3357400722021662</v>
      </c>
      <c r="G52" s="25">
        <f>G25/(G48-G43)</f>
        <v>3.1288800595977155E-2</v>
      </c>
      <c r="H52" s="25">
        <f>H25/(H48-H43)</f>
        <v>0.18998463068438659</v>
      </c>
    </row>
    <row r="53" spans="2:13" x14ac:dyDescent="0.15">
      <c r="B53" s="1" t="s">
        <v>75</v>
      </c>
      <c r="E53" s="25">
        <f>E25/E47</f>
        <v>2.8845151199165822E-2</v>
      </c>
      <c r="F53" s="25">
        <f>F25/F47</f>
        <v>0.10756856284523694</v>
      </c>
      <c r="G53" s="25">
        <f>G25/G47</f>
        <v>8.2041932543299913E-3</v>
      </c>
      <c r="H53" s="25">
        <f>H25/H47</f>
        <v>0.10510253075922778</v>
      </c>
    </row>
    <row r="55" spans="2:13" x14ac:dyDescent="0.15">
      <c r="B55" s="1" t="s">
        <v>85</v>
      </c>
      <c r="D55" s="25">
        <f>D11/C11-1</f>
        <v>0.24986302252876524</v>
      </c>
      <c r="E55" s="25">
        <f>E11/D11-1</f>
        <v>0.25749429466599616</v>
      </c>
      <c r="F55" s="25">
        <f t="shared" ref="F55:J55" si="109">F11/E11-1</f>
        <v>0.27273659386855331</v>
      </c>
      <c r="G55" s="25">
        <f>G11/F11-1</f>
        <v>0.29243535003625221</v>
      </c>
      <c r="H55" s="25">
        <f t="shared" si="109"/>
        <v>0.2451536495667892</v>
      </c>
      <c r="I55" s="25">
        <f t="shared" si="109"/>
        <v>0.25</v>
      </c>
      <c r="J55" s="25">
        <f t="shared" si="109"/>
        <v>0.25</v>
      </c>
      <c r="K55" s="25">
        <f t="shared" ref="K55:M56" si="110">K11/J11-1</f>
        <v>0.25</v>
      </c>
      <c r="L55" s="25">
        <f t="shared" si="110"/>
        <v>0.25</v>
      </c>
      <c r="M55" s="25">
        <f t="shared" si="110"/>
        <v>0.25</v>
      </c>
    </row>
    <row r="56" spans="2:13" x14ac:dyDescent="0.15">
      <c r="B56" s="1" t="s">
        <v>86</v>
      </c>
      <c r="D56" s="25">
        <f>D12/C12-1</f>
        <v>0.37754659731252715</v>
      </c>
      <c r="E56" s="25">
        <f>E12/D12-1</f>
        <v>0.21617369414726229</v>
      </c>
      <c r="F56" s="25">
        <f t="shared" ref="F56:J56" si="111">F12/E12-1</f>
        <v>0.12419146183699881</v>
      </c>
      <c r="G56" s="25">
        <f>G12/F12-1</f>
        <v>0.21403912543153059</v>
      </c>
      <c r="H56" s="25">
        <f t="shared" si="111"/>
        <v>0.20947867298578204</v>
      </c>
      <c r="I56" s="25">
        <f t="shared" si="111"/>
        <v>0.14999999999999991</v>
      </c>
      <c r="J56" s="25">
        <f t="shared" si="111"/>
        <v>0.14999999999999991</v>
      </c>
      <c r="K56" s="25">
        <f t="shared" si="110"/>
        <v>0.14999999999999991</v>
      </c>
      <c r="L56" s="25">
        <f t="shared" si="110"/>
        <v>0.14999999999999991</v>
      </c>
      <c r="M56" s="25">
        <f t="shared" si="110"/>
        <v>0.14999999999999991</v>
      </c>
    </row>
  </sheetData>
  <phoneticPr fontId="4" type="noConversion"/>
  <hyperlinks>
    <hyperlink ref="A1" r:id="rId1" display="Investor Relations" xr:uid="{00000000-0004-0000-0000-000000000000}"/>
    <hyperlink ref="B8" r:id="rId2" xr:uid="{00000000-0004-0000-0000-000001000000}"/>
    <hyperlink ref="B5" r:id="rId3" xr:uid="{00000000-0004-0000-0000-000002000000}"/>
  </hyperlinks>
  <pageMargins left="0.7" right="0.7" top="0.75" bottom="0.75" header="0.3" footer="0.3"/>
  <pageSetup paperSize="9" orientation="portrait" horizontalDpi="0" verticalDpi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74"/>
  <sheetViews>
    <sheetView tabSelected="1" zoomScale="130" zoomScaleNormal="130" workbookViewId="0">
      <pane xSplit="2" ySplit="3" topLeftCell="P4" activePane="bottomRight" state="frozen"/>
      <selection pane="topRight" activeCell="B1" sqref="B1"/>
      <selection pane="bottomLeft" activeCell="A3" sqref="A3"/>
      <selection pane="bottomRight" activeCell="AB31" sqref="AB31"/>
    </sheetView>
  </sheetViews>
  <sheetFormatPr baseColWidth="10" defaultRowHeight="13" x14ac:dyDescent="0.15"/>
  <cols>
    <col min="1" max="1" width="7.1640625" style="1" bestFit="1" customWidth="1"/>
    <col min="2" max="2" width="23.5" style="56" bestFit="1" customWidth="1"/>
    <col min="3" max="6" width="10.83203125" style="23" customWidth="1"/>
    <col min="7" max="7" width="10.83203125" style="28" customWidth="1"/>
    <col min="8" max="9" width="10.83203125" style="23" customWidth="1"/>
    <col min="10" max="10" width="10.83203125" style="23"/>
    <col min="11" max="11" width="10.83203125" style="28"/>
    <col min="12" max="12" width="10.83203125" style="23" customWidth="1"/>
    <col min="13" max="14" width="10.83203125" style="23"/>
    <col min="15" max="15" width="10.83203125" style="28"/>
    <col min="16" max="18" width="10.83203125" style="23"/>
    <col min="19" max="19" width="10.83203125" style="28"/>
    <col min="20" max="22" width="10.83203125" style="23"/>
    <col min="23" max="23" width="10.83203125" style="28"/>
    <col min="24" max="16384" width="10.83203125" style="23"/>
  </cols>
  <sheetData>
    <row r="1" spans="1:30" x14ac:dyDescent="0.15">
      <c r="A1" s="71" t="s">
        <v>59</v>
      </c>
    </row>
    <row r="2" spans="1:30" x14ac:dyDescent="0.15">
      <c r="A2" s="23"/>
      <c r="B2" s="23"/>
      <c r="C2" s="23" t="s">
        <v>22</v>
      </c>
      <c r="D2" s="23" t="s">
        <v>23</v>
      </c>
      <c r="E2" s="23" t="s">
        <v>24</v>
      </c>
      <c r="F2" s="23" t="s">
        <v>25</v>
      </c>
      <c r="G2" s="28" t="s">
        <v>0</v>
      </c>
      <c r="H2" s="23" t="s">
        <v>1</v>
      </c>
      <c r="I2" s="23" t="s">
        <v>2</v>
      </c>
      <c r="J2" s="23" t="s">
        <v>3</v>
      </c>
      <c r="K2" s="27" t="s">
        <v>34</v>
      </c>
      <c r="L2" s="24" t="s">
        <v>35</v>
      </c>
      <c r="M2" s="24" t="s">
        <v>36</v>
      </c>
      <c r="N2" s="24" t="s">
        <v>37</v>
      </c>
      <c r="O2" s="27" t="s">
        <v>84</v>
      </c>
      <c r="P2" s="24" t="s">
        <v>83</v>
      </c>
      <c r="Q2" s="24" t="s">
        <v>82</v>
      </c>
      <c r="R2" s="24" t="s">
        <v>81</v>
      </c>
      <c r="S2" s="28" t="s">
        <v>115</v>
      </c>
      <c r="T2" s="23" t="s">
        <v>116</v>
      </c>
      <c r="U2" s="23" t="s">
        <v>117</v>
      </c>
      <c r="V2" s="23" t="s">
        <v>118</v>
      </c>
      <c r="W2" s="28" t="s">
        <v>135</v>
      </c>
      <c r="X2" s="23" t="s">
        <v>136</v>
      </c>
      <c r="Y2" s="23" t="s">
        <v>137</v>
      </c>
      <c r="Z2" s="23" t="s">
        <v>138</v>
      </c>
      <c r="AA2" s="23" t="s">
        <v>145</v>
      </c>
      <c r="AB2" s="23" t="s">
        <v>146</v>
      </c>
      <c r="AC2" s="23" t="s">
        <v>147</v>
      </c>
      <c r="AD2" s="23" t="s">
        <v>148</v>
      </c>
    </row>
    <row r="3" spans="1:30" x14ac:dyDescent="0.15">
      <c r="A3" s="23"/>
      <c r="B3" s="71"/>
      <c r="C3" s="23" t="s">
        <v>54</v>
      </c>
      <c r="D3" s="23" t="s">
        <v>53</v>
      </c>
      <c r="E3" s="23" t="s">
        <v>52</v>
      </c>
      <c r="F3" s="23" t="s">
        <v>51</v>
      </c>
      <c r="G3" s="28" t="s">
        <v>49</v>
      </c>
      <c r="H3" s="23" t="s">
        <v>44</v>
      </c>
      <c r="I3" s="23" t="s">
        <v>41</v>
      </c>
      <c r="J3" s="23" t="s">
        <v>42</v>
      </c>
      <c r="K3" s="28" t="s">
        <v>50</v>
      </c>
      <c r="L3" s="23" t="s">
        <v>43</v>
      </c>
      <c r="M3" s="23" t="s">
        <v>40</v>
      </c>
      <c r="N3" s="23" t="s">
        <v>80</v>
      </c>
      <c r="O3" s="28" t="s">
        <v>76</v>
      </c>
      <c r="P3" s="23" t="s">
        <v>77</v>
      </c>
      <c r="Q3" s="23" t="s">
        <v>78</v>
      </c>
      <c r="R3" s="23" t="s">
        <v>114</v>
      </c>
      <c r="S3" s="28" t="s">
        <v>119</v>
      </c>
      <c r="T3" s="23" t="s">
        <v>120</v>
      </c>
      <c r="U3" s="23" t="s">
        <v>121</v>
      </c>
      <c r="V3" s="23" t="s">
        <v>122</v>
      </c>
      <c r="W3" s="66">
        <v>43951</v>
      </c>
      <c r="X3" s="67">
        <v>44043</v>
      </c>
      <c r="Y3" s="67">
        <v>44135</v>
      </c>
      <c r="Z3" s="67">
        <v>44227</v>
      </c>
    </row>
    <row r="4" spans="1:30" s="24" customFormat="1" x14ac:dyDescent="0.15">
      <c r="A4" s="7"/>
      <c r="B4" s="72" t="s">
        <v>38</v>
      </c>
      <c r="C4" s="24">
        <v>1405.2</v>
      </c>
      <c r="D4" s="24">
        <v>1521.3</v>
      </c>
      <c r="E4" s="24">
        <v>1596.3</v>
      </c>
      <c r="F4" s="24">
        <v>1682.6</v>
      </c>
      <c r="G4" s="27">
        <v>1775.4</v>
      </c>
      <c r="H4" s="24">
        <v>1886</v>
      </c>
      <c r="I4" s="24">
        <v>1983.9</v>
      </c>
      <c r="J4" s="24">
        <v>2110.6</v>
      </c>
      <c r="K4" s="27">
        <v>2209</v>
      </c>
      <c r="L4" s="24">
        <v>2383</v>
      </c>
      <c r="M4" s="24">
        <v>2506</v>
      </c>
      <c r="N4" s="32">
        <v>2655</v>
      </c>
      <c r="O4" s="27">
        <v>2810</v>
      </c>
      <c r="P4" s="24">
        <v>3060</v>
      </c>
      <c r="Q4" s="24">
        <v>3168</v>
      </c>
      <c r="R4" s="32">
        <v>3375</v>
      </c>
      <c r="S4" s="27">
        <v>3496</v>
      </c>
      <c r="T4" s="24">
        <v>3745</v>
      </c>
      <c r="U4" s="24">
        <v>4239</v>
      </c>
      <c r="V4" s="24">
        <v>4563</v>
      </c>
      <c r="W4" s="27">
        <v>4575</v>
      </c>
      <c r="X4" s="24">
        <v>4840</v>
      </c>
      <c r="Y4" s="24">
        <v>5085</v>
      </c>
      <c r="Z4" s="24">
        <v>5476</v>
      </c>
    </row>
    <row r="5" spans="1:30" s="24" customFormat="1" x14ac:dyDescent="0.15">
      <c r="A5" s="7"/>
      <c r="B5" s="72" t="s">
        <v>39</v>
      </c>
      <c r="C5" s="24">
        <v>105.8</v>
      </c>
      <c r="D5" s="24">
        <v>113.3</v>
      </c>
      <c r="E5" s="24">
        <v>115.6</v>
      </c>
      <c r="F5" s="24">
        <v>126.7</v>
      </c>
      <c r="G5" s="27">
        <v>141.1</v>
      </c>
      <c r="H5" s="24">
        <v>150.5</v>
      </c>
      <c r="I5" s="24">
        <v>160.69999999999999</v>
      </c>
      <c r="J5" s="24">
        <v>183.3</v>
      </c>
      <c r="K5" s="27">
        <v>188</v>
      </c>
      <c r="L5" s="24">
        <v>194</v>
      </c>
      <c r="M5" s="24">
        <v>195</v>
      </c>
      <c r="N5" s="32">
        <v>196</v>
      </c>
      <c r="O5" s="27">
        <v>196</v>
      </c>
      <c r="P5" s="24">
        <v>221</v>
      </c>
      <c r="Q5" s="24">
        <v>224</v>
      </c>
      <c r="R5" s="32">
        <v>228</v>
      </c>
      <c r="S5" s="27">
        <v>241</v>
      </c>
      <c r="T5" s="24">
        <v>252</v>
      </c>
      <c r="U5" s="24">
        <v>274</v>
      </c>
      <c r="V5" s="24">
        <v>288</v>
      </c>
      <c r="W5" s="27">
        <v>290</v>
      </c>
      <c r="X5" s="24">
        <v>311</v>
      </c>
      <c r="Y5" s="24">
        <v>334</v>
      </c>
      <c r="Z5" s="24">
        <v>341</v>
      </c>
    </row>
    <row r="6" spans="1:30" s="24" customFormat="1" x14ac:dyDescent="0.15">
      <c r="B6" s="72"/>
      <c r="G6" s="27"/>
      <c r="K6" s="27"/>
      <c r="L6" s="32"/>
      <c r="M6" s="32"/>
      <c r="N6" s="32"/>
      <c r="O6" s="27"/>
      <c r="P6" s="32"/>
      <c r="Q6" s="32"/>
      <c r="R6" s="32"/>
      <c r="S6" s="27"/>
      <c r="T6" s="24">
        <v>3940</v>
      </c>
      <c r="W6" s="27"/>
      <c r="X6" s="24">
        <v>4890</v>
      </c>
      <c r="Y6" s="24">
        <v>5240</v>
      </c>
      <c r="AA6" s="24">
        <v>5875</v>
      </c>
    </row>
    <row r="7" spans="1:30" s="77" customFormat="1" x14ac:dyDescent="0.15">
      <c r="A7" s="57"/>
      <c r="B7" s="74" t="s">
        <v>4</v>
      </c>
      <c r="C7" s="33">
        <f>SUM(C4:C5)</f>
        <v>1511</v>
      </c>
      <c r="D7" s="33">
        <f t="shared" ref="D7:N7" si="0">SUM(D4:D5)</f>
        <v>1634.6</v>
      </c>
      <c r="E7" s="33">
        <f t="shared" si="0"/>
        <v>1711.8999999999999</v>
      </c>
      <c r="F7" s="33">
        <f t="shared" si="0"/>
        <v>1809.3</v>
      </c>
      <c r="G7" s="34">
        <f t="shared" si="0"/>
        <v>1916.5</v>
      </c>
      <c r="H7" s="35">
        <f t="shared" si="0"/>
        <v>2036.5</v>
      </c>
      <c r="I7" s="35">
        <f>SUM(I4:I5)</f>
        <v>2144.6</v>
      </c>
      <c r="J7" s="35">
        <f t="shared" si="0"/>
        <v>2293.9</v>
      </c>
      <c r="K7" s="34">
        <f t="shared" si="0"/>
        <v>2397</v>
      </c>
      <c r="L7" s="33">
        <f t="shared" si="0"/>
        <v>2577</v>
      </c>
      <c r="M7" s="33">
        <f t="shared" si="0"/>
        <v>2701</v>
      </c>
      <c r="N7" s="33">
        <f t="shared" si="0"/>
        <v>2851</v>
      </c>
      <c r="O7" s="34">
        <f t="shared" ref="O7" si="1">SUM(O4:O5)</f>
        <v>3006</v>
      </c>
      <c r="P7" s="33">
        <f t="shared" ref="P7:R7" si="2">SUM(P4:P5)</f>
        <v>3281</v>
      </c>
      <c r="Q7" s="33">
        <f t="shared" si="2"/>
        <v>3392</v>
      </c>
      <c r="R7" s="33">
        <f t="shared" si="2"/>
        <v>3603</v>
      </c>
      <c r="S7" s="34">
        <f t="shared" ref="S7:Z7" si="3">SUM(S4:S5)</f>
        <v>3737</v>
      </c>
      <c r="T7" s="33">
        <f t="shared" si="3"/>
        <v>3997</v>
      </c>
      <c r="U7" s="33">
        <f t="shared" si="3"/>
        <v>4513</v>
      </c>
      <c r="V7" s="33">
        <f t="shared" si="3"/>
        <v>4851</v>
      </c>
      <c r="W7" s="34">
        <f t="shared" si="3"/>
        <v>4865</v>
      </c>
      <c r="X7" s="33">
        <f>SUM(X4:X5)</f>
        <v>5151</v>
      </c>
      <c r="Y7" s="33">
        <f>SUM(Y4:Y5)</f>
        <v>5419</v>
      </c>
      <c r="Z7" s="33">
        <f t="shared" si="3"/>
        <v>5817</v>
      </c>
      <c r="AA7" s="77">
        <v>5875</v>
      </c>
    </row>
    <row r="8" spans="1:30" s="24" customFormat="1" x14ac:dyDescent="0.15">
      <c r="A8" s="7"/>
      <c r="B8" s="72" t="s">
        <v>5</v>
      </c>
      <c r="C8" s="32">
        <v>381.8</v>
      </c>
      <c r="D8" s="32">
        <v>405.3</v>
      </c>
      <c r="E8" s="32">
        <v>423.6</v>
      </c>
      <c r="F8" s="32">
        <v>443.6</v>
      </c>
      <c r="G8" s="27">
        <v>496.9</v>
      </c>
      <c r="H8" s="24">
        <v>525.5</v>
      </c>
      <c r="I8" s="24">
        <f>426.4+159</f>
        <v>585.4</v>
      </c>
      <c r="J8" s="24">
        <v>625.9</v>
      </c>
      <c r="K8" s="27">
        <v>650.5</v>
      </c>
      <c r="L8" s="32">
        <v>670</v>
      </c>
      <c r="M8" s="32">
        <f>528.1+186.3</f>
        <v>714.40000000000009</v>
      </c>
      <c r="N8" s="32">
        <v>738</v>
      </c>
      <c r="O8" s="27">
        <v>767</v>
      </c>
      <c r="P8" s="32">
        <v>849</v>
      </c>
      <c r="Q8" s="32">
        <v>889</v>
      </c>
      <c r="R8" s="32">
        <v>946</v>
      </c>
      <c r="S8" s="27">
        <v>914</v>
      </c>
      <c r="T8" s="24">
        <v>967</v>
      </c>
      <c r="U8" s="24">
        <v>1134</v>
      </c>
      <c r="V8" s="24">
        <v>1220</v>
      </c>
      <c r="W8" s="27">
        <v>1254</v>
      </c>
      <c r="X8" s="24">
        <v>1311</v>
      </c>
      <c r="Y8" s="24">
        <v>1394</v>
      </c>
      <c r="Z8" s="24">
        <v>1479</v>
      </c>
    </row>
    <row r="9" spans="1:30" s="24" customFormat="1" x14ac:dyDescent="0.15">
      <c r="A9" s="7"/>
      <c r="B9" s="72" t="s">
        <v>6</v>
      </c>
      <c r="C9" s="38">
        <f>C7-C8</f>
        <v>1129.2</v>
      </c>
      <c r="D9" s="38">
        <f>D7-D8</f>
        <v>1229.3</v>
      </c>
      <c r="E9" s="38">
        <f>E7-E8</f>
        <v>1288.2999999999997</v>
      </c>
      <c r="F9" s="38">
        <f>F7-F8</f>
        <v>1365.6999999999998</v>
      </c>
      <c r="G9" s="39">
        <f>G7-G8</f>
        <v>1419.6</v>
      </c>
      <c r="H9" s="40">
        <f t="shared" ref="H9:N9" si="4">H7-H8</f>
        <v>1511</v>
      </c>
      <c r="I9" s="40">
        <f t="shared" si="4"/>
        <v>1559.1999999999998</v>
      </c>
      <c r="J9" s="40">
        <f t="shared" si="4"/>
        <v>1668</v>
      </c>
      <c r="K9" s="39">
        <f t="shared" si="4"/>
        <v>1746.5</v>
      </c>
      <c r="L9" s="38">
        <f t="shared" si="4"/>
        <v>1907</v>
      </c>
      <c r="M9" s="38">
        <f t="shared" si="4"/>
        <v>1986.6</v>
      </c>
      <c r="N9" s="38">
        <f t="shared" si="4"/>
        <v>2113</v>
      </c>
      <c r="O9" s="39">
        <f t="shared" ref="O9" si="5">O7-O8</f>
        <v>2239</v>
      </c>
      <c r="P9" s="38">
        <f t="shared" ref="P9:R9" si="6">P7-P8</f>
        <v>2432</v>
      </c>
      <c r="Q9" s="38">
        <f t="shared" si="6"/>
        <v>2503</v>
      </c>
      <c r="R9" s="38">
        <f t="shared" si="6"/>
        <v>2657</v>
      </c>
      <c r="S9" s="39">
        <f t="shared" ref="S9" si="7">S7-S8</f>
        <v>2823</v>
      </c>
      <c r="T9" s="38">
        <f t="shared" ref="T9:Z9" si="8">T7-T8</f>
        <v>3030</v>
      </c>
      <c r="U9" s="38">
        <f t="shared" si="8"/>
        <v>3379</v>
      </c>
      <c r="V9" s="38">
        <f t="shared" si="8"/>
        <v>3631</v>
      </c>
      <c r="W9" s="39">
        <f t="shared" si="8"/>
        <v>3611</v>
      </c>
      <c r="X9" s="38">
        <f t="shared" si="8"/>
        <v>3840</v>
      </c>
      <c r="Y9" s="38">
        <f t="shared" si="8"/>
        <v>4025</v>
      </c>
      <c r="Z9" s="38">
        <f t="shared" si="8"/>
        <v>4338</v>
      </c>
    </row>
    <row r="10" spans="1:30" s="24" customFormat="1" x14ac:dyDescent="0.15">
      <c r="A10" s="7"/>
      <c r="B10" s="72" t="s">
        <v>7</v>
      </c>
      <c r="C10" s="32">
        <v>222.1</v>
      </c>
      <c r="D10" s="32">
        <v>234.1</v>
      </c>
      <c r="E10" s="32">
        <v>239.2</v>
      </c>
      <c r="F10" s="32">
        <v>250.8</v>
      </c>
      <c r="G10" s="27">
        <v>260.89999999999998</v>
      </c>
      <c r="H10" s="24">
        <v>291.5</v>
      </c>
      <c r="I10" s="24">
        <v>311.39999999999998</v>
      </c>
      <c r="J10" s="24">
        <v>344.1</v>
      </c>
      <c r="K10" s="27">
        <v>376</v>
      </c>
      <c r="L10" s="32">
        <v>387</v>
      </c>
      <c r="M10" s="32">
        <v>394</v>
      </c>
      <c r="N10" s="32">
        <v>397</v>
      </c>
      <c r="O10" s="27">
        <v>424</v>
      </c>
      <c r="P10" s="32">
        <v>463</v>
      </c>
      <c r="Q10" s="32">
        <v>481</v>
      </c>
      <c r="R10" s="32">
        <v>518</v>
      </c>
      <c r="S10" s="27">
        <v>554</v>
      </c>
      <c r="T10" s="24">
        <v>607</v>
      </c>
      <c r="U10" s="24">
        <v>774</v>
      </c>
      <c r="V10" s="24">
        <v>831</v>
      </c>
      <c r="W10" s="27">
        <v>859</v>
      </c>
      <c r="X10" s="24">
        <v>898</v>
      </c>
      <c r="Y10" s="24">
        <v>902</v>
      </c>
      <c r="Z10" s="24">
        <v>939</v>
      </c>
    </row>
    <row r="11" spans="1:30" s="24" customFormat="1" x14ac:dyDescent="0.15">
      <c r="A11" s="7"/>
      <c r="B11" s="72" t="s">
        <v>8</v>
      </c>
      <c r="C11" s="32">
        <v>736.9</v>
      </c>
      <c r="D11" s="32">
        <v>793.6</v>
      </c>
      <c r="E11" s="32">
        <v>818.8</v>
      </c>
      <c r="F11" s="32">
        <v>890.3</v>
      </c>
      <c r="G11" s="27">
        <v>895.8</v>
      </c>
      <c r="H11" s="24">
        <v>934.9</v>
      </c>
      <c r="I11" s="24">
        <v>997.9</v>
      </c>
      <c r="J11" s="24">
        <v>1089.2</v>
      </c>
      <c r="K11" s="27">
        <v>1106</v>
      </c>
      <c r="L11" s="32">
        <v>1153</v>
      </c>
      <c r="M11" s="32">
        <v>1167</v>
      </c>
      <c r="N11" s="32">
        <v>1364</v>
      </c>
      <c r="O11" s="27">
        <v>1329</v>
      </c>
      <c r="P11" s="32">
        <v>1504</v>
      </c>
      <c r="Q11" s="32">
        <v>1588</v>
      </c>
      <c r="R11" s="32">
        <v>1643</v>
      </c>
      <c r="S11" s="27">
        <v>1697</v>
      </c>
      <c r="T11" s="24">
        <v>1824</v>
      </c>
      <c r="U11" s="24">
        <v>2063</v>
      </c>
      <c r="V11" s="24">
        <v>2346</v>
      </c>
      <c r="W11" s="27">
        <v>2390</v>
      </c>
      <c r="X11" s="24">
        <v>2275</v>
      </c>
      <c r="Y11" s="24">
        <v>2377</v>
      </c>
      <c r="Z11" s="24">
        <v>2632</v>
      </c>
    </row>
    <row r="12" spans="1:30" s="24" customFormat="1" x14ac:dyDescent="0.15">
      <c r="A12" s="7"/>
      <c r="B12" s="72" t="s">
        <v>9</v>
      </c>
      <c r="C12" s="32">
        <f>175.8-36.6</f>
        <v>139.20000000000002</v>
      </c>
      <c r="D12" s="32">
        <v>181.6</v>
      </c>
      <c r="E12" s="32">
        <v>186.8</v>
      </c>
      <c r="F12" s="32">
        <v>203.9</v>
      </c>
      <c r="G12" s="27">
        <v>210.8</v>
      </c>
      <c r="H12" s="24">
        <v>252</v>
      </c>
      <c r="I12" s="24">
        <v>246.7</v>
      </c>
      <c r="J12" s="24">
        <v>257.89999999999998</v>
      </c>
      <c r="K12" s="27">
        <v>260.3</v>
      </c>
      <c r="L12" s="32">
        <v>282.89999999999998</v>
      </c>
      <c r="M12" s="32">
        <v>270.60000000000002</v>
      </c>
      <c r="N12" s="32">
        <v>274</v>
      </c>
      <c r="O12" s="27">
        <v>295</v>
      </c>
      <c r="P12" s="32">
        <v>350</v>
      </c>
      <c r="Q12" s="32">
        <v>342</v>
      </c>
      <c r="R12" s="32">
        <v>359</v>
      </c>
      <c r="S12" s="27">
        <v>362</v>
      </c>
      <c r="T12" s="24">
        <f>375+166</f>
        <v>541</v>
      </c>
      <c r="U12" s="24">
        <v>477</v>
      </c>
      <c r="V12" s="24">
        <v>490</v>
      </c>
      <c r="W12" s="27">
        <v>502</v>
      </c>
      <c r="X12" s="24">
        <v>489</v>
      </c>
      <c r="Y12" s="24">
        <v>522</v>
      </c>
      <c r="Z12" s="24">
        <v>574</v>
      </c>
    </row>
    <row r="13" spans="1:30" s="24" customFormat="1" x14ac:dyDescent="0.15">
      <c r="A13" s="7"/>
      <c r="B13" s="72" t="s">
        <v>10</v>
      </c>
      <c r="C13" s="38">
        <f>SUM(C10:C12)</f>
        <v>1098.2</v>
      </c>
      <c r="D13" s="38">
        <f>SUM(D10:D12)</f>
        <v>1209.3</v>
      </c>
      <c r="E13" s="38">
        <f>SUM(E10:E12)</f>
        <v>1244.8</v>
      </c>
      <c r="F13" s="38">
        <f>SUM(F10:F12)</f>
        <v>1345</v>
      </c>
      <c r="G13" s="39">
        <f>SUM(G10:G12)</f>
        <v>1367.4999999999998</v>
      </c>
      <c r="H13" s="40">
        <f t="shared" ref="H13:M13" si="9">SUM(H10:H12)</f>
        <v>1478.4</v>
      </c>
      <c r="I13" s="40">
        <f t="shared" si="9"/>
        <v>1556</v>
      </c>
      <c r="J13" s="40">
        <f t="shared" si="9"/>
        <v>1691.2000000000003</v>
      </c>
      <c r="K13" s="39">
        <f t="shared" si="9"/>
        <v>1742.3</v>
      </c>
      <c r="L13" s="38">
        <f t="shared" si="9"/>
        <v>1822.9</v>
      </c>
      <c r="M13" s="38">
        <f t="shared" si="9"/>
        <v>1831.6</v>
      </c>
      <c r="N13" s="38">
        <f t="shared" ref="N13" si="10">SUM(N10:N12)</f>
        <v>2035</v>
      </c>
      <c r="O13" s="39">
        <f t="shared" ref="O13" si="11">SUM(O10:O12)</f>
        <v>2048</v>
      </c>
      <c r="P13" s="38">
        <f t="shared" ref="P13:Q13" si="12">SUM(P10:P12)</f>
        <v>2317</v>
      </c>
      <c r="Q13" s="38">
        <f t="shared" si="12"/>
        <v>2411</v>
      </c>
      <c r="R13" s="38">
        <f t="shared" ref="R13:T13" si="13">SUM(R10:R12)</f>
        <v>2520</v>
      </c>
      <c r="S13" s="39">
        <f t="shared" si="13"/>
        <v>2613</v>
      </c>
      <c r="T13" s="38">
        <f t="shared" si="13"/>
        <v>2972</v>
      </c>
      <c r="U13" s="38">
        <f t="shared" ref="U13:V13" si="14">SUM(U10:U12)</f>
        <v>3314</v>
      </c>
      <c r="V13" s="38">
        <f t="shared" si="14"/>
        <v>3667</v>
      </c>
      <c r="W13" s="39">
        <f t="shared" ref="W13:X13" si="15">SUM(W10:W12)</f>
        <v>3751</v>
      </c>
      <c r="X13" s="38">
        <f t="shared" si="15"/>
        <v>3662</v>
      </c>
      <c r="Y13" s="38">
        <f t="shared" ref="Y13" si="16">SUM(Y10:Y12)</f>
        <v>3801</v>
      </c>
      <c r="Z13" s="38">
        <f t="shared" ref="Z13" si="17">SUM(Z10:Z12)</f>
        <v>4145</v>
      </c>
    </row>
    <row r="14" spans="1:30" s="24" customFormat="1" x14ac:dyDescent="0.15">
      <c r="A14" s="7"/>
      <c r="B14" s="72" t="s">
        <v>11</v>
      </c>
      <c r="C14" s="38">
        <f>C9-C13</f>
        <v>31</v>
      </c>
      <c r="D14" s="38">
        <f>D9-D13</f>
        <v>20</v>
      </c>
      <c r="E14" s="38">
        <f>E9-E13</f>
        <v>43.499999999999773</v>
      </c>
      <c r="F14" s="38">
        <f>F9-F13</f>
        <v>20.699999999999818</v>
      </c>
      <c r="G14" s="39">
        <f>G9-G13</f>
        <v>52.100000000000136</v>
      </c>
      <c r="H14" s="40">
        <f t="shared" ref="H14" si="18">H9-H13</f>
        <v>32.599999999999909</v>
      </c>
      <c r="I14" s="40">
        <f t="shared" ref="I14:N14" si="19">I9-I13</f>
        <v>3.1999999999998181</v>
      </c>
      <c r="J14" s="40">
        <f t="shared" si="19"/>
        <v>-23.200000000000273</v>
      </c>
      <c r="K14" s="39">
        <f t="shared" si="19"/>
        <v>4.2000000000000455</v>
      </c>
      <c r="L14" s="38">
        <f t="shared" si="19"/>
        <v>84.099999999999909</v>
      </c>
      <c r="M14" s="38">
        <f t="shared" si="19"/>
        <v>155</v>
      </c>
      <c r="N14" s="38">
        <f t="shared" si="19"/>
        <v>78</v>
      </c>
      <c r="O14" s="39">
        <f t="shared" ref="O14:Q14" si="20">O9-O13</f>
        <v>191</v>
      </c>
      <c r="P14" s="38">
        <f t="shared" si="20"/>
        <v>115</v>
      </c>
      <c r="Q14" s="38">
        <f t="shared" si="20"/>
        <v>92</v>
      </c>
      <c r="R14" s="38">
        <f t="shared" ref="R14:T14" si="21">R9-R13</f>
        <v>137</v>
      </c>
      <c r="S14" s="39">
        <f t="shared" si="21"/>
        <v>210</v>
      </c>
      <c r="T14" s="38">
        <f t="shared" si="21"/>
        <v>58</v>
      </c>
      <c r="U14" s="38">
        <f t="shared" ref="U14:V14" si="22">U9-U13</f>
        <v>65</v>
      </c>
      <c r="V14" s="38">
        <f t="shared" si="22"/>
        <v>-36</v>
      </c>
      <c r="W14" s="39">
        <f t="shared" ref="W14:X14" si="23">W9-W13</f>
        <v>-140</v>
      </c>
      <c r="X14" s="38">
        <f t="shared" si="23"/>
        <v>178</v>
      </c>
      <c r="Y14" s="38">
        <f t="shared" ref="Y14" si="24">Y9-Y13</f>
        <v>224</v>
      </c>
      <c r="Z14" s="38">
        <f t="shared" ref="Z14" si="25">Z9-Z13</f>
        <v>193</v>
      </c>
    </row>
    <row r="15" spans="1:30" s="24" customFormat="1" x14ac:dyDescent="0.15">
      <c r="A15" s="7"/>
      <c r="B15" s="72" t="s">
        <v>12</v>
      </c>
      <c r="C15" s="32">
        <f>4.5-16.6-0.9</f>
        <v>-13.000000000000002</v>
      </c>
      <c r="D15" s="32">
        <f>3.2-18+1.9</f>
        <v>-12.9</v>
      </c>
      <c r="E15" s="32">
        <f>3.5-18.2-7+21.7</f>
        <v>0</v>
      </c>
      <c r="F15" s="32">
        <f>3.9-19.4-9.2</f>
        <v>-24.699999999999996</v>
      </c>
      <c r="G15" s="27">
        <f>8.1-22-13.8+12.8</f>
        <v>-14.900000000000002</v>
      </c>
      <c r="H15" s="24">
        <f>11.9-20.7+0.5</f>
        <v>-8.2999999999999989</v>
      </c>
      <c r="I15" s="24">
        <f>3.7-21.9+1.7+0.8</f>
        <v>-15.7</v>
      </c>
      <c r="J15" s="24">
        <f>3.6-24.3+20.5</f>
        <v>-0.19999999999999929</v>
      </c>
      <c r="K15" s="27">
        <f>5-22+3+0</f>
        <v>-14</v>
      </c>
      <c r="L15" s="32">
        <f>9-22-8</f>
        <v>-21</v>
      </c>
      <c r="M15" s="32">
        <f>10-21+1+1</f>
        <v>-9</v>
      </c>
      <c r="N15" s="32">
        <f>12-22+20</f>
        <v>10</v>
      </c>
      <c r="O15" s="27">
        <f>16-34+211+1</f>
        <v>194</v>
      </c>
      <c r="P15" s="32">
        <f>12-39+143</f>
        <v>116</v>
      </c>
      <c r="Q15" s="32">
        <f>13-40+63</f>
        <v>36</v>
      </c>
      <c r="R15" s="41">
        <f>16-41+125+2</f>
        <v>102</v>
      </c>
      <c r="S15" s="27">
        <f>281-9</f>
        <v>272</v>
      </c>
      <c r="T15" s="24">
        <f>109-3</f>
        <v>106</v>
      </c>
      <c r="U15" s="24">
        <f>6-7</f>
        <v>-1</v>
      </c>
      <c r="V15" s="24">
        <f>31+1</f>
        <v>32</v>
      </c>
      <c r="W15" s="27">
        <f>192-5</f>
        <v>187</v>
      </c>
      <c r="X15" s="24">
        <f>682-21</f>
        <v>661</v>
      </c>
      <c r="Y15" s="24">
        <f>1036-10</f>
        <v>1026</v>
      </c>
      <c r="Z15" s="24">
        <f>260-28</f>
        <v>232</v>
      </c>
    </row>
    <row r="16" spans="1:30" s="24" customFormat="1" x14ac:dyDescent="0.15">
      <c r="A16" s="7"/>
      <c r="B16" s="72" t="s">
        <v>13</v>
      </c>
      <c r="C16" s="38">
        <f>C14+C15</f>
        <v>18</v>
      </c>
      <c r="D16" s="38">
        <f>D14+D15</f>
        <v>7.1</v>
      </c>
      <c r="E16" s="38">
        <f>E14+E15</f>
        <v>43.499999999999773</v>
      </c>
      <c r="F16" s="38">
        <f>F14+F15</f>
        <v>-4.0000000000001776</v>
      </c>
      <c r="G16" s="39">
        <f>G14+G15</f>
        <v>37.200000000000131</v>
      </c>
      <c r="H16" s="40">
        <f t="shared" ref="H16:J16" si="26">H14+H15</f>
        <v>24.299999999999912</v>
      </c>
      <c r="I16" s="40">
        <f t="shared" si="26"/>
        <v>-12.500000000000181</v>
      </c>
      <c r="J16" s="40">
        <f t="shared" si="26"/>
        <v>-23.400000000000272</v>
      </c>
      <c r="K16" s="39">
        <f t="shared" ref="K16:L16" si="27">K14+K15</f>
        <v>-9.7999999999999545</v>
      </c>
      <c r="L16" s="38">
        <f t="shared" si="27"/>
        <v>63.099999999999909</v>
      </c>
      <c r="M16" s="38">
        <f t="shared" ref="M16:N16" si="28">M14+M15</f>
        <v>146</v>
      </c>
      <c r="N16" s="38">
        <f t="shared" si="28"/>
        <v>88</v>
      </c>
      <c r="O16" s="39">
        <f t="shared" ref="O16" si="29">O14+O15</f>
        <v>385</v>
      </c>
      <c r="P16" s="38">
        <f t="shared" ref="P16:Z16" si="30">P14+P15</f>
        <v>231</v>
      </c>
      <c r="Q16" s="38">
        <f t="shared" si="30"/>
        <v>128</v>
      </c>
      <c r="R16" s="38">
        <f t="shared" si="30"/>
        <v>239</v>
      </c>
      <c r="S16" s="39">
        <f t="shared" ref="S16" si="31">S14+S15</f>
        <v>482</v>
      </c>
      <c r="T16" s="38">
        <f t="shared" si="30"/>
        <v>164</v>
      </c>
      <c r="U16" s="38">
        <f t="shared" si="30"/>
        <v>64</v>
      </c>
      <c r="V16" s="38">
        <f t="shared" si="30"/>
        <v>-4</v>
      </c>
      <c r="W16" s="39">
        <f t="shared" si="30"/>
        <v>47</v>
      </c>
      <c r="X16" s="38">
        <f t="shared" si="30"/>
        <v>839</v>
      </c>
      <c r="Y16" s="38">
        <f t="shared" si="30"/>
        <v>1250</v>
      </c>
      <c r="Z16" s="38">
        <f t="shared" si="30"/>
        <v>425</v>
      </c>
    </row>
    <row r="17" spans="1:27" s="24" customFormat="1" x14ac:dyDescent="0.15">
      <c r="A17" s="7"/>
      <c r="B17" s="72" t="s">
        <v>14</v>
      </c>
      <c r="C17" s="32">
        <v>13.9</v>
      </c>
      <c r="D17" s="32">
        <v>7.8</v>
      </c>
      <c r="E17" s="32">
        <v>68.5</v>
      </c>
      <c r="F17" s="32">
        <v>21.3</v>
      </c>
      <c r="G17" s="27">
        <v>-1.6</v>
      </c>
      <c r="H17" s="24">
        <v>-205.3</v>
      </c>
      <c r="I17" s="24">
        <v>24.7</v>
      </c>
      <c r="J17" s="24">
        <v>27.9</v>
      </c>
      <c r="K17" s="27">
        <v>-11</v>
      </c>
      <c r="L17" s="32">
        <v>17</v>
      </c>
      <c r="M17" s="32">
        <v>39</v>
      </c>
      <c r="N17" s="32">
        <v>21</v>
      </c>
      <c r="O17" s="27">
        <v>41</v>
      </c>
      <c r="P17" s="32">
        <v>-68</v>
      </c>
      <c r="Q17" s="32">
        <v>23</v>
      </c>
      <c r="R17" s="41">
        <v>-123</v>
      </c>
      <c r="S17" s="27">
        <v>90</v>
      </c>
      <c r="T17" s="24">
        <v>73</v>
      </c>
      <c r="U17" s="24">
        <v>173</v>
      </c>
      <c r="V17" s="24">
        <v>244</v>
      </c>
      <c r="W17" s="27">
        <v>-52</v>
      </c>
      <c r="X17" s="24">
        <f>X16*0.22</f>
        <v>184.58</v>
      </c>
      <c r="Y17" s="24">
        <v>169</v>
      </c>
      <c r="Z17" s="24">
        <v>158</v>
      </c>
    </row>
    <row r="18" spans="1:27" s="64" customFormat="1" x14ac:dyDescent="0.15">
      <c r="A18" s="65"/>
      <c r="B18" s="73" t="s">
        <v>140</v>
      </c>
      <c r="C18" s="69"/>
      <c r="D18" s="69"/>
      <c r="E18" s="69"/>
      <c r="F18" s="69"/>
      <c r="G18" s="68"/>
      <c r="K18" s="68"/>
      <c r="L18" s="69"/>
      <c r="M18" s="69"/>
      <c r="N18" s="69"/>
      <c r="O18" s="68"/>
      <c r="P18" s="69"/>
      <c r="Q18" s="69"/>
      <c r="R18" s="70"/>
      <c r="S18" s="68"/>
      <c r="W18" s="68"/>
      <c r="X18" s="64">
        <v>-1786</v>
      </c>
    </row>
    <row r="19" spans="1:27" s="77" customFormat="1" x14ac:dyDescent="0.15">
      <c r="A19" s="57"/>
      <c r="B19" s="74" t="s">
        <v>15</v>
      </c>
      <c r="C19" s="33">
        <f t="shared" ref="C19:H19" si="32">C16-C17</f>
        <v>4.0999999999999996</v>
      </c>
      <c r="D19" s="33">
        <f t="shared" si="32"/>
        <v>-0.70000000000000018</v>
      </c>
      <c r="E19" s="33">
        <f t="shared" si="32"/>
        <v>-25.000000000000227</v>
      </c>
      <c r="F19" s="33">
        <f t="shared" si="32"/>
        <v>-25.300000000000178</v>
      </c>
      <c r="G19" s="34">
        <f t="shared" si="32"/>
        <v>38.800000000000132</v>
      </c>
      <c r="H19" s="35">
        <f t="shared" si="32"/>
        <v>229.59999999999991</v>
      </c>
      <c r="I19" s="35">
        <f t="shared" ref="I19" si="33">I16-I17</f>
        <v>-37.20000000000018</v>
      </c>
      <c r="J19" s="35">
        <f t="shared" ref="J19:Q19" si="34">J16-J17</f>
        <v>-51.300000000000267</v>
      </c>
      <c r="K19" s="34">
        <f t="shared" si="34"/>
        <v>1.2000000000000455</v>
      </c>
      <c r="L19" s="33">
        <f t="shared" si="34"/>
        <v>46.099999999999909</v>
      </c>
      <c r="M19" s="33">
        <f t="shared" si="34"/>
        <v>107</v>
      </c>
      <c r="N19" s="33">
        <f t="shared" si="34"/>
        <v>67</v>
      </c>
      <c r="O19" s="34">
        <f t="shared" si="34"/>
        <v>344</v>
      </c>
      <c r="P19" s="33">
        <f t="shared" si="34"/>
        <v>299</v>
      </c>
      <c r="Q19" s="33">
        <f t="shared" si="34"/>
        <v>105</v>
      </c>
      <c r="R19" s="33">
        <f t="shared" ref="R19:V19" si="35">R16-R17</f>
        <v>362</v>
      </c>
      <c r="S19" s="34">
        <f t="shared" si="35"/>
        <v>392</v>
      </c>
      <c r="T19" s="33">
        <f t="shared" si="35"/>
        <v>91</v>
      </c>
      <c r="U19" s="33">
        <f t="shared" si="35"/>
        <v>-109</v>
      </c>
      <c r="V19" s="33">
        <f t="shared" si="35"/>
        <v>-248</v>
      </c>
      <c r="W19" s="34">
        <f>W16-W17</f>
        <v>99</v>
      </c>
      <c r="X19" s="33">
        <f>X16-X17</f>
        <v>654.41999999999996</v>
      </c>
      <c r="Y19" s="33">
        <f>Y16-Y17</f>
        <v>1081</v>
      </c>
      <c r="Z19" s="33">
        <f>Z16-Z17</f>
        <v>267</v>
      </c>
    </row>
    <row r="20" spans="1:27" s="78" customFormat="1" x14ac:dyDescent="0.15">
      <c r="A20" s="58"/>
      <c r="B20" s="75" t="s">
        <v>16</v>
      </c>
      <c r="C20" s="59">
        <f t="shared" ref="C20:I20" si="36">IFERROR(C19/C21,0)</f>
        <v>6.1719102814993222E-3</v>
      </c>
      <c r="D20" s="59">
        <f t="shared" si="36"/>
        <v>-1.0617321401486428E-3</v>
      </c>
      <c r="E20" s="59">
        <f t="shared" si="36"/>
        <v>-3.7644932992019618E-2</v>
      </c>
      <c r="F20" s="59">
        <f t="shared" si="36"/>
        <v>-3.7817638266069029E-2</v>
      </c>
      <c r="G20" s="60">
        <f t="shared" si="36"/>
        <v>5.6502111547983298E-2</v>
      </c>
      <c r="H20" s="61">
        <f t="shared" si="36"/>
        <v>0.32993246156056893</v>
      </c>
      <c r="I20" s="61">
        <f t="shared" si="36"/>
        <v>-5.3881807647740705E-2</v>
      </c>
      <c r="J20" s="61">
        <f t="shared" ref="J20:M20" si="37">IFERROR(J19/J21,0)</f>
        <v>-7.3191610786132497E-2</v>
      </c>
      <c r="K20" s="60">
        <f t="shared" si="37"/>
        <v>1.6620498614959079E-3</v>
      </c>
      <c r="L20" s="59">
        <f t="shared" si="37"/>
        <v>6.3211298505416028E-2</v>
      </c>
      <c r="M20" s="59">
        <f t="shared" si="37"/>
        <v>0.14496680666576345</v>
      </c>
      <c r="N20" s="59">
        <f t="shared" ref="N20" si="38">IFERROR(N19/N21,0)</f>
        <v>8.9452603471295064E-2</v>
      </c>
      <c r="O20" s="60">
        <f t="shared" ref="O20" si="39">IFERROR(O19/O21,0)</f>
        <v>0.45623342175066312</v>
      </c>
      <c r="P20" s="59">
        <f t="shared" ref="P20:Q20" si="40">IFERROR(P19/P21,0)</f>
        <v>0.3863049095607235</v>
      </c>
      <c r="Q20" s="59">
        <f t="shared" si="40"/>
        <v>0.13375796178343949</v>
      </c>
      <c r="R20" s="59">
        <f t="shared" ref="R20:V20" si="41">IFERROR(R19/R21,0)</f>
        <v>0.46055979643765904</v>
      </c>
      <c r="S20" s="60">
        <f t="shared" si="41"/>
        <v>0.49432534678436318</v>
      </c>
      <c r="T20" s="59">
        <f t="shared" si="41"/>
        <v>0.11446540880503145</v>
      </c>
      <c r="U20" s="59">
        <f t="shared" si="41"/>
        <v>-0.12400455062571103</v>
      </c>
      <c r="V20" s="59">
        <f t="shared" si="41"/>
        <v>-0.27896512935883017</v>
      </c>
      <c r="W20" s="60">
        <f t="shared" ref="W20:X20" si="42">IFERROR(W19/W21,0)</f>
        <v>0.10843373493975904</v>
      </c>
      <c r="X20" s="59">
        <f t="shared" si="42"/>
        <v>0.70978308026030368</v>
      </c>
      <c r="Y20" s="59">
        <f t="shared" ref="Y20" si="43">IFERROR(Y19/Y21,0)</f>
        <v>1.1512247071352502</v>
      </c>
      <c r="Z20" s="59">
        <f t="shared" ref="Z20" si="44">IFERROR(Z19/Z21,0)</f>
        <v>0.28434504792332266</v>
      </c>
    </row>
    <row r="21" spans="1:27" s="24" customFormat="1" x14ac:dyDescent="0.15">
      <c r="A21" s="7"/>
      <c r="B21" s="72" t="s">
        <v>17</v>
      </c>
      <c r="C21" s="32">
        <v>664.3</v>
      </c>
      <c r="D21" s="32">
        <v>659.3</v>
      </c>
      <c r="E21" s="32">
        <v>664.1</v>
      </c>
      <c r="F21" s="32">
        <v>669</v>
      </c>
      <c r="G21" s="27">
        <v>686.7</v>
      </c>
      <c r="H21" s="32">
        <v>695.9</v>
      </c>
      <c r="I21" s="32">
        <v>690.4</v>
      </c>
      <c r="J21" s="32">
        <v>700.9</v>
      </c>
      <c r="K21" s="27">
        <v>722</v>
      </c>
      <c r="L21" s="32">
        <v>729.3</v>
      </c>
      <c r="M21" s="32">
        <v>738.1</v>
      </c>
      <c r="N21" s="32">
        <v>749</v>
      </c>
      <c r="O21" s="27">
        <v>754</v>
      </c>
      <c r="P21" s="32">
        <v>774</v>
      </c>
      <c r="Q21" s="32">
        <v>785</v>
      </c>
      <c r="R21" s="41">
        <v>786</v>
      </c>
      <c r="S21" s="27">
        <v>793</v>
      </c>
      <c r="T21" s="24">
        <v>795</v>
      </c>
      <c r="U21" s="24">
        <v>879</v>
      </c>
      <c r="V21" s="24">
        <v>889</v>
      </c>
      <c r="W21" s="27">
        <v>913</v>
      </c>
      <c r="X21" s="24">
        <v>922</v>
      </c>
      <c r="Y21" s="24">
        <v>939</v>
      </c>
      <c r="Z21" s="24">
        <v>939</v>
      </c>
    </row>
    <row r="22" spans="1:27" x14ac:dyDescent="0.15">
      <c r="C22" s="31"/>
      <c r="D22" s="31"/>
      <c r="E22" s="31"/>
      <c r="F22" s="31"/>
      <c r="L22" s="31"/>
      <c r="M22" s="31"/>
      <c r="N22" s="31"/>
      <c r="P22" s="31"/>
      <c r="Q22" s="31"/>
      <c r="R22" s="31"/>
      <c r="T22" s="48">
        <v>0.23</v>
      </c>
      <c r="V22" s="48">
        <v>0.34</v>
      </c>
      <c r="W22" s="47">
        <v>0.31</v>
      </c>
    </row>
    <row r="23" spans="1:27" s="37" customFormat="1" x14ac:dyDescent="0.15">
      <c r="A23" s="2"/>
      <c r="B23" s="76" t="s">
        <v>18</v>
      </c>
      <c r="C23" s="42"/>
      <c r="D23" s="42"/>
      <c r="E23" s="42"/>
      <c r="F23" s="42"/>
      <c r="G23" s="43">
        <f t="shared" ref="G23:AA23" si="45">IFERROR((G7/C7)-1,0)</f>
        <v>0.26836532097948385</v>
      </c>
      <c r="H23" s="42">
        <f t="shared" si="45"/>
        <v>0.24587054936987651</v>
      </c>
      <c r="I23" s="42">
        <f t="shared" si="45"/>
        <v>0.25276009112681819</v>
      </c>
      <c r="J23" s="42">
        <f t="shared" si="45"/>
        <v>0.26783839053777703</v>
      </c>
      <c r="K23" s="43">
        <f t="shared" si="45"/>
        <v>0.25071745369162546</v>
      </c>
      <c r="L23" s="42">
        <f t="shared" si="45"/>
        <v>0.26540633439725014</v>
      </c>
      <c r="M23" s="42">
        <f t="shared" si="45"/>
        <v>0.25944232024619973</v>
      </c>
      <c r="N23" s="42">
        <f t="shared" si="45"/>
        <v>0.24286150224508485</v>
      </c>
      <c r="O23" s="43">
        <f t="shared" si="45"/>
        <v>0.25406758448060085</v>
      </c>
      <c r="P23" s="42">
        <f t="shared" si="45"/>
        <v>0.27318587504850611</v>
      </c>
      <c r="Q23" s="42">
        <f t="shared" si="45"/>
        <v>0.25583117363939278</v>
      </c>
      <c r="R23" s="42">
        <f t="shared" si="45"/>
        <v>0.26376709926341624</v>
      </c>
      <c r="S23" s="43">
        <f t="shared" si="45"/>
        <v>0.24318030605455765</v>
      </c>
      <c r="T23" s="42">
        <f t="shared" si="45"/>
        <v>0.21822615056385253</v>
      </c>
      <c r="U23" s="42">
        <f t="shared" si="45"/>
        <v>0.33048349056603765</v>
      </c>
      <c r="V23" s="42">
        <f t="shared" si="45"/>
        <v>0.34637801831806825</v>
      </c>
      <c r="W23" s="43">
        <f t="shared" si="45"/>
        <v>0.30184640085630177</v>
      </c>
      <c r="X23" s="42">
        <f t="shared" si="45"/>
        <v>0.28871653740305225</v>
      </c>
      <c r="Y23" s="42">
        <f t="shared" si="45"/>
        <v>0.20075337912696645</v>
      </c>
      <c r="Z23" s="42">
        <f t="shared" si="45"/>
        <v>0.19913419913419905</v>
      </c>
      <c r="AA23" s="42">
        <f t="shared" si="45"/>
        <v>0.20760534429599176</v>
      </c>
    </row>
    <row r="24" spans="1:27" s="37" customFormat="1" x14ac:dyDescent="0.15">
      <c r="A24" s="2"/>
      <c r="B24" s="56" t="s">
        <v>55</v>
      </c>
      <c r="C24" s="44"/>
      <c r="D24" s="44"/>
      <c r="E24" s="44"/>
      <c r="F24" s="44"/>
      <c r="G24" s="45">
        <f t="shared" ref="G24:P26" si="46">IFERROR((G10/C10)-1,0)</f>
        <v>0.17469608284556504</v>
      </c>
      <c r="H24" s="44">
        <f t="shared" si="46"/>
        <v>0.24519436138402395</v>
      </c>
      <c r="I24" s="44">
        <f t="shared" si="46"/>
        <v>0.30183946488294322</v>
      </c>
      <c r="J24" s="44">
        <f t="shared" si="46"/>
        <v>0.37200956937799057</v>
      </c>
      <c r="K24" s="45">
        <f t="shared" si="46"/>
        <v>0.44116519739363746</v>
      </c>
      <c r="L24" s="44">
        <f t="shared" si="46"/>
        <v>0.32761578044596917</v>
      </c>
      <c r="M24" s="44">
        <f t="shared" si="46"/>
        <v>0.26525369299935786</v>
      </c>
      <c r="N24" s="44">
        <f t="shared" si="46"/>
        <v>0.15373437954083102</v>
      </c>
      <c r="O24" s="45">
        <f t="shared" si="46"/>
        <v>0.12765957446808507</v>
      </c>
      <c r="P24" s="44">
        <f t="shared" si="46"/>
        <v>0.19638242894056845</v>
      </c>
      <c r="Q24" s="44">
        <f t="shared" ref="Q24:Z26" si="47">IFERROR((Q10/M10)-1,0)</f>
        <v>0.22081218274111669</v>
      </c>
      <c r="R24" s="44">
        <f t="shared" si="47"/>
        <v>0.30478589420654911</v>
      </c>
      <c r="S24" s="45">
        <f t="shared" si="47"/>
        <v>0.30660377358490565</v>
      </c>
      <c r="T24" s="44">
        <f t="shared" si="47"/>
        <v>0.31101511879049681</v>
      </c>
      <c r="U24" s="44">
        <f t="shared" si="47"/>
        <v>0.60914760914760913</v>
      </c>
      <c r="V24" s="44">
        <f t="shared" si="47"/>
        <v>0.60424710424710426</v>
      </c>
      <c r="W24" s="45">
        <f t="shared" si="47"/>
        <v>0.55054151624548742</v>
      </c>
      <c r="X24" s="44">
        <f t="shared" si="47"/>
        <v>0.47940691927512358</v>
      </c>
      <c r="Y24" s="44">
        <f t="shared" si="47"/>
        <v>0.1653746770025839</v>
      </c>
      <c r="Z24" s="44">
        <f t="shared" si="47"/>
        <v>0.12996389891696758</v>
      </c>
    </row>
    <row r="25" spans="1:27" s="37" customFormat="1" x14ac:dyDescent="0.15">
      <c r="A25" s="2"/>
      <c r="B25" s="56" t="s">
        <v>56</v>
      </c>
      <c r="C25" s="44"/>
      <c r="D25" s="44"/>
      <c r="E25" s="44"/>
      <c r="F25" s="44"/>
      <c r="G25" s="45">
        <f t="shared" si="46"/>
        <v>0.21563305740263261</v>
      </c>
      <c r="H25" s="44">
        <f t="shared" si="46"/>
        <v>0.17804939516129026</v>
      </c>
      <c r="I25" s="44">
        <f t="shared" si="46"/>
        <v>0.21873473375671715</v>
      </c>
      <c r="J25" s="44">
        <f t="shared" si="46"/>
        <v>0.22340784005391456</v>
      </c>
      <c r="K25" s="45">
        <f t="shared" si="46"/>
        <v>0.23465059164992197</v>
      </c>
      <c r="L25" s="44">
        <f t="shared" si="46"/>
        <v>0.23328698256498015</v>
      </c>
      <c r="M25" s="44">
        <f t="shared" si="46"/>
        <v>0.16945585730033064</v>
      </c>
      <c r="N25" s="44">
        <f t="shared" si="46"/>
        <v>0.2522952625780388</v>
      </c>
      <c r="O25" s="45">
        <f t="shared" si="46"/>
        <v>0.20162748643761308</v>
      </c>
      <c r="P25" s="44">
        <f t="shared" si="46"/>
        <v>0.30442324371205554</v>
      </c>
      <c r="Q25" s="44">
        <f t="shared" si="47"/>
        <v>0.36075407026563844</v>
      </c>
      <c r="R25" s="44">
        <f t="shared" si="47"/>
        <v>0.20454545454545459</v>
      </c>
      <c r="S25" s="45">
        <f t="shared" si="47"/>
        <v>0.27689992475545533</v>
      </c>
      <c r="T25" s="44">
        <f t="shared" si="47"/>
        <v>0.2127659574468086</v>
      </c>
      <c r="U25" s="44">
        <f t="shared" si="47"/>
        <v>0.29911838790931999</v>
      </c>
      <c r="V25" s="44">
        <f t="shared" si="47"/>
        <v>0.42787583688374919</v>
      </c>
      <c r="W25" s="45">
        <f t="shared" si="47"/>
        <v>0.40836770771950492</v>
      </c>
      <c r="X25" s="44">
        <f t="shared" si="47"/>
        <v>0.24725877192982448</v>
      </c>
      <c r="Y25" s="44">
        <f t="shared" si="47"/>
        <v>0.15220552593310721</v>
      </c>
      <c r="Z25" s="44">
        <f t="shared" si="47"/>
        <v>0.12190963341858474</v>
      </c>
    </row>
    <row r="26" spans="1:27" s="37" customFormat="1" x14ac:dyDescent="0.15">
      <c r="A26" s="2"/>
      <c r="B26" s="56" t="s">
        <v>57</v>
      </c>
      <c r="C26" s="44"/>
      <c r="D26" s="44"/>
      <c r="E26" s="44"/>
      <c r="F26" s="44"/>
      <c r="G26" s="45">
        <f t="shared" si="46"/>
        <v>0.51436781609195381</v>
      </c>
      <c r="H26" s="44">
        <f t="shared" si="46"/>
        <v>0.38766519823788559</v>
      </c>
      <c r="I26" s="44">
        <f t="shared" si="46"/>
        <v>0.32066381156316903</v>
      </c>
      <c r="J26" s="44">
        <f t="shared" si="46"/>
        <v>0.2648357037763609</v>
      </c>
      <c r="K26" s="45">
        <f t="shared" si="46"/>
        <v>0.23481973434535108</v>
      </c>
      <c r="L26" s="44">
        <f t="shared" si="46"/>
        <v>0.12261904761904763</v>
      </c>
      <c r="M26" s="44">
        <f t="shared" si="46"/>
        <v>9.6878800162140344E-2</v>
      </c>
      <c r="N26" s="44">
        <f t="shared" si="46"/>
        <v>6.2427297402093851E-2</v>
      </c>
      <c r="O26" s="45">
        <f t="shared" si="46"/>
        <v>0.13330772185939299</v>
      </c>
      <c r="P26" s="44">
        <f t="shared" si="46"/>
        <v>0.23718628490632732</v>
      </c>
      <c r="Q26" s="44">
        <f t="shared" si="47"/>
        <v>0.26385809312638564</v>
      </c>
      <c r="R26" s="44">
        <f t="shared" si="47"/>
        <v>0.31021897810218979</v>
      </c>
      <c r="S26" s="45">
        <f t="shared" si="47"/>
        <v>0.22711864406779658</v>
      </c>
      <c r="T26" s="44">
        <f t="shared" si="47"/>
        <v>0.54571428571428582</v>
      </c>
      <c r="U26" s="44">
        <f t="shared" si="47"/>
        <v>0.39473684210526305</v>
      </c>
      <c r="V26" s="44">
        <f t="shared" si="47"/>
        <v>0.36490250696378834</v>
      </c>
      <c r="W26" s="45">
        <f t="shared" si="47"/>
        <v>0.38674033149171261</v>
      </c>
      <c r="X26" s="44">
        <f t="shared" si="47"/>
        <v>-9.6118299445471345E-2</v>
      </c>
      <c r="Y26" s="44">
        <f t="shared" si="47"/>
        <v>9.4339622641509413E-2</v>
      </c>
      <c r="Z26" s="44">
        <f t="shared" si="47"/>
        <v>0.17142857142857149</v>
      </c>
    </row>
    <row r="27" spans="1:27" x14ac:dyDescent="0.15">
      <c r="C27" s="31"/>
      <c r="D27" s="31"/>
      <c r="E27" s="31"/>
      <c r="F27" s="31"/>
      <c r="L27" s="31"/>
      <c r="M27" s="31"/>
      <c r="N27" s="31"/>
      <c r="P27" s="31"/>
      <c r="Q27" s="31"/>
      <c r="R27" s="31"/>
    </row>
    <row r="28" spans="1:27" x14ac:dyDescent="0.15">
      <c r="B28" s="56" t="s">
        <v>19</v>
      </c>
      <c r="C28" s="46">
        <f t="shared" ref="C28:Z28" si="48">IFERROR(C9/C7,0)</f>
        <v>0.74731965585704829</v>
      </c>
      <c r="D28" s="46">
        <f t="shared" si="48"/>
        <v>0.75204943105346878</v>
      </c>
      <c r="E28" s="46">
        <f t="shared" si="48"/>
        <v>0.75255563993223895</v>
      </c>
      <c r="F28" s="46">
        <f t="shared" si="48"/>
        <v>0.75482230696954611</v>
      </c>
      <c r="G28" s="47">
        <f t="shared" si="48"/>
        <v>0.7407252804591703</v>
      </c>
      <c r="H28" s="48">
        <f t="shared" si="48"/>
        <v>0.74195924380063838</v>
      </c>
      <c r="I28" s="48">
        <f t="shared" si="48"/>
        <v>0.72703534458640295</v>
      </c>
      <c r="J28" s="48">
        <f t="shared" si="48"/>
        <v>0.72714590871441642</v>
      </c>
      <c r="K28" s="47">
        <f t="shared" si="48"/>
        <v>0.72861910721735501</v>
      </c>
      <c r="L28" s="46">
        <f t="shared" si="48"/>
        <v>0.74000776096235932</v>
      </c>
      <c r="M28" s="46">
        <f t="shared" si="48"/>
        <v>0.73550536838208069</v>
      </c>
      <c r="N28" s="46">
        <f t="shared" si="48"/>
        <v>0.74114345843563667</v>
      </c>
      <c r="O28" s="47">
        <f t="shared" si="48"/>
        <v>0.74484364604125086</v>
      </c>
      <c r="P28" s="46">
        <f t="shared" si="48"/>
        <v>0.74123742761353251</v>
      </c>
      <c r="Q28" s="46">
        <f t="shared" si="48"/>
        <v>0.73791273584905659</v>
      </c>
      <c r="R28" s="46">
        <f t="shared" si="48"/>
        <v>0.7374410213710797</v>
      </c>
      <c r="S28" s="47">
        <f t="shared" si="48"/>
        <v>0.75541878512175542</v>
      </c>
      <c r="T28" s="46">
        <f t="shared" si="48"/>
        <v>0.75806855141356022</v>
      </c>
      <c r="U28" s="46">
        <f t="shared" si="48"/>
        <v>0.74872590294704189</v>
      </c>
      <c r="V28" s="46">
        <f t="shared" si="48"/>
        <v>0.74850546279117702</v>
      </c>
      <c r="W28" s="47">
        <f t="shared" si="48"/>
        <v>0.74224049331963005</v>
      </c>
      <c r="X28" s="46">
        <f t="shared" si="48"/>
        <v>0.74548631333721604</v>
      </c>
      <c r="Y28" s="46">
        <f t="shared" si="48"/>
        <v>0.7427569662299317</v>
      </c>
      <c r="Z28" s="46">
        <f t="shared" si="48"/>
        <v>0.74574522949974209</v>
      </c>
    </row>
    <row r="29" spans="1:27" x14ac:dyDescent="0.15">
      <c r="B29" s="56" t="s">
        <v>20</v>
      </c>
      <c r="C29" s="49">
        <f t="shared" ref="C29:Z29" si="49">IFERROR(C14/C7,0)</f>
        <v>2.0516214427531435E-2</v>
      </c>
      <c r="D29" s="49">
        <f t="shared" si="49"/>
        <v>1.223540927444023E-2</v>
      </c>
      <c r="E29" s="49">
        <f t="shared" si="49"/>
        <v>2.5410362754833681E-2</v>
      </c>
      <c r="F29" s="49">
        <f t="shared" si="49"/>
        <v>1.1440888741502139E-2</v>
      </c>
      <c r="G29" s="50">
        <f t="shared" si="49"/>
        <v>2.7184972606313664E-2</v>
      </c>
      <c r="H29" s="51">
        <f t="shared" si="49"/>
        <v>1.6007856616744368E-2</v>
      </c>
      <c r="I29" s="51">
        <f t="shared" si="49"/>
        <v>1.4921197426092595E-3</v>
      </c>
      <c r="J29" s="51">
        <f t="shared" si="49"/>
        <v>-1.0113780025284569E-2</v>
      </c>
      <c r="K29" s="50">
        <f t="shared" si="49"/>
        <v>1.7521902377972654E-3</v>
      </c>
      <c r="L29" s="49">
        <f t="shared" si="49"/>
        <v>3.2634846720993371E-2</v>
      </c>
      <c r="M29" s="49">
        <f t="shared" si="49"/>
        <v>5.7386153276564232E-2</v>
      </c>
      <c r="N29" s="49">
        <f t="shared" si="49"/>
        <v>2.7358821466152226E-2</v>
      </c>
      <c r="O29" s="50">
        <f t="shared" si="49"/>
        <v>6.35395874916833E-2</v>
      </c>
      <c r="P29" s="49">
        <f t="shared" si="49"/>
        <v>3.505028954587016E-2</v>
      </c>
      <c r="Q29" s="49">
        <f t="shared" si="49"/>
        <v>2.7122641509433963E-2</v>
      </c>
      <c r="R29" s="49">
        <f t="shared" si="49"/>
        <v>3.8023868998057174E-2</v>
      </c>
      <c r="S29" s="50">
        <f t="shared" si="49"/>
        <v>5.6194808670056197E-2</v>
      </c>
      <c r="T29" s="49">
        <f t="shared" si="49"/>
        <v>1.451088316237178E-2</v>
      </c>
      <c r="U29" s="49">
        <f t="shared" si="49"/>
        <v>1.4402836250830933E-2</v>
      </c>
      <c r="V29" s="49">
        <f t="shared" si="49"/>
        <v>-7.4211502782931356E-3</v>
      </c>
      <c r="W29" s="50">
        <f t="shared" si="49"/>
        <v>-2.8776978417266189E-2</v>
      </c>
      <c r="X29" s="49">
        <f t="shared" si="49"/>
        <v>3.4556396816152204E-2</v>
      </c>
      <c r="Y29" s="49">
        <f t="shared" si="49"/>
        <v>4.1336039859752718E-2</v>
      </c>
      <c r="Z29" s="49">
        <f t="shared" si="49"/>
        <v>3.3178614406051229E-2</v>
      </c>
    </row>
    <row r="30" spans="1:27" x14ac:dyDescent="0.15">
      <c r="B30" s="56" t="s">
        <v>21</v>
      </c>
      <c r="C30" s="49">
        <f t="shared" ref="C30:Z30" si="50">IFERROR(C17/C16,0)</f>
        <v>0.77222222222222225</v>
      </c>
      <c r="D30" s="49">
        <f t="shared" si="50"/>
        <v>1.0985915492957747</v>
      </c>
      <c r="E30" s="49">
        <f t="shared" si="50"/>
        <v>1.5747126436781691</v>
      </c>
      <c r="F30" s="49">
        <f t="shared" si="50"/>
        <v>-5.3249999999997639</v>
      </c>
      <c r="G30" s="50">
        <f t="shared" si="50"/>
        <v>-4.3010752688171894E-2</v>
      </c>
      <c r="H30" s="51">
        <f t="shared" si="50"/>
        <v>-8.4485596707819237</v>
      </c>
      <c r="I30" s="51">
        <f t="shared" si="50"/>
        <v>-1.9759999999999713</v>
      </c>
      <c r="J30" s="51">
        <f t="shared" si="50"/>
        <v>-1.1923076923076783</v>
      </c>
      <c r="K30" s="50">
        <f t="shared" si="50"/>
        <v>1.122448979591842</v>
      </c>
      <c r="L30" s="49">
        <f t="shared" si="50"/>
        <v>0.26941362916006378</v>
      </c>
      <c r="M30" s="49">
        <f t="shared" si="50"/>
        <v>0.26712328767123289</v>
      </c>
      <c r="N30" s="49">
        <f t="shared" si="50"/>
        <v>0.23863636363636365</v>
      </c>
      <c r="O30" s="50">
        <f t="shared" si="50"/>
        <v>0.10649350649350649</v>
      </c>
      <c r="P30" s="49">
        <f t="shared" si="50"/>
        <v>-0.2943722943722944</v>
      </c>
      <c r="Q30" s="49">
        <f t="shared" si="50"/>
        <v>0.1796875</v>
      </c>
      <c r="R30" s="49">
        <f t="shared" si="50"/>
        <v>-0.5146443514644351</v>
      </c>
      <c r="S30" s="50">
        <f t="shared" si="50"/>
        <v>0.18672199170124482</v>
      </c>
      <c r="T30" s="49">
        <f t="shared" si="50"/>
        <v>0.4451219512195122</v>
      </c>
      <c r="U30" s="49">
        <f t="shared" si="50"/>
        <v>2.703125</v>
      </c>
      <c r="V30" s="49">
        <f t="shared" si="50"/>
        <v>-61</v>
      </c>
      <c r="W30" s="50">
        <f t="shared" si="50"/>
        <v>-1.1063829787234043</v>
      </c>
      <c r="X30" s="49">
        <f t="shared" si="50"/>
        <v>0.22</v>
      </c>
      <c r="Y30" s="49">
        <f t="shared" si="50"/>
        <v>0.13519999999999999</v>
      </c>
      <c r="Z30" s="49">
        <f t="shared" si="50"/>
        <v>0.37176470588235294</v>
      </c>
    </row>
    <row r="31" spans="1:27" x14ac:dyDescent="0.15">
      <c r="C31" s="31"/>
      <c r="D31" s="31"/>
      <c r="E31" s="31"/>
      <c r="F31" s="31"/>
      <c r="L31" s="31"/>
      <c r="M31" s="31"/>
      <c r="N31" s="31"/>
      <c r="P31" s="31"/>
      <c r="Q31" s="31"/>
      <c r="R31" s="31"/>
    </row>
    <row r="32" spans="1:27" s="77" customFormat="1" x14ac:dyDescent="0.15">
      <c r="A32" s="57"/>
      <c r="B32" s="74" t="s">
        <v>26</v>
      </c>
      <c r="C32" s="52"/>
      <c r="D32" s="52"/>
      <c r="E32" s="52"/>
      <c r="F32" s="33">
        <f>F33-F34</f>
        <v>1637.1999999999998</v>
      </c>
      <c r="G32" s="34">
        <f>G33-G34</f>
        <v>2620.2000000000003</v>
      </c>
      <c r="H32" s="35">
        <f t="shared" ref="H32:L32" si="51">H33-H34</f>
        <v>617.70000000000027</v>
      </c>
      <c r="I32" s="35">
        <f t="shared" si="51"/>
        <v>641.79999999999995</v>
      </c>
      <c r="J32" s="35">
        <f t="shared" si="51"/>
        <v>1092.5000000000002</v>
      </c>
      <c r="K32" s="34">
        <f t="shared" si="51"/>
        <v>2096</v>
      </c>
      <c r="L32" s="33">
        <f t="shared" si="51"/>
        <v>2370.5</v>
      </c>
      <c r="M32" s="33">
        <f t="shared" ref="M32:Z32" si="52">M33-M34</f>
        <v>2490.7000000000003</v>
      </c>
      <c r="N32" s="33">
        <f t="shared" si="52"/>
        <v>3478</v>
      </c>
      <c r="O32" s="34">
        <f t="shared" si="52"/>
        <v>5008</v>
      </c>
      <c r="P32" s="33">
        <f t="shared" si="52"/>
        <v>953</v>
      </c>
      <c r="Q32" s="33">
        <f t="shared" si="52"/>
        <v>1025</v>
      </c>
      <c r="R32" s="33">
        <f t="shared" si="52"/>
        <v>2468</v>
      </c>
      <c r="S32" s="34">
        <f t="shared" ref="S32" si="53">S33-S34</f>
        <v>4754</v>
      </c>
      <c r="T32" s="33">
        <f t="shared" si="52"/>
        <v>4683</v>
      </c>
      <c r="U32" s="33">
        <f t="shared" si="52"/>
        <v>5465</v>
      </c>
      <c r="V32" s="33">
        <f t="shared" si="52"/>
        <v>7237</v>
      </c>
      <c r="W32" s="34">
        <f t="shared" si="52"/>
        <v>9031</v>
      </c>
      <c r="X32" s="33">
        <f t="shared" si="52"/>
        <v>9165</v>
      </c>
      <c r="Z32" s="33">
        <f t="shared" si="52"/>
        <v>13202</v>
      </c>
    </row>
    <row r="33" spans="1:26" s="24" customFormat="1" x14ac:dyDescent="0.15">
      <c r="A33" s="7"/>
      <c r="B33" s="72" t="s">
        <v>27</v>
      </c>
      <c r="C33" s="32"/>
      <c r="D33" s="32"/>
      <c r="E33" s="32"/>
      <c r="F33" s="32">
        <f>1158.3+183+1383.9</f>
        <v>2725.2</v>
      </c>
      <c r="G33" s="27">
        <f>1799+232.1+1684.2</f>
        <v>3715.3</v>
      </c>
      <c r="H33" s="32">
        <f>1115.2+59+545.6</f>
        <v>1719.8000000000002</v>
      </c>
      <c r="I33" s="32">
        <f>1145.7+55+550.3</f>
        <v>1751</v>
      </c>
      <c r="J33" s="32">
        <f>1606.5+602.3</f>
        <v>2208.8000000000002</v>
      </c>
      <c r="K33" s="27">
        <f>2024.9+1194.6</f>
        <v>3219.5</v>
      </c>
      <c r="L33" s="32">
        <f>1949.1+1552.1</f>
        <v>3501.2</v>
      </c>
      <c r="M33" s="32">
        <f>2071.8+1556.8</f>
        <v>3628.6000000000004</v>
      </c>
      <c r="N33" s="32">
        <f>2543+1978+677</f>
        <v>5198</v>
      </c>
      <c r="O33" s="27">
        <f>5922+1237+1024</f>
        <v>8183</v>
      </c>
      <c r="P33" s="32">
        <f>2319+1108+1202</f>
        <v>4629</v>
      </c>
      <c r="Q33" s="32">
        <f>2105+1345+1251</f>
        <v>4701</v>
      </c>
      <c r="R33" s="32">
        <f>2669+1673+1302</f>
        <v>5644</v>
      </c>
      <c r="S33" s="27">
        <f>4110+2269+1548</f>
        <v>7927</v>
      </c>
      <c r="T33" s="24">
        <f>3510+2532+1614</f>
        <v>7656</v>
      </c>
      <c r="U33" s="24">
        <f>3868+2661+1760</f>
        <v>8289</v>
      </c>
      <c r="V33" s="24">
        <f>4145+3802+1963</f>
        <v>9910</v>
      </c>
      <c r="W33" s="27">
        <f>5772+4030+1902</f>
        <v>11704</v>
      </c>
      <c r="X33" s="24">
        <f>4052+5231+2555</f>
        <v>11838</v>
      </c>
      <c r="Z33" s="24">
        <f>6195+5771+3909</f>
        <v>15875</v>
      </c>
    </row>
    <row r="34" spans="1:26" s="24" customFormat="1" x14ac:dyDescent="0.15">
      <c r="A34" s="7"/>
      <c r="B34" s="72" t="s">
        <v>28</v>
      </c>
      <c r="C34" s="32"/>
      <c r="D34" s="32"/>
      <c r="E34" s="32"/>
      <c r="F34" s="32">
        <v>1088</v>
      </c>
      <c r="G34" s="27">
        <v>1095.0999999999999</v>
      </c>
      <c r="H34" s="32">
        <v>1102.0999999999999</v>
      </c>
      <c r="I34" s="32">
        <v>1109.2</v>
      </c>
      <c r="J34" s="32">
        <v>1116.3</v>
      </c>
      <c r="K34" s="27">
        <f>1123.5+0</f>
        <v>1123.5</v>
      </c>
      <c r="L34" s="32">
        <f>1130.7+0</f>
        <v>1130.7</v>
      </c>
      <c r="M34" s="32">
        <f>1137.9+0</f>
        <v>1137.9000000000001</v>
      </c>
      <c r="N34" s="32">
        <f>1025+695</f>
        <v>1720</v>
      </c>
      <c r="O34" s="27">
        <f>3+3172</f>
        <v>3175</v>
      </c>
      <c r="P34" s="32">
        <f>503+3173</f>
        <v>3676</v>
      </c>
      <c r="Q34" s="32">
        <f>503+3173</f>
        <v>3676</v>
      </c>
      <c r="R34" s="32">
        <f>3+3173</f>
        <v>3176</v>
      </c>
      <c r="S34" s="27">
        <v>3173</v>
      </c>
      <c r="T34" s="24">
        <v>2973</v>
      </c>
      <c r="U34" s="24">
        <v>2824</v>
      </c>
      <c r="V34" s="24">
        <v>2673</v>
      </c>
      <c r="W34" s="27">
        <v>2673</v>
      </c>
      <c r="X34" s="24">
        <v>2673</v>
      </c>
      <c r="Z34" s="24">
        <v>2673</v>
      </c>
    </row>
    <row r="35" spans="1:26" x14ac:dyDescent="0.15">
      <c r="C35" s="32"/>
      <c r="D35" s="32"/>
      <c r="E35" s="32"/>
      <c r="F35" s="32"/>
      <c r="G35" s="27"/>
      <c r="H35" s="32"/>
      <c r="I35" s="32"/>
      <c r="J35" s="32"/>
      <c r="K35" s="27"/>
      <c r="L35" s="32"/>
      <c r="M35" s="32"/>
      <c r="N35" s="32"/>
      <c r="O35" s="27"/>
      <c r="P35" s="32"/>
      <c r="Q35" s="32"/>
      <c r="R35" s="32"/>
      <c r="S35" s="27"/>
    </row>
    <row r="36" spans="1:26" s="24" customFormat="1" x14ac:dyDescent="0.15">
      <c r="A36" s="7"/>
      <c r="B36" s="72" t="s">
        <v>67</v>
      </c>
      <c r="C36" s="32"/>
      <c r="D36" s="32"/>
      <c r="E36" s="32"/>
      <c r="F36" s="32"/>
      <c r="G36" s="27"/>
      <c r="H36" s="32"/>
      <c r="I36" s="32"/>
      <c r="J36" s="32"/>
      <c r="K36" s="27"/>
      <c r="L36" s="32"/>
      <c r="M36" s="32"/>
      <c r="N36" s="32">
        <f>7314+826</f>
        <v>8140</v>
      </c>
      <c r="O36" s="27">
        <f>7444+815</f>
        <v>8259</v>
      </c>
      <c r="P36" s="32">
        <f>12254+1976</f>
        <v>14230</v>
      </c>
      <c r="Q36" s="32">
        <f>12848+2053</f>
        <v>14901</v>
      </c>
      <c r="R36" s="32">
        <f>12851+1923</f>
        <v>14774</v>
      </c>
      <c r="S36" s="27">
        <f>12854+1794</f>
        <v>14648</v>
      </c>
      <c r="T36" s="24">
        <f>13199+1725</f>
        <v>14924</v>
      </c>
      <c r="U36" s="24">
        <f>25022+4987</f>
        <v>30009</v>
      </c>
      <c r="V36" s="24">
        <f>25134+4724</f>
        <v>29858</v>
      </c>
      <c r="W36" s="27">
        <f>25266+4488</f>
        <v>29754</v>
      </c>
      <c r="X36" s="24">
        <f>26301+4676</f>
        <v>30977</v>
      </c>
      <c r="Z36" s="24">
        <f>26318+4114</f>
        <v>30432</v>
      </c>
    </row>
    <row r="37" spans="1:26" s="24" customFormat="1" x14ac:dyDescent="0.15">
      <c r="A37" s="7"/>
      <c r="B37" s="72" t="s">
        <v>68</v>
      </c>
      <c r="C37" s="32"/>
      <c r="D37" s="32"/>
      <c r="E37" s="32"/>
      <c r="F37" s="32"/>
      <c r="G37" s="27"/>
      <c r="H37" s="32"/>
      <c r="I37" s="32"/>
      <c r="J37" s="32"/>
      <c r="K37" s="27"/>
      <c r="L37" s="32"/>
      <c r="M37" s="32"/>
      <c r="N37" s="32">
        <v>21010</v>
      </c>
      <c r="O37" s="27">
        <v>22963</v>
      </c>
      <c r="P37" s="32">
        <v>25823</v>
      </c>
      <c r="Q37" s="32">
        <f>26588</f>
        <v>26588</v>
      </c>
      <c r="R37" s="32">
        <v>30737</v>
      </c>
      <c r="S37" s="27">
        <v>33154</v>
      </c>
      <c r="T37" s="24">
        <v>33336</v>
      </c>
      <c r="U37" s="24">
        <v>49942</v>
      </c>
      <c r="V37" s="24">
        <v>55126</v>
      </c>
      <c r="W37" s="27">
        <v>53623</v>
      </c>
      <c r="X37" s="24">
        <v>57780</v>
      </c>
      <c r="Z37" s="24">
        <v>66301</v>
      </c>
    </row>
    <row r="38" spans="1:26" s="24" customFormat="1" x14ac:dyDescent="0.15">
      <c r="A38" s="7"/>
      <c r="B38" s="72" t="s">
        <v>69</v>
      </c>
      <c r="C38" s="32"/>
      <c r="D38" s="32"/>
      <c r="E38" s="32"/>
      <c r="F38" s="32"/>
      <c r="G38" s="27"/>
      <c r="H38" s="32"/>
      <c r="I38" s="32"/>
      <c r="J38" s="32"/>
      <c r="K38" s="27"/>
      <c r="L38" s="32"/>
      <c r="M38" s="32"/>
      <c r="N38" s="32">
        <v>11617</v>
      </c>
      <c r="O38" s="27">
        <v>11903</v>
      </c>
      <c r="P38" s="32">
        <v>12295</v>
      </c>
      <c r="Q38" s="32">
        <v>11895</v>
      </c>
      <c r="R38" s="32">
        <v>15132</v>
      </c>
      <c r="S38" s="27">
        <v>16708</v>
      </c>
      <c r="T38" s="24">
        <v>16170</v>
      </c>
      <c r="U38" s="24">
        <v>16663</v>
      </c>
      <c r="V38" s="24">
        <v>21241</v>
      </c>
      <c r="W38" s="27">
        <v>19058</v>
      </c>
      <c r="X38" s="24">
        <v>19340</v>
      </c>
      <c r="Z38" s="24">
        <v>24808</v>
      </c>
    </row>
    <row r="39" spans="1:26" s="24" customFormat="1" x14ac:dyDescent="0.15">
      <c r="A39" s="7"/>
      <c r="B39" s="72"/>
      <c r="C39" s="32"/>
      <c r="D39" s="32"/>
      <c r="E39" s="32"/>
      <c r="F39" s="32"/>
      <c r="G39" s="27"/>
      <c r="H39" s="32"/>
      <c r="I39" s="32"/>
      <c r="J39" s="32"/>
      <c r="K39" s="27"/>
      <c r="L39" s="32"/>
      <c r="M39" s="32"/>
      <c r="N39" s="32"/>
      <c r="O39" s="27"/>
      <c r="P39" s="32"/>
      <c r="Q39" s="32"/>
      <c r="R39" s="32"/>
      <c r="S39" s="27"/>
      <c r="W39" s="27"/>
    </row>
    <row r="40" spans="1:26" s="24" customFormat="1" x14ac:dyDescent="0.15">
      <c r="A40" s="7"/>
      <c r="B40" s="72" t="s">
        <v>70</v>
      </c>
      <c r="C40" s="32"/>
      <c r="D40" s="32"/>
      <c r="E40" s="32"/>
      <c r="F40" s="32"/>
      <c r="G40" s="27"/>
      <c r="H40" s="32"/>
      <c r="I40" s="32"/>
      <c r="J40" s="32"/>
      <c r="K40" s="27"/>
      <c r="L40" s="32"/>
      <c r="M40" s="32"/>
      <c r="N40" s="38">
        <f t="shared" ref="N40:S40" si="54">N37-N36-N33</f>
        <v>7672</v>
      </c>
      <c r="O40" s="39">
        <f t="shared" si="54"/>
        <v>6521</v>
      </c>
      <c r="P40" s="38">
        <f t="shared" si="54"/>
        <v>6964</v>
      </c>
      <c r="Q40" s="38">
        <f t="shared" si="54"/>
        <v>6986</v>
      </c>
      <c r="R40" s="38">
        <f t="shared" si="54"/>
        <v>10319</v>
      </c>
      <c r="S40" s="39">
        <f t="shared" si="54"/>
        <v>10579</v>
      </c>
      <c r="T40" s="38">
        <f t="shared" ref="T40:U40" si="55">T37-T36-T33</f>
        <v>10756</v>
      </c>
      <c r="U40" s="38">
        <f t="shared" si="55"/>
        <v>11644</v>
      </c>
      <c r="V40" s="38">
        <f t="shared" ref="V40:X40" si="56">V37-V36-V33</f>
        <v>15358</v>
      </c>
      <c r="W40" s="39">
        <f t="shared" si="56"/>
        <v>12165</v>
      </c>
      <c r="X40" s="38">
        <f t="shared" si="56"/>
        <v>14965</v>
      </c>
      <c r="Z40" s="38">
        <f t="shared" ref="Z40" si="57">Z37-Z36-Z33</f>
        <v>19994</v>
      </c>
    </row>
    <row r="41" spans="1:26" s="24" customFormat="1" x14ac:dyDescent="0.15">
      <c r="A41" s="7"/>
      <c r="B41" s="72" t="s">
        <v>71</v>
      </c>
      <c r="C41" s="32"/>
      <c r="D41" s="32"/>
      <c r="E41" s="32"/>
      <c r="F41" s="32"/>
      <c r="G41" s="27"/>
      <c r="H41" s="32"/>
      <c r="I41" s="32"/>
      <c r="J41" s="32"/>
      <c r="K41" s="27"/>
      <c r="L41" s="32"/>
      <c r="M41" s="32"/>
      <c r="N41" s="38">
        <f t="shared" ref="N41:S41" si="58">N37-N38</f>
        <v>9393</v>
      </c>
      <c r="O41" s="39">
        <f t="shared" si="58"/>
        <v>11060</v>
      </c>
      <c r="P41" s="38">
        <f t="shared" si="58"/>
        <v>13528</v>
      </c>
      <c r="Q41" s="38">
        <f t="shared" si="58"/>
        <v>14693</v>
      </c>
      <c r="R41" s="38">
        <f t="shared" si="58"/>
        <v>15605</v>
      </c>
      <c r="S41" s="39">
        <f t="shared" si="58"/>
        <v>16446</v>
      </c>
      <c r="T41" s="38">
        <f t="shared" ref="T41:U41" si="59">T37-T38</f>
        <v>17166</v>
      </c>
      <c r="U41" s="38">
        <f t="shared" si="59"/>
        <v>33279</v>
      </c>
      <c r="V41" s="38">
        <f t="shared" ref="V41:X41" si="60">V37-V38</f>
        <v>33885</v>
      </c>
      <c r="W41" s="39">
        <f t="shared" si="60"/>
        <v>34565</v>
      </c>
      <c r="X41" s="38">
        <f t="shared" si="60"/>
        <v>38440</v>
      </c>
      <c r="Z41" s="38">
        <f t="shared" ref="Z41" si="61">Z37-Z38</f>
        <v>41493</v>
      </c>
    </row>
    <row r="42" spans="1:26" s="24" customFormat="1" x14ac:dyDescent="0.15">
      <c r="A42" s="7"/>
      <c r="B42" s="72"/>
      <c r="C42" s="32"/>
      <c r="D42" s="32"/>
      <c r="E42" s="32"/>
      <c r="F42" s="32"/>
      <c r="G42" s="27"/>
      <c r="H42" s="32"/>
      <c r="I42" s="32"/>
      <c r="J42" s="32"/>
      <c r="K42" s="27"/>
      <c r="L42" s="32"/>
      <c r="M42" s="32"/>
      <c r="N42" s="32"/>
      <c r="O42" s="27"/>
      <c r="P42" s="32"/>
      <c r="Q42" s="32"/>
      <c r="R42" s="32"/>
      <c r="S42" s="27"/>
      <c r="W42" s="27"/>
    </row>
    <row r="43" spans="1:26" s="77" customFormat="1" x14ac:dyDescent="0.15">
      <c r="A43" s="57"/>
      <c r="B43" s="74" t="s">
        <v>150</v>
      </c>
      <c r="C43" s="52"/>
      <c r="D43" s="52"/>
      <c r="E43" s="52"/>
      <c r="F43" s="52"/>
      <c r="G43" s="53"/>
      <c r="H43" s="52"/>
      <c r="I43" s="52"/>
      <c r="J43" s="52"/>
      <c r="K43" s="53"/>
      <c r="L43" s="52"/>
      <c r="M43" s="52"/>
      <c r="N43" s="33">
        <f t="shared" ref="N43:X43" si="62">SUM(K19:N19)</f>
        <v>221.29999999999995</v>
      </c>
      <c r="O43" s="34">
        <f t="shared" si="62"/>
        <v>564.09999999999991</v>
      </c>
      <c r="P43" s="33">
        <f t="shared" si="62"/>
        <v>817</v>
      </c>
      <c r="Q43" s="33">
        <f t="shared" si="62"/>
        <v>815</v>
      </c>
      <c r="R43" s="33">
        <f t="shared" si="62"/>
        <v>1110</v>
      </c>
      <c r="S43" s="34">
        <f t="shared" si="62"/>
        <v>1158</v>
      </c>
      <c r="T43" s="33">
        <f t="shared" si="62"/>
        <v>950</v>
      </c>
      <c r="U43" s="33">
        <f t="shared" si="62"/>
        <v>736</v>
      </c>
      <c r="V43" s="33">
        <f t="shared" si="62"/>
        <v>126</v>
      </c>
      <c r="W43" s="34">
        <f t="shared" si="62"/>
        <v>-167</v>
      </c>
      <c r="X43" s="33">
        <f t="shared" si="62"/>
        <v>396.41999999999996</v>
      </c>
      <c r="Y43" s="33">
        <f>SUM(V19:Y19)</f>
        <v>1586.42</v>
      </c>
      <c r="Z43" s="33">
        <f>SUM(W19:Z19)</f>
        <v>2101.42</v>
      </c>
    </row>
    <row r="44" spans="1:26" x14ac:dyDescent="0.15">
      <c r="B44" s="56" t="s">
        <v>72</v>
      </c>
      <c r="C44" s="32"/>
      <c r="D44" s="32"/>
      <c r="E44" s="32"/>
      <c r="F44" s="32"/>
      <c r="G44" s="27"/>
      <c r="H44" s="32"/>
      <c r="I44" s="32"/>
      <c r="J44" s="32"/>
      <c r="K44" s="27"/>
      <c r="L44" s="32"/>
      <c r="M44" s="32"/>
      <c r="N44" s="46">
        <f t="shared" ref="N44:W44" si="63">N43/N41</f>
        <v>2.3560097945278392E-2</v>
      </c>
      <c r="O44" s="47">
        <f t="shared" si="63"/>
        <v>5.1003616636528019E-2</v>
      </c>
      <c r="P44" s="46">
        <f t="shared" si="63"/>
        <v>6.0393258426966294E-2</v>
      </c>
      <c r="Q44" s="46">
        <f t="shared" si="63"/>
        <v>5.546859048526509E-2</v>
      </c>
      <c r="R44" s="46">
        <f t="shared" si="63"/>
        <v>7.1131047741108622E-2</v>
      </c>
      <c r="S44" s="47">
        <f t="shared" si="63"/>
        <v>7.0412258299890548E-2</v>
      </c>
      <c r="T44" s="46">
        <f t="shared" si="63"/>
        <v>5.5341955027379701E-2</v>
      </c>
      <c r="U44" s="46">
        <f t="shared" si="63"/>
        <v>2.2116049160131015E-2</v>
      </c>
      <c r="V44" s="46">
        <f t="shared" si="63"/>
        <v>3.7184594953519256E-3</v>
      </c>
      <c r="W44" s="47">
        <f t="shared" si="63"/>
        <v>-4.8314769275278457E-3</v>
      </c>
      <c r="X44" s="46">
        <f t="shared" ref="X44" si="64">X43/X41</f>
        <v>1.0312695109261185E-2</v>
      </c>
      <c r="Z44" s="46">
        <f>Z43/Z41</f>
        <v>5.0645169064661509E-2</v>
      </c>
    </row>
    <row r="45" spans="1:26" x14ac:dyDescent="0.15">
      <c r="B45" s="56" t="s">
        <v>73</v>
      </c>
      <c r="C45" s="32"/>
      <c r="D45" s="32"/>
      <c r="E45" s="32"/>
      <c r="F45" s="32"/>
      <c r="G45" s="27"/>
      <c r="H45" s="32"/>
      <c r="I45" s="32"/>
      <c r="J45" s="32"/>
      <c r="K45" s="27"/>
      <c r="L45" s="32"/>
      <c r="M45" s="32"/>
      <c r="N45" s="46">
        <f t="shared" ref="N45:S45" si="65">N43/N37</f>
        <v>1.0533079485959065E-2</v>
      </c>
      <c r="O45" s="47">
        <f t="shared" si="65"/>
        <v>2.4565605539345902E-2</v>
      </c>
      <c r="P45" s="46">
        <f t="shared" si="65"/>
        <v>3.1638461836347442E-2</v>
      </c>
      <c r="Q45" s="46">
        <f t="shared" si="65"/>
        <v>3.0652926132089666E-2</v>
      </c>
      <c r="R45" s="46">
        <f t="shared" si="65"/>
        <v>3.6112828187526431E-2</v>
      </c>
      <c r="S45" s="47">
        <f t="shared" si="65"/>
        <v>3.4927912167460939E-2</v>
      </c>
      <c r="T45" s="46">
        <f t="shared" ref="T45:U45" si="66">T43/T37</f>
        <v>2.849772018238541E-2</v>
      </c>
      <c r="U45" s="46">
        <f t="shared" si="66"/>
        <v>1.4737095030235074E-2</v>
      </c>
      <c r="V45" s="46">
        <f t="shared" ref="V45:X45" si="67">V43/V37</f>
        <v>2.2856728222617278E-3</v>
      </c>
      <c r="W45" s="47">
        <f t="shared" si="67"/>
        <v>-3.1143352665833693E-3</v>
      </c>
      <c r="X45" s="46">
        <f t="shared" si="67"/>
        <v>6.8608515057113177E-3</v>
      </c>
      <c r="Z45" s="46">
        <f t="shared" ref="Z45" si="68">Z43/Z37</f>
        <v>3.1695147886155565E-2</v>
      </c>
    </row>
    <row r="46" spans="1:26" x14ac:dyDescent="0.15">
      <c r="B46" s="56" t="s">
        <v>74</v>
      </c>
      <c r="C46" s="32"/>
      <c r="D46" s="32"/>
      <c r="E46" s="32"/>
      <c r="F46" s="32"/>
      <c r="G46" s="27"/>
      <c r="H46" s="32"/>
      <c r="I46" s="32"/>
      <c r="J46" s="32"/>
      <c r="K46" s="27"/>
      <c r="L46" s="32"/>
      <c r="M46" s="32"/>
      <c r="N46" s="46">
        <f t="shared" ref="N46:S46" si="69">N43/(N41-N36)</f>
        <v>0.1766161213088587</v>
      </c>
      <c r="O46" s="47">
        <f t="shared" si="69"/>
        <v>0.20139235987147444</v>
      </c>
      <c r="P46" s="46">
        <f t="shared" si="69"/>
        <v>-1.1638176638176638</v>
      </c>
      <c r="Q46" s="46">
        <f>Q43/(Q41-Q36)</f>
        <v>-3.9182692307692308</v>
      </c>
      <c r="R46" s="46">
        <f t="shared" si="69"/>
        <v>1.3357400722021662</v>
      </c>
      <c r="S46" s="47">
        <f t="shared" si="69"/>
        <v>0.64404894327030038</v>
      </c>
      <c r="T46" s="46">
        <f t="shared" ref="T46:U46" si="70">T43/(T41-T36)</f>
        <v>0.42372881355932202</v>
      </c>
      <c r="U46" s="46">
        <f t="shared" si="70"/>
        <v>0.22507645259938838</v>
      </c>
      <c r="V46" s="46">
        <f t="shared" ref="V46:X46" si="71">V43/(V41-V36)</f>
        <v>3.1288800595977155E-2</v>
      </c>
      <c r="W46" s="47">
        <f t="shared" si="71"/>
        <v>-3.4712118062772815E-2</v>
      </c>
      <c r="X46" s="46">
        <f t="shared" si="71"/>
        <v>5.311804904194023E-2</v>
      </c>
      <c r="Z46" s="46">
        <f t="shared" ref="Z46" si="72">Z43/(Z41-Z36)</f>
        <v>0.18998463068438659</v>
      </c>
    </row>
    <row r="47" spans="1:26" x14ac:dyDescent="0.15">
      <c r="B47" s="56" t="s">
        <v>75</v>
      </c>
      <c r="C47" s="32"/>
      <c r="D47" s="32"/>
      <c r="E47" s="32"/>
      <c r="F47" s="32"/>
      <c r="G47" s="27"/>
      <c r="H47" s="32"/>
      <c r="I47" s="32"/>
      <c r="J47" s="32"/>
      <c r="K47" s="27"/>
      <c r="L47" s="32"/>
      <c r="M47" s="32"/>
      <c r="N47" s="46">
        <f t="shared" ref="N47:S47" si="73">N43/N40</f>
        <v>2.8845151199165791E-2</v>
      </c>
      <c r="O47" s="47">
        <f t="shared" si="73"/>
        <v>8.6505137248888198E-2</v>
      </c>
      <c r="P47" s="46">
        <f t="shared" si="73"/>
        <v>0.11731763354394026</v>
      </c>
      <c r="Q47" s="46">
        <f t="shared" si="73"/>
        <v>0.11666189521900945</v>
      </c>
      <c r="R47" s="46">
        <f t="shared" si="73"/>
        <v>0.10756856284523694</v>
      </c>
      <c r="S47" s="47">
        <f t="shared" si="73"/>
        <v>0.10946214197939313</v>
      </c>
      <c r="T47" s="46">
        <f t="shared" ref="T47:U47" si="74">T43/T40</f>
        <v>8.8322796578653773E-2</v>
      </c>
      <c r="U47" s="46">
        <f t="shared" si="74"/>
        <v>6.3208519409137756E-2</v>
      </c>
      <c r="V47" s="46">
        <f t="shared" ref="V47:X47" si="75">V43/V40</f>
        <v>8.2041932543299913E-3</v>
      </c>
      <c r="W47" s="47">
        <f t="shared" si="75"/>
        <v>-1.3727907932593505E-2</v>
      </c>
      <c r="X47" s="46">
        <f t="shared" si="75"/>
        <v>2.6489809555629799E-2</v>
      </c>
      <c r="Z47" s="46">
        <f t="shared" ref="Z47" si="76">Z43/Z40</f>
        <v>0.10510253075922778</v>
      </c>
    </row>
    <row r="48" spans="1:26" x14ac:dyDescent="0.15">
      <c r="C48" s="32"/>
      <c r="D48" s="32"/>
      <c r="E48" s="32"/>
      <c r="F48" s="32"/>
      <c r="G48" s="27"/>
      <c r="H48" s="32"/>
      <c r="I48" s="32"/>
      <c r="J48" s="32"/>
      <c r="K48" s="27"/>
      <c r="L48" s="32"/>
      <c r="M48" s="32"/>
      <c r="N48" s="46"/>
      <c r="O48" s="47"/>
      <c r="P48" s="46"/>
      <c r="Q48" s="46"/>
      <c r="R48" s="46"/>
      <c r="S48" s="47"/>
      <c r="T48" s="46"/>
      <c r="U48" s="46"/>
      <c r="V48" s="46"/>
      <c r="W48" s="47"/>
      <c r="X48" s="46"/>
      <c r="Z48" s="46"/>
    </row>
    <row r="49" spans="1:26" s="77" customFormat="1" x14ac:dyDescent="0.15">
      <c r="A49" s="57"/>
      <c r="B49" s="74" t="s">
        <v>151</v>
      </c>
      <c r="C49" s="52"/>
      <c r="D49" s="52"/>
      <c r="E49" s="52"/>
      <c r="F49" s="33">
        <f>SUM(C7:F7)</f>
        <v>6666.8</v>
      </c>
      <c r="G49" s="34">
        <f>SUM(D7:G7)</f>
        <v>7072.3</v>
      </c>
      <c r="H49" s="33">
        <f>SUM(E7:H7)</f>
        <v>7474.2</v>
      </c>
      <c r="I49" s="33">
        <f>SUM(F7:I7)</f>
        <v>7906.9</v>
      </c>
      <c r="J49" s="33">
        <f>SUM(G7:J7)</f>
        <v>8391.5</v>
      </c>
      <c r="K49" s="34">
        <f>SUM(H7:K7)</f>
        <v>8872</v>
      </c>
      <c r="L49" s="33">
        <f>SUM(I7:L7)</f>
        <v>9412.5</v>
      </c>
      <c r="M49" s="33">
        <f>SUM(J7:M7)</f>
        <v>9968.9</v>
      </c>
      <c r="N49" s="33">
        <f>SUM(K7:N7)</f>
        <v>10526</v>
      </c>
      <c r="O49" s="34">
        <f>SUM(L7:O7)</f>
        <v>11135</v>
      </c>
      <c r="P49" s="33">
        <f>SUM(M7:P7)</f>
        <v>11839</v>
      </c>
      <c r="Q49" s="33">
        <f>SUM(N7:Q7)</f>
        <v>12530</v>
      </c>
      <c r="R49" s="33">
        <f>SUM(O7:R7)</f>
        <v>13282</v>
      </c>
      <c r="S49" s="34">
        <f>SUM(P7:S7)</f>
        <v>14013</v>
      </c>
      <c r="T49" s="33">
        <f>SUM(Q7:T7)</f>
        <v>14729</v>
      </c>
      <c r="U49" s="33">
        <f>SUM(R7:U7)</f>
        <v>15850</v>
      </c>
      <c r="V49" s="33">
        <f>SUM(S7:V7)</f>
        <v>17098</v>
      </c>
      <c r="W49" s="34">
        <f>SUM(T7:W7)</f>
        <v>18226</v>
      </c>
      <c r="X49" s="33">
        <f>SUM(U7:X7)</f>
        <v>19380</v>
      </c>
      <c r="Y49" s="33">
        <f>SUM(V7:Y7)</f>
        <v>20286</v>
      </c>
      <c r="Z49" s="33">
        <f>SUM(W7:Z7)</f>
        <v>21252</v>
      </c>
    </row>
    <row r="50" spans="1:26" s="83" customFormat="1" x14ac:dyDescent="0.15">
      <c r="A50" s="81"/>
      <c r="B50" s="82" t="s">
        <v>152</v>
      </c>
      <c r="C50" s="79"/>
      <c r="D50" s="79"/>
      <c r="E50" s="79"/>
      <c r="F50" s="79"/>
      <c r="G50" s="80"/>
      <c r="H50" s="79"/>
      <c r="I50" s="79"/>
      <c r="J50" s="79">
        <f>J49/F49-1</f>
        <v>0.25869982600347985</v>
      </c>
      <c r="K50" s="80">
        <f>K49/G49-1</f>
        <v>0.25447167116779545</v>
      </c>
      <c r="L50" s="79">
        <f>L49/H49-1</f>
        <v>0.25933210243236737</v>
      </c>
      <c r="M50" s="79">
        <f>M49/I49-1</f>
        <v>0.26078488408858091</v>
      </c>
      <c r="N50" s="79">
        <f>N49/J49-1</f>
        <v>0.25436453554191751</v>
      </c>
      <c r="O50" s="80">
        <f>O49/K49-1</f>
        <v>0.25507213706041476</v>
      </c>
      <c r="P50" s="79">
        <f>P49/L49-1</f>
        <v>0.25779548472775571</v>
      </c>
      <c r="Q50" s="79">
        <f>Q49/M49-1</f>
        <v>0.25690898694941278</v>
      </c>
      <c r="R50" s="79">
        <f>R49/N49-1</f>
        <v>0.26182785483564497</v>
      </c>
      <c r="S50" s="80">
        <f>S49/O49-1</f>
        <v>0.25846430175123492</v>
      </c>
      <c r="T50" s="79">
        <f>T49/P49-1</f>
        <v>0.24410845510600554</v>
      </c>
      <c r="U50" s="79">
        <f>U49/Q49-1</f>
        <v>0.26496408619313638</v>
      </c>
      <c r="V50" s="79">
        <f>V49/R49-1</f>
        <v>0.28730612859509108</v>
      </c>
      <c r="W50" s="80">
        <f>W49/S49-1</f>
        <v>0.30064939698851068</v>
      </c>
      <c r="X50" s="79">
        <f>X49/T49-1</f>
        <v>0.31577160703374285</v>
      </c>
      <c r="Y50" s="79">
        <f>Y49/U49-1</f>
        <v>0.27987381703470038</v>
      </c>
      <c r="Z50" s="79">
        <f>Z49/V49-1</f>
        <v>0.24295239209264241</v>
      </c>
    </row>
    <row r="51" spans="1:26" x14ac:dyDescent="0.15">
      <c r="C51" s="32"/>
      <c r="D51" s="32"/>
      <c r="E51" s="32"/>
      <c r="F51" s="32"/>
      <c r="G51" s="27"/>
      <c r="H51" s="32"/>
      <c r="I51" s="32"/>
      <c r="J51" s="32"/>
      <c r="K51" s="27"/>
      <c r="L51" s="32"/>
      <c r="M51" s="32"/>
      <c r="N51" s="46"/>
      <c r="O51" s="47"/>
      <c r="P51" s="46"/>
      <c r="Q51" s="46"/>
      <c r="R51" s="46"/>
      <c r="S51" s="47"/>
      <c r="T51" s="46"/>
      <c r="U51" s="46"/>
      <c r="V51" s="46"/>
      <c r="W51" s="47"/>
      <c r="X51" s="46"/>
      <c r="Z51" s="46"/>
    </row>
    <row r="52" spans="1:26" s="37" customFormat="1" x14ac:dyDescent="0.15">
      <c r="A52" s="2"/>
      <c r="B52" s="56" t="s">
        <v>85</v>
      </c>
      <c r="C52" s="23"/>
      <c r="E52" s="23"/>
      <c r="F52" s="23"/>
      <c r="G52" s="47">
        <f t="shared" ref="G52:P53" si="77">G4/C4-1</f>
        <v>0.26345004269854821</v>
      </c>
      <c r="H52" s="48">
        <f t="shared" si="77"/>
        <v>0.2397291789916518</v>
      </c>
      <c r="I52" s="48">
        <f t="shared" si="77"/>
        <v>0.24281150159744413</v>
      </c>
      <c r="J52" s="48">
        <f t="shared" si="77"/>
        <v>0.25436823962914534</v>
      </c>
      <c r="K52" s="47">
        <f t="shared" si="77"/>
        <v>0.24422665314858616</v>
      </c>
      <c r="L52" s="48">
        <f t="shared" si="77"/>
        <v>0.26352067868504769</v>
      </c>
      <c r="M52" s="48">
        <f t="shared" si="77"/>
        <v>0.26316850647714096</v>
      </c>
      <c r="N52" s="48">
        <f t="shared" si="77"/>
        <v>0.25793613190561926</v>
      </c>
      <c r="O52" s="47">
        <f t="shared" si="77"/>
        <v>0.27206880941602529</v>
      </c>
      <c r="P52" s="48">
        <f t="shared" si="77"/>
        <v>0.28409567771716326</v>
      </c>
      <c r="Q52" s="48">
        <f t="shared" ref="Q52:Z53" si="78">Q4/M4-1</f>
        <v>0.2641660015961691</v>
      </c>
      <c r="R52" s="48">
        <f t="shared" si="78"/>
        <v>0.27118644067796605</v>
      </c>
      <c r="S52" s="47">
        <f t="shared" si="78"/>
        <v>0.24412811387900346</v>
      </c>
      <c r="T52" s="48">
        <f t="shared" si="78"/>
        <v>0.22385620915032689</v>
      </c>
      <c r="U52" s="48">
        <f t="shared" si="78"/>
        <v>0.33806818181818188</v>
      </c>
      <c r="V52" s="48">
        <f t="shared" si="78"/>
        <v>0.35200000000000009</v>
      </c>
      <c r="W52" s="47">
        <f t="shared" si="78"/>
        <v>0.30863844393592688</v>
      </c>
      <c r="X52" s="48">
        <f t="shared" si="78"/>
        <v>0.29238985313751664</v>
      </c>
      <c r="Y52" s="48">
        <f t="shared" si="78"/>
        <v>0.1995753715498938</v>
      </c>
      <c r="Z52" s="48">
        <f t="shared" si="78"/>
        <v>0.20008766162612313</v>
      </c>
    </row>
    <row r="53" spans="1:26" x14ac:dyDescent="0.15">
      <c r="B53" s="56" t="s">
        <v>86</v>
      </c>
      <c r="G53" s="47">
        <f t="shared" si="77"/>
        <v>0.33364839319470696</v>
      </c>
      <c r="H53" s="48">
        <f t="shared" si="77"/>
        <v>0.32833186231244493</v>
      </c>
      <c r="I53" s="48">
        <f t="shared" si="77"/>
        <v>0.39013840830449831</v>
      </c>
      <c r="J53" s="48">
        <f t="shared" si="77"/>
        <v>0.44672454617206014</v>
      </c>
      <c r="K53" s="47">
        <f t="shared" si="77"/>
        <v>0.33238837703756197</v>
      </c>
      <c r="L53" s="48">
        <f t="shared" si="77"/>
        <v>0.28903654485049834</v>
      </c>
      <c r="M53" s="48">
        <f t="shared" si="77"/>
        <v>0.21344119477286871</v>
      </c>
      <c r="N53" s="48">
        <f t="shared" si="77"/>
        <v>6.9285324604473564E-2</v>
      </c>
      <c r="O53" s="47">
        <f t="shared" si="77"/>
        <v>4.2553191489361764E-2</v>
      </c>
      <c r="P53" s="48">
        <f t="shared" si="77"/>
        <v>0.13917525773195871</v>
      </c>
      <c r="Q53" s="48">
        <f t="shared" si="78"/>
        <v>0.14871794871794863</v>
      </c>
      <c r="R53" s="48">
        <f t="shared" si="78"/>
        <v>0.16326530612244894</v>
      </c>
      <c r="S53" s="47">
        <f t="shared" si="78"/>
        <v>0.22959183673469385</v>
      </c>
      <c r="T53" s="48">
        <f t="shared" si="78"/>
        <v>0.14027149321266963</v>
      </c>
      <c r="U53" s="48">
        <f t="shared" si="78"/>
        <v>0.22321428571428581</v>
      </c>
      <c r="V53" s="48">
        <f t="shared" si="78"/>
        <v>0.26315789473684204</v>
      </c>
      <c r="W53" s="47">
        <f t="shared" si="78"/>
        <v>0.20331950207468874</v>
      </c>
      <c r="X53" s="48">
        <f t="shared" si="78"/>
        <v>0.23412698412698418</v>
      </c>
      <c r="Y53" s="48">
        <f t="shared" si="78"/>
        <v>0.21897810218978098</v>
      </c>
      <c r="Z53" s="48">
        <f t="shared" si="78"/>
        <v>0.18402777777777768</v>
      </c>
    </row>
    <row r="54" spans="1:26" x14ac:dyDescent="0.15">
      <c r="F54" s="31"/>
      <c r="L54" s="31"/>
      <c r="M54" s="31"/>
      <c r="N54" s="31"/>
      <c r="P54" s="31"/>
      <c r="Q54" s="31"/>
      <c r="R54" s="31"/>
    </row>
    <row r="55" spans="1:26" s="24" customFormat="1" x14ac:dyDescent="0.15">
      <c r="A55" s="7"/>
      <c r="B55" s="72" t="s">
        <v>45</v>
      </c>
      <c r="C55" s="24">
        <v>630.4</v>
      </c>
      <c r="D55" s="24">
        <v>671</v>
      </c>
      <c r="E55" s="24">
        <v>688.7</v>
      </c>
      <c r="F55" s="24">
        <v>708.9</v>
      </c>
      <c r="G55" s="27">
        <v>724.6</v>
      </c>
      <c r="H55" s="24">
        <v>754.9</v>
      </c>
      <c r="I55" s="24">
        <v>776.2</v>
      </c>
      <c r="J55" s="24">
        <v>804.9</v>
      </c>
      <c r="K55" s="27">
        <v>829.6</v>
      </c>
      <c r="L55" s="24">
        <v>891</v>
      </c>
      <c r="M55" s="24">
        <v>921</v>
      </c>
      <c r="N55" s="24">
        <v>932</v>
      </c>
      <c r="O55" s="27">
        <v>965</v>
      </c>
      <c r="P55" s="24">
        <v>1004</v>
      </c>
      <c r="Q55" s="24">
        <v>1020</v>
      </c>
      <c r="R55" s="24">
        <v>1051</v>
      </c>
      <c r="S55" s="27">
        <v>1073</v>
      </c>
      <c r="T55" s="24">
        <v>1130</v>
      </c>
      <c r="U55" s="24">
        <v>1168</v>
      </c>
      <c r="V55" s="24">
        <v>1227</v>
      </c>
      <c r="W55" s="27">
        <v>1245</v>
      </c>
      <c r="X55" s="24">
        <v>1279</v>
      </c>
    </row>
    <row r="56" spans="1:26" s="24" customFormat="1" x14ac:dyDescent="0.15">
      <c r="A56" s="7"/>
      <c r="B56" s="72" t="s">
        <v>46</v>
      </c>
      <c r="C56" s="24">
        <v>407.7</v>
      </c>
      <c r="D56" s="24">
        <v>445.2</v>
      </c>
      <c r="E56" s="24">
        <v>469.5</v>
      </c>
      <c r="F56" s="24">
        <v>495.3</v>
      </c>
      <c r="G56" s="27">
        <v>540.1</v>
      </c>
      <c r="H56" s="24">
        <v>575.4</v>
      </c>
      <c r="I56" s="24">
        <v>589.9</v>
      </c>
      <c r="J56" s="24">
        <v>615.29999999999995</v>
      </c>
      <c r="K56" s="27">
        <v>656</v>
      </c>
      <c r="L56" s="24">
        <v>700</v>
      </c>
      <c r="M56" s="24">
        <v>738</v>
      </c>
      <c r="N56" s="24">
        <v>789</v>
      </c>
      <c r="O56" s="27">
        <v>848</v>
      </c>
      <c r="P56" s="24">
        <v>892</v>
      </c>
      <c r="Q56" s="24">
        <v>917</v>
      </c>
      <c r="R56" s="24">
        <v>964</v>
      </c>
      <c r="S56" s="27">
        <v>1020</v>
      </c>
      <c r="T56" s="24">
        <v>1087</v>
      </c>
      <c r="U56" s="24">
        <v>1140</v>
      </c>
      <c r="V56" s="24">
        <v>1219</v>
      </c>
      <c r="W56" s="27">
        <v>1252</v>
      </c>
      <c r="X56" s="24">
        <v>1303</v>
      </c>
    </row>
    <row r="57" spans="1:26" s="24" customFormat="1" x14ac:dyDescent="0.15">
      <c r="A57" s="7"/>
      <c r="B57" s="72" t="s">
        <v>47</v>
      </c>
      <c r="C57" s="24">
        <v>224</v>
      </c>
      <c r="D57" s="24">
        <v>247.2</v>
      </c>
      <c r="E57" s="24">
        <v>269.10000000000002</v>
      </c>
      <c r="F57" s="24">
        <v>294.5</v>
      </c>
      <c r="G57" s="27">
        <v>325.89999999999998</v>
      </c>
      <c r="H57" s="24">
        <v>353.4</v>
      </c>
      <c r="I57" s="24">
        <v>370.7</v>
      </c>
      <c r="J57" s="24">
        <v>391.7</v>
      </c>
      <c r="K57" s="27">
        <v>424</v>
      </c>
      <c r="L57" s="24">
        <v>463</v>
      </c>
      <c r="M57" s="24">
        <v>491</v>
      </c>
      <c r="N57" s="24">
        <v>536</v>
      </c>
      <c r="O57" s="27">
        <v>575</v>
      </c>
      <c r="P57" s="24">
        <v>712</v>
      </c>
      <c r="Q57" s="24">
        <v>742</v>
      </c>
      <c r="R57" s="24">
        <v>825</v>
      </c>
      <c r="S57" s="27">
        <v>842</v>
      </c>
      <c r="T57" s="24">
        <v>912</v>
      </c>
      <c r="U57" s="24">
        <v>1287</v>
      </c>
      <c r="V57" s="24">
        <v>1432</v>
      </c>
      <c r="W57" s="27">
        <v>1364</v>
      </c>
      <c r="X57" s="24">
        <v>1512</v>
      </c>
    </row>
    <row r="58" spans="1:26" s="24" customFormat="1" x14ac:dyDescent="0.15">
      <c r="A58" s="7"/>
      <c r="B58" s="72" t="s">
        <v>48</v>
      </c>
      <c r="C58" s="24">
        <v>143.19999999999999</v>
      </c>
      <c r="D58" s="24">
        <v>157.9</v>
      </c>
      <c r="E58" s="24">
        <v>169</v>
      </c>
      <c r="F58" s="24">
        <v>184</v>
      </c>
      <c r="G58" s="27">
        <v>184.9</v>
      </c>
      <c r="H58" s="24">
        <v>202.4</v>
      </c>
      <c r="I58" s="24">
        <v>247.2</v>
      </c>
      <c r="J58" s="24">
        <v>298.8</v>
      </c>
      <c r="K58" s="27">
        <v>299</v>
      </c>
      <c r="L58" s="24">
        <v>329</v>
      </c>
      <c r="M58" s="24">
        <v>356</v>
      </c>
      <c r="N58" s="24">
        <v>398</v>
      </c>
      <c r="O58" s="27">
        <v>422</v>
      </c>
      <c r="P58" s="24">
        <v>452</v>
      </c>
      <c r="Q58" s="24">
        <v>489</v>
      </c>
      <c r="R58" s="24">
        <v>535</v>
      </c>
      <c r="S58" s="27">
        <v>561</v>
      </c>
      <c r="T58" s="24">
        <v>616</v>
      </c>
      <c r="U58" s="24">
        <v>644</v>
      </c>
      <c r="V58" s="24">
        <v>685</v>
      </c>
      <c r="W58" s="27">
        <v>714</v>
      </c>
      <c r="X58" s="24">
        <v>746</v>
      </c>
    </row>
    <row r="59" spans="1:26" s="77" customFormat="1" x14ac:dyDescent="0.15">
      <c r="A59" s="57"/>
      <c r="B59" s="74" t="s">
        <v>79</v>
      </c>
      <c r="C59" s="35">
        <f t="shared" ref="C59:X59" si="79">SUM(C55:C58)</f>
        <v>1405.3</v>
      </c>
      <c r="D59" s="35">
        <f t="shared" si="79"/>
        <v>1521.3000000000002</v>
      </c>
      <c r="E59" s="35">
        <f t="shared" si="79"/>
        <v>1596.3000000000002</v>
      </c>
      <c r="F59" s="35">
        <f t="shared" si="79"/>
        <v>1682.7</v>
      </c>
      <c r="G59" s="34">
        <f t="shared" si="79"/>
        <v>1775.5</v>
      </c>
      <c r="H59" s="35">
        <f t="shared" si="79"/>
        <v>1886.1</v>
      </c>
      <c r="I59" s="35">
        <f t="shared" si="79"/>
        <v>1984</v>
      </c>
      <c r="J59" s="35">
        <f t="shared" si="79"/>
        <v>2110.6999999999998</v>
      </c>
      <c r="K59" s="34">
        <f t="shared" si="79"/>
        <v>2208.6</v>
      </c>
      <c r="L59" s="35">
        <f t="shared" si="79"/>
        <v>2383</v>
      </c>
      <c r="M59" s="35">
        <f t="shared" si="79"/>
        <v>2506</v>
      </c>
      <c r="N59" s="35">
        <f t="shared" si="79"/>
        <v>2655</v>
      </c>
      <c r="O59" s="34">
        <f t="shared" si="79"/>
        <v>2810</v>
      </c>
      <c r="P59" s="35">
        <f t="shared" si="79"/>
        <v>3060</v>
      </c>
      <c r="Q59" s="35">
        <f t="shared" si="79"/>
        <v>3168</v>
      </c>
      <c r="R59" s="35">
        <f t="shared" si="79"/>
        <v>3375</v>
      </c>
      <c r="S59" s="34">
        <f t="shared" si="79"/>
        <v>3496</v>
      </c>
      <c r="T59" s="35">
        <f t="shared" si="79"/>
        <v>3745</v>
      </c>
      <c r="U59" s="35">
        <f t="shared" si="79"/>
        <v>4239</v>
      </c>
      <c r="V59" s="35">
        <f t="shared" si="79"/>
        <v>4563</v>
      </c>
      <c r="W59" s="34">
        <f t="shared" si="79"/>
        <v>4575</v>
      </c>
      <c r="X59" s="35">
        <f t="shared" si="79"/>
        <v>4840</v>
      </c>
    </row>
    <row r="61" spans="1:26" s="24" customFormat="1" x14ac:dyDescent="0.15">
      <c r="A61" s="7"/>
      <c r="B61" s="72" t="s">
        <v>141</v>
      </c>
      <c r="D61" s="48">
        <f t="shared" ref="D61:J64" si="80">D55/C55-1</f>
        <v>6.4403553299492433E-2</v>
      </c>
      <c r="E61" s="48">
        <f t="shared" si="80"/>
        <v>2.6378539493293607E-2</v>
      </c>
      <c r="F61" s="48">
        <f t="shared" si="80"/>
        <v>2.9330622912734139E-2</v>
      </c>
      <c r="G61" s="47">
        <f t="shared" si="80"/>
        <v>2.2146988291719572E-2</v>
      </c>
      <c r="H61" s="48">
        <f t="shared" si="80"/>
        <v>4.1816174441070775E-2</v>
      </c>
      <c r="I61" s="48">
        <f t="shared" si="80"/>
        <v>2.8215657703007047E-2</v>
      </c>
      <c r="J61" s="48">
        <f t="shared" si="80"/>
        <v>3.6975006441638758E-2</v>
      </c>
      <c r="K61" s="47">
        <f t="shared" ref="K61:X61" si="81">K55/J55-1</f>
        <v>3.0687041868555198E-2</v>
      </c>
      <c r="L61" s="48">
        <f t="shared" si="81"/>
        <v>7.4011571841851476E-2</v>
      </c>
      <c r="M61" s="48">
        <f t="shared" si="81"/>
        <v>3.3670033670033739E-2</v>
      </c>
      <c r="N61" s="48">
        <f t="shared" si="81"/>
        <v>1.1943539630836053E-2</v>
      </c>
      <c r="O61" s="47">
        <f t="shared" si="81"/>
        <v>3.5407725321888517E-2</v>
      </c>
      <c r="P61" s="48">
        <f t="shared" si="81"/>
        <v>4.0414507772020825E-2</v>
      </c>
      <c r="Q61" s="48">
        <f t="shared" si="81"/>
        <v>1.5936254980079667E-2</v>
      </c>
      <c r="R61" s="48">
        <f t="shared" si="81"/>
        <v>3.039215686274499E-2</v>
      </c>
      <c r="S61" s="47">
        <f t="shared" si="81"/>
        <v>2.0932445290199775E-2</v>
      </c>
      <c r="T61" s="48">
        <f t="shared" si="81"/>
        <v>5.3122087604846158E-2</v>
      </c>
      <c r="U61" s="48">
        <f t="shared" si="81"/>
        <v>3.3628318584070893E-2</v>
      </c>
      <c r="V61" s="48">
        <f t="shared" si="81"/>
        <v>5.0513698630136883E-2</v>
      </c>
      <c r="W61" s="47">
        <f t="shared" si="81"/>
        <v>1.4669926650366705E-2</v>
      </c>
      <c r="X61" s="48">
        <f t="shared" si="81"/>
        <v>2.7309236947791193E-2</v>
      </c>
    </row>
    <row r="62" spans="1:26" s="24" customFormat="1" x14ac:dyDescent="0.15">
      <c r="A62" s="7"/>
      <c r="B62" s="72" t="s">
        <v>142</v>
      </c>
      <c r="D62" s="48">
        <f t="shared" si="80"/>
        <v>9.1979396615158304E-2</v>
      </c>
      <c r="E62" s="48">
        <f t="shared" si="80"/>
        <v>5.4582210242587692E-2</v>
      </c>
      <c r="F62" s="48">
        <f t="shared" si="80"/>
        <v>5.4952076677316386E-2</v>
      </c>
      <c r="G62" s="47">
        <f t="shared" si="80"/>
        <v>9.0450232182515578E-2</v>
      </c>
      <c r="H62" s="48">
        <f t="shared" si="80"/>
        <v>6.5358266987594726E-2</v>
      </c>
      <c r="I62" s="48">
        <f t="shared" si="80"/>
        <v>2.5199860966284238E-2</v>
      </c>
      <c r="J62" s="48">
        <f t="shared" si="80"/>
        <v>4.3058145448380936E-2</v>
      </c>
      <c r="K62" s="47">
        <f t="shared" ref="K62:X62" si="82">K56/J56-1</f>
        <v>6.6146595156834076E-2</v>
      </c>
      <c r="L62" s="48">
        <f t="shared" si="82"/>
        <v>6.7073170731707377E-2</v>
      </c>
      <c r="M62" s="48">
        <f t="shared" si="82"/>
        <v>5.428571428571427E-2</v>
      </c>
      <c r="N62" s="48">
        <f t="shared" si="82"/>
        <v>6.9105691056910556E-2</v>
      </c>
      <c r="O62" s="47">
        <f t="shared" si="82"/>
        <v>7.4778200253485361E-2</v>
      </c>
      <c r="P62" s="48">
        <f t="shared" si="82"/>
        <v>5.1886792452830122E-2</v>
      </c>
      <c r="Q62" s="48">
        <f t="shared" si="82"/>
        <v>2.8026905829596327E-2</v>
      </c>
      <c r="R62" s="48">
        <f t="shared" si="82"/>
        <v>5.1254089422028359E-2</v>
      </c>
      <c r="S62" s="47">
        <f t="shared" si="82"/>
        <v>5.8091286307053958E-2</v>
      </c>
      <c r="T62" s="48">
        <f t="shared" si="82"/>
        <v>6.568627450980391E-2</v>
      </c>
      <c r="U62" s="48">
        <f t="shared" si="82"/>
        <v>4.8758049678012894E-2</v>
      </c>
      <c r="V62" s="48">
        <f t="shared" si="82"/>
        <v>6.9298245614035192E-2</v>
      </c>
      <c r="W62" s="47">
        <f t="shared" si="82"/>
        <v>2.7071369975389725E-2</v>
      </c>
      <c r="X62" s="48">
        <f t="shared" si="82"/>
        <v>4.073482428115005E-2</v>
      </c>
    </row>
    <row r="63" spans="1:26" s="24" customFormat="1" x14ac:dyDescent="0.15">
      <c r="A63" s="7"/>
      <c r="B63" s="72" t="s">
        <v>143</v>
      </c>
      <c r="D63" s="48">
        <f t="shared" si="80"/>
        <v>0.10357142857142843</v>
      </c>
      <c r="E63" s="48">
        <f t="shared" si="80"/>
        <v>8.8592233009708865E-2</v>
      </c>
      <c r="F63" s="48">
        <f t="shared" si="80"/>
        <v>9.4388703084355097E-2</v>
      </c>
      <c r="G63" s="47">
        <f t="shared" si="80"/>
        <v>0.10662139219015265</v>
      </c>
      <c r="H63" s="48">
        <f t="shared" si="80"/>
        <v>8.4381712181650803E-2</v>
      </c>
      <c r="I63" s="48">
        <f t="shared" si="80"/>
        <v>4.8953027730616938E-2</v>
      </c>
      <c r="J63" s="48">
        <f t="shared" si="80"/>
        <v>5.6649581872133759E-2</v>
      </c>
      <c r="K63" s="47">
        <f t="shared" ref="K63:X63" si="83">K57/J57-1</f>
        <v>8.2461067143221989E-2</v>
      </c>
      <c r="L63" s="48">
        <f t="shared" si="83"/>
        <v>9.1981132075471761E-2</v>
      </c>
      <c r="M63" s="48">
        <f t="shared" si="83"/>
        <v>6.0475161987040948E-2</v>
      </c>
      <c r="N63" s="48">
        <f t="shared" si="83"/>
        <v>9.1649694501018342E-2</v>
      </c>
      <c r="O63" s="47">
        <f t="shared" si="83"/>
        <v>7.2761194029850706E-2</v>
      </c>
      <c r="P63" s="48">
        <f t="shared" si="83"/>
        <v>0.2382608695652173</v>
      </c>
      <c r="Q63" s="48">
        <f t="shared" si="83"/>
        <v>4.2134831460674205E-2</v>
      </c>
      <c r="R63" s="48">
        <f t="shared" si="83"/>
        <v>0.11185983827493251</v>
      </c>
      <c r="S63" s="47">
        <f t="shared" si="83"/>
        <v>2.0606060606060517E-2</v>
      </c>
      <c r="T63" s="48">
        <f t="shared" si="83"/>
        <v>8.3135391923990554E-2</v>
      </c>
      <c r="U63" s="48">
        <f t="shared" si="83"/>
        <v>0.41118421052631571</v>
      </c>
      <c r="V63" s="48">
        <f t="shared" si="83"/>
        <v>0.11266511266511259</v>
      </c>
      <c r="W63" s="47">
        <f t="shared" si="83"/>
        <v>-4.748603351955305E-2</v>
      </c>
      <c r="X63" s="48">
        <f t="shared" si="83"/>
        <v>0.10850439882697938</v>
      </c>
    </row>
    <row r="64" spans="1:26" s="24" customFormat="1" x14ac:dyDescent="0.15">
      <c r="A64" s="7"/>
      <c r="B64" s="72" t="s">
        <v>144</v>
      </c>
      <c r="D64" s="48">
        <f t="shared" si="80"/>
        <v>0.10265363128491622</v>
      </c>
      <c r="E64" s="48">
        <f t="shared" si="80"/>
        <v>7.0297656744775061E-2</v>
      </c>
      <c r="F64" s="48">
        <f t="shared" si="80"/>
        <v>8.8757396449704151E-2</v>
      </c>
      <c r="G64" s="47">
        <f t="shared" si="80"/>
        <v>4.891304347826031E-3</v>
      </c>
      <c r="H64" s="48">
        <f t="shared" si="80"/>
        <v>9.464575446187129E-2</v>
      </c>
      <c r="I64" s="48">
        <f t="shared" si="80"/>
        <v>0.22134387351778639</v>
      </c>
      <c r="J64" s="48">
        <f t="shared" si="80"/>
        <v>0.20873786407767003</v>
      </c>
      <c r="K64" s="47">
        <f t="shared" ref="K64:X64" si="84">K58/J58-1</f>
        <v>6.6934404283802706E-4</v>
      </c>
      <c r="L64" s="48">
        <f t="shared" si="84"/>
        <v>0.10033444816053505</v>
      </c>
      <c r="M64" s="48">
        <f t="shared" si="84"/>
        <v>8.2066869300911893E-2</v>
      </c>
      <c r="N64" s="48">
        <f t="shared" si="84"/>
        <v>0.1179775280898876</v>
      </c>
      <c r="O64" s="47">
        <f t="shared" si="84"/>
        <v>6.0301507537688481E-2</v>
      </c>
      <c r="P64" s="48">
        <f t="shared" si="84"/>
        <v>7.1090047393364886E-2</v>
      </c>
      <c r="Q64" s="48">
        <f t="shared" si="84"/>
        <v>8.1858407079645978E-2</v>
      </c>
      <c r="R64" s="48">
        <f t="shared" si="84"/>
        <v>9.4069529652351713E-2</v>
      </c>
      <c r="S64" s="47">
        <f t="shared" si="84"/>
        <v>4.8598130841121412E-2</v>
      </c>
      <c r="T64" s="48">
        <f t="shared" si="84"/>
        <v>9.8039215686274606E-2</v>
      </c>
      <c r="U64" s="48">
        <f t="shared" si="84"/>
        <v>4.5454545454545414E-2</v>
      </c>
      <c r="V64" s="48">
        <f t="shared" si="84"/>
        <v>6.3664596273292018E-2</v>
      </c>
      <c r="W64" s="47">
        <f t="shared" si="84"/>
        <v>4.2335766423357679E-2</v>
      </c>
      <c r="X64" s="48">
        <f t="shared" si="84"/>
        <v>4.481792717086841E-2</v>
      </c>
    </row>
    <row r="70" spans="1:23" s="37" customFormat="1" x14ac:dyDescent="0.15">
      <c r="A70" s="2"/>
      <c r="B70" s="56"/>
      <c r="C70" s="23"/>
      <c r="D70" s="23"/>
      <c r="E70" s="23"/>
      <c r="F70" s="23"/>
      <c r="G70" s="28"/>
      <c r="H70" s="23"/>
      <c r="I70" s="23"/>
      <c r="J70" s="23"/>
      <c r="K70" s="28"/>
      <c r="L70" s="23"/>
      <c r="M70" s="23"/>
      <c r="N70" s="23"/>
      <c r="O70" s="28"/>
      <c r="P70" s="23"/>
      <c r="Q70" s="23"/>
      <c r="R70" s="23"/>
      <c r="S70" s="36"/>
      <c r="W70" s="36"/>
    </row>
    <row r="73" spans="1:23" s="37" customFormat="1" x14ac:dyDescent="0.15">
      <c r="A73" s="2"/>
      <c r="B73" s="56"/>
      <c r="C73" s="23"/>
      <c r="D73" s="23"/>
      <c r="E73" s="23"/>
      <c r="F73" s="23"/>
      <c r="G73" s="28"/>
      <c r="H73" s="23"/>
      <c r="I73" s="23"/>
      <c r="J73" s="23"/>
      <c r="K73" s="28"/>
      <c r="L73" s="23"/>
      <c r="M73" s="23"/>
      <c r="N73" s="23"/>
      <c r="O73" s="28"/>
      <c r="P73" s="23"/>
      <c r="Q73" s="23"/>
      <c r="R73" s="23"/>
      <c r="S73" s="36"/>
      <c r="W73" s="36"/>
    </row>
    <row r="74" spans="1:23" s="37" customFormat="1" x14ac:dyDescent="0.15">
      <c r="A74" s="2"/>
      <c r="B74" s="56"/>
      <c r="C74" s="23"/>
      <c r="D74" s="23"/>
      <c r="E74" s="23"/>
      <c r="F74" s="23"/>
      <c r="G74" s="28"/>
      <c r="H74" s="23"/>
      <c r="I74" s="23"/>
      <c r="J74" s="23"/>
      <c r="K74" s="28"/>
      <c r="L74" s="23"/>
      <c r="M74" s="23"/>
      <c r="N74" s="23"/>
      <c r="O74" s="28"/>
      <c r="P74" s="23"/>
      <c r="Q74" s="23"/>
      <c r="R74" s="23"/>
      <c r="S74" s="36"/>
      <c r="W74" s="36"/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D22"/>
  <sheetViews>
    <sheetView zoomScale="130" zoomScaleNormal="130" workbookViewId="0">
      <selection activeCell="C32" sqref="C32"/>
    </sheetView>
  </sheetViews>
  <sheetFormatPr baseColWidth="10" defaultRowHeight="13" x14ac:dyDescent="0.15"/>
  <cols>
    <col min="1" max="1" width="10.83203125" style="1"/>
    <col min="2" max="2" width="17.1640625" style="1" bestFit="1" customWidth="1"/>
    <col min="3" max="3" width="34.33203125" style="1" bestFit="1" customWidth="1"/>
    <col min="4" max="4" width="48.6640625" style="1" bestFit="1" customWidth="1"/>
    <col min="5" max="16384" width="10.83203125" style="1"/>
  </cols>
  <sheetData>
    <row r="4" spans="2:4" x14ac:dyDescent="0.15">
      <c r="B4" s="62" t="s">
        <v>123</v>
      </c>
    </row>
    <row r="6" spans="2:4" x14ac:dyDescent="0.15">
      <c r="B6" s="1" t="s">
        <v>104</v>
      </c>
      <c r="C6" s="1" t="s">
        <v>105</v>
      </c>
    </row>
    <row r="7" spans="2:4" x14ac:dyDescent="0.15">
      <c r="B7" s="1" t="s">
        <v>88</v>
      </c>
      <c r="C7" s="1" t="s">
        <v>108</v>
      </c>
      <c r="D7" s="5" t="s">
        <v>103</v>
      </c>
    </row>
    <row r="8" spans="2:4" x14ac:dyDescent="0.15">
      <c r="B8" s="1" t="s">
        <v>106</v>
      </c>
      <c r="C8" s="1" t="s">
        <v>107</v>
      </c>
    </row>
    <row r="9" spans="2:4" x14ac:dyDescent="0.15">
      <c r="B9" s="1" t="s">
        <v>89</v>
      </c>
      <c r="C9" s="1" t="s">
        <v>102</v>
      </c>
    </row>
    <row r="10" spans="2:4" x14ac:dyDescent="0.15">
      <c r="B10" s="1" t="s">
        <v>112</v>
      </c>
      <c r="C10" s="1" t="s">
        <v>113</v>
      </c>
      <c r="D10" s="5" t="s">
        <v>101</v>
      </c>
    </row>
    <row r="11" spans="2:4" x14ac:dyDescent="0.15">
      <c r="B11" s="1" t="s">
        <v>90</v>
      </c>
      <c r="C11" s="1" t="s">
        <v>110</v>
      </c>
      <c r="D11" s="5" t="s">
        <v>100</v>
      </c>
    </row>
    <row r="12" spans="2:4" x14ac:dyDescent="0.15">
      <c r="B12" s="1" t="s">
        <v>109</v>
      </c>
      <c r="C12" s="1" t="s">
        <v>111</v>
      </c>
      <c r="D12" s="5" t="s">
        <v>99</v>
      </c>
    </row>
    <row r="13" spans="2:4" x14ac:dyDescent="0.15">
      <c r="B13" s="1" t="s">
        <v>91</v>
      </c>
      <c r="C13" s="1" t="s">
        <v>98</v>
      </c>
    </row>
    <row r="14" spans="2:4" x14ac:dyDescent="0.15">
      <c r="B14" s="1" t="s">
        <v>92</v>
      </c>
      <c r="C14" s="1" t="s">
        <v>96</v>
      </c>
      <c r="D14" s="5" t="s">
        <v>97</v>
      </c>
    </row>
    <row r="15" spans="2:4" x14ac:dyDescent="0.15">
      <c r="B15" s="1" t="s">
        <v>93</v>
      </c>
      <c r="C15" s="1" t="s">
        <v>95</v>
      </c>
      <c r="D15" s="5" t="s">
        <v>94</v>
      </c>
    </row>
    <row r="17" spans="2:4" x14ac:dyDescent="0.15">
      <c r="B17" s="2" t="s">
        <v>149</v>
      </c>
    </row>
    <row r="19" spans="2:4" x14ac:dyDescent="0.15">
      <c r="B19" s="1" t="s">
        <v>124</v>
      </c>
      <c r="C19" s="1" t="s">
        <v>128</v>
      </c>
      <c r="D19" s="63" t="s">
        <v>134</v>
      </c>
    </row>
    <row r="20" spans="2:4" x14ac:dyDescent="0.15">
      <c r="B20" s="1" t="s">
        <v>125</v>
      </c>
      <c r="C20" s="1" t="s">
        <v>129</v>
      </c>
    </row>
    <row r="21" spans="2:4" x14ac:dyDescent="0.15">
      <c r="B21" s="1" t="s">
        <v>126</v>
      </c>
      <c r="C21" s="1" t="s">
        <v>130</v>
      </c>
      <c r="D21" s="63" t="s">
        <v>133</v>
      </c>
    </row>
    <row r="22" spans="2:4" x14ac:dyDescent="0.15">
      <c r="B22" s="1" t="s">
        <v>127</v>
      </c>
      <c r="C22" s="1" t="s">
        <v>131</v>
      </c>
      <c r="D22" s="63" t="s">
        <v>132</v>
      </c>
    </row>
  </sheetData>
  <hyperlinks>
    <hyperlink ref="D15" r:id="rId1" xr:uid="{00000000-0004-0000-0200-000000000000}"/>
    <hyperlink ref="D14" r:id="rId2" xr:uid="{00000000-0004-0000-0200-000001000000}"/>
    <hyperlink ref="D12" r:id="rId3" xr:uid="{00000000-0004-0000-0200-000002000000}"/>
    <hyperlink ref="D11" r:id="rId4" xr:uid="{00000000-0004-0000-0200-000003000000}"/>
    <hyperlink ref="D10" r:id="rId5" xr:uid="{00000000-0004-0000-0200-000004000000}"/>
    <hyperlink ref="D7" r:id="rId6" xr:uid="{00000000-0004-0000-0200-000005000000}"/>
    <hyperlink ref="D22" r:id="rId7" xr:uid="{1015E8A3-9331-C94C-86A8-682054C22104}"/>
    <hyperlink ref="D21" r:id="rId8" xr:uid="{41877BBD-35B4-4B4F-8FEA-D1A573810A93}"/>
    <hyperlink ref="D19" r:id="rId9" xr:uid="{0D020BF1-2F39-4446-A1B7-DA431598C74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2021-02-28T12:03:11Z</dcterms:modified>
</cp:coreProperties>
</file>