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60BF3167-3011-B54F-BF39-AFA7B6A1F932}" xr6:coauthVersionLast="46" xr6:coauthVersionMax="46" xr10:uidLastSave="{00000000-0000-0000-0000-000000000000}"/>
  <bookViews>
    <workbookView xWindow="-52260" yWindow="-5940" windowWidth="26120" windowHeight="26740" tabRatio="500" xr2:uid="{00000000-000D-0000-FFFF-FFFF00000000}"/>
  </bookViews>
  <sheets>
    <sheet name="Main" sheetId="2" r:id="rId1"/>
    <sheet name="Reports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1" l="1"/>
  <c r="G6" i="2"/>
  <c r="DT28" i="2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EK28" i="2" s="1"/>
  <c r="EL28" i="2" s="1"/>
  <c r="EM28" i="2" s="1"/>
  <c r="EN28" i="2" s="1"/>
  <c r="EO28" i="2" s="1"/>
  <c r="EP28" i="2" s="1"/>
  <c r="EQ28" i="2" s="1"/>
  <c r="ER28" i="2" s="1"/>
  <c r="ES28" i="2" s="1"/>
  <c r="ET28" i="2" s="1"/>
  <c r="X28" i="2"/>
  <c r="T22" i="2"/>
  <c r="U22" i="2" s="1"/>
  <c r="V22" i="2" s="1"/>
  <c r="W22" i="2" s="1"/>
  <c r="S22" i="2"/>
  <c r="T21" i="2"/>
  <c r="U21" i="2" s="1"/>
  <c r="V21" i="2" s="1"/>
  <c r="W21" i="2" s="1"/>
  <c r="S21" i="2"/>
  <c r="T20" i="2"/>
  <c r="U20" i="2" s="1"/>
  <c r="V20" i="2" s="1"/>
  <c r="W20" i="2" s="1"/>
  <c r="S20" i="2"/>
  <c r="T17" i="2"/>
  <c r="U17" i="2" s="1"/>
  <c r="V17" i="2" s="1"/>
  <c r="W17" i="2" s="1"/>
  <c r="S17" i="2"/>
  <c r="O22" i="2"/>
  <c r="P22" i="2" s="1"/>
  <c r="Q22" i="2" s="1"/>
  <c r="R22" i="2" s="1"/>
  <c r="N22" i="2"/>
  <c r="O21" i="2"/>
  <c r="P21" i="2" s="1"/>
  <c r="Q21" i="2" s="1"/>
  <c r="R21" i="2" s="1"/>
  <c r="N21" i="2"/>
  <c r="O20" i="2"/>
  <c r="P20" i="2" s="1"/>
  <c r="Q20" i="2" s="1"/>
  <c r="R20" i="2" s="1"/>
  <c r="N20" i="2"/>
  <c r="M40" i="2"/>
  <c r="L40" i="2"/>
  <c r="K40" i="2"/>
  <c r="J40" i="2"/>
  <c r="I40" i="2"/>
  <c r="D40" i="2"/>
  <c r="E40" i="2"/>
  <c r="F40" i="2"/>
  <c r="G40" i="2"/>
  <c r="H40" i="2"/>
  <c r="D4" i="2"/>
  <c r="H61" i="2"/>
  <c r="H48" i="2"/>
  <c r="H47" i="2"/>
  <c r="H44" i="2"/>
  <c r="H30" i="2"/>
  <c r="H14" i="2"/>
  <c r="H27" i="2"/>
  <c r="H25" i="2"/>
  <c r="H20" i="2"/>
  <c r="I20" i="2" s="1"/>
  <c r="J20" i="2" s="1"/>
  <c r="K20" i="2" s="1"/>
  <c r="L20" i="2" s="1"/>
  <c r="M20" i="2" s="1"/>
  <c r="H12" i="2"/>
  <c r="H11" i="2"/>
  <c r="V57" i="1"/>
  <c r="U57" i="1"/>
  <c r="T57" i="1"/>
  <c r="S57" i="1"/>
  <c r="Z55" i="1"/>
  <c r="X55" i="1"/>
  <c r="G55" i="1"/>
  <c r="Y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J54" i="1"/>
  <c r="I54" i="1"/>
  <c r="H54" i="1"/>
  <c r="G54" i="1"/>
  <c r="N54" i="1"/>
  <c r="M54" i="1"/>
  <c r="L54" i="1"/>
  <c r="K54" i="1"/>
  <c r="R54" i="1"/>
  <c r="Q54" i="1"/>
  <c r="P54" i="1"/>
  <c r="O54" i="1"/>
  <c r="V54" i="1"/>
  <c r="U54" i="1"/>
  <c r="T54" i="1"/>
  <c r="S54" i="1"/>
  <c r="Y54" i="1"/>
  <c r="X54" i="1"/>
  <c r="W54" i="1"/>
  <c r="Z54" i="1"/>
  <c r="Z63" i="1"/>
  <c r="Z57" i="1"/>
  <c r="Z43" i="1"/>
  <c r="Z38" i="1"/>
  <c r="H46" i="2" s="1"/>
  <c r="Z35" i="1"/>
  <c r="H43" i="2" s="1"/>
  <c r="Z30" i="1"/>
  <c r="Z15" i="1"/>
  <c r="Z32" i="1" s="1"/>
  <c r="Z14" i="1"/>
  <c r="Z11" i="1"/>
  <c r="Z64" i="1"/>
  <c r="Z8" i="1"/>
  <c r="G48" i="2"/>
  <c r="G47" i="2"/>
  <c r="G44" i="2"/>
  <c r="G5" i="2"/>
  <c r="H62" i="2"/>
  <c r="I62" i="2" s="1"/>
  <c r="G62" i="2"/>
  <c r="G61" i="2"/>
  <c r="F62" i="2"/>
  <c r="F61" i="2"/>
  <c r="E62" i="2"/>
  <c r="E61" i="2"/>
  <c r="D62" i="2"/>
  <c r="D61" i="2"/>
  <c r="C62" i="2"/>
  <c r="C61" i="2"/>
  <c r="G25" i="2"/>
  <c r="G30" i="2"/>
  <c r="G27" i="2"/>
  <c r="G20" i="2"/>
  <c r="G12" i="2"/>
  <c r="G11" i="2"/>
  <c r="D5" i="2"/>
  <c r="K66" i="1"/>
  <c r="K64" i="1"/>
  <c r="K63" i="1"/>
  <c r="O64" i="1"/>
  <c r="O63" i="1"/>
  <c r="Y64" i="1"/>
  <c r="X64" i="1"/>
  <c r="W64" i="1"/>
  <c r="V64" i="1"/>
  <c r="U64" i="1"/>
  <c r="T64" i="1"/>
  <c r="S64" i="1"/>
  <c r="R64" i="1"/>
  <c r="Q64" i="1"/>
  <c r="P64" i="1"/>
  <c r="N64" i="1"/>
  <c r="M64" i="1"/>
  <c r="L64" i="1"/>
  <c r="J64" i="1"/>
  <c r="I64" i="1"/>
  <c r="Y63" i="1"/>
  <c r="X63" i="1"/>
  <c r="W63" i="1"/>
  <c r="V63" i="1"/>
  <c r="U63" i="1"/>
  <c r="T63" i="1"/>
  <c r="S63" i="1"/>
  <c r="R63" i="1"/>
  <c r="Q63" i="1"/>
  <c r="P63" i="1"/>
  <c r="N63" i="1"/>
  <c r="M63" i="1"/>
  <c r="L63" i="1"/>
  <c r="J63" i="1"/>
  <c r="I63" i="1"/>
  <c r="H64" i="1"/>
  <c r="H63" i="1"/>
  <c r="G63" i="1"/>
  <c r="G64" i="1"/>
  <c r="S30" i="1"/>
  <c r="S15" i="1"/>
  <c r="S14" i="1"/>
  <c r="S11" i="1"/>
  <c r="V32" i="1"/>
  <c r="V30" i="1"/>
  <c r="V14" i="1"/>
  <c r="V16" i="1" s="1"/>
  <c r="V11" i="1"/>
  <c r="W57" i="1"/>
  <c r="W43" i="1"/>
  <c r="W38" i="1"/>
  <c r="W35" i="1"/>
  <c r="W34" i="1" s="1"/>
  <c r="W30" i="1"/>
  <c r="W15" i="1"/>
  <c r="W14" i="1"/>
  <c r="W11" i="1"/>
  <c r="S8" i="1"/>
  <c r="X58" i="1"/>
  <c r="X57" i="1"/>
  <c r="X43" i="1"/>
  <c r="X38" i="1"/>
  <c r="X35" i="1"/>
  <c r="X34" i="1" s="1"/>
  <c r="X30" i="1"/>
  <c r="X15" i="1"/>
  <c r="X14" i="1"/>
  <c r="X11" i="1"/>
  <c r="H18" i="2" s="1"/>
  <c r="T30" i="1"/>
  <c r="T15" i="1"/>
  <c r="T14" i="1"/>
  <c r="T11" i="1"/>
  <c r="T8" i="1"/>
  <c r="T10" i="1" s="1"/>
  <c r="W51" i="1" s="1"/>
  <c r="Y57" i="1"/>
  <c r="Y43" i="1"/>
  <c r="Y38" i="1"/>
  <c r="Y35" i="1"/>
  <c r="Y34" i="1" s="1"/>
  <c r="V43" i="1"/>
  <c r="V38" i="1"/>
  <c r="G46" i="2" s="1"/>
  <c r="V35" i="1"/>
  <c r="U30" i="1"/>
  <c r="U14" i="1"/>
  <c r="U11" i="1"/>
  <c r="Y30" i="1"/>
  <c r="Y15" i="1"/>
  <c r="Y32" i="1" s="1"/>
  <c r="Y14" i="1"/>
  <c r="Y11" i="1"/>
  <c r="Y8" i="1"/>
  <c r="X8" i="1"/>
  <c r="X10" i="1" s="1"/>
  <c r="W8" i="1"/>
  <c r="W10" i="1" s="1"/>
  <c r="V8" i="1"/>
  <c r="V10" i="1" s="1"/>
  <c r="U8" i="1"/>
  <c r="U10" i="1" s="1"/>
  <c r="U66" i="1" s="1"/>
  <c r="F48" i="2"/>
  <c r="F47" i="2"/>
  <c r="F44" i="2"/>
  <c r="F27" i="2"/>
  <c r="F25" i="2"/>
  <c r="F20" i="2"/>
  <c r="F14" i="2"/>
  <c r="G14" i="2" s="1"/>
  <c r="H58" i="2" s="1"/>
  <c r="F12" i="2"/>
  <c r="F11" i="2"/>
  <c r="R38" i="1"/>
  <c r="F46" i="2" s="1"/>
  <c r="R35" i="1"/>
  <c r="F43" i="2" s="1"/>
  <c r="R43" i="1"/>
  <c r="R15" i="1"/>
  <c r="R14" i="1"/>
  <c r="R16" i="1" s="1"/>
  <c r="R11" i="1"/>
  <c r="R8" i="1"/>
  <c r="R10" i="1" s="1"/>
  <c r="R66" i="1" s="1"/>
  <c r="E14" i="2"/>
  <c r="E11" i="2"/>
  <c r="E12" i="2"/>
  <c r="F30" i="2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E20" i="2"/>
  <c r="E37" i="2" s="1"/>
  <c r="E25" i="2"/>
  <c r="E27" i="2"/>
  <c r="E47" i="2"/>
  <c r="D11" i="2"/>
  <c r="D12" i="2"/>
  <c r="D14" i="2"/>
  <c r="E48" i="2"/>
  <c r="E44" i="2"/>
  <c r="E30" i="2"/>
  <c r="C14" i="2"/>
  <c r="C11" i="2"/>
  <c r="C12" i="2"/>
  <c r="D20" i="2"/>
  <c r="D25" i="2"/>
  <c r="D27" i="2"/>
  <c r="D47" i="2"/>
  <c r="D48" i="2"/>
  <c r="D44" i="2"/>
  <c r="D30" i="2"/>
  <c r="C30" i="2"/>
  <c r="C27" i="2"/>
  <c r="C25" i="2"/>
  <c r="C20" i="2"/>
  <c r="R30" i="1"/>
  <c r="Q30" i="1"/>
  <c r="P30" i="1"/>
  <c r="O30" i="1"/>
  <c r="N30" i="1"/>
  <c r="M30" i="1"/>
  <c r="L30" i="1"/>
  <c r="K30" i="1"/>
  <c r="J30" i="1"/>
  <c r="I30" i="1"/>
  <c r="H30" i="1"/>
  <c r="G30" i="1"/>
  <c r="R57" i="1"/>
  <c r="G15" i="1"/>
  <c r="C15" i="1"/>
  <c r="J35" i="1"/>
  <c r="D43" i="2" s="1"/>
  <c r="K38" i="1"/>
  <c r="K35" i="1"/>
  <c r="K34" i="1" s="1"/>
  <c r="H8" i="1"/>
  <c r="H10" i="1" s="1"/>
  <c r="H66" i="1" s="1"/>
  <c r="H11" i="1"/>
  <c r="H14" i="1"/>
  <c r="H15" i="1"/>
  <c r="H16" i="1"/>
  <c r="I8" i="1"/>
  <c r="I11" i="1"/>
  <c r="I14" i="1"/>
  <c r="I15" i="1"/>
  <c r="J8" i="1"/>
  <c r="J10" i="1" s="1"/>
  <c r="J66" i="1" s="1"/>
  <c r="J11" i="1"/>
  <c r="J14" i="1"/>
  <c r="J16" i="1" s="1"/>
  <c r="J15" i="1"/>
  <c r="K8" i="1"/>
  <c r="K10" i="1"/>
  <c r="K11" i="1"/>
  <c r="K14" i="1"/>
  <c r="K15" i="1"/>
  <c r="K42" i="1"/>
  <c r="K43" i="1"/>
  <c r="L38" i="1"/>
  <c r="L35" i="1"/>
  <c r="L34" i="1" s="1"/>
  <c r="L8" i="1"/>
  <c r="L10" i="1" s="1"/>
  <c r="L66" i="1" s="1"/>
  <c r="L11" i="1"/>
  <c r="L14" i="1"/>
  <c r="L15" i="1"/>
  <c r="L16" i="1" s="1"/>
  <c r="L43" i="1"/>
  <c r="G8" i="1"/>
  <c r="G10" i="1" s="1"/>
  <c r="G66" i="1" s="1"/>
  <c r="G11" i="1"/>
  <c r="G14" i="1"/>
  <c r="J38" i="1"/>
  <c r="D46" i="2" s="1"/>
  <c r="J43" i="1"/>
  <c r="M38" i="1"/>
  <c r="M35" i="1"/>
  <c r="M34" i="1" s="1"/>
  <c r="M8" i="1"/>
  <c r="M10" i="1" s="1"/>
  <c r="M66" i="1" s="1"/>
  <c r="M11" i="1"/>
  <c r="M14" i="1"/>
  <c r="M15" i="1"/>
  <c r="M43" i="1"/>
  <c r="O8" i="1"/>
  <c r="O10" i="1" s="1"/>
  <c r="N8" i="1"/>
  <c r="N10" i="1" s="1"/>
  <c r="F8" i="1"/>
  <c r="J58" i="1" s="1"/>
  <c r="E8" i="1"/>
  <c r="E10" i="1" s="1"/>
  <c r="D8" i="1"/>
  <c r="D10" i="1" s="1"/>
  <c r="D66" i="1" s="1"/>
  <c r="C8" i="1"/>
  <c r="C10" i="1" s="1"/>
  <c r="O57" i="1"/>
  <c r="N57" i="1"/>
  <c r="M57" i="1"/>
  <c r="L57" i="1"/>
  <c r="K57" i="1"/>
  <c r="J57" i="1"/>
  <c r="I57" i="1"/>
  <c r="H57" i="1"/>
  <c r="G57" i="1"/>
  <c r="N11" i="1"/>
  <c r="N15" i="1"/>
  <c r="N14" i="1"/>
  <c r="O38" i="1"/>
  <c r="O35" i="1"/>
  <c r="O34" i="1" s="1"/>
  <c r="O15" i="1"/>
  <c r="O14" i="1"/>
  <c r="O11" i="1"/>
  <c r="O43" i="1"/>
  <c r="P57" i="1"/>
  <c r="P8" i="1"/>
  <c r="P10" i="1" s="1"/>
  <c r="P66" i="1" s="1"/>
  <c r="P38" i="1"/>
  <c r="P35" i="1"/>
  <c r="P34" i="1" s="1"/>
  <c r="P15" i="1"/>
  <c r="P14" i="1"/>
  <c r="P11" i="1"/>
  <c r="P43" i="1"/>
  <c r="N38" i="1"/>
  <c r="E46" i="2" s="1"/>
  <c r="N35" i="1"/>
  <c r="E43" i="2" s="1"/>
  <c r="N43" i="1"/>
  <c r="Q8" i="1"/>
  <c r="Q10" i="1" s="1"/>
  <c r="Q66" i="1" s="1"/>
  <c r="Q11" i="1"/>
  <c r="Q14" i="1"/>
  <c r="Q15" i="1"/>
  <c r="U32" i="1" s="1"/>
  <c r="Q38" i="1"/>
  <c r="Q35" i="1"/>
  <c r="Q34" i="1" s="1"/>
  <c r="Q43" i="1"/>
  <c r="Q57" i="1"/>
  <c r="F14" i="1"/>
  <c r="F15" i="1"/>
  <c r="F16" i="1" s="1"/>
  <c r="E14" i="1"/>
  <c r="E15" i="1"/>
  <c r="D14" i="1"/>
  <c r="D15" i="1"/>
  <c r="C14" i="1"/>
  <c r="E11" i="1"/>
  <c r="C11" i="1"/>
  <c r="D11" i="1"/>
  <c r="F11" i="1"/>
  <c r="F10" i="2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D37" i="2" l="1"/>
  <c r="F51" i="2"/>
  <c r="Z34" i="1"/>
  <c r="D6" i="2" s="1"/>
  <c r="G51" i="2"/>
  <c r="H22" i="2"/>
  <c r="H21" i="2"/>
  <c r="I21" i="2" s="1"/>
  <c r="J21" i="2" s="1"/>
  <c r="K21" i="2" s="1"/>
  <c r="L21" i="2" s="1"/>
  <c r="M21" i="2" s="1"/>
  <c r="N51" i="1"/>
  <c r="Q51" i="1"/>
  <c r="X51" i="1"/>
  <c r="R51" i="1"/>
  <c r="R52" i="1" s="1"/>
  <c r="H23" i="2"/>
  <c r="N66" i="1"/>
  <c r="O66" i="1"/>
  <c r="F51" i="1"/>
  <c r="H32" i="1"/>
  <c r="O51" i="1"/>
  <c r="P31" i="1"/>
  <c r="P51" i="1"/>
  <c r="S58" i="1"/>
  <c r="H50" i="2"/>
  <c r="T58" i="1"/>
  <c r="U58" i="1"/>
  <c r="K32" i="1"/>
  <c r="O58" i="1"/>
  <c r="W16" i="1"/>
  <c r="V58" i="1"/>
  <c r="C12" i="1"/>
  <c r="C25" i="1" s="1"/>
  <c r="M51" i="1"/>
  <c r="M52" i="1" s="1"/>
  <c r="Y16" i="1"/>
  <c r="J62" i="2"/>
  <c r="H51" i="2"/>
  <c r="H15" i="2"/>
  <c r="H42" i="2"/>
  <c r="I31" i="1"/>
  <c r="J42" i="1"/>
  <c r="W42" i="1"/>
  <c r="S31" i="1"/>
  <c r="M32" i="1"/>
  <c r="H31" i="1"/>
  <c r="Z58" i="1"/>
  <c r="G22" i="2"/>
  <c r="D64" i="2"/>
  <c r="D65" i="2"/>
  <c r="Z16" i="1"/>
  <c r="E64" i="2"/>
  <c r="X42" i="1"/>
  <c r="V31" i="1"/>
  <c r="F65" i="2"/>
  <c r="P58" i="1"/>
  <c r="G64" i="2"/>
  <c r="G65" i="2"/>
  <c r="Z31" i="1"/>
  <c r="G15" i="2"/>
  <c r="G17" i="2" s="1"/>
  <c r="G67" i="2" s="1"/>
  <c r="W58" i="1"/>
  <c r="Z42" i="1"/>
  <c r="E65" i="2"/>
  <c r="E12" i="1"/>
  <c r="G18" i="2"/>
  <c r="S32" i="1"/>
  <c r="F64" i="2"/>
  <c r="Q31" i="1"/>
  <c r="T31" i="1"/>
  <c r="T32" i="1"/>
  <c r="V29" i="1"/>
  <c r="V66" i="1"/>
  <c r="V12" i="1"/>
  <c r="V25" i="1" s="1"/>
  <c r="W12" i="1"/>
  <c r="W25" i="1" s="1"/>
  <c r="W66" i="1"/>
  <c r="X29" i="1"/>
  <c r="X66" i="1"/>
  <c r="G21" i="2"/>
  <c r="W31" i="1"/>
  <c r="T29" i="1"/>
  <c r="Y31" i="1"/>
  <c r="Z10" i="1"/>
  <c r="Z66" i="1" s="1"/>
  <c r="L42" i="1"/>
  <c r="S10" i="1"/>
  <c r="S51" i="1" s="1"/>
  <c r="O32" i="1"/>
  <c r="V42" i="1"/>
  <c r="T66" i="1"/>
  <c r="C22" i="2"/>
  <c r="Y58" i="1"/>
  <c r="E66" i="1"/>
  <c r="X32" i="1"/>
  <c r="R31" i="1"/>
  <c r="X31" i="1"/>
  <c r="W32" i="1"/>
  <c r="O42" i="1"/>
  <c r="K58" i="1"/>
  <c r="G43" i="2"/>
  <c r="G42" i="2" s="1"/>
  <c r="R12" i="1"/>
  <c r="R17" i="1" s="1"/>
  <c r="M31" i="1"/>
  <c r="Y10" i="1"/>
  <c r="Y42" i="1"/>
  <c r="S16" i="1"/>
  <c r="H65" i="2"/>
  <c r="U12" i="1"/>
  <c r="U25" i="1" s="1"/>
  <c r="U29" i="1"/>
  <c r="X12" i="1"/>
  <c r="T12" i="1"/>
  <c r="T25" i="1" s="1"/>
  <c r="X16" i="1"/>
  <c r="E15" i="2"/>
  <c r="E17" i="2" s="1"/>
  <c r="E67" i="2" s="1"/>
  <c r="V34" i="1"/>
  <c r="M42" i="1"/>
  <c r="N16" i="1"/>
  <c r="T16" i="1"/>
  <c r="T17" i="1" s="1"/>
  <c r="Q42" i="1"/>
  <c r="R32" i="1"/>
  <c r="L58" i="1"/>
  <c r="C21" i="2"/>
  <c r="D16" i="1"/>
  <c r="N34" i="1"/>
  <c r="M12" i="1"/>
  <c r="M25" i="1" s="1"/>
  <c r="E21" i="2"/>
  <c r="U16" i="1"/>
  <c r="J32" i="1"/>
  <c r="N31" i="1"/>
  <c r="O16" i="1"/>
  <c r="E16" i="1"/>
  <c r="N42" i="1"/>
  <c r="U31" i="1"/>
  <c r="D15" i="2"/>
  <c r="E42" i="2"/>
  <c r="F42" i="2"/>
  <c r="F37" i="2"/>
  <c r="G58" i="2"/>
  <c r="F18" i="2"/>
  <c r="C16" i="1"/>
  <c r="L31" i="1"/>
  <c r="P42" i="1"/>
  <c r="F15" i="2"/>
  <c r="F17" i="2" s="1"/>
  <c r="F67" i="2" s="1"/>
  <c r="E58" i="2"/>
  <c r="E51" i="2"/>
  <c r="E22" i="2"/>
  <c r="G32" i="1"/>
  <c r="J31" i="1"/>
  <c r="L32" i="1"/>
  <c r="D21" i="2"/>
  <c r="E18" i="2"/>
  <c r="D42" i="2"/>
  <c r="O31" i="1"/>
  <c r="D12" i="1"/>
  <c r="D25" i="1" s="1"/>
  <c r="C15" i="2"/>
  <c r="C17" i="2" s="1"/>
  <c r="F58" i="2"/>
  <c r="R34" i="1"/>
  <c r="I58" i="1"/>
  <c r="M58" i="1"/>
  <c r="D18" i="2"/>
  <c r="F21" i="2"/>
  <c r="K31" i="1"/>
  <c r="K12" i="1"/>
  <c r="K25" i="1" s="1"/>
  <c r="Q32" i="1"/>
  <c r="C18" i="2"/>
  <c r="H58" i="1"/>
  <c r="L12" i="1"/>
  <c r="L25" i="1" s="1"/>
  <c r="I32" i="1"/>
  <c r="P16" i="1"/>
  <c r="R42" i="1"/>
  <c r="F50" i="2"/>
  <c r="Q12" i="1"/>
  <c r="Q29" i="1"/>
  <c r="H29" i="1"/>
  <c r="L29" i="1"/>
  <c r="H12" i="1"/>
  <c r="G29" i="1"/>
  <c r="K29" i="1"/>
  <c r="G12" i="1"/>
  <c r="D50" i="2"/>
  <c r="J12" i="1"/>
  <c r="G37" i="2"/>
  <c r="P29" i="1"/>
  <c r="P12" i="1"/>
  <c r="N29" i="1"/>
  <c r="N12" i="1"/>
  <c r="O29" i="1"/>
  <c r="O12" i="1"/>
  <c r="M16" i="1"/>
  <c r="I10" i="1"/>
  <c r="K51" i="1" s="1"/>
  <c r="N32" i="1"/>
  <c r="F22" i="2"/>
  <c r="E50" i="2"/>
  <c r="N58" i="1"/>
  <c r="R58" i="1"/>
  <c r="P32" i="1"/>
  <c r="R29" i="1"/>
  <c r="G31" i="1"/>
  <c r="D22" i="2"/>
  <c r="G16" i="1"/>
  <c r="Q58" i="1"/>
  <c r="J34" i="1"/>
  <c r="G58" i="1"/>
  <c r="K16" i="1"/>
  <c r="Q16" i="1"/>
  <c r="D51" i="2"/>
  <c r="D58" i="2"/>
  <c r="I16" i="1"/>
  <c r="F10" i="1"/>
  <c r="I51" i="1" s="1"/>
  <c r="D7" i="2" l="1"/>
  <c r="D8" i="2" s="1"/>
  <c r="S52" i="1"/>
  <c r="W52" i="1"/>
  <c r="O52" i="1"/>
  <c r="U51" i="1"/>
  <c r="U52" i="1" s="1"/>
  <c r="Y29" i="1"/>
  <c r="Z51" i="1"/>
  <c r="Y51" i="1"/>
  <c r="Y52" i="1" s="1"/>
  <c r="G23" i="2"/>
  <c r="T51" i="1"/>
  <c r="I66" i="1"/>
  <c r="L51" i="1"/>
  <c r="L52" i="1" s="1"/>
  <c r="J51" i="1"/>
  <c r="Q52" i="1"/>
  <c r="R25" i="1"/>
  <c r="W29" i="1"/>
  <c r="V51" i="1"/>
  <c r="V52" i="1" s="1"/>
  <c r="H51" i="1"/>
  <c r="C17" i="1"/>
  <c r="C26" i="1" s="1"/>
  <c r="G51" i="1"/>
  <c r="K52" i="1" s="1"/>
  <c r="C23" i="2"/>
  <c r="H59" i="2"/>
  <c r="H17" i="2"/>
  <c r="H19" i="2" s="1"/>
  <c r="H24" i="2" s="1"/>
  <c r="H26" i="2" s="1"/>
  <c r="K62" i="2"/>
  <c r="J65" i="2"/>
  <c r="E17" i="1"/>
  <c r="G19" i="2"/>
  <c r="E59" i="2"/>
  <c r="G24" i="2"/>
  <c r="G26" i="2" s="1"/>
  <c r="E25" i="1"/>
  <c r="E23" i="2"/>
  <c r="G38" i="2"/>
  <c r="D17" i="1"/>
  <c r="D26" i="1" s="1"/>
  <c r="Z12" i="1"/>
  <c r="Z29" i="1"/>
  <c r="S29" i="1"/>
  <c r="S66" i="1"/>
  <c r="S12" i="1"/>
  <c r="S25" i="1" s="1"/>
  <c r="F12" i="1"/>
  <c r="F25" i="1" s="1"/>
  <c r="F66" i="1"/>
  <c r="W17" i="1"/>
  <c r="M29" i="1"/>
  <c r="U17" i="1"/>
  <c r="U19" i="1" s="1"/>
  <c r="H67" i="2"/>
  <c r="M17" i="1"/>
  <c r="M26" i="1" s="1"/>
  <c r="Y12" i="1"/>
  <c r="Y66" i="1"/>
  <c r="D39" i="2"/>
  <c r="G50" i="2"/>
  <c r="V17" i="1"/>
  <c r="I65" i="2"/>
  <c r="D17" i="2"/>
  <c r="T19" i="1"/>
  <c r="T26" i="1"/>
  <c r="D59" i="2"/>
  <c r="X25" i="1"/>
  <c r="X17" i="1"/>
  <c r="L17" i="1"/>
  <c r="L26" i="1" s="1"/>
  <c r="E19" i="2"/>
  <c r="E32" i="2" s="1"/>
  <c r="D38" i="2"/>
  <c r="D23" i="2"/>
  <c r="E38" i="2"/>
  <c r="C19" i="2"/>
  <c r="C24" i="2" s="1"/>
  <c r="C33" i="2" s="1"/>
  <c r="F23" i="2"/>
  <c r="K17" i="1"/>
  <c r="K26" i="1" s="1"/>
  <c r="E39" i="2"/>
  <c r="H38" i="2"/>
  <c r="F59" i="2"/>
  <c r="F38" i="2"/>
  <c r="F17" i="1"/>
  <c r="H17" i="1"/>
  <c r="H25" i="1"/>
  <c r="R19" i="1"/>
  <c r="R26" i="1"/>
  <c r="G25" i="1"/>
  <c r="G17" i="1"/>
  <c r="C19" i="1"/>
  <c r="H37" i="2"/>
  <c r="Q17" i="1"/>
  <c r="Q25" i="1"/>
  <c r="F36" i="2"/>
  <c r="F19" i="2"/>
  <c r="F39" i="2"/>
  <c r="I12" i="1"/>
  <c r="I29" i="1"/>
  <c r="J29" i="1"/>
  <c r="E19" i="1"/>
  <c r="E26" i="1"/>
  <c r="J25" i="1"/>
  <c r="J17" i="1"/>
  <c r="O17" i="1"/>
  <c r="O25" i="1"/>
  <c r="N25" i="1"/>
  <c r="N17" i="1"/>
  <c r="P25" i="1"/>
  <c r="P17" i="1"/>
  <c r="G59" i="2"/>
  <c r="K19" i="1" l="1"/>
  <c r="Z52" i="1"/>
  <c r="D19" i="1"/>
  <c r="J52" i="1"/>
  <c r="N52" i="1"/>
  <c r="T52" i="1"/>
  <c r="X52" i="1"/>
  <c r="P52" i="1"/>
  <c r="I17" i="2"/>
  <c r="I67" i="2" s="1"/>
  <c r="J17" i="2" s="1"/>
  <c r="J67" i="2" s="1"/>
  <c r="K17" i="2" s="1"/>
  <c r="L62" i="2"/>
  <c r="K65" i="2"/>
  <c r="H36" i="2"/>
  <c r="U26" i="1"/>
  <c r="I38" i="2"/>
  <c r="D19" i="2"/>
  <c r="D24" i="2" s="1"/>
  <c r="D67" i="2"/>
  <c r="M19" i="1"/>
  <c r="M27" i="1" s="1"/>
  <c r="Z25" i="1"/>
  <c r="Z17" i="1"/>
  <c r="L19" i="1"/>
  <c r="L21" i="1" s="1"/>
  <c r="V19" i="1"/>
  <c r="V26" i="1"/>
  <c r="S17" i="1"/>
  <c r="Y25" i="1"/>
  <c r="Y17" i="1"/>
  <c r="W19" i="1"/>
  <c r="W26" i="1"/>
  <c r="E36" i="2"/>
  <c r="D36" i="2"/>
  <c r="X26" i="1"/>
  <c r="X19" i="1"/>
  <c r="U27" i="1"/>
  <c r="U21" i="1"/>
  <c r="C32" i="2"/>
  <c r="E24" i="2"/>
  <c r="T21" i="1"/>
  <c r="T27" i="1"/>
  <c r="C21" i="1"/>
  <c r="C22" i="1" s="1"/>
  <c r="C27" i="1"/>
  <c r="R21" i="1"/>
  <c r="R27" i="1"/>
  <c r="I37" i="2"/>
  <c r="J19" i="1"/>
  <c r="J26" i="1"/>
  <c r="E21" i="1"/>
  <c r="E22" i="1" s="1"/>
  <c r="E27" i="1"/>
  <c r="O26" i="1"/>
  <c r="O19" i="1"/>
  <c r="G39" i="2"/>
  <c r="M21" i="1"/>
  <c r="H26" i="1"/>
  <c r="H19" i="1"/>
  <c r="Q26" i="1"/>
  <c r="Q19" i="1"/>
  <c r="F19" i="1"/>
  <c r="F26" i="1"/>
  <c r="I17" i="1"/>
  <c r="I25" i="1"/>
  <c r="K27" i="1"/>
  <c r="K21" i="1"/>
  <c r="G26" i="1"/>
  <c r="G19" i="1"/>
  <c r="F24" i="2"/>
  <c r="F32" i="2"/>
  <c r="G36" i="2"/>
  <c r="P26" i="1"/>
  <c r="P19" i="1"/>
  <c r="D27" i="1"/>
  <c r="D21" i="1"/>
  <c r="D22" i="1" s="1"/>
  <c r="N26" i="1"/>
  <c r="N19" i="1"/>
  <c r="D32" i="2" l="1"/>
  <c r="M62" i="2"/>
  <c r="L65" i="2"/>
  <c r="L27" i="1"/>
  <c r="Y26" i="1"/>
  <c r="Y19" i="1"/>
  <c r="T22" i="1"/>
  <c r="U22" i="1"/>
  <c r="W27" i="1"/>
  <c r="W21" i="1"/>
  <c r="S19" i="1"/>
  <c r="S26" i="1"/>
  <c r="V27" i="1"/>
  <c r="V21" i="1"/>
  <c r="V22" i="1" s="1"/>
  <c r="Z19" i="1"/>
  <c r="Z26" i="1"/>
  <c r="K67" i="2"/>
  <c r="L17" i="2" s="1"/>
  <c r="R22" i="1"/>
  <c r="E26" i="2"/>
  <c r="E33" i="2"/>
  <c r="X27" i="1"/>
  <c r="X21" i="1"/>
  <c r="K22" i="1"/>
  <c r="H39" i="2"/>
  <c r="I22" i="2"/>
  <c r="J22" i="2" s="1"/>
  <c r="K22" i="2" s="1"/>
  <c r="L22" i="2" s="1"/>
  <c r="M22" i="2" s="1"/>
  <c r="J38" i="2"/>
  <c r="O27" i="1"/>
  <c r="O21" i="1"/>
  <c r="I19" i="1"/>
  <c r="I26" i="1"/>
  <c r="D33" i="2"/>
  <c r="D26" i="2"/>
  <c r="F27" i="1"/>
  <c r="F21" i="1"/>
  <c r="F22" i="1" s="1"/>
  <c r="Q27" i="1"/>
  <c r="Q21" i="1"/>
  <c r="Q22" i="1" s="1"/>
  <c r="J21" i="1"/>
  <c r="J27" i="1"/>
  <c r="L22" i="1"/>
  <c r="F26" i="2"/>
  <c r="F33" i="2"/>
  <c r="G27" i="1"/>
  <c r="G21" i="1"/>
  <c r="N21" i="1"/>
  <c r="N27" i="1"/>
  <c r="J37" i="2"/>
  <c r="H27" i="1"/>
  <c r="H21" i="1"/>
  <c r="P27" i="1"/>
  <c r="P21" i="1"/>
  <c r="P22" i="1" s="1"/>
  <c r="M22" i="1"/>
  <c r="C26" i="2"/>
  <c r="M65" i="2" l="1"/>
  <c r="S27" i="1"/>
  <c r="S21" i="1"/>
  <c r="Z21" i="1"/>
  <c r="Z22" i="1" s="1"/>
  <c r="Z27" i="1"/>
  <c r="W45" i="1"/>
  <c r="X45" i="1"/>
  <c r="Y27" i="1"/>
  <c r="Y21" i="1"/>
  <c r="Y22" i="1" s="1"/>
  <c r="W22" i="1"/>
  <c r="X22" i="1"/>
  <c r="E34" i="2"/>
  <c r="E28" i="2"/>
  <c r="G32" i="2"/>
  <c r="N22" i="1"/>
  <c r="Q45" i="1"/>
  <c r="D28" i="2"/>
  <c r="D34" i="2"/>
  <c r="G33" i="2"/>
  <c r="H22" i="1"/>
  <c r="F28" i="2"/>
  <c r="F34" i="2"/>
  <c r="O45" i="1"/>
  <c r="O22" i="1"/>
  <c r="R45" i="1"/>
  <c r="K37" i="2"/>
  <c r="K38" i="2"/>
  <c r="C28" i="2"/>
  <c r="C29" i="2" s="1"/>
  <c r="C34" i="2"/>
  <c r="M45" i="1"/>
  <c r="J22" i="1"/>
  <c r="I39" i="2"/>
  <c r="I23" i="2"/>
  <c r="P45" i="1"/>
  <c r="I21" i="1"/>
  <c r="I27" i="1"/>
  <c r="N45" i="1"/>
  <c r="G22" i="1"/>
  <c r="Z45" i="1" l="1"/>
  <c r="L67" i="2"/>
  <c r="M17" i="2" s="1"/>
  <c r="Z49" i="1"/>
  <c r="Z48" i="1"/>
  <c r="Z46" i="1"/>
  <c r="Z47" i="1"/>
  <c r="X49" i="1"/>
  <c r="X47" i="1"/>
  <c r="X48" i="1"/>
  <c r="X46" i="1"/>
  <c r="Y45" i="1"/>
  <c r="Y47" i="1" s="1"/>
  <c r="S22" i="1"/>
  <c r="V45" i="1"/>
  <c r="W49" i="1"/>
  <c r="W46" i="1"/>
  <c r="W47" i="1"/>
  <c r="W48" i="1"/>
  <c r="E54" i="2"/>
  <c r="E29" i="2"/>
  <c r="E56" i="2"/>
  <c r="E53" i="2"/>
  <c r="E55" i="2"/>
  <c r="N49" i="1"/>
  <c r="N48" i="1"/>
  <c r="N47" i="1"/>
  <c r="N46" i="1"/>
  <c r="L37" i="2"/>
  <c r="I22" i="1"/>
  <c r="L45" i="1"/>
  <c r="P49" i="1"/>
  <c r="P46" i="1"/>
  <c r="P48" i="1"/>
  <c r="P47" i="1"/>
  <c r="K45" i="1"/>
  <c r="J39" i="2"/>
  <c r="J23" i="2"/>
  <c r="G34" i="2"/>
  <c r="Q47" i="1"/>
  <c r="Q46" i="1"/>
  <c r="Q48" i="1"/>
  <c r="Q49" i="1"/>
  <c r="R49" i="1"/>
  <c r="R46" i="1"/>
  <c r="R48" i="1"/>
  <c r="R47" i="1"/>
  <c r="O48" i="1"/>
  <c r="O47" i="1"/>
  <c r="O49" i="1"/>
  <c r="O46" i="1"/>
  <c r="F53" i="2"/>
  <c r="F54" i="2"/>
  <c r="F55" i="2"/>
  <c r="F29" i="2"/>
  <c r="F56" i="2"/>
  <c r="J36" i="2"/>
  <c r="M49" i="1"/>
  <c r="M48" i="1"/>
  <c r="M47" i="1"/>
  <c r="M46" i="1"/>
  <c r="D56" i="2"/>
  <c r="D29" i="2"/>
  <c r="D55" i="2"/>
  <c r="D54" i="2"/>
  <c r="D53" i="2"/>
  <c r="J45" i="1"/>
  <c r="L38" i="2"/>
  <c r="N17" i="2" l="1"/>
  <c r="O17" i="2" s="1"/>
  <c r="P17" i="2" s="1"/>
  <c r="Q17" i="2" s="1"/>
  <c r="R17" i="2" s="1"/>
  <c r="M67" i="2"/>
  <c r="Y49" i="1"/>
  <c r="V47" i="1"/>
  <c r="V46" i="1"/>
  <c r="V48" i="1"/>
  <c r="V49" i="1"/>
  <c r="Y48" i="1"/>
  <c r="Y46" i="1"/>
  <c r="G28" i="2"/>
  <c r="M38" i="2"/>
  <c r="J49" i="1"/>
  <c r="J48" i="1"/>
  <c r="J47" i="1"/>
  <c r="J46" i="1"/>
  <c r="L48" i="1"/>
  <c r="L47" i="1"/>
  <c r="L46" i="1"/>
  <c r="L49" i="1"/>
  <c r="K36" i="2"/>
  <c r="M37" i="2"/>
  <c r="K39" i="2"/>
  <c r="K23" i="2"/>
  <c r="K46" i="1"/>
  <c r="K48" i="1"/>
  <c r="K47" i="1"/>
  <c r="K49" i="1"/>
  <c r="S36" i="2" l="1"/>
  <c r="G54" i="2"/>
  <c r="G55" i="2"/>
  <c r="G53" i="2"/>
  <c r="G56" i="2"/>
  <c r="G29" i="2"/>
  <c r="N37" i="2"/>
  <c r="L36" i="2"/>
  <c r="L39" i="2"/>
  <c r="L23" i="2"/>
  <c r="N38" i="2"/>
  <c r="T36" i="2" l="1"/>
  <c r="M39" i="2"/>
  <c r="M23" i="2"/>
  <c r="M36" i="2"/>
  <c r="O37" i="2"/>
  <c r="O38" i="2"/>
  <c r="U36" i="2" l="1"/>
  <c r="P38" i="2"/>
  <c r="P37" i="2"/>
  <c r="N36" i="2"/>
  <c r="N39" i="2"/>
  <c r="N23" i="2"/>
  <c r="N40" i="2" s="1"/>
  <c r="V36" i="2" l="1"/>
  <c r="W36" i="2"/>
  <c r="O39" i="2"/>
  <c r="O23" i="2"/>
  <c r="O40" i="2" s="1"/>
  <c r="O36" i="2"/>
  <c r="Q37" i="2"/>
  <c r="Q38" i="2"/>
  <c r="R38" i="2" l="1"/>
  <c r="S37" i="2"/>
  <c r="R37" i="2"/>
  <c r="P36" i="2"/>
  <c r="P39" i="2"/>
  <c r="P23" i="2"/>
  <c r="P40" i="2" s="1"/>
  <c r="T37" i="2" l="1"/>
  <c r="S38" i="2"/>
  <c r="Q36" i="2"/>
  <c r="Q39" i="2"/>
  <c r="Q23" i="2"/>
  <c r="Q40" i="2" s="1"/>
  <c r="S39" i="2" l="1"/>
  <c r="S23" i="2"/>
  <c r="T38" i="2"/>
  <c r="T23" i="2"/>
  <c r="U37" i="2"/>
  <c r="R39" i="2"/>
  <c r="R23" i="2"/>
  <c r="R40" i="2" s="1"/>
  <c r="R36" i="2"/>
  <c r="T40" i="2" l="1"/>
  <c r="S40" i="2"/>
  <c r="V37" i="2"/>
  <c r="U38" i="2"/>
  <c r="T39" i="2"/>
  <c r="U39" i="2" l="1"/>
  <c r="U23" i="2"/>
  <c r="U40" i="2" s="1"/>
  <c r="W38" i="2"/>
  <c r="V38" i="2"/>
  <c r="V23" i="2"/>
  <c r="W37" i="2"/>
  <c r="V40" i="2" l="1"/>
  <c r="V39" i="2"/>
  <c r="W39" i="2" l="1"/>
  <c r="W23" i="2"/>
  <c r="W40" i="2" s="1"/>
  <c r="I36" i="2" l="1"/>
  <c r="H32" i="2"/>
  <c r="I19" i="2" s="1"/>
  <c r="I24" i="2" l="1"/>
  <c r="I18" i="2"/>
  <c r="I32" i="2"/>
  <c r="J19" i="2" s="1"/>
  <c r="H33" i="2" l="1"/>
  <c r="J24" i="2"/>
  <c r="J32" i="2"/>
  <c r="K19" i="2" s="1"/>
  <c r="J18" i="2"/>
  <c r="I33" i="2"/>
  <c r="H34" i="2" l="1"/>
  <c r="H28" i="2"/>
  <c r="K32" i="2"/>
  <c r="L19" i="2" s="1"/>
  <c r="K24" i="2"/>
  <c r="K18" i="2"/>
  <c r="J33" i="2"/>
  <c r="H54" i="2" l="1"/>
  <c r="H29" i="2"/>
  <c r="H56" i="2"/>
  <c r="H53" i="2"/>
  <c r="H55" i="2"/>
  <c r="I25" i="2"/>
  <c r="I26" i="2" s="1"/>
  <c r="I27" i="2" s="1"/>
  <c r="I34" i="2" s="1"/>
  <c r="L24" i="2"/>
  <c r="L18" i="2"/>
  <c r="L32" i="2"/>
  <c r="M19" i="2" s="1"/>
  <c r="K33" i="2"/>
  <c r="I28" i="2" l="1"/>
  <c r="M32" i="2"/>
  <c r="N19" i="2" s="1"/>
  <c r="M24" i="2"/>
  <c r="M18" i="2"/>
  <c r="L33" i="2"/>
  <c r="I29" i="2" l="1"/>
  <c r="I42" i="2"/>
  <c r="J25" i="2" s="1"/>
  <c r="J26" i="2" s="1"/>
  <c r="M33" i="2"/>
  <c r="N18" i="2"/>
  <c r="N24" i="2"/>
  <c r="N32" i="2"/>
  <c r="O19" i="2" s="1"/>
  <c r="J27" i="2" l="1"/>
  <c r="J34" i="2" s="1"/>
  <c r="O32" i="2"/>
  <c r="P19" i="2" s="1"/>
  <c r="O18" i="2"/>
  <c r="O24" i="2"/>
  <c r="N33" i="2"/>
  <c r="P18" i="2" l="1"/>
  <c r="P24" i="2"/>
  <c r="P32" i="2"/>
  <c r="Q19" i="2" s="1"/>
  <c r="O33" i="2"/>
  <c r="J28" i="2"/>
  <c r="J29" i="2" l="1"/>
  <c r="J42" i="2"/>
  <c r="Q24" i="2"/>
  <c r="Q18" i="2"/>
  <c r="Q32" i="2"/>
  <c r="R19" i="2" s="1"/>
  <c r="P33" i="2"/>
  <c r="R24" i="2" l="1"/>
  <c r="R32" i="2"/>
  <c r="S19" i="2" s="1"/>
  <c r="R18" i="2"/>
  <c r="K25" i="2"/>
  <c r="K26" i="2" s="1"/>
  <c r="Q33" i="2"/>
  <c r="S32" i="2" l="1"/>
  <c r="T19" i="2" s="1"/>
  <c r="S18" i="2"/>
  <c r="S24" i="2"/>
  <c r="S33" i="2" s="1"/>
  <c r="K27" i="2"/>
  <c r="K34" i="2" s="1"/>
  <c r="R33" i="2"/>
  <c r="T32" i="2" l="1"/>
  <c r="U19" i="2" s="1"/>
  <c r="T18" i="2"/>
  <c r="T24" i="2"/>
  <c r="T33" i="2" s="1"/>
  <c r="K28" i="2"/>
  <c r="U32" i="2" l="1"/>
  <c r="V19" i="2" s="1"/>
  <c r="U18" i="2"/>
  <c r="U24" i="2"/>
  <c r="U33" i="2" s="1"/>
  <c r="K29" i="2"/>
  <c r="K42" i="2"/>
  <c r="V32" i="2" l="1"/>
  <c r="W19" i="2" s="1"/>
  <c r="V18" i="2"/>
  <c r="V24" i="2"/>
  <c r="V33" i="2" s="1"/>
  <c r="L25" i="2"/>
  <c r="L26" i="2" s="1"/>
  <c r="W32" i="2" l="1"/>
  <c r="W18" i="2"/>
  <c r="W24" i="2"/>
  <c r="W33" i="2" s="1"/>
  <c r="L27" i="2"/>
  <c r="L34" i="2" s="1"/>
  <c r="L28" i="2" l="1"/>
  <c r="L29" i="2" l="1"/>
  <c r="L42" i="2"/>
  <c r="M25" i="2" l="1"/>
  <c r="M26" i="2" s="1"/>
  <c r="M27" i="2" l="1"/>
  <c r="M34" i="2" s="1"/>
  <c r="M28" i="2"/>
  <c r="M29" i="2" l="1"/>
  <c r="M42" i="2"/>
  <c r="N25" i="2" l="1"/>
  <c r="N26" i="2" s="1"/>
  <c r="N27" i="2" l="1"/>
  <c r="N34" i="2" s="1"/>
  <c r="N28" i="2"/>
  <c r="N29" i="2" l="1"/>
  <c r="N42" i="2"/>
  <c r="O25" i="2" l="1"/>
  <c r="O26" i="2" s="1"/>
  <c r="O27" i="2" l="1"/>
  <c r="O34" i="2" s="1"/>
  <c r="O28" i="2" l="1"/>
  <c r="O29" i="2"/>
  <c r="O42" i="2"/>
  <c r="P25" i="2" l="1"/>
  <c r="P26" i="2" s="1"/>
  <c r="P27" i="2" l="1"/>
  <c r="P34" i="2" s="1"/>
  <c r="P28" i="2" l="1"/>
  <c r="P29" i="2" l="1"/>
  <c r="P42" i="2"/>
  <c r="Q25" i="2" l="1"/>
  <c r="Q26" i="2" s="1"/>
  <c r="Q27" i="2" l="1"/>
  <c r="Q34" i="2" s="1"/>
  <c r="Q28" i="2" l="1"/>
  <c r="Q29" i="2" l="1"/>
  <c r="Q42" i="2"/>
  <c r="R25" i="2" l="1"/>
  <c r="R26" i="2" s="1"/>
  <c r="R27" i="2" l="1"/>
  <c r="R34" i="2" s="1"/>
  <c r="R28" i="2" l="1"/>
  <c r="R29" i="2" l="1"/>
  <c r="R42" i="2"/>
  <c r="S25" i="2" l="1"/>
  <c r="S26" i="2" s="1"/>
  <c r="S27" i="2" l="1"/>
  <c r="S34" i="2" s="1"/>
  <c r="S28" i="2"/>
  <c r="S29" i="2" l="1"/>
  <c r="S42" i="2"/>
  <c r="T25" i="2" l="1"/>
  <c r="T26" i="2" s="1"/>
  <c r="T27" i="2" l="1"/>
  <c r="T34" i="2" s="1"/>
  <c r="T28" i="2" l="1"/>
  <c r="T29" i="2" s="1"/>
  <c r="T42" i="2"/>
  <c r="U25" i="2" l="1"/>
  <c r="U26" i="2" s="1"/>
  <c r="U27" i="2" l="1"/>
  <c r="U34" i="2" s="1"/>
  <c r="U28" i="2"/>
  <c r="U29" i="2" l="1"/>
  <c r="U42" i="2"/>
  <c r="V25" i="2" l="1"/>
  <c r="V26" i="2" s="1"/>
  <c r="V27" i="2" l="1"/>
  <c r="V34" i="2" s="1"/>
  <c r="V28" i="2"/>
  <c r="V29" i="2" l="1"/>
  <c r="V42" i="2"/>
  <c r="W25" i="2" l="1"/>
  <c r="W26" i="2" s="1"/>
  <c r="W27" i="2" l="1"/>
  <c r="W34" i="2" s="1"/>
  <c r="W28" i="2"/>
  <c r="W29" i="2" l="1"/>
  <c r="Y28" i="2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W42" i="2"/>
  <c r="G7" i="2" l="1"/>
  <c r="G8" i="2" s="1"/>
  <c r="H8" i="2" s="1"/>
</calcChain>
</file>

<file path=xl/sharedStrings.xml><?xml version="1.0" encoding="utf-8"?>
<sst xmlns="http://schemas.openxmlformats.org/spreadsheetml/2006/main" count="157" uniqueCount="108">
  <si>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</si>
  <si>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</si>
  <si>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</si>
  <si>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</si>
  <si>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</si>
  <si>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</si>
  <si>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</si>
  <si>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</si>
  <si>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</si>
  <si>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</si>
  <si>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</si>
  <si>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</si>
  <si>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</si>
  <si>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</si>
  <si>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</si>
  <si>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</si>
  <si>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</si>
  <si>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</si>
  <si>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</si>
  <si>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</si>
  <si>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</si>
  <si>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</si>
  <si>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</si>
  <si>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</si>
  <si>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</si>
  <si>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</si>
  <si>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30/9/2017</t>
  </si>
  <si>
    <t>30/9/2016</t>
  </si>
  <si>
    <t>30/6/2016</t>
  </si>
  <si>
    <t>31/3/2016</t>
  </si>
  <si>
    <t>30/6/2017</t>
  </si>
  <si>
    <t>31/3/2017</t>
  </si>
  <si>
    <t>31/12/2016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</si>
  <si>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</si>
  <si>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</si>
  <si>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</si>
  <si>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</si>
  <si>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</si>
  <si>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</si>
  <si>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</si>
  <si>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</si>
  <si>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</si>
  <si>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</si>
  <si>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</si>
  <si>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</si>
  <si>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</si>
  <si>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</si>
  <si>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</si>
  <si>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</si>
  <si>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</si>
  <si>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</si>
  <si>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</si>
  <si>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</si>
  <si>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</si>
  <si>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31/3/2015</t>
  </si>
  <si>
    <t>30/6/2015</t>
  </si>
  <si>
    <t>30/9/2015</t>
  </si>
  <si>
    <t>31/12/2015</t>
  </si>
  <si>
    <t>Transactions</t>
  </si>
  <si>
    <t>Active accounts</t>
  </si>
  <si>
    <t>TPV</t>
  </si>
  <si>
    <t>Transaction fees</t>
  </si>
  <si>
    <t>Other services</t>
  </si>
  <si>
    <t>Price</t>
  </si>
  <si>
    <t>CEO</t>
  </si>
  <si>
    <t>Market Cap</t>
  </si>
  <si>
    <t>Founder</t>
  </si>
  <si>
    <t>EV</t>
  </si>
  <si>
    <t>per share</t>
  </si>
  <si>
    <t>PayPal Holdings Inc (PYPL)</t>
  </si>
  <si>
    <t>Elon Musk</t>
  </si>
  <si>
    <t>Peter Thiel</t>
  </si>
  <si>
    <t>Dan Schulman</t>
  </si>
  <si>
    <t>ARPU</t>
  </si>
  <si>
    <t>R&amp;D y/y</t>
  </si>
  <si>
    <t>S&amp;M y/y</t>
  </si>
  <si>
    <t>G&amp;A y/y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</si>
  <si>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</si>
  <si>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</si>
  <si>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</si>
  <si>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</si>
  <si>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</si>
  <si>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</si>
  <si>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</si>
  <si>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</si>
  <si>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</si>
  <si>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ARPU y/y</t>
  </si>
  <si>
    <t>EDGAR</t>
  </si>
  <si>
    <t>Active accounts y/y</t>
  </si>
  <si>
    <t>Q119</t>
  </si>
  <si>
    <t>Q219</t>
  </si>
  <si>
    <t>Q319</t>
  </si>
  <si>
    <t>Q419</t>
  </si>
  <si>
    <t>Q120</t>
  </si>
  <si>
    <t>Q220</t>
  </si>
  <si>
    <t>Q320</t>
  </si>
  <si>
    <t>Q420</t>
  </si>
  <si>
    <t>Transactions y/y</t>
  </si>
  <si>
    <t>TPV y/y</t>
  </si>
  <si>
    <t>R/TPV</t>
  </si>
  <si>
    <t>28%%</t>
  </si>
  <si>
    <t>Other services y/y</t>
  </si>
  <si>
    <t>Revenue TTM</t>
  </si>
  <si>
    <t>Revenue TTM y/y</t>
  </si>
  <si>
    <t>Transaction fees y/y</t>
  </si>
  <si>
    <t>Net Income TTM</t>
  </si>
  <si>
    <t>INVESTOR</t>
  </si>
  <si>
    <t>OE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</si>
</sst>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5" fillId="0" borderId="0" xfId="4" applyFont="1" applyBorder="1"/>
    <xf numFmtId="0" fontId="6" fillId="0" borderId="0" xfId="0" applyFont="1"/>
    <xf numFmtId="0" fontId="7" fillId="0" borderId="0" xfId="0" applyFont="1"/>
    <xf numFmtId="4" fontId="7" fillId="0" borderId="0" xfId="0" applyNumberFormat="1" applyFont="1" applyBorder="1"/>
    <xf numFmtId="0" fontId="7" fillId="0" borderId="0" xfId="0" applyFont="1" applyBorder="1"/>
    <xf numFmtId="10" fontId="7" fillId="0" borderId="0" xfId="0" applyNumberFormat="1" applyFont="1"/>
    <xf numFmtId="3" fontId="7" fillId="0" borderId="0" xfId="0" applyNumberFormat="1" applyFont="1" applyBorder="1"/>
    <xf numFmtId="0" fontId="8" fillId="0" borderId="0" xfId="0" applyFont="1"/>
    <xf numFmtId="0" fontId="5" fillId="0" borderId="0" xfId="4" applyFont="1"/>
    <xf numFmtId="3" fontId="7" fillId="2" borderId="0" xfId="0" applyNumberFormat="1" applyFont="1" applyFill="1" applyBorder="1"/>
    <xf numFmtId="164" fontId="7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7" fillId="2" borderId="0" xfId="0" applyNumberFormat="1" applyFont="1" applyFill="1" applyBorder="1"/>
    <xf numFmtId="0" fontId="8" fillId="0" borderId="0" xfId="0" applyFont="1" applyBorder="1"/>
    <xf numFmtId="4" fontId="7" fillId="2" borderId="0" xfId="0" applyNumberFormat="1" applyFont="1" applyFill="1"/>
    <xf numFmtId="9" fontId="7" fillId="0" borderId="0" xfId="0" applyNumberFormat="1" applyFont="1"/>
    <xf numFmtId="164" fontId="7" fillId="0" borderId="0" xfId="0" applyNumberFormat="1" applyFont="1"/>
    <xf numFmtId="3" fontId="6" fillId="0" borderId="0" xfId="0" applyNumberFormat="1" applyFont="1" applyBorder="1"/>
    <xf numFmtId="2" fontId="7" fillId="0" borderId="0" xfId="0" applyNumberFormat="1" applyFont="1" applyBorder="1"/>
    <xf numFmtId="9" fontId="6" fillId="0" borderId="0" xfId="1" applyFont="1" applyBorder="1"/>
    <xf numFmtId="9" fontId="7" fillId="0" borderId="0" xfId="0" applyNumberFormat="1" applyFont="1" applyBorder="1"/>
    <xf numFmtId="9" fontId="7" fillId="0" borderId="0" xfId="1" applyFont="1" applyBorder="1"/>
    <xf numFmtId="3" fontId="6" fillId="2" borderId="0" xfId="0" applyNumberFormat="1" applyFont="1" applyFill="1" applyBorder="1"/>
    <xf numFmtId="2" fontId="7" fillId="2" borderId="0" xfId="0" applyNumberFormat="1" applyFont="1" applyFill="1" applyBorder="1"/>
    <xf numFmtId="0" fontId="7" fillId="0" borderId="0" xfId="0" applyFont="1" applyFill="1" applyBorder="1"/>
    <xf numFmtId="3" fontId="7" fillId="0" borderId="0" xfId="0" applyNumberFormat="1" applyFont="1"/>
    <xf numFmtId="3" fontId="7" fillId="2" borderId="0" xfId="0" applyNumberFormat="1" applyFont="1" applyFill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7" fillId="2" borderId="0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>
      <alignment horizontal="right"/>
    </xf>
    <xf numFmtId="3" fontId="7" fillId="2" borderId="0" xfId="0" applyNumberFormat="1" applyFont="1" applyFill="1" applyAlignment="1">
      <alignment horizontal="right"/>
    </xf>
    <xf numFmtId="2" fontId="7" fillId="2" borderId="0" xfId="0" applyNumberFormat="1" applyFont="1" applyFill="1" applyBorder="1" applyAlignment="1">
      <alignment horizontal="right"/>
    </xf>
    <xf numFmtId="2" fontId="7" fillId="2" borderId="1" xfId="0" applyNumberFormat="1" applyFont="1" applyFill="1" applyBorder="1" applyAlignment="1">
      <alignment horizontal="right"/>
    </xf>
    <xf numFmtId="2" fontId="7" fillId="2" borderId="0" xfId="0" applyNumberFormat="1" applyFont="1" applyFill="1" applyAlignment="1">
      <alignment horizontal="right"/>
    </xf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9" fontId="7" fillId="0" borderId="0" xfId="0" applyNumberFormat="1" applyFont="1" applyAlignment="1">
      <alignment horizontal="right"/>
    </xf>
    <xf numFmtId="9" fontId="7" fillId="0" borderId="0" xfId="1" applyFont="1" applyBorder="1" applyAlignment="1">
      <alignment horizontal="right"/>
    </xf>
    <xf numFmtId="9" fontId="7" fillId="0" borderId="1" xfId="1" applyFont="1" applyBorder="1" applyAlignment="1">
      <alignment horizontal="right"/>
    </xf>
    <xf numFmtId="9" fontId="7" fillId="0" borderId="0" xfId="1" applyFont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7" fillId="0" borderId="0" xfId="1" applyNumberFormat="1" applyFont="1" applyBorder="1" applyAlignment="1">
      <alignment horizontal="right"/>
    </xf>
    <xf numFmtId="9" fontId="7" fillId="0" borderId="1" xfId="1" applyNumberFormat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4" fontId="7" fillId="2" borderId="0" xfId="0" applyNumberFormat="1" applyFont="1" applyFill="1" applyBorder="1" applyAlignment="1">
      <alignment horizontal="right"/>
    </xf>
    <xf numFmtId="4" fontId="7" fillId="2" borderId="1" xfId="0" applyNumberFormat="1" applyFont="1" applyFill="1" applyBorder="1" applyAlignment="1">
      <alignment horizontal="right"/>
    </xf>
    <xf numFmtId="3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9" fontId="6" fillId="0" borderId="0" xfId="1" applyNumberFormat="1" applyFont="1" applyFill="1" applyBorder="1" applyAlignment="1">
      <alignment horizontal="right"/>
    </xf>
    <xf numFmtId="9" fontId="7" fillId="0" borderId="0" xfId="1" applyNumberFormat="1" applyFont="1" applyFill="1" applyBorder="1" applyAlignment="1">
      <alignment horizontal="right"/>
    </xf>
    <xf numFmtId="9" fontId="7" fillId="0" borderId="0" xfId="0" applyNumberFormat="1" applyFont="1" applyFill="1" applyAlignment="1">
      <alignment horizontal="right"/>
    </xf>
    <xf numFmtId="3" fontId="6" fillId="0" borderId="0" xfId="0" applyNumberFormat="1" applyFont="1"/>
    <xf numFmtId="0" fontId="5" fillId="0" borderId="0" xfId="4" applyFont="1" applyAlignment="1">
      <alignment horizontal="left"/>
    </xf>
    <xf numFmtId="0" fontId="7" fillId="0" borderId="0" xfId="0" applyFont="1" applyAlignment="1">
      <alignment horizontal="left"/>
    </xf>
    <xf numFmtId="4" fontId="7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9" fontId="7" fillId="0" borderId="0" xfId="0" applyNumberFormat="1" applyFont="1" applyFill="1" applyBorder="1" applyAlignment="1">
      <alignment horizontal="left"/>
    </xf>
    <xf numFmtId="3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right"/>
    </xf>
    <xf numFmtId="14" fontId="7" fillId="0" borderId="1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3" fontId="7" fillId="0" borderId="0" xfId="0" applyNumberFormat="1" applyFont="1" applyFill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9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0" xfId="0" applyFont="1" applyAlignment="1">
      <alignment horizontal="right"/>
    </xf>
    <xf numFmtId="9" fontId="8" fillId="0" borderId="0" xfId="0" applyNumberFormat="1" applyFont="1" applyBorder="1"/>
    <xf numFmtId="3" fontId="8" fillId="0" borderId="0" xfId="0" applyNumberFormat="1" applyFont="1"/>
    <xf numFmtId="3" fontId="8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9" fontId="8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9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  <xf numFmtId="9" fontId="6" fillId="0" borderId="1" xfId="0" applyNumberFormat="1" applyFont="1" applyBorder="1" applyAlignment="1">
      <alignment horizontal="right"/>
    </xf>
    <xf numFmtId="0" fontId="5" fillId="0" borderId="0" xfId="4" applyFont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105833</xdr:colOff>
      <xdr:row>9</xdr:row>
      <xdr:rowOff>0</xdr:rowOff>
    </xdr:from>
    <xdr:to>
      <xdr:col>8</xdr:col>
      <xdr:colOff>105833</xdr:colOff>
      <xdr:row>68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434666" y="1862667"/>
          <a:ext cx="0" cy="982133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228600</xdr:colOff>
      <xdr:row>2</xdr:row>
      <xdr:rowOff>0</xdr:rowOff>
    </xdr:from>
    <xdr:to>
      <xdr:col>26</xdr:col>
      <xdr:colOff>228600</xdr:colOff>
      <xdr:row>67</xdr:row>
      <xdr:rowOff>10583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1352933" y="169333"/>
          <a:ext cx="0" cy="100012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Elon_Musk" TargetMode="External"/><Relationship Id="rId2" Type="http://schemas.openxmlformats.org/officeDocument/2006/relationships/hyperlink" Target="https://en.wikipedia.org/wiki/Dan_Schulman" TargetMode="External"/><Relationship Id="rId1" Type="http://schemas.openxmlformats.org/officeDocument/2006/relationships/hyperlink" Target="https://investor.paypal-corp.com/investor-relation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Peter_Thi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633917&amp;owner=exclude&amp;count=40&amp;hidefilings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67"/>
  <sheetViews>
    <sheetView tabSelected="1" zoomScale="120" zoomScaleNormal="120" workbookViewId="0">
      <pane xSplit="2" ySplit="10" topLeftCell="C11" activePane="bottomRight" state="frozen"/>
      <selection pane="topRight" activeCell="B1" sqref="B1"/>
      <selection pane="bottomLeft" activeCell="A11" sqref="A11"/>
      <selection pane="bottomRight" activeCell="K46" sqref="K46"/>
    </sheetView>
  </sheetViews>
  <sheetFormatPr baseColWidth="10" defaultRowHeight="13" x14ac:dyDescent="0.15"/>
  <cols>
    <col min="1" max="1" width="9.83203125" style="3" bestFit="1" customWidth="1"/>
    <col min="2" max="2" width="17.1640625" style="3" bestFit="1" customWidth="1"/>
    <col min="3" max="23" width="11" style="3" bestFit="1" customWidth="1"/>
    <col min="24" max="123" width="11" style="3" customWidth="1"/>
    <col min="124" max="16384" width="10.83203125" style="3"/>
  </cols>
  <sheetData>
    <row r="1" spans="1:23" x14ac:dyDescent="0.15">
      <c r="A1" s="1" t="s">
        <v>106</v>
      </c>
    </row>
    <row r="2" spans="1:23" x14ac:dyDescent="0.15">
      <c r="C2" s="2" t="s">
        <v>69</v>
      </c>
    </row>
    <row r="3" spans="1:23" x14ac:dyDescent="0.15">
      <c r="C3" s="3" t="s">
        <v>63</v>
      </c>
      <c r="D3" s="4">
        <v>259.85000000000002</v>
      </c>
      <c r="E3" s="82">
        <v>44253</v>
      </c>
      <c r="F3" s="5" t="s">
        <v>37</v>
      </c>
      <c r="G3" s="6">
        <v>-0.01</v>
      </c>
      <c r="J3" s="27"/>
    </row>
    <row r="4" spans="1:23" x14ac:dyDescent="0.15">
      <c r="B4" s="2" t="s">
        <v>64</v>
      </c>
      <c r="C4" s="3" t="s">
        <v>17</v>
      </c>
      <c r="D4" s="7">
        <f>Reports!Z23</f>
        <v>1191</v>
      </c>
      <c r="E4" s="3" t="s">
        <v>96</v>
      </c>
      <c r="F4" s="5" t="s">
        <v>38</v>
      </c>
      <c r="G4" s="6">
        <v>0.02</v>
      </c>
      <c r="H4" s="8"/>
      <c r="J4" s="27"/>
    </row>
    <row r="5" spans="1:23" x14ac:dyDescent="0.15">
      <c r="B5" s="9" t="s">
        <v>72</v>
      </c>
      <c r="C5" s="3" t="s">
        <v>65</v>
      </c>
      <c r="D5" s="10">
        <f>D3*D4</f>
        <v>309481.35000000003</v>
      </c>
      <c r="F5" s="5" t="s">
        <v>39</v>
      </c>
      <c r="G5" s="6">
        <f>6%</f>
        <v>0.06</v>
      </c>
      <c r="H5" s="8"/>
      <c r="J5" s="17"/>
    </row>
    <row r="6" spans="1:23" x14ac:dyDescent="0.15">
      <c r="C6" s="3" t="s">
        <v>33</v>
      </c>
      <c r="D6" s="7">
        <f>Reports!Z34</f>
        <v>10233</v>
      </c>
      <c r="E6" s="3" t="s">
        <v>96</v>
      </c>
      <c r="F6" s="5" t="s">
        <v>40</v>
      </c>
      <c r="G6" s="11">
        <f>NPV(G5,I28:ET28)</f>
        <v>346351.07006161392</v>
      </c>
      <c r="H6" s="8"/>
      <c r="J6" s="17"/>
    </row>
    <row r="7" spans="1:23" x14ac:dyDescent="0.15">
      <c r="B7" s="2" t="s">
        <v>66</v>
      </c>
      <c r="C7" s="3" t="s">
        <v>67</v>
      </c>
      <c r="D7" s="10">
        <f>D5-D6</f>
        <v>299248.35000000003</v>
      </c>
      <c r="F7" s="12" t="s">
        <v>41</v>
      </c>
      <c r="G7" s="13">
        <f>G6+D6</f>
        <v>356584.07006161392</v>
      </c>
      <c r="J7" s="17"/>
    </row>
    <row r="8" spans="1:23" x14ac:dyDescent="0.15">
      <c r="B8" s="9" t="s">
        <v>70</v>
      </c>
      <c r="C8" s="8" t="s">
        <v>68</v>
      </c>
      <c r="D8" s="14">
        <f>D7/D4</f>
        <v>251.25806045340053</v>
      </c>
      <c r="F8" s="15" t="s">
        <v>68</v>
      </c>
      <c r="G8" s="16">
        <f>G7/D4</f>
        <v>299.39888334308472</v>
      </c>
      <c r="H8" s="17">
        <f>G8/D3-1</f>
        <v>0.15219889683696253</v>
      </c>
    </row>
    <row r="9" spans="1:23" x14ac:dyDescent="0.15">
      <c r="B9" s="9" t="s">
        <v>71</v>
      </c>
      <c r="F9" s="5"/>
      <c r="G9" s="18"/>
    </row>
    <row r="10" spans="1:23" x14ac:dyDescent="0.15">
      <c r="C10" s="3">
        <v>2015</v>
      </c>
      <c r="D10" s="3">
        <v>2016</v>
      </c>
      <c r="E10" s="3">
        <v>2017</v>
      </c>
      <c r="F10" s="3">
        <f>E10+1</f>
        <v>2018</v>
      </c>
      <c r="G10" s="3">
        <f t="shared" ref="G10:R10" si="0">F10+1</f>
        <v>2019</v>
      </c>
      <c r="H10" s="3">
        <f t="shared" si="0"/>
        <v>2020</v>
      </c>
      <c r="I10" s="3">
        <f t="shared" si="0"/>
        <v>2021</v>
      </c>
      <c r="J10" s="3">
        <f t="shared" si="0"/>
        <v>2022</v>
      </c>
      <c r="K10" s="3">
        <f t="shared" si="0"/>
        <v>2023</v>
      </c>
      <c r="L10" s="3">
        <f t="shared" si="0"/>
        <v>2024</v>
      </c>
      <c r="M10" s="3">
        <f t="shared" si="0"/>
        <v>2025</v>
      </c>
      <c r="N10" s="3">
        <f t="shared" si="0"/>
        <v>2026</v>
      </c>
      <c r="O10" s="3">
        <f t="shared" si="0"/>
        <v>2027</v>
      </c>
      <c r="P10" s="3">
        <f t="shared" si="0"/>
        <v>2028</v>
      </c>
      <c r="Q10" s="3">
        <f t="shared" si="0"/>
        <v>2029</v>
      </c>
      <c r="R10" s="3">
        <f t="shared" si="0"/>
        <v>2030</v>
      </c>
      <c r="S10" s="3">
        <f t="shared" ref="S10" si="1">R10+1</f>
        <v>2031</v>
      </c>
      <c r="T10" s="3">
        <f t="shared" ref="T10" si="2">S10+1</f>
        <v>2032</v>
      </c>
      <c r="U10" s="3">
        <f t="shared" ref="U10" si="3">T10+1</f>
        <v>2033</v>
      </c>
      <c r="V10" s="3">
        <f t="shared" ref="V10" si="4">U10+1</f>
        <v>2034</v>
      </c>
      <c r="W10" s="3">
        <f t="shared" ref="W10" si="5">V10+1</f>
        <v>2035</v>
      </c>
    </row>
    <row r="11" spans="1:23" s="27" customFormat="1" x14ac:dyDescent="0.15">
      <c r="B11" s="27" t="s">
        <v>61</v>
      </c>
      <c r="C11" s="7">
        <f>SUM(Reports!C4:F4)</f>
        <v>8128</v>
      </c>
      <c r="D11" s="7">
        <f>SUM(Reports!G4:J4)</f>
        <v>9490</v>
      </c>
      <c r="E11" s="27">
        <f>SUM(Reports!K4:N4)</f>
        <v>11478</v>
      </c>
      <c r="F11" s="27">
        <f>SUM(Reports!O4:R4)</f>
        <v>13709</v>
      </c>
      <c r="G11" s="27">
        <f>SUM(Reports!S4:V4)</f>
        <v>16099</v>
      </c>
      <c r="H11" s="27">
        <f>SUM(Reports!W4:Z4)</f>
        <v>19918</v>
      </c>
    </row>
    <row r="12" spans="1:23" s="27" customFormat="1" x14ac:dyDescent="0.15">
      <c r="B12" s="27" t="s">
        <v>62</v>
      </c>
      <c r="C12" s="7">
        <f>SUM(Reports!C5:F5)</f>
        <v>1120</v>
      </c>
      <c r="D12" s="7">
        <f>SUM(Reports!G5:J5)</f>
        <v>1352</v>
      </c>
      <c r="E12" s="27">
        <f>SUM(Reports!K5:N5)</f>
        <v>1616</v>
      </c>
      <c r="F12" s="27">
        <f>SUM(Reports!O5:R5)</f>
        <v>1742</v>
      </c>
      <c r="G12" s="27">
        <f>SUM(Reports!S5:V5)</f>
        <v>1673</v>
      </c>
      <c r="H12" s="27">
        <f>SUM(Reports!W5:Z5)</f>
        <v>1536</v>
      </c>
    </row>
    <row r="13" spans="1:23" s="27" customFormat="1" x14ac:dyDescent="0.15">
      <c r="C13" s="7"/>
      <c r="D13" s="7"/>
    </row>
    <row r="14" spans="1:23" s="27" customFormat="1" x14ac:dyDescent="0.15">
      <c r="B14" s="27" t="s">
        <v>59</v>
      </c>
      <c r="C14" s="7">
        <f>Reports!F7</f>
        <v>179</v>
      </c>
      <c r="D14" s="7">
        <f>Reports!J7</f>
        <v>197</v>
      </c>
      <c r="E14" s="27">
        <f>Reports!N7</f>
        <v>227</v>
      </c>
      <c r="F14" s="27">
        <f>Reports!R7</f>
        <v>267</v>
      </c>
      <c r="G14" s="27">
        <f>F14*1.2</f>
        <v>320.39999999999998</v>
      </c>
      <c r="H14" s="27">
        <f>Reports!Z7</f>
        <v>377</v>
      </c>
    </row>
    <row r="15" spans="1:23" s="27" customFormat="1" x14ac:dyDescent="0.15">
      <c r="B15" s="27" t="s">
        <v>73</v>
      </c>
      <c r="C15" s="10">
        <f>SUM(C11:C12)/C14</f>
        <v>51.66480446927374</v>
      </c>
      <c r="D15" s="10">
        <f>SUM(D11:D12)/D14</f>
        <v>55.035532994923855</v>
      </c>
      <c r="E15" s="10">
        <f>SUM(E11:E12)/E14</f>
        <v>57.682819383259911</v>
      </c>
      <c r="F15" s="10">
        <f>SUM(F11:F12)/F14</f>
        <v>57.868913857677903</v>
      </c>
      <c r="G15" s="10">
        <f>SUM(G11:G12)/G14</f>
        <v>55.468164794007492</v>
      </c>
      <c r="H15" s="10">
        <f>SUM(H11:H12)/H14</f>
        <v>56.907161803713528</v>
      </c>
    </row>
    <row r="16" spans="1:23" s="88" customFormat="1" x14ac:dyDescent="0.15">
      <c r="G16" s="89">
        <v>17850</v>
      </c>
      <c r="I16" s="88">
        <v>25500</v>
      </c>
    </row>
    <row r="17" spans="2:150" s="27" customFormat="1" x14ac:dyDescent="0.15">
      <c r="B17" s="67" t="s">
        <v>4</v>
      </c>
      <c r="C17" s="24">
        <f>C14*C15</f>
        <v>9248</v>
      </c>
      <c r="D17" s="24">
        <f>D14*D15</f>
        <v>10842</v>
      </c>
      <c r="E17" s="24">
        <f>E14*E15</f>
        <v>13094</v>
      </c>
      <c r="F17" s="24">
        <f>F14*F15</f>
        <v>15451</v>
      </c>
      <c r="G17" s="24">
        <f>G14*G15</f>
        <v>17772</v>
      </c>
      <c r="H17" s="24">
        <f>H14*H15</f>
        <v>21454</v>
      </c>
      <c r="I17" s="19">
        <f>I62*H67</f>
        <v>25744.799999999999</v>
      </c>
      <c r="J17" s="19">
        <f>J62*I67</f>
        <v>30893.759999999998</v>
      </c>
      <c r="K17" s="19">
        <f>K62*J67</f>
        <v>37072.511999999995</v>
      </c>
      <c r="L17" s="19">
        <f>L62*K67</f>
        <v>44487.014399999993</v>
      </c>
      <c r="M17" s="19">
        <f>M62*L67</f>
        <v>53384.417279999987</v>
      </c>
      <c r="N17" s="19">
        <f t="shared" ref="N17:R17" si="6">M17*1.1</f>
        <v>58722.859007999992</v>
      </c>
      <c r="O17" s="19">
        <f t="shared" si="6"/>
        <v>64595.144908799994</v>
      </c>
      <c r="P17" s="19">
        <f t="shared" si="6"/>
        <v>71054.659399679993</v>
      </c>
      <c r="Q17" s="19">
        <f t="shared" si="6"/>
        <v>78160.125339648002</v>
      </c>
      <c r="R17" s="19">
        <f t="shared" si="6"/>
        <v>85976.13787361281</v>
      </c>
      <c r="S17" s="19">
        <f>R17*1.05</f>
        <v>90274.944767293448</v>
      </c>
      <c r="T17" s="19">
        <f t="shared" ref="T17:W17" si="7">S17*1.05</f>
        <v>94788.692005658129</v>
      </c>
      <c r="U17" s="19">
        <f t="shared" si="7"/>
        <v>99528.126605941041</v>
      </c>
      <c r="V17" s="19">
        <f t="shared" si="7"/>
        <v>104504.5329362381</v>
      </c>
      <c r="W17" s="19">
        <f t="shared" si="7"/>
        <v>109729.75958305001</v>
      </c>
    </row>
    <row r="18" spans="2:150" s="27" customFormat="1" x14ac:dyDescent="0.15">
      <c r="B18" s="27" t="s">
        <v>5</v>
      </c>
      <c r="C18" s="7">
        <f>SUM(Reports!C11:F11)</f>
        <v>3419</v>
      </c>
      <c r="D18" s="7">
        <f>SUM(Reports!G11:J11)</f>
        <v>4434</v>
      </c>
      <c r="E18" s="27">
        <f>SUM(Reports!K11:N11)</f>
        <v>5430</v>
      </c>
      <c r="F18" s="27">
        <f>SUM(Reports!O11:R11)</f>
        <v>6855</v>
      </c>
      <c r="G18" s="27">
        <f>SUM(Reports!S11:V11)</f>
        <v>8170</v>
      </c>
      <c r="H18" s="27">
        <f>SUM(Reports!W11:Z11)</f>
        <v>9675</v>
      </c>
      <c r="I18" s="7">
        <f t="shared" ref="I18" si="8">I17-I19</f>
        <v>11610</v>
      </c>
      <c r="J18" s="7">
        <f t="shared" ref="J18" si="9">J17-J19</f>
        <v>13932</v>
      </c>
      <c r="K18" s="7">
        <f t="shared" ref="K18" si="10">K17-K19</f>
        <v>16718.399999999998</v>
      </c>
      <c r="L18" s="7">
        <f t="shared" ref="L18" si="11">L17-L19</f>
        <v>20062.079999999998</v>
      </c>
      <c r="M18" s="7">
        <f t="shared" ref="M18" si="12">M17-M19</f>
        <v>24074.495999999996</v>
      </c>
      <c r="N18" s="7">
        <f t="shared" ref="N18" si="13">N17-N19</f>
        <v>26481.945599999999</v>
      </c>
      <c r="O18" s="7">
        <f t="shared" ref="O18" si="14">O17-O19</f>
        <v>29130.140159999995</v>
      </c>
      <c r="P18" s="7">
        <f t="shared" ref="P18" si="15">P17-P19</f>
        <v>32043.154175999996</v>
      </c>
      <c r="Q18" s="7">
        <f t="shared" ref="Q18" si="16">Q17-Q19</f>
        <v>35247.469593599999</v>
      </c>
      <c r="R18" s="7">
        <f t="shared" ref="R18:V18" si="17">R17-R19</f>
        <v>38772.216552960002</v>
      </c>
      <c r="S18" s="7">
        <f t="shared" si="17"/>
        <v>40710.827380608003</v>
      </c>
      <c r="T18" s="7">
        <f t="shared" si="17"/>
        <v>42746.368749638408</v>
      </c>
      <c r="U18" s="7">
        <f t="shared" si="17"/>
        <v>44883.687187120333</v>
      </c>
      <c r="V18" s="7">
        <f t="shared" si="17"/>
        <v>47127.871546476352</v>
      </c>
      <c r="W18" s="7">
        <f t="shared" ref="W18" si="18">W17-W19</f>
        <v>49484.265123800171</v>
      </c>
    </row>
    <row r="19" spans="2:150" s="27" customFormat="1" x14ac:dyDescent="0.15">
      <c r="B19" s="27" t="s">
        <v>6</v>
      </c>
      <c r="C19" s="10">
        <f>C17-C18</f>
        <v>5829</v>
      </c>
      <c r="D19" s="10">
        <f>D17-D18</f>
        <v>6408</v>
      </c>
      <c r="E19" s="10">
        <f>E17-E18</f>
        <v>7664</v>
      </c>
      <c r="F19" s="10">
        <f>F17-F18</f>
        <v>8596</v>
      </c>
      <c r="G19" s="10">
        <f>G17-G18</f>
        <v>9602</v>
      </c>
      <c r="H19" s="10">
        <f>H17-H18</f>
        <v>11779</v>
      </c>
      <c r="I19" s="7">
        <f t="shared" ref="I19:R19" si="19">I17*H32</f>
        <v>14134.8</v>
      </c>
      <c r="J19" s="7">
        <f t="shared" si="19"/>
        <v>16961.759999999998</v>
      </c>
      <c r="K19" s="7">
        <f t="shared" si="19"/>
        <v>20354.111999999997</v>
      </c>
      <c r="L19" s="7">
        <f t="shared" si="19"/>
        <v>24424.934399999995</v>
      </c>
      <c r="M19" s="7">
        <f t="shared" si="19"/>
        <v>29309.921279999991</v>
      </c>
      <c r="N19" s="7">
        <f t="shared" si="19"/>
        <v>32240.913407999993</v>
      </c>
      <c r="O19" s="7">
        <f t="shared" si="19"/>
        <v>35465.004748799998</v>
      </c>
      <c r="P19" s="7">
        <f t="shared" si="19"/>
        <v>39011.505223679997</v>
      </c>
      <c r="Q19" s="7">
        <f t="shared" si="19"/>
        <v>42912.655746048003</v>
      </c>
      <c r="R19" s="7">
        <f t="shared" si="19"/>
        <v>47203.921320652807</v>
      </c>
      <c r="S19" s="7">
        <f t="shared" ref="S19" si="20">S17*R32</f>
        <v>49564.117386685444</v>
      </c>
      <c r="T19" s="7">
        <f t="shared" ref="T19" si="21">T17*S32</f>
        <v>52042.323256019721</v>
      </c>
      <c r="U19" s="7">
        <f t="shared" ref="U19" si="22">U17*T32</f>
        <v>54644.439418820708</v>
      </c>
      <c r="V19" s="7">
        <f t="shared" ref="V19" si="23">V17*U32</f>
        <v>57376.66138976175</v>
      </c>
      <c r="W19" s="7">
        <f t="shared" ref="W19" si="24">W17*V32</f>
        <v>60245.494459249836</v>
      </c>
    </row>
    <row r="20" spans="2:150" s="27" customFormat="1" x14ac:dyDescent="0.15">
      <c r="B20" s="27" t="s">
        <v>7</v>
      </c>
      <c r="C20" s="7">
        <f>SUM(Reports!C13:F13)</f>
        <v>825</v>
      </c>
      <c r="D20" s="7">
        <f>SUM(Reports!G13:J13)</f>
        <v>834</v>
      </c>
      <c r="E20" s="27">
        <f>SUM(Reports!K13:N13)</f>
        <v>953</v>
      </c>
      <c r="F20" s="27">
        <f>SUM(Reports!O13:R13)</f>
        <v>1071</v>
      </c>
      <c r="G20" s="27">
        <f>SUM(Reports!S13:V13)</f>
        <v>2085</v>
      </c>
      <c r="H20" s="27">
        <f>SUM(Reports!W13:Z13)</f>
        <v>2642</v>
      </c>
      <c r="I20" s="7">
        <f>H20*1.2</f>
        <v>3170.4</v>
      </c>
      <c r="J20" s="7">
        <f t="shared" ref="J20:M20" si="25">I20*1.2</f>
        <v>3804.48</v>
      </c>
      <c r="K20" s="7">
        <f t="shared" si="25"/>
        <v>4565.3760000000002</v>
      </c>
      <c r="L20" s="7">
        <f t="shared" si="25"/>
        <v>5478.4512000000004</v>
      </c>
      <c r="M20" s="7">
        <f t="shared" si="25"/>
        <v>6574.1414400000003</v>
      </c>
      <c r="N20" s="7">
        <f>M20*1.1</f>
        <v>7231.5555840000006</v>
      </c>
      <c r="O20" s="7">
        <f t="shared" ref="O20:R20" si="26">N20*1.1</f>
        <v>7954.7111424000013</v>
      </c>
      <c r="P20" s="7">
        <f t="shared" si="26"/>
        <v>8750.1822566400024</v>
      </c>
      <c r="Q20" s="7">
        <f t="shared" si="26"/>
        <v>9625.2004823040043</v>
      </c>
      <c r="R20" s="7">
        <f t="shared" si="26"/>
        <v>10587.720530534405</v>
      </c>
      <c r="S20" s="7">
        <f>R20*1.05</f>
        <v>11117.106557061126</v>
      </c>
      <c r="T20" s="7">
        <f t="shared" ref="T20:W20" si="27">S20*1.05</f>
        <v>11672.961884914183</v>
      </c>
      <c r="U20" s="7">
        <f t="shared" si="27"/>
        <v>12256.609979159892</v>
      </c>
      <c r="V20" s="7">
        <f t="shared" si="27"/>
        <v>12869.440478117887</v>
      </c>
      <c r="W20" s="7">
        <f t="shared" si="27"/>
        <v>13512.912502023783</v>
      </c>
    </row>
    <row r="21" spans="2:150" s="27" customFormat="1" x14ac:dyDescent="0.15">
      <c r="B21" s="27" t="s">
        <v>8</v>
      </c>
      <c r="C21" s="7">
        <f>SUM(Reports!C14:F14)</f>
        <v>2089</v>
      </c>
      <c r="D21" s="7">
        <f>SUM(Reports!G14:J14)</f>
        <v>2236</v>
      </c>
      <c r="E21" s="27">
        <f>SUM(Reports!K14:N14)</f>
        <v>2492</v>
      </c>
      <c r="F21" s="27">
        <f>SUM(Reports!O14:R14)</f>
        <v>2795</v>
      </c>
      <c r="G21" s="27">
        <f>SUM(Reports!S14:V14)</f>
        <v>3016</v>
      </c>
      <c r="H21" s="27">
        <f>SUM(Reports!W14:Z14)</f>
        <v>3639</v>
      </c>
      <c r="I21" s="7">
        <f>H21*1.15</f>
        <v>4184.8499999999995</v>
      </c>
      <c r="J21" s="7">
        <f t="shared" ref="J21:M21" si="28">I21*1.15</f>
        <v>4812.5774999999994</v>
      </c>
      <c r="K21" s="7">
        <f t="shared" si="28"/>
        <v>5534.4641249999986</v>
      </c>
      <c r="L21" s="7">
        <f t="shared" si="28"/>
        <v>6364.6337437499978</v>
      </c>
      <c r="M21" s="7">
        <f t="shared" si="28"/>
        <v>7319.328805312497</v>
      </c>
      <c r="N21" s="7">
        <f>M21*1.05</f>
        <v>7685.2952455781224</v>
      </c>
      <c r="O21" s="7">
        <f t="shared" ref="O21:R21" si="29">N21*1.05</f>
        <v>8069.5600078570287</v>
      </c>
      <c r="P21" s="7">
        <f t="shared" si="29"/>
        <v>8473.0380082498814</v>
      </c>
      <c r="Q21" s="7">
        <f t="shared" si="29"/>
        <v>8896.6899086623762</v>
      </c>
      <c r="R21" s="7">
        <f t="shared" si="29"/>
        <v>9341.5244040954949</v>
      </c>
      <c r="S21" s="7">
        <f>R21*0.95</f>
        <v>8874.4481838907195</v>
      </c>
      <c r="T21" s="7">
        <f t="shared" ref="T21:W21" si="30">S21*0.95</f>
        <v>8430.7257746961823</v>
      </c>
      <c r="U21" s="7">
        <f t="shared" si="30"/>
        <v>8009.1894859613731</v>
      </c>
      <c r="V21" s="7">
        <f t="shared" si="30"/>
        <v>7608.7300116633041</v>
      </c>
      <c r="W21" s="7">
        <f t="shared" si="30"/>
        <v>7228.2935110801382</v>
      </c>
    </row>
    <row r="22" spans="2:150" s="27" customFormat="1" x14ac:dyDescent="0.15">
      <c r="B22" s="27" t="s">
        <v>9</v>
      </c>
      <c r="C22" s="7">
        <f>SUM(Reports!C15:F15)</f>
        <v>1454</v>
      </c>
      <c r="D22" s="7">
        <f>SUM(Reports!G15:J15)</f>
        <v>1752</v>
      </c>
      <c r="E22" s="27">
        <f>SUM(Reports!K15:N15)</f>
        <v>2092</v>
      </c>
      <c r="F22" s="27">
        <f>SUM(Reports!O15:R15)</f>
        <v>2536</v>
      </c>
      <c r="G22" s="27">
        <f>SUM(Reports!S15:V15)</f>
        <v>1782</v>
      </c>
      <c r="H22" s="27">
        <f>SUM(Reports!W15:Z15)</f>
        <v>2209</v>
      </c>
      <c r="I22" s="7">
        <f t="shared" ref="I22" si="31">H22*1.2</f>
        <v>2650.7999999999997</v>
      </c>
      <c r="J22" s="7">
        <f t="shared" ref="J22" si="32">I22*1.2</f>
        <v>3180.9599999999996</v>
      </c>
      <c r="K22" s="7">
        <f t="shared" ref="K22" si="33">J22*1.2</f>
        <v>3817.1519999999991</v>
      </c>
      <c r="L22" s="7">
        <f t="shared" ref="L22" si="34">K22*1.2</f>
        <v>4580.5823999999984</v>
      </c>
      <c r="M22" s="7">
        <f t="shared" ref="M22" si="35">L22*1.2</f>
        <v>5496.6988799999981</v>
      </c>
      <c r="N22" s="7">
        <f>M22*0.95</f>
        <v>5221.8639359999979</v>
      </c>
      <c r="O22" s="7">
        <f t="shared" ref="O22:R22" si="36">N22*0.95</f>
        <v>4960.7707391999975</v>
      </c>
      <c r="P22" s="7">
        <f t="shared" si="36"/>
        <v>4712.7322022399976</v>
      </c>
      <c r="Q22" s="7">
        <f t="shared" si="36"/>
        <v>4477.0955921279974</v>
      </c>
      <c r="R22" s="7">
        <f t="shared" si="36"/>
        <v>4253.240812521597</v>
      </c>
      <c r="S22" s="7">
        <f>R22*0.95</f>
        <v>4040.5787718955171</v>
      </c>
      <c r="T22" s="7">
        <f t="shared" ref="T22:W22" si="37">S22*0.95</f>
        <v>3838.5498333007413</v>
      </c>
      <c r="U22" s="7">
        <f t="shared" si="37"/>
        <v>3646.6223416357038</v>
      </c>
      <c r="V22" s="7">
        <f t="shared" si="37"/>
        <v>3464.2912245539183</v>
      </c>
      <c r="W22" s="7">
        <f t="shared" si="37"/>
        <v>3291.0766633262224</v>
      </c>
    </row>
    <row r="23" spans="2:150" s="27" customFormat="1" x14ac:dyDescent="0.15">
      <c r="B23" s="27" t="s">
        <v>10</v>
      </c>
      <c r="C23" s="10">
        <f>SUM(C20:C22)</f>
        <v>4368</v>
      </c>
      <c r="D23" s="10">
        <f>SUM(D20:D22)</f>
        <v>4822</v>
      </c>
      <c r="E23" s="10">
        <f>SUM(E20:E22)</f>
        <v>5537</v>
      </c>
      <c r="F23" s="10">
        <f>SUM(F20:F22)</f>
        <v>6402</v>
      </c>
      <c r="G23" s="10">
        <f>SUM(G20:G22)</f>
        <v>6883</v>
      </c>
      <c r="H23" s="10">
        <f>SUM(H20:H22)</f>
        <v>8490</v>
      </c>
      <c r="I23" s="7">
        <f t="shared" ref="I23" si="38">SUM(I20:I22)</f>
        <v>10006.049999999999</v>
      </c>
      <c r="J23" s="7">
        <f t="shared" ref="J23" si="39">SUM(J20:J22)</f>
        <v>11798.017499999998</v>
      </c>
      <c r="K23" s="7">
        <f t="shared" ref="K23" si="40">SUM(K20:K22)</f>
        <v>13916.992124999997</v>
      </c>
      <c r="L23" s="7">
        <f t="shared" ref="L23" si="41">SUM(L20:L22)</f>
        <v>16423.667343749996</v>
      </c>
      <c r="M23" s="7">
        <f t="shared" ref="M23" si="42">SUM(M20:M22)</f>
        <v>19390.169125312495</v>
      </c>
      <c r="N23" s="7">
        <f t="shared" ref="N23" si="43">SUM(N20:N22)</f>
        <v>20138.714765578123</v>
      </c>
      <c r="O23" s="7">
        <f t="shared" ref="O23" si="44">SUM(O20:O22)</f>
        <v>20985.041889457028</v>
      </c>
      <c r="P23" s="7">
        <f t="shared" ref="P23" si="45">SUM(P20:P22)</f>
        <v>21935.952467129879</v>
      </c>
      <c r="Q23" s="7">
        <f t="shared" ref="Q23" si="46">SUM(Q20:Q22)</f>
        <v>22998.985983094375</v>
      </c>
      <c r="R23" s="7">
        <f t="shared" ref="R23:V23" si="47">SUM(R20:R22)</f>
        <v>24182.485747151499</v>
      </c>
      <c r="S23" s="7">
        <f t="shared" si="47"/>
        <v>24032.133512847366</v>
      </c>
      <c r="T23" s="7">
        <f t="shared" si="47"/>
        <v>23942.237492911107</v>
      </c>
      <c r="U23" s="7">
        <f t="shared" si="47"/>
        <v>23912.421806756967</v>
      </c>
      <c r="V23" s="7">
        <f t="shared" si="47"/>
        <v>23942.46171433511</v>
      </c>
      <c r="W23" s="7">
        <f t="shared" ref="W23" si="48">SUM(W20:W22)</f>
        <v>24032.282676430143</v>
      </c>
    </row>
    <row r="24" spans="2:150" s="27" customFormat="1" x14ac:dyDescent="0.15">
      <c r="B24" s="27" t="s">
        <v>11</v>
      </c>
      <c r="C24" s="10">
        <f>C19-C23</f>
        <v>1461</v>
      </c>
      <c r="D24" s="10">
        <f>D19-D23</f>
        <v>1586</v>
      </c>
      <c r="E24" s="10">
        <f>E19-E23</f>
        <v>2127</v>
      </c>
      <c r="F24" s="10">
        <f>F19-F23</f>
        <v>2194</v>
      </c>
      <c r="G24" s="10">
        <f>G19-G23</f>
        <v>2719</v>
      </c>
      <c r="H24" s="10">
        <f>H19-H23</f>
        <v>3289</v>
      </c>
      <c r="I24" s="7">
        <f t="shared" ref="I24" si="49">I19-I23</f>
        <v>4128.75</v>
      </c>
      <c r="J24" s="7">
        <f t="shared" ref="J24" si="50">J19-J23</f>
        <v>5163.7425000000003</v>
      </c>
      <c r="K24" s="7">
        <f t="shared" ref="K24" si="51">K19-K23</f>
        <v>6437.1198750000003</v>
      </c>
      <c r="L24" s="7">
        <f t="shared" ref="L24" si="52">L19-L23</f>
        <v>8001.2670562499989</v>
      </c>
      <c r="M24" s="7">
        <f t="shared" ref="M24" si="53">M19-M23</f>
        <v>9919.7521546874959</v>
      </c>
      <c r="N24" s="7">
        <f t="shared" ref="N24" si="54">N19-N23</f>
        <v>12102.19864242187</v>
      </c>
      <c r="O24" s="7">
        <f t="shared" ref="O24" si="55">O19-O23</f>
        <v>14479.96285934297</v>
      </c>
      <c r="P24" s="7">
        <f t="shared" ref="P24" si="56">P19-P23</f>
        <v>17075.552756550118</v>
      </c>
      <c r="Q24" s="7">
        <f t="shared" ref="Q24" si="57">Q19-Q23</f>
        <v>19913.669762953628</v>
      </c>
      <c r="R24" s="7">
        <f t="shared" ref="R24:V24" si="58">R19-R23</f>
        <v>23021.435573501309</v>
      </c>
      <c r="S24" s="7">
        <f t="shared" si="58"/>
        <v>25531.983873838079</v>
      </c>
      <c r="T24" s="7">
        <f t="shared" si="58"/>
        <v>28100.085763108615</v>
      </c>
      <c r="U24" s="7">
        <f t="shared" si="58"/>
        <v>30732.017612063741</v>
      </c>
      <c r="V24" s="7">
        <f t="shared" si="58"/>
        <v>33434.199675426644</v>
      </c>
      <c r="W24" s="7">
        <f t="shared" ref="W24" si="59">W19-W23</f>
        <v>36213.211782819693</v>
      </c>
    </row>
    <row r="25" spans="2:150" s="27" customFormat="1" x14ac:dyDescent="0.15">
      <c r="B25" s="27" t="s">
        <v>12</v>
      </c>
      <c r="C25" s="7">
        <f>SUM(Reports!C18:F18)</f>
        <v>27</v>
      </c>
      <c r="D25" s="7">
        <f>SUM(Reports!G18:J18)</f>
        <v>45</v>
      </c>
      <c r="E25" s="27">
        <f>SUM(Reports!K18:N18)</f>
        <v>73</v>
      </c>
      <c r="F25" s="27">
        <f>SUM(Reports!O18:R18)</f>
        <v>182</v>
      </c>
      <c r="G25" s="27">
        <f>SUM(Reports!S18:V18)</f>
        <v>279</v>
      </c>
      <c r="H25" s="27">
        <f>SUM(Reports!W18:Z18)</f>
        <v>1776</v>
      </c>
      <c r="I25" s="7">
        <f>H42*$G$4</f>
        <v>204.66</v>
      </c>
      <c r="J25" s="7">
        <f>I42*$G$4</f>
        <v>278.32796999999999</v>
      </c>
      <c r="K25" s="7">
        <f>J42*$G$4</f>
        <v>370.84316798999998</v>
      </c>
      <c r="L25" s="7">
        <f>K42*$G$4</f>
        <v>486.57853972083001</v>
      </c>
      <c r="M25" s="7">
        <f>L42*$G$4</f>
        <v>630.87191485233404</v>
      </c>
      <c r="N25" s="7">
        <f>M42*$G$4</f>
        <v>810.23252403451113</v>
      </c>
      <c r="O25" s="7">
        <f>N42*$G$4</f>
        <v>1029.7438538642696</v>
      </c>
      <c r="P25" s="7">
        <f>O42*$G$4</f>
        <v>1293.4088679887927</v>
      </c>
      <c r="Q25" s="7">
        <f>P42*$G$4</f>
        <v>1605.6812156059543</v>
      </c>
      <c r="R25" s="7">
        <f>Q42*$G$4</f>
        <v>1971.5101822414674</v>
      </c>
      <c r="S25" s="7">
        <f t="shared" ref="S25" si="60">R42*$G$4</f>
        <v>2396.3902600890947</v>
      </c>
      <c r="T25" s="7">
        <f t="shared" ref="T25" si="61">S42*$G$4</f>
        <v>2871.1726203658568</v>
      </c>
      <c r="U25" s="7">
        <f t="shared" ref="U25" si="62">T42*$G$4</f>
        <v>3397.6840128849226</v>
      </c>
      <c r="V25" s="7">
        <f t="shared" ref="V25" si="63">U42*$G$4</f>
        <v>3977.8889405090504</v>
      </c>
      <c r="W25" s="7">
        <f t="shared" ref="W25" si="64">V42*$G$4</f>
        <v>4613.8944469799571</v>
      </c>
    </row>
    <row r="26" spans="2:150" s="27" customFormat="1" x14ac:dyDescent="0.15">
      <c r="B26" s="27" t="s">
        <v>13</v>
      </c>
      <c r="C26" s="10">
        <f>SUM(Reports!C19:F19)</f>
        <v>1488</v>
      </c>
      <c r="D26" s="10">
        <f>D24+D25</f>
        <v>1631</v>
      </c>
      <c r="E26" s="10">
        <f>E24+E25</f>
        <v>2200</v>
      </c>
      <c r="F26" s="10">
        <f>F24+F25</f>
        <v>2376</v>
      </c>
      <c r="G26" s="10">
        <f>G24+G25</f>
        <v>2998</v>
      </c>
      <c r="H26" s="10">
        <f>H24+H25</f>
        <v>5065</v>
      </c>
      <c r="I26" s="7">
        <f t="shared" ref="I26" si="65">I24+I25</f>
        <v>4333.41</v>
      </c>
      <c r="J26" s="7">
        <f t="shared" ref="J26" si="66">J24+J25</f>
        <v>5442.0704700000006</v>
      </c>
      <c r="K26" s="7">
        <f t="shared" ref="K26" si="67">K24+K25</f>
        <v>6807.9630429900008</v>
      </c>
      <c r="L26" s="7">
        <f t="shared" ref="L26" si="68">L24+L25</f>
        <v>8487.8455959708281</v>
      </c>
      <c r="M26" s="7">
        <f t="shared" ref="M26" si="69">M24+M25</f>
        <v>10550.62406953983</v>
      </c>
      <c r="N26" s="7">
        <f t="shared" ref="N26" si="70">N24+N25</f>
        <v>12912.431166456381</v>
      </c>
      <c r="O26" s="7">
        <f t="shared" ref="O26" si="71">O24+O25</f>
        <v>15509.706713207239</v>
      </c>
      <c r="P26" s="7">
        <f t="shared" ref="P26" si="72">P24+P25</f>
        <v>18368.961624538912</v>
      </c>
      <c r="Q26" s="7">
        <f t="shared" ref="Q26" si="73">Q24+Q25</f>
        <v>21519.350978559582</v>
      </c>
      <c r="R26" s="7">
        <f t="shared" ref="R26:V26" si="74">R24+R25</f>
        <v>24992.945755742778</v>
      </c>
      <c r="S26" s="7">
        <f t="shared" si="74"/>
        <v>27928.374133927173</v>
      </c>
      <c r="T26" s="7">
        <f t="shared" si="74"/>
        <v>30971.258383474473</v>
      </c>
      <c r="U26" s="7">
        <f t="shared" si="74"/>
        <v>34129.701624948662</v>
      </c>
      <c r="V26" s="7">
        <f t="shared" si="74"/>
        <v>37412.088615935696</v>
      </c>
      <c r="W26" s="7">
        <f t="shared" ref="W26" si="75">W24+W25</f>
        <v>40827.106229799654</v>
      </c>
    </row>
    <row r="27" spans="2:150" s="27" customFormat="1" x14ac:dyDescent="0.15">
      <c r="B27" s="27" t="s">
        <v>14</v>
      </c>
      <c r="C27" s="7">
        <f>SUM(Reports!C20:F20)</f>
        <v>260</v>
      </c>
      <c r="D27" s="7">
        <f>SUM(Reports!G20:J20)</f>
        <v>230</v>
      </c>
      <c r="E27" s="27">
        <f>SUM(Reports!K20:N20)</f>
        <v>405</v>
      </c>
      <c r="F27" s="27">
        <f>SUM(Reports!O20:R20)</f>
        <v>319</v>
      </c>
      <c r="G27" s="27">
        <f>SUM(Reports!S20:V20)</f>
        <v>539</v>
      </c>
      <c r="H27" s="27">
        <f>SUM(Reports!W20:Z20)</f>
        <v>863</v>
      </c>
      <c r="I27" s="7">
        <f t="shared" ref="I27:R27" si="76">I26*0.15</f>
        <v>650.01149999999996</v>
      </c>
      <c r="J27" s="7">
        <f t="shared" si="76"/>
        <v>816.31057050000004</v>
      </c>
      <c r="K27" s="7">
        <f t="shared" si="76"/>
        <v>1021.1944564485001</v>
      </c>
      <c r="L27" s="7">
        <f t="shared" si="76"/>
        <v>1273.1768393956243</v>
      </c>
      <c r="M27" s="7">
        <f t="shared" si="76"/>
        <v>1582.5936104309744</v>
      </c>
      <c r="N27" s="7">
        <f t="shared" si="76"/>
        <v>1936.8646749684572</v>
      </c>
      <c r="O27" s="7">
        <f t="shared" si="76"/>
        <v>2326.4560069810859</v>
      </c>
      <c r="P27" s="7">
        <f t="shared" si="76"/>
        <v>2755.3442436808368</v>
      </c>
      <c r="Q27" s="7">
        <f t="shared" si="76"/>
        <v>3227.9026467839371</v>
      </c>
      <c r="R27" s="7">
        <f t="shared" si="76"/>
        <v>3748.9418633614164</v>
      </c>
      <c r="S27" s="7">
        <f t="shared" ref="S27:W27" si="77">S26*0.15</f>
        <v>4189.2561200890759</v>
      </c>
      <c r="T27" s="7">
        <f t="shared" si="77"/>
        <v>4645.6887575211704</v>
      </c>
      <c r="U27" s="7">
        <f t="shared" si="77"/>
        <v>5119.455243742299</v>
      </c>
      <c r="V27" s="7">
        <f t="shared" si="77"/>
        <v>5611.813292390354</v>
      </c>
      <c r="W27" s="7">
        <f t="shared" si="77"/>
        <v>6124.0659344699479</v>
      </c>
    </row>
    <row r="28" spans="2:150" s="67" customFormat="1" x14ac:dyDescent="0.15">
      <c r="B28" s="67" t="s">
        <v>15</v>
      </c>
      <c r="C28" s="24">
        <f>C26-C27</f>
        <v>1228</v>
      </c>
      <c r="D28" s="24">
        <f>D26-D27</f>
        <v>1401</v>
      </c>
      <c r="E28" s="24">
        <f>E26-E27</f>
        <v>1795</v>
      </c>
      <c r="F28" s="24">
        <f t="shared" ref="F28:H28" si="78">F26-F27</f>
        <v>2057</v>
      </c>
      <c r="G28" s="24">
        <f t="shared" si="78"/>
        <v>2459</v>
      </c>
      <c r="H28" s="24">
        <f t="shared" si="78"/>
        <v>4202</v>
      </c>
      <c r="I28" s="24">
        <f t="shared" ref="I28" si="79">I26-I27</f>
        <v>3683.3984999999998</v>
      </c>
      <c r="J28" s="24">
        <f t="shared" ref="J28" si="80">J26-J27</f>
        <v>4625.7598995000008</v>
      </c>
      <c r="K28" s="24">
        <f t="shared" ref="K28" si="81">K26-K27</f>
        <v>5786.7685865415006</v>
      </c>
      <c r="L28" s="24">
        <f t="shared" ref="L28" si="82">L26-L27</f>
        <v>7214.6687565752036</v>
      </c>
      <c r="M28" s="24">
        <f t="shared" ref="M28" si="83">M26-M27</f>
        <v>8968.0304591088552</v>
      </c>
      <c r="N28" s="24">
        <f t="shared" ref="N28" si="84">N26-N27</f>
        <v>10975.566491487923</v>
      </c>
      <c r="O28" s="24">
        <f t="shared" ref="O28" si="85">O26-O27</f>
        <v>13183.250706226154</v>
      </c>
      <c r="P28" s="24">
        <f t="shared" ref="P28" si="86">P26-P27</f>
        <v>15613.617380858075</v>
      </c>
      <c r="Q28" s="24">
        <f t="shared" ref="Q28" si="87">Q26-Q27</f>
        <v>18291.448331775646</v>
      </c>
      <c r="R28" s="24">
        <f t="shared" ref="R28:V28" si="88">R26-R27</f>
        <v>21244.003892381363</v>
      </c>
      <c r="S28" s="24">
        <f t="shared" si="88"/>
        <v>23739.118013838095</v>
      </c>
      <c r="T28" s="24">
        <f t="shared" si="88"/>
        <v>26325.569625953303</v>
      </c>
      <c r="U28" s="24">
        <f t="shared" si="88"/>
        <v>29010.246381206365</v>
      </c>
      <c r="V28" s="24">
        <f t="shared" si="88"/>
        <v>31800.275323545342</v>
      </c>
      <c r="W28" s="24">
        <f t="shared" ref="W28" si="89">W26-W27</f>
        <v>34703.040295329709</v>
      </c>
      <c r="X28" s="24">
        <f>W28*($G$3+1)</f>
        <v>34356.009892376409</v>
      </c>
      <c r="Y28" s="24">
        <f t="shared" ref="X28:CE28" si="90">X28*($G$3+1)</f>
        <v>34012.449793452644</v>
      </c>
      <c r="Z28" s="24">
        <f t="shared" si="90"/>
        <v>33672.325295518116</v>
      </c>
      <c r="AA28" s="24">
        <f t="shared" si="90"/>
        <v>33335.602042562932</v>
      </c>
      <c r="AB28" s="24">
        <f t="shared" si="90"/>
        <v>33002.246022137304</v>
      </c>
      <c r="AC28" s="24">
        <f t="shared" si="90"/>
        <v>32672.223561915929</v>
      </c>
      <c r="AD28" s="24">
        <f t="shared" si="90"/>
        <v>32345.50132629677</v>
      </c>
      <c r="AE28" s="24">
        <f t="shared" si="90"/>
        <v>32022.046313033803</v>
      </c>
      <c r="AF28" s="24">
        <f t="shared" si="90"/>
        <v>31701.825849903464</v>
      </c>
      <c r="AG28" s="24">
        <f t="shared" si="90"/>
        <v>31384.807591404428</v>
      </c>
      <c r="AH28" s="24">
        <f t="shared" si="90"/>
        <v>31070.959515490384</v>
      </c>
      <c r="AI28" s="24">
        <f t="shared" si="90"/>
        <v>30760.249920335478</v>
      </c>
      <c r="AJ28" s="24">
        <f t="shared" si="90"/>
        <v>30452.647421132122</v>
      </c>
      <c r="AK28" s="24">
        <f t="shared" si="90"/>
        <v>30148.120946920801</v>
      </c>
      <c r="AL28" s="24">
        <f t="shared" si="90"/>
        <v>29846.639737451591</v>
      </c>
      <c r="AM28" s="24">
        <f t="shared" si="90"/>
        <v>29548.173340077075</v>
      </c>
      <c r="AN28" s="24">
        <f t="shared" si="90"/>
        <v>29252.691606676304</v>
      </c>
      <c r="AO28" s="24">
        <f t="shared" si="90"/>
        <v>28960.164690609541</v>
      </c>
      <c r="AP28" s="24">
        <f t="shared" si="90"/>
        <v>28670.563043703445</v>
      </c>
      <c r="AQ28" s="24">
        <f t="shared" si="90"/>
        <v>28383.857413266411</v>
      </c>
      <c r="AR28" s="24">
        <f t="shared" si="90"/>
        <v>28100.018839133747</v>
      </c>
      <c r="AS28" s="24">
        <f t="shared" si="90"/>
        <v>27819.018650742408</v>
      </c>
      <c r="AT28" s="24">
        <f t="shared" si="90"/>
        <v>27540.828464234983</v>
      </c>
      <c r="AU28" s="24">
        <f t="shared" si="90"/>
        <v>27265.420179592631</v>
      </c>
      <c r="AV28" s="24">
        <f t="shared" si="90"/>
        <v>26992.765977796706</v>
      </c>
      <c r="AW28" s="24">
        <f t="shared" si="90"/>
        <v>26722.838318018737</v>
      </c>
      <c r="AX28" s="24">
        <f t="shared" si="90"/>
        <v>26455.609934838551</v>
      </c>
      <c r="AY28" s="24">
        <f t="shared" si="90"/>
        <v>26191.053835490166</v>
      </c>
      <c r="AZ28" s="24">
        <f t="shared" si="90"/>
        <v>25929.143297135262</v>
      </c>
      <c r="BA28" s="24">
        <f t="shared" si="90"/>
        <v>25669.851864163909</v>
      </c>
      <c r="BB28" s="24">
        <f t="shared" si="90"/>
        <v>25413.153345522271</v>
      </c>
      <c r="BC28" s="24">
        <f t="shared" si="90"/>
        <v>25159.021812067047</v>
      </c>
      <c r="BD28" s="24">
        <f t="shared" si="90"/>
        <v>24907.431593946378</v>
      </c>
      <c r="BE28" s="24">
        <f t="shared" si="90"/>
        <v>24658.357278006915</v>
      </c>
      <c r="BF28" s="24">
        <f t="shared" si="90"/>
        <v>24411.773705226846</v>
      </c>
      <c r="BG28" s="24">
        <f t="shared" si="90"/>
        <v>24167.655968174578</v>
      </c>
      <c r="BH28" s="24">
        <f t="shared" si="90"/>
        <v>23925.979408492833</v>
      </c>
      <c r="BI28" s="24">
        <f t="shared" si="90"/>
        <v>23686.719614407903</v>
      </c>
      <c r="BJ28" s="24">
        <f t="shared" si="90"/>
        <v>23449.852418263825</v>
      </c>
      <c r="BK28" s="24">
        <f t="shared" si="90"/>
        <v>23215.353894081185</v>
      </c>
      <c r="BL28" s="24">
        <f t="shared" si="90"/>
        <v>22983.200355140372</v>
      </c>
      <c r="BM28" s="24">
        <f t="shared" si="90"/>
        <v>22753.368351588968</v>
      </c>
      <c r="BN28" s="24">
        <f t="shared" si="90"/>
        <v>22525.834668073079</v>
      </c>
      <c r="BO28" s="24">
        <f t="shared" si="90"/>
        <v>22300.576321392349</v>
      </c>
      <c r="BP28" s="24">
        <f t="shared" si="90"/>
        <v>22077.570558178424</v>
      </c>
      <c r="BQ28" s="24">
        <f t="shared" si="90"/>
        <v>21856.794852596639</v>
      </c>
      <c r="BR28" s="24">
        <f t="shared" si="90"/>
        <v>21638.226904070671</v>
      </c>
      <c r="BS28" s="24">
        <f t="shared" si="90"/>
        <v>21421.844635029964</v>
      </c>
      <c r="BT28" s="24">
        <f t="shared" si="90"/>
        <v>21207.626188679664</v>
      </c>
      <c r="BU28" s="24">
        <f t="shared" si="90"/>
        <v>20995.549926792868</v>
      </c>
      <c r="BV28" s="24">
        <f t="shared" si="90"/>
        <v>20785.594427524939</v>
      </c>
      <c r="BW28" s="24">
        <f t="shared" si="90"/>
        <v>20577.73848324969</v>
      </c>
      <c r="BX28" s="24">
        <f t="shared" si="90"/>
        <v>20371.961098417192</v>
      </c>
      <c r="BY28" s="24">
        <f t="shared" si="90"/>
        <v>20168.241487433021</v>
      </c>
      <c r="BZ28" s="24">
        <f t="shared" si="90"/>
        <v>19966.559072558692</v>
      </c>
      <c r="CA28" s="24">
        <f t="shared" si="90"/>
        <v>19766.893481833104</v>
      </c>
      <c r="CB28" s="24">
        <f t="shared" si="90"/>
        <v>19569.224547014772</v>
      </c>
      <c r="CC28" s="24">
        <f t="shared" si="90"/>
        <v>19373.532301544623</v>
      </c>
      <c r="CD28" s="24">
        <f t="shared" si="90"/>
        <v>19179.796978529175</v>
      </c>
      <c r="CE28" s="24">
        <f t="shared" si="90"/>
        <v>18987.999008743882</v>
      </c>
      <c r="CF28" s="24">
        <f t="shared" ref="CF28:DS28" si="91">CE28*($G$3+1)</f>
        <v>18798.119018656442</v>
      </c>
      <c r="CG28" s="24">
        <f t="shared" si="91"/>
        <v>18610.137828469877</v>
      </c>
      <c r="CH28" s="24">
        <f t="shared" si="91"/>
        <v>18424.036450185176</v>
      </c>
      <c r="CI28" s="24">
        <f t="shared" si="91"/>
        <v>18239.796085683323</v>
      </c>
      <c r="CJ28" s="24">
        <f t="shared" si="91"/>
        <v>18057.39812482649</v>
      </c>
      <c r="CK28" s="24">
        <f t="shared" si="91"/>
        <v>17876.824143578226</v>
      </c>
      <c r="CL28" s="24">
        <f t="shared" si="91"/>
        <v>17698.055902142441</v>
      </c>
      <c r="CM28" s="24">
        <f t="shared" si="91"/>
        <v>17521.075343121018</v>
      </c>
      <c r="CN28" s="24">
        <f t="shared" si="91"/>
        <v>17345.864589689809</v>
      </c>
      <c r="CO28" s="24">
        <f t="shared" si="91"/>
        <v>17172.40594379291</v>
      </c>
      <c r="CP28" s="24">
        <f t="shared" si="91"/>
        <v>17000.681884354981</v>
      </c>
      <c r="CQ28" s="24">
        <f t="shared" si="91"/>
        <v>16830.67506551143</v>
      </c>
      <c r="CR28" s="24">
        <f t="shared" si="91"/>
        <v>16662.368314856314</v>
      </c>
      <c r="CS28" s="24">
        <f t="shared" si="91"/>
        <v>16495.744631707752</v>
      </c>
      <c r="CT28" s="24">
        <f t="shared" si="91"/>
        <v>16330.787185390674</v>
      </c>
      <c r="CU28" s="24">
        <f t="shared" si="91"/>
        <v>16167.479313536767</v>
      </c>
      <c r="CV28" s="24">
        <f t="shared" si="91"/>
        <v>16005.8045204014</v>
      </c>
      <c r="CW28" s="24">
        <f t="shared" si="91"/>
        <v>15845.746475197386</v>
      </c>
      <c r="CX28" s="24">
        <f t="shared" si="91"/>
        <v>15687.289010445411</v>
      </c>
      <c r="CY28" s="24">
        <f t="shared" si="91"/>
        <v>15530.416120340957</v>
      </c>
      <c r="CZ28" s="24">
        <f t="shared" si="91"/>
        <v>15375.111959137546</v>
      </c>
      <c r="DA28" s="24">
        <f t="shared" si="91"/>
        <v>15221.360839546171</v>
      </c>
      <c r="DB28" s="24">
        <f t="shared" si="91"/>
        <v>15069.14723115071</v>
      </c>
      <c r="DC28" s="24">
        <f t="shared" si="91"/>
        <v>14918.455758839202</v>
      </c>
      <c r="DD28" s="24">
        <f t="shared" si="91"/>
        <v>14769.271201250809</v>
      </c>
      <c r="DE28" s="24">
        <f t="shared" si="91"/>
        <v>14621.578489238302</v>
      </c>
      <c r="DF28" s="24">
        <f t="shared" si="91"/>
        <v>14475.362704345918</v>
      </c>
      <c r="DG28" s="24">
        <f t="shared" si="91"/>
        <v>14330.609077302459</v>
      </c>
      <c r="DH28" s="24">
        <f t="shared" si="91"/>
        <v>14187.302986529434</v>
      </c>
      <c r="DI28" s="24">
        <f t="shared" si="91"/>
        <v>14045.42995666414</v>
      </c>
      <c r="DJ28" s="24">
        <f t="shared" si="91"/>
        <v>13904.975657097499</v>
      </c>
      <c r="DK28" s="24">
        <f t="shared" si="91"/>
        <v>13765.925900526523</v>
      </c>
      <c r="DL28" s="24">
        <f t="shared" si="91"/>
        <v>13628.266641521257</v>
      </c>
      <c r="DM28" s="24">
        <f t="shared" si="91"/>
        <v>13491.983975106044</v>
      </c>
      <c r="DN28" s="24">
        <f t="shared" si="91"/>
        <v>13357.064135354984</v>
      </c>
      <c r="DO28" s="24">
        <f t="shared" si="91"/>
        <v>13223.493494001434</v>
      </c>
      <c r="DP28" s="24">
        <f t="shared" si="91"/>
        <v>13091.25855906142</v>
      </c>
      <c r="DQ28" s="24">
        <f t="shared" si="91"/>
        <v>12960.345973470805</v>
      </c>
      <c r="DR28" s="24">
        <f t="shared" si="91"/>
        <v>12830.742513736097</v>
      </c>
      <c r="DS28" s="24">
        <f t="shared" si="91"/>
        <v>12702.435088598735</v>
      </c>
      <c r="DT28" s="24">
        <f t="shared" ref="DT28" si="92">DS28*($G$3+1)</f>
        <v>12575.410737712748</v>
      </c>
      <c r="DU28" s="24">
        <f t="shared" ref="DU28" si="93">DT28*($G$3+1)</f>
        <v>12449.656630335619</v>
      </c>
      <c r="DV28" s="24">
        <f t="shared" ref="DV28" si="94">DU28*($G$3+1)</f>
        <v>12325.160064032263</v>
      </c>
      <c r="DW28" s="24">
        <f t="shared" ref="DW28" si="95">DV28*($G$3+1)</f>
        <v>12201.908463391941</v>
      </c>
      <c r="DX28" s="24">
        <f t="shared" ref="DX28" si="96">DW28*($G$3+1)</f>
        <v>12079.889378758022</v>
      </c>
      <c r="DY28" s="24">
        <f t="shared" ref="DY28" si="97">DX28*($G$3+1)</f>
        <v>11959.090484970442</v>
      </c>
      <c r="DZ28" s="24">
        <f t="shared" ref="DZ28" si="98">DY28*($G$3+1)</f>
        <v>11839.499580120737</v>
      </c>
      <c r="EA28" s="24">
        <f t="shared" ref="EA28" si="99">DZ28*($G$3+1)</f>
        <v>11721.10458431953</v>
      </c>
      <c r="EB28" s="24">
        <f t="shared" ref="EB28" si="100">EA28*($G$3+1)</f>
        <v>11603.893538476334</v>
      </c>
      <c r="EC28" s="24">
        <f t="shared" ref="EC28" si="101">EB28*($G$3+1)</f>
        <v>11487.85460309157</v>
      </c>
      <c r="ED28" s="24">
        <f t="shared" ref="ED28" si="102">EC28*($G$3+1)</f>
        <v>11372.976057060654</v>
      </c>
      <c r="EE28" s="24">
        <f t="shared" ref="EE28" si="103">ED28*($G$3+1)</f>
        <v>11259.246296490048</v>
      </c>
      <c r="EF28" s="24">
        <f t="shared" ref="EF28" si="104">EE28*($G$3+1)</f>
        <v>11146.653833525148</v>
      </c>
      <c r="EG28" s="24">
        <f t="shared" ref="EG28" si="105">EF28*($G$3+1)</f>
        <v>11035.187295189897</v>
      </c>
      <c r="EH28" s="24">
        <f t="shared" ref="EH28" si="106">EG28*($G$3+1)</f>
        <v>10924.835422237999</v>
      </c>
      <c r="EI28" s="24">
        <f t="shared" ref="EI28" si="107">EH28*($G$3+1)</f>
        <v>10815.587068015619</v>
      </c>
      <c r="EJ28" s="24">
        <f t="shared" ref="EJ28" si="108">EI28*($G$3+1)</f>
        <v>10707.431197335462</v>
      </c>
      <c r="EK28" s="24">
        <f t="shared" ref="EK28" si="109">EJ28*($G$3+1)</f>
        <v>10600.356885362107</v>
      </c>
      <c r="EL28" s="24">
        <f t="shared" ref="EL28" si="110">EK28*($G$3+1)</f>
        <v>10494.353316508486</v>
      </c>
      <c r="EM28" s="24">
        <f t="shared" ref="EM28" si="111">EL28*($G$3+1)</f>
        <v>10389.409783343401</v>
      </c>
      <c r="EN28" s="24">
        <f t="shared" ref="EN28" si="112">EM28*($G$3+1)</f>
        <v>10285.515685509967</v>
      </c>
      <c r="EO28" s="24">
        <f t="shared" ref="EO28" si="113">EN28*($G$3+1)</f>
        <v>10182.660528654867</v>
      </c>
      <c r="EP28" s="24">
        <f t="shared" ref="EP28" si="114">EO28*($G$3+1)</f>
        <v>10080.833923368318</v>
      </c>
      <c r="EQ28" s="24">
        <f t="shared" ref="EQ28" si="115">EP28*($G$3+1)</f>
        <v>9980.0255841346352</v>
      </c>
      <c r="ER28" s="24">
        <f t="shared" ref="ER28" si="116">EQ28*($G$3+1)</f>
        <v>9880.2253282932888</v>
      </c>
      <c r="ES28" s="24">
        <f t="shared" ref="ES28" si="117">ER28*($G$3+1)</f>
        <v>9781.4230750103561</v>
      </c>
      <c r="ET28" s="24">
        <f t="shared" ref="ET28" si="118">ES28*($G$3+1)</f>
        <v>9683.6088442602522</v>
      </c>
    </row>
    <row r="29" spans="2:150" x14ac:dyDescent="0.15">
      <c r="B29" s="3" t="s">
        <v>16</v>
      </c>
      <c r="C29" s="25">
        <f>C28/C30</f>
        <v>0.99837398373983743</v>
      </c>
      <c r="D29" s="25">
        <f>D28/D30</f>
        <v>1.1521381578947369</v>
      </c>
      <c r="E29" s="25">
        <f>E28/E30</f>
        <v>1.4617263843648209</v>
      </c>
      <c r="F29" s="25">
        <f>F28/F30</f>
        <v>1.7198996655518395</v>
      </c>
      <c r="G29" s="25">
        <f>G28/G30</f>
        <v>2.0716090985678179</v>
      </c>
      <c r="H29" s="25">
        <f>H28/H30</f>
        <v>3.5281276238455082</v>
      </c>
      <c r="I29" s="20">
        <f t="shared" ref="I29" si="119">I28/I30</f>
        <v>3.0926939546599495</v>
      </c>
      <c r="J29" s="20">
        <f t="shared" ref="J29" si="120">J28/J30</f>
        <v>3.8839293866498745</v>
      </c>
      <c r="K29" s="20">
        <f t="shared" ref="K29" si="121">K28/K30</f>
        <v>4.8587477636788421</v>
      </c>
      <c r="L29" s="20">
        <f t="shared" ref="L29" si="122">L28/L30</f>
        <v>6.0576563867130169</v>
      </c>
      <c r="M29" s="20">
        <f t="shared" ref="M29" si="123">M28/M30</f>
        <v>7.5298324593693158</v>
      </c>
      <c r="N29" s="20">
        <f t="shared" ref="N29" si="124">N28/N30</f>
        <v>9.2154210675801203</v>
      </c>
      <c r="O29" s="20">
        <f t="shared" ref="O29" si="125">O28/O30</f>
        <v>11.069060206739005</v>
      </c>
      <c r="P29" s="20">
        <f t="shared" ref="P29" si="126">P28/P30</f>
        <v>13.109670344968997</v>
      </c>
      <c r="Q29" s="20">
        <f t="shared" ref="Q29" si="127">Q28/Q30</f>
        <v>15.35805905270835</v>
      </c>
      <c r="R29" s="20">
        <f t="shared" ref="R29:V29" si="128">R28/R30</f>
        <v>17.837114939027174</v>
      </c>
      <c r="S29" s="20">
        <f t="shared" si="128"/>
        <v>19.932089012458519</v>
      </c>
      <c r="T29" s="20">
        <f t="shared" si="128"/>
        <v>22.103752834553571</v>
      </c>
      <c r="U29" s="20">
        <f t="shared" si="128"/>
        <v>24.357889488838257</v>
      </c>
      <c r="V29" s="20">
        <f t="shared" si="128"/>
        <v>26.700483059232024</v>
      </c>
      <c r="W29" s="20">
        <f t="shared" ref="W29" si="129">W28/W30</f>
        <v>29.13773324544896</v>
      </c>
    </row>
    <row r="30" spans="2:150" x14ac:dyDescent="0.15">
      <c r="B30" s="3" t="s">
        <v>17</v>
      </c>
      <c r="C30" s="7">
        <f>Reports!F23</f>
        <v>1230</v>
      </c>
      <c r="D30" s="7">
        <f>Reports!J23</f>
        <v>1216</v>
      </c>
      <c r="E30" s="7">
        <f>Reports!N23</f>
        <v>1228</v>
      </c>
      <c r="F30" s="7">
        <f>Reports!R23</f>
        <v>1196</v>
      </c>
      <c r="G30" s="7">
        <f>Reports!V23</f>
        <v>1187</v>
      </c>
      <c r="H30" s="7">
        <f>Reports!Z23</f>
        <v>1191</v>
      </c>
      <c r="I30" s="7">
        <f t="shared" ref="I30" si="130">H30</f>
        <v>1191</v>
      </c>
      <c r="J30" s="7">
        <f t="shared" ref="J30:N30" si="131">I30</f>
        <v>1191</v>
      </c>
      <c r="K30" s="7">
        <f t="shared" si="131"/>
        <v>1191</v>
      </c>
      <c r="L30" s="7">
        <f t="shared" si="131"/>
        <v>1191</v>
      </c>
      <c r="M30" s="7">
        <f t="shared" si="131"/>
        <v>1191</v>
      </c>
      <c r="N30" s="7">
        <f t="shared" si="131"/>
        <v>1191</v>
      </c>
      <c r="O30" s="7">
        <f t="shared" ref="O30:R30" si="132">N30</f>
        <v>1191</v>
      </c>
      <c r="P30" s="7">
        <f t="shared" si="132"/>
        <v>1191</v>
      </c>
      <c r="Q30" s="7">
        <f t="shared" si="132"/>
        <v>1191</v>
      </c>
      <c r="R30" s="7">
        <f t="shared" si="132"/>
        <v>1191</v>
      </c>
      <c r="S30" s="7">
        <f t="shared" ref="S30" si="133">R30</f>
        <v>1191</v>
      </c>
      <c r="T30" s="7">
        <f t="shared" ref="T30" si="134">S30</f>
        <v>1191</v>
      </c>
      <c r="U30" s="7">
        <f t="shared" ref="U30" si="135">T30</f>
        <v>1191</v>
      </c>
      <c r="V30" s="7">
        <f t="shared" ref="V30" si="136">U30</f>
        <v>1191</v>
      </c>
      <c r="W30" s="7">
        <f t="shared" ref="W30" si="137">V30</f>
        <v>1191</v>
      </c>
    </row>
    <row r="31" spans="2:150" x14ac:dyDescent="0.15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2:150" x14ac:dyDescent="0.15">
      <c r="B32" s="3" t="s">
        <v>19</v>
      </c>
      <c r="C32" s="22">
        <f t="shared" ref="C32:R32" si="138">IFERROR(C19/C17,0)</f>
        <v>0.63029844290657444</v>
      </c>
      <c r="D32" s="22">
        <f t="shared" si="138"/>
        <v>0.59103486441615938</v>
      </c>
      <c r="E32" s="22">
        <f t="shared" si="138"/>
        <v>0.58530624713609292</v>
      </c>
      <c r="F32" s="22">
        <f t="shared" si="138"/>
        <v>0.5563393955083813</v>
      </c>
      <c r="G32" s="22">
        <f t="shared" si="138"/>
        <v>0.54028809363042984</v>
      </c>
      <c r="H32" s="22">
        <f t="shared" si="138"/>
        <v>0.54903514496131256</v>
      </c>
      <c r="I32" s="22">
        <f t="shared" si="138"/>
        <v>0.54903514496131256</v>
      </c>
      <c r="J32" s="22">
        <f t="shared" si="138"/>
        <v>0.54903514496131256</v>
      </c>
      <c r="K32" s="22">
        <f t="shared" si="138"/>
        <v>0.54903514496131256</v>
      </c>
      <c r="L32" s="22">
        <f t="shared" si="138"/>
        <v>0.54903514496131256</v>
      </c>
      <c r="M32" s="22">
        <f t="shared" si="138"/>
        <v>0.54903514496131256</v>
      </c>
      <c r="N32" s="22">
        <f t="shared" si="138"/>
        <v>0.54903514496131256</v>
      </c>
      <c r="O32" s="22">
        <f t="shared" si="138"/>
        <v>0.54903514496131256</v>
      </c>
      <c r="P32" s="22">
        <f t="shared" si="138"/>
        <v>0.54903514496131256</v>
      </c>
      <c r="Q32" s="22">
        <f t="shared" si="138"/>
        <v>0.54903514496131256</v>
      </c>
      <c r="R32" s="22">
        <f t="shared" si="138"/>
        <v>0.54903514496131256</v>
      </c>
      <c r="S32" s="22">
        <f t="shared" ref="S32:W32" si="139">IFERROR(S19/S17,0)</f>
        <v>0.54903514496131256</v>
      </c>
      <c r="T32" s="22">
        <f t="shared" si="139"/>
        <v>0.54903514496131256</v>
      </c>
      <c r="U32" s="22">
        <f t="shared" si="139"/>
        <v>0.54903514496131256</v>
      </c>
      <c r="V32" s="22">
        <f t="shared" si="139"/>
        <v>0.54903514496131256</v>
      </c>
      <c r="W32" s="22">
        <f t="shared" si="139"/>
        <v>0.54903514496131256</v>
      </c>
    </row>
    <row r="33" spans="2:23" x14ac:dyDescent="0.15">
      <c r="B33" s="3" t="s">
        <v>20</v>
      </c>
      <c r="C33" s="23">
        <f t="shared" ref="C33:R33" si="140">IFERROR(C24/C17,0)</f>
        <v>0.15798010380622837</v>
      </c>
      <c r="D33" s="23">
        <f t="shared" si="140"/>
        <v>0.14628297362110312</v>
      </c>
      <c r="E33" s="23">
        <f t="shared" si="140"/>
        <v>0.16244081258591722</v>
      </c>
      <c r="F33" s="23">
        <f t="shared" si="140"/>
        <v>0.1419972817293379</v>
      </c>
      <c r="G33" s="23">
        <f t="shared" si="140"/>
        <v>0.15299347287868556</v>
      </c>
      <c r="H33" s="23">
        <f t="shared" si="140"/>
        <v>0.15330474503589075</v>
      </c>
      <c r="I33" s="23">
        <f t="shared" si="140"/>
        <v>0.16037219166588981</v>
      </c>
      <c r="J33" s="23">
        <f t="shared" si="140"/>
        <v>0.16714516135297228</v>
      </c>
      <c r="K33" s="23">
        <f t="shared" si="140"/>
        <v>0.17363592396975963</v>
      </c>
      <c r="L33" s="23">
        <f t="shared" si="140"/>
        <v>0.17985623814418078</v>
      </c>
      <c r="M33" s="23">
        <f t="shared" si="140"/>
        <v>0.1858173725613344</v>
      </c>
      <c r="N33" s="23">
        <f t="shared" si="140"/>
        <v>0.20609007883579292</v>
      </c>
      <c r="O33" s="23">
        <f t="shared" si="140"/>
        <v>0.22416487926123252</v>
      </c>
      <c r="P33" s="23">
        <f t="shared" si="140"/>
        <v>0.24031573581263302</v>
      </c>
      <c r="Q33" s="23">
        <f t="shared" si="140"/>
        <v>0.25478042258015793</v>
      </c>
      <c r="R33" s="23">
        <f t="shared" si="140"/>
        <v>0.26776540727316023</v>
      </c>
      <c r="S33" s="23">
        <f t="shared" ref="S33:W33" si="141">IFERROR(S24/S17,0)</f>
        <v>0.282824696704642</v>
      </c>
      <c r="T33" s="23">
        <f t="shared" si="141"/>
        <v>0.29644976809503037</v>
      </c>
      <c r="U33" s="23">
        <f t="shared" si="141"/>
        <v>0.30877721363871508</v>
      </c>
      <c r="V33" s="23">
        <f t="shared" si="141"/>
        <v>0.31993061674966794</v>
      </c>
      <c r="W33" s="23">
        <f t="shared" si="141"/>
        <v>0.3300217909929109</v>
      </c>
    </row>
    <row r="34" spans="2:23" x14ac:dyDescent="0.15">
      <c r="B34" s="3" t="s">
        <v>21</v>
      </c>
      <c r="C34" s="23">
        <f t="shared" ref="C34:R34" si="142">IFERROR(C27/C26,0)</f>
        <v>0.17473118279569894</v>
      </c>
      <c r="D34" s="23">
        <f t="shared" si="142"/>
        <v>0.14101778050275904</v>
      </c>
      <c r="E34" s="23">
        <f t="shared" si="142"/>
        <v>0.18409090909090908</v>
      </c>
      <c r="F34" s="23">
        <f t="shared" si="142"/>
        <v>0.13425925925925927</v>
      </c>
      <c r="G34" s="23">
        <f t="shared" si="142"/>
        <v>0.17978652434956638</v>
      </c>
      <c r="H34" s="23">
        <f t="shared" si="142"/>
        <v>0.17038499506416585</v>
      </c>
      <c r="I34" s="23">
        <f t="shared" si="142"/>
        <v>0.15</v>
      </c>
      <c r="J34" s="23">
        <f t="shared" si="142"/>
        <v>0.15</v>
      </c>
      <c r="K34" s="23">
        <f t="shared" si="142"/>
        <v>0.15</v>
      </c>
      <c r="L34" s="23">
        <f t="shared" si="142"/>
        <v>0.15</v>
      </c>
      <c r="M34" s="23">
        <f t="shared" si="142"/>
        <v>0.15</v>
      </c>
      <c r="N34" s="23">
        <f t="shared" si="142"/>
        <v>0.15</v>
      </c>
      <c r="O34" s="23">
        <f t="shared" si="142"/>
        <v>0.15</v>
      </c>
      <c r="P34" s="23">
        <f t="shared" si="142"/>
        <v>0.15</v>
      </c>
      <c r="Q34" s="23">
        <f t="shared" si="142"/>
        <v>0.15</v>
      </c>
      <c r="R34" s="23">
        <f t="shared" si="142"/>
        <v>0.15</v>
      </c>
      <c r="S34" s="23">
        <f t="shared" ref="S34:W34" si="143">IFERROR(S27/S26,0)</f>
        <v>0.15</v>
      </c>
      <c r="T34" s="23">
        <f t="shared" si="143"/>
        <v>0.15</v>
      </c>
      <c r="U34" s="23">
        <f t="shared" si="143"/>
        <v>0.15</v>
      </c>
      <c r="V34" s="23">
        <f t="shared" si="143"/>
        <v>0.15</v>
      </c>
      <c r="W34" s="23">
        <f t="shared" si="143"/>
        <v>0.15</v>
      </c>
    </row>
    <row r="35" spans="2:23" s="8" customFormat="1" x14ac:dyDescent="0.15">
      <c r="C35" s="15"/>
      <c r="D35" s="15"/>
      <c r="E35" s="15"/>
      <c r="F35" s="15"/>
      <c r="G35" s="15"/>
      <c r="H35" s="87">
        <v>0.2</v>
      </c>
      <c r="I35" s="87">
        <v>0.19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2:23" x14ac:dyDescent="0.15">
      <c r="B36" s="2" t="s">
        <v>18</v>
      </c>
      <c r="C36" s="12"/>
      <c r="D36" s="21">
        <f t="shared" ref="D36:R36" si="144">D17/C17-1</f>
        <v>0.17236159169550169</v>
      </c>
      <c r="E36" s="21">
        <f t="shared" si="144"/>
        <v>0.20771075447334431</v>
      </c>
      <c r="F36" s="21">
        <f t="shared" si="144"/>
        <v>0.18000610966855057</v>
      </c>
      <c r="G36" s="21">
        <f t="shared" si="144"/>
        <v>0.15021681444566704</v>
      </c>
      <c r="H36" s="21">
        <f>H17/G17-1</f>
        <v>0.20717983344586988</v>
      </c>
      <c r="I36" s="21">
        <f t="shared" si="144"/>
        <v>0.19999999999999996</v>
      </c>
      <c r="J36" s="21">
        <f t="shared" si="144"/>
        <v>0.19999999999999996</v>
      </c>
      <c r="K36" s="21">
        <f t="shared" si="144"/>
        <v>0.19999999999999996</v>
      </c>
      <c r="L36" s="21">
        <f t="shared" si="144"/>
        <v>0.19999999999999996</v>
      </c>
      <c r="M36" s="21">
        <f t="shared" si="144"/>
        <v>0.19999999999999996</v>
      </c>
      <c r="N36" s="21">
        <f t="shared" si="144"/>
        <v>0.10000000000000009</v>
      </c>
      <c r="O36" s="21">
        <f t="shared" si="144"/>
        <v>0.10000000000000009</v>
      </c>
      <c r="P36" s="21">
        <f t="shared" si="144"/>
        <v>0.10000000000000009</v>
      </c>
      <c r="Q36" s="21">
        <f t="shared" si="144"/>
        <v>0.10000000000000009</v>
      </c>
      <c r="R36" s="21">
        <f t="shared" si="144"/>
        <v>0.10000000000000009</v>
      </c>
      <c r="S36" s="21">
        <f t="shared" ref="S36" si="145">S17/R17-1</f>
        <v>5.0000000000000044E-2</v>
      </c>
      <c r="T36" s="21">
        <f t="shared" ref="T36" si="146">T17/S17-1</f>
        <v>5.0000000000000044E-2</v>
      </c>
      <c r="U36" s="21">
        <f t="shared" ref="U36" si="147">U17/T17-1</f>
        <v>5.0000000000000044E-2</v>
      </c>
      <c r="V36" s="21">
        <f t="shared" ref="V36" si="148">V17/U17-1</f>
        <v>5.0000000000000044E-2</v>
      </c>
      <c r="W36" s="21">
        <f t="shared" ref="W36" si="149">W17/V17-1</f>
        <v>5.0000000000000044E-2</v>
      </c>
    </row>
    <row r="37" spans="2:23" x14ac:dyDescent="0.15">
      <c r="B37" s="3" t="s">
        <v>74</v>
      </c>
      <c r="C37" s="5"/>
      <c r="D37" s="22">
        <f t="shared" ref="D37:R37" si="150">D20/C20-1</f>
        <v>1.0909090909090979E-2</v>
      </c>
      <c r="E37" s="22">
        <f t="shared" si="150"/>
        <v>0.14268585131894485</v>
      </c>
      <c r="F37" s="22">
        <f t="shared" si="150"/>
        <v>0.12381951731374596</v>
      </c>
      <c r="G37" s="22">
        <f t="shared" si="150"/>
        <v>0.9467787114845938</v>
      </c>
      <c r="H37" s="22">
        <f t="shared" si="150"/>
        <v>0.26714628297362109</v>
      </c>
      <c r="I37" s="22">
        <f t="shared" si="150"/>
        <v>0.19999999999999996</v>
      </c>
      <c r="J37" s="22">
        <f t="shared" si="150"/>
        <v>0.19999999999999996</v>
      </c>
      <c r="K37" s="22">
        <f t="shared" si="150"/>
        <v>0.19999999999999996</v>
      </c>
      <c r="L37" s="22">
        <f t="shared" si="150"/>
        <v>0.19999999999999996</v>
      </c>
      <c r="M37" s="22">
        <f t="shared" si="150"/>
        <v>0.19999999999999996</v>
      </c>
      <c r="N37" s="22">
        <f t="shared" si="150"/>
        <v>0.10000000000000009</v>
      </c>
      <c r="O37" s="22">
        <f t="shared" si="150"/>
        <v>0.10000000000000009</v>
      </c>
      <c r="P37" s="22">
        <f t="shared" si="150"/>
        <v>0.10000000000000009</v>
      </c>
      <c r="Q37" s="22">
        <f t="shared" si="150"/>
        <v>0.10000000000000009</v>
      </c>
      <c r="R37" s="22">
        <f t="shared" si="150"/>
        <v>0.10000000000000009</v>
      </c>
      <c r="S37" s="22">
        <f t="shared" ref="S37:S40" si="151">S20/R20-1</f>
        <v>5.0000000000000044E-2</v>
      </c>
      <c r="T37" s="22">
        <f t="shared" ref="T37:T40" si="152">T20/S20-1</f>
        <v>5.0000000000000044E-2</v>
      </c>
      <c r="U37" s="22">
        <f t="shared" ref="U37:U40" si="153">U20/T20-1</f>
        <v>5.0000000000000044E-2</v>
      </c>
      <c r="V37" s="22">
        <f t="shared" ref="V37:V40" si="154">V20/U20-1</f>
        <v>5.0000000000000044E-2</v>
      </c>
      <c r="W37" s="22">
        <f t="shared" ref="W37:W40" si="155">W20/V20-1</f>
        <v>5.0000000000000044E-2</v>
      </c>
    </row>
    <row r="38" spans="2:23" x14ac:dyDescent="0.15">
      <c r="B38" s="3" t="s">
        <v>75</v>
      </c>
      <c r="D38" s="22">
        <f t="shared" ref="D38:R38" si="156">D21/C21-1</f>
        <v>7.0368597415031209E-2</v>
      </c>
      <c r="E38" s="22">
        <f t="shared" si="156"/>
        <v>0.11449016100178899</v>
      </c>
      <c r="F38" s="22">
        <f t="shared" si="156"/>
        <v>0.12158908507223121</v>
      </c>
      <c r="G38" s="22">
        <f t="shared" si="156"/>
        <v>7.9069767441860561E-2</v>
      </c>
      <c r="H38" s="22">
        <f t="shared" si="156"/>
        <v>0.20656498673740042</v>
      </c>
      <c r="I38" s="22">
        <f t="shared" si="156"/>
        <v>0.14999999999999991</v>
      </c>
      <c r="J38" s="22">
        <f t="shared" si="156"/>
        <v>0.14999999999999991</v>
      </c>
      <c r="K38" s="22">
        <f t="shared" si="156"/>
        <v>0.14999999999999991</v>
      </c>
      <c r="L38" s="22">
        <f t="shared" si="156"/>
        <v>0.14999999999999991</v>
      </c>
      <c r="M38" s="22">
        <f t="shared" si="156"/>
        <v>0.14999999999999991</v>
      </c>
      <c r="N38" s="22">
        <f t="shared" si="156"/>
        <v>5.0000000000000044E-2</v>
      </c>
      <c r="O38" s="22">
        <f t="shared" si="156"/>
        <v>5.0000000000000044E-2</v>
      </c>
      <c r="P38" s="22">
        <f t="shared" si="156"/>
        <v>5.0000000000000044E-2</v>
      </c>
      <c r="Q38" s="22">
        <f t="shared" si="156"/>
        <v>5.0000000000000044E-2</v>
      </c>
      <c r="R38" s="22">
        <f t="shared" si="156"/>
        <v>5.0000000000000044E-2</v>
      </c>
      <c r="S38" s="22">
        <f t="shared" si="151"/>
        <v>-5.0000000000000044E-2</v>
      </c>
      <c r="T38" s="22">
        <f t="shared" si="152"/>
        <v>-5.0000000000000155E-2</v>
      </c>
      <c r="U38" s="22">
        <f t="shared" si="153"/>
        <v>-5.0000000000000044E-2</v>
      </c>
      <c r="V38" s="22">
        <f t="shared" si="154"/>
        <v>-5.0000000000000044E-2</v>
      </c>
      <c r="W38" s="22">
        <f t="shared" si="155"/>
        <v>-5.0000000000000155E-2</v>
      </c>
    </row>
    <row r="39" spans="2:23" x14ac:dyDescent="0.15">
      <c r="B39" s="3" t="s">
        <v>76</v>
      </c>
      <c r="D39" s="22">
        <f t="shared" ref="D39:R39" si="157">D22/C22-1</f>
        <v>0.20495185694635487</v>
      </c>
      <c r="E39" s="22">
        <f t="shared" si="157"/>
        <v>0.19406392694063923</v>
      </c>
      <c r="F39" s="22">
        <f t="shared" si="157"/>
        <v>0.21223709369024846</v>
      </c>
      <c r="G39" s="22">
        <f t="shared" si="157"/>
        <v>-0.29731861198738174</v>
      </c>
      <c r="H39" s="22">
        <f t="shared" si="157"/>
        <v>0.23961840628507303</v>
      </c>
      <c r="I39" s="22">
        <f t="shared" si="157"/>
        <v>0.19999999999999996</v>
      </c>
      <c r="J39" s="22">
        <f t="shared" si="157"/>
        <v>0.19999999999999996</v>
      </c>
      <c r="K39" s="22">
        <f t="shared" si="157"/>
        <v>0.19999999999999996</v>
      </c>
      <c r="L39" s="22">
        <f t="shared" si="157"/>
        <v>0.19999999999999996</v>
      </c>
      <c r="M39" s="22">
        <f t="shared" si="157"/>
        <v>0.19999999999999996</v>
      </c>
      <c r="N39" s="22">
        <f t="shared" si="157"/>
        <v>-5.0000000000000044E-2</v>
      </c>
      <c r="O39" s="22">
        <f t="shared" si="157"/>
        <v>-5.0000000000000155E-2</v>
      </c>
      <c r="P39" s="22">
        <f t="shared" si="157"/>
        <v>-5.0000000000000044E-2</v>
      </c>
      <c r="Q39" s="22">
        <f t="shared" si="157"/>
        <v>-5.0000000000000044E-2</v>
      </c>
      <c r="R39" s="22">
        <f t="shared" si="157"/>
        <v>-5.0000000000000155E-2</v>
      </c>
      <c r="S39" s="22">
        <f t="shared" si="151"/>
        <v>-5.0000000000000044E-2</v>
      </c>
      <c r="T39" s="22">
        <f t="shared" si="152"/>
        <v>-4.9999999999999933E-2</v>
      </c>
      <c r="U39" s="22">
        <f t="shared" si="153"/>
        <v>-5.0000000000000155E-2</v>
      </c>
      <c r="V39" s="22">
        <f t="shared" si="154"/>
        <v>-5.0000000000000155E-2</v>
      </c>
      <c r="W39" s="22">
        <f t="shared" si="155"/>
        <v>-4.9999999999999933E-2</v>
      </c>
    </row>
    <row r="40" spans="2:23" x14ac:dyDescent="0.15">
      <c r="B40" s="3" t="s">
        <v>107</v>
      </c>
      <c r="D40" s="22">
        <f>D23/C23-1</f>
        <v>0.10393772893772901</v>
      </c>
      <c r="E40" s="22">
        <f>E23/D23-1</f>
        <v>0.14827872252177521</v>
      </c>
      <c r="F40" s="22">
        <f>F23/E23-1</f>
        <v>0.15622178074769733</v>
      </c>
      <c r="G40" s="22">
        <f>G23/F23-1</f>
        <v>7.5132771009059685E-2</v>
      </c>
      <c r="H40" s="22">
        <f>H23/G23-1</f>
        <v>0.23347377596978069</v>
      </c>
      <c r="I40" s="22">
        <f t="shared" ref="I40:W40" si="158">I23/H23-1</f>
        <v>0.17856890459363939</v>
      </c>
      <c r="J40" s="22">
        <f t="shared" si="158"/>
        <v>0.17908840151708216</v>
      </c>
      <c r="K40" s="22">
        <f t="shared" si="158"/>
        <v>0.17960429580647763</v>
      </c>
      <c r="L40" s="22">
        <f t="shared" si="158"/>
        <v>0.18011616276243303</v>
      </c>
      <c r="M40" s="22">
        <f t="shared" si="158"/>
        <v>0.18062359152028229</v>
      </c>
      <c r="N40" s="22">
        <f t="shared" si="158"/>
        <v>3.8604389442300047E-2</v>
      </c>
      <c r="O40" s="22">
        <f t="shared" si="158"/>
        <v>4.2024882606981562E-2</v>
      </c>
      <c r="P40" s="22">
        <f t="shared" si="158"/>
        <v>4.5313732642611182E-2</v>
      </c>
      <c r="Q40" s="22">
        <f t="shared" si="158"/>
        <v>4.8460786809116696E-2</v>
      </c>
      <c r="R40" s="22">
        <f t="shared" si="158"/>
        <v>5.1458780179572505E-2</v>
      </c>
      <c r="S40" s="22">
        <f t="shared" si="151"/>
        <v>-6.2174019609148035E-3</v>
      </c>
      <c r="T40" s="22">
        <f t="shared" si="152"/>
        <v>-3.7406591424020696E-3</v>
      </c>
      <c r="U40" s="22">
        <f t="shared" si="153"/>
        <v>-1.2453174505083764E-3</v>
      </c>
      <c r="V40" s="22">
        <f t="shared" si="154"/>
        <v>1.2562469757728678E-3</v>
      </c>
      <c r="W40" s="22">
        <f t="shared" si="155"/>
        <v>3.7515341223770537E-3</v>
      </c>
    </row>
    <row r="41" spans="2:23" x14ac:dyDescent="0.1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2:23" x14ac:dyDescent="0.15">
      <c r="B42" s="2" t="s">
        <v>33</v>
      </c>
      <c r="D42" s="24">
        <f>D43-D44</f>
        <v>6514</v>
      </c>
      <c r="E42" s="24">
        <f>E43-E44</f>
        <v>6656</v>
      </c>
      <c r="F42" s="24">
        <f>F43-F44</f>
        <v>8082</v>
      </c>
      <c r="G42" s="24">
        <f>G43-G44</f>
        <v>8659</v>
      </c>
      <c r="H42" s="24">
        <f>H43-H44</f>
        <v>10233</v>
      </c>
      <c r="I42" s="19">
        <f>H42+I28</f>
        <v>13916.398499999999</v>
      </c>
      <c r="J42" s="19">
        <f>I42+J28</f>
        <v>18542.1583995</v>
      </c>
      <c r="K42" s="19">
        <f>J42+K28</f>
        <v>24328.926986041501</v>
      </c>
      <c r="L42" s="19">
        <f>K42+L28</f>
        <v>31543.595742616704</v>
      </c>
      <c r="M42" s="19">
        <f>L42+M28</f>
        <v>40511.626201725558</v>
      </c>
      <c r="N42" s="19">
        <f>M42+N28</f>
        <v>51487.192693213481</v>
      </c>
      <c r="O42" s="19">
        <f>N42+O28</f>
        <v>64670.443399439639</v>
      </c>
      <c r="P42" s="19">
        <f>O42+P28</f>
        <v>80284.060780297717</v>
      </c>
      <c r="Q42" s="19">
        <f>P42+Q28</f>
        <v>98575.50911207337</v>
      </c>
      <c r="R42" s="19">
        <f>Q42+R28</f>
        <v>119819.51300445473</v>
      </c>
      <c r="S42" s="19">
        <f t="shared" ref="S42" si="159">R42+S28</f>
        <v>143558.63101829283</v>
      </c>
      <c r="T42" s="19">
        <f t="shared" ref="T42" si="160">S42+T28</f>
        <v>169884.20064424613</v>
      </c>
      <c r="U42" s="19">
        <f t="shared" ref="U42" si="161">T42+U28</f>
        <v>198894.44702545251</v>
      </c>
      <c r="V42" s="19">
        <f t="shared" ref="V42" si="162">U42+V28</f>
        <v>230694.72234899784</v>
      </c>
      <c r="W42" s="19">
        <f t="shared" ref="W42" si="163">V42+W28</f>
        <v>265397.76264432754</v>
      </c>
    </row>
    <row r="43" spans="2:23" x14ac:dyDescent="0.15">
      <c r="B43" s="3" t="s">
        <v>34</v>
      </c>
      <c r="D43" s="27">
        <f>Reports!J35</f>
        <v>6514</v>
      </c>
      <c r="E43" s="27">
        <f>Reports!N35</f>
        <v>7656</v>
      </c>
      <c r="F43" s="27">
        <f>Reports!R35</f>
        <v>10080</v>
      </c>
      <c r="G43" s="27">
        <f>Reports!V35</f>
        <v>13624</v>
      </c>
      <c r="H43" s="27">
        <f>Reports!Z35</f>
        <v>19172</v>
      </c>
    </row>
    <row r="44" spans="2:23" x14ac:dyDescent="0.15">
      <c r="B44" s="3" t="s">
        <v>35</v>
      </c>
      <c r="D44" s="27">
        <f>Reports!J36</f>
        <v>0</v>
      </c>
      <c r="E44" s="27">
        <f>Reports!N36</f>
        <v>1000</v>
      </c>
      <c r="F44" s="27">
        <f>Reports!R36</f>
        <v>1998</v>
      </c>
      <c r="G44" s="27">
        <f>Reports!V36</f>
        <v>4965</v>
      </c>
      <c r="H44" s="27">
        <f>Reports!Z36</f>
        <v>8939</v>
      </c>
    </row>
    <row r="46" spans="2:23" x14ac:dyDescent="0.15">
      <c r="B46" s="3" t="s">
        <v>77</v>
      </c>
      <c r="D46" s="27">
        <f>Reports!J38</f>
        <v>4270</v>
      </c>
      <c r="E46" s="27">
        <f>Reports!N38</f>
        <v>4507</v>
      </c>
      <c r="F46" s="27">
        <f>Reports!R38</f>
        <v>7109</v>
      </c>
      <c r="G46" s="27">
        <f>Reports!V38</f>
        <v>6990</v>
      </c>
      <c r="H46" s="27">
        <f>Reports!Z38</f>
        <v>10183</v>
      </c>
    </row>
    <row r="47" spans="2:23" x14ac:dyDescent="0.15">
      <c r="B47" s="3" t="s">
        <v>78</v>
      </c>
      <c r="D47" s="27">
        <f>Reports!J39</f>
        <v>33103</v>
      </c>
      <c r="E47" s="27">
        <f>Reports!N39</f>
        <v>40774</v>
      </c>
      <c r="F47" s="27">
        <f>Reports!R39</f>
        <v>43332</v>
      </c>
      <c r="G47" s="27">
        <f>Reports!V39</f>
        <v>51333</v>
      </c>
      <c r="H47" s="27">
        <f>Reports!Z39</f>
        <v>70379</v>
      </c>
    </row>
    <row r="48" spans="2:23" x14ac:dyDescent="0.15">
      <c r="B48" s="3" t="s">
        <v>79</v>
      </c>
      <c r="D48" s="27">
        <f>Reports!J40</f>
        <v>18391</v>
      </c>
      <c r="E48" s="27">
        <f>Reports!N40</f>
        <v>24780</v>
      </c>
      <c r="F48" s="27">
        <f>Reports!R40</f>
        <v>27946</v>
      </c>
      <c r="G48" s="27">
        <f>Reports!V40</f>
        <v>34404</v>
      </c>
      <c r="H48" s="27">
        <f>Reports!Z40</f>
        <v>50316</v>
      </c>
    </row>
    <row r="50" spans="2:13" x14ac:dyDescent="0.15">
      <c r="B50" s="3" t="s">
        <v>80</v>
      </c>
      <c r="D50" s="28">
        <f>D47-D46-D43</f>
        <v>22319</v>
      </c>
      <c r="E50" s="28">
        <f>E47-E46-E43</f>
        <v>28611</v>
      </c>
      <c r="F50" s="28">
        <f>F47-F46-F43</f>
        <v>26143</v>
      </c>
      <c r="G50" s="28">
        <f>G47-G46-G43</f>
        <v>30719</v>
      </c>
      <c r="H50" s="28">
        <f>H47-H46-H43</f>
        <v>41024</v>
      </c>
    </row>
    <row r="51" spans="2:13" x14ac:dyDescent="0.15">
      <c r="B51" s="3" t="s">
        <v>81</v>
      </c>
      <c r="D51" s="28">
        <f>D47-D48</f>
        <v>14712</v>
      </c>
      <c r="E51" s="28">
        <f>E47-E48</f>
        <v>15994</v>
      </c>
      <c r="F51" s="28">
        <f>F47-F48</f>
        <v>15386</v>
      </c>
      <c r="G51" s="28">
        <f>G47-G48</f>
        <v>16929</v>
      </c>
      <c r="H51" s="28">
        <f>H47-H48</f>
        <v>20063</v>
      </c>
    </row>
    <row r="53" spans="2:13" x14ac:dyDescent="0.15">
      <c r="B53" s="26" t="s">
        <v>82</v>
      </c>
      <c r="D53" s="46">
        <f>D28/D51</f>
        <v>9.5228384991843398E-2</v>
      </c>
      <c r="E53" s="46">
        <f>E28/E51</f>
        <v>0.11222958609478555</v>
      </c>
      <c r="F53" s="46">
        <f>F28/F51</f>
        <v>0.13369296763291305</v>
      </c>
      <c r="G53" s="46">
        <f>G28/G51</f>
        <v>0.14525370665721543</v>
      </c>
      <c r="H53" s="46">
        <f>H28/H51</f>
        <v>0.2094402631710113</v>
      </c>
    </row>
    <row r="54" spans="2:13" x14ac:dyDescent="0.15">
      <c r="B54" s="26" t="s">
        <v>83</v>
      </c>
      <c r="D54" s="46">
        <f>D28/D47</f>
        <v>4.2322448116484911E-2</v>
      </c>
      <c r="E54" s="46">
        <f>E28/E47</f>
        <v>4.4023152008632951E-2</v>
      </c>
      <c r="F54" s="46">
        <f>F28/F47</f>
        <v>4.7470691405889415E-2</v>
      </c>
      <c r="G54" s="46">
        <f>G28/G47</f>
        <v>4.7902908460444552E-2</v>
      </c>
      <c r="H54" s="46">
        <f>H28/H47</f>
        <v>5.970530982253229E-2</v>
      </c>
    </row>
    <row r="55" spans="2:13" x14ac:dyDescent="0.15">
      <c r="B55" s="26" t="s">
        <v>84</v>
      </c>
      <c r="D55" s="46">
        <f>D28/(D51-D46)</f>
        <v>0.1341696992913235</v>
      </c>
      <c r="E55" s="46">
        <f>E28/(E51-E46)</f>
        <v>0.15626360233307218</v>
      </c>
      <c r="F55" s="46">
        <f>F28/(F51-F46)</f>
        <v>0.24851999516733117</v>
      </c>
      <c r="G55" s="46">
        <f>G28/(G51-G46)</f>
        <v>0.24740919609618675</v>
      </c>
      <c r="H55" s="46">
        <f>H28/(H51-H46)</f>
        <v>0.42530364372469637</v>
      </c>
    </row>
    <row r="56" spans="2:13" x14ac:dyDescent="0.15">
      <c r="B56" s="26" t="s">
        <v>85</v>
      </c>
      <c r="D56" s="46">
        <f>D28/D50</f>
        <v>6.2771629553295405E-2</v>
      </c>
      <c r="E56" s="46">
        <f>E28/E50</f>
        <v>6.273810772080668E-2</v>
      </c>
      <c r="F56" s="46">
        <f>F28/F50</f>
        <v>7.8682630149562019E-2</v>
      </c>
      <c r="G56" s="46">
        <f>G28/G50</f>
        <v>8.0048178651648816E-2</v>
      </c>
      <c r="H56" s="46">
        <f>H28/H50</f>
        <v>0.10242784711388456</v>
      </c>
    </row>
    <row r="58" spans="2:13" x14ac:dyDescent="0.15">
      <c r="B58" s="3" t="s">
        <v>88</v>
      </c>
      <c r="D58" s="17">
        <f>D14/C14-1</f>
        <v>0.1005586592178771</v>
      </c>
      <c r="E58" s="17">
        <f>E14/D14-1</f>
        <v>0.15228426395939088</v>
      </c>
      <c r="F58" s="17">
        <f>F14/E14-1</f>
        <v>0.17621145374449343</v>
      </c>
      <c r="G58" s="17">
        <f>G14/F14-1</f>
        <v>0.19999999999999996</v>
      </c>
      <c r="H58" s="17">
        <f>H14/G14-1</f>
        <v>0.1766541822721599</v>
      </c>
      <c r="I58" s="17"/>
      <c r="J58" s="17"/>
      <c r="K58" s="17"/>
    </row>
    <row r="59" spans="2:13" x14ac:dyDescent="0.15">
      <c r="B59" s="3" t="s">
        <v>86</v>
      </c>
      <c r="D59" s="17">
        <f>D15/C15-1</f>
        <v>6.5242258444136114E-2</v>
      </c>
      <c r="E59" s="17">
        <f>E15/D15-1</f>
        <v>4.8101403661889197E-2</v>
      </c>
      <c r="F59" s="17">
        <f>F15/E15-1</f>
        <v>3.2261681451721813E-3</v>
      </c>
      <c r="G59" s="17">
        <f>G15/F15-1</f>
        <v>-4.1485987961944137E-2</v>
      </c>
      <c r="H59" s="17">
        <f>H15/G15-1</f>
        <v>2.5942755002802853E-2</v>
      </c>
      <c r="I59" s="17"/>
      <c r="J59" s="17"/>
      <c r="K59" s="17"/>
    </row>
    <row r="61" spans="2:13" s="27" customFormat="1" x14ac:dyDescent="0.15">
      <c r="B61" s="74" t="s">
        <v>58</v>
      </c>
      <c r="C61" s="27">
        <f>SUM(Reports!C60:F60)</f>
        <v>4928</v>
      </c>
      <c r="D61" s="7">
        <f>SUM(Reports!G60:J60)</f>
        <v>6129</v>
      </c>
      <c r="E61" s="27">
        <f>SUM(Reports!K60:N60)</f>
        <v>7728</v>
      </c>
      <c r="F61" s="27">
        <f>SUM(Reports!O60:R60)</f>
        <v>9871</v>
      </c>
      <c r="G61" s="27">
        <f>SUM(Reports!S60:V60)</f>
        <v>12362</v>
      </c>
      <c r="H61" s="27">
        <f>SUM(Reports!W60:Z60)</f>
        <v>15424</v>
      </c>
    </row>
    <row r="62" spans="2:13" s="27" customFormat="1" x14ac:dyDescent="0.15">
      <c r="B62" s="74" t="s">
        <v>60</v>
      </c>
      <c r="C62" s="27">
        <f>SUM(Reports!C61:F61)</f>
        <v>281764</v>
      </c>
      <c r="D62" s="7">
        <f>SUM(Reports!G61:J61)</f>
        <v>354015</v>
      </c>
      <c r="E62" s="27">
        <f>SUM(Reports!K61:N61)</f>
        <v>455112</v>
      </c>
      <c r="F62" s="27">
        <f>SUM(Reports!O61:R61)</f>
        <v>578419</v>
      </c>
      <c r="G62" s="27">
        <f>SUM(Reports!S61:V61)</f>
        <v>711925</v>
      </c>
      <c r="H62" s="27">
        <f>SUM(Reports!W61:Z61)</f>
        <v>936061</v>
      </c>
      <c r="I62" s="27">
        <f>H62*1.2</f>
        <v>1123273.2</v>
      </c>
      <c r="J62" s="27">
        <f t="shared" ref="J62:M62" si="164">I62*1.2</f>
        <v>1347927.8399999999</v>
      </c>
      <c r="K62" s="27">
        <f t="shared" si="164"/>
        <v>1617513.4079999998</v>
      </c>
      <c r="L62" s="27">
        <f t="shared" si="164"/>
        <v>1941016.0895999996</v>
      </c>
      <c r="M62" s="27">
        <f t="shared" si="164"/>
        <v>2329219.3075199993</v>
      </c>
    </row>
    <row r="63" spans="2:13" x14ac:dyDescent="0.15">
      <c r="B63" s="69"/>
    </row>
    <row r="64" spans="2:13" s="17" customFormat="1" x14ac:dyDescent="0.15">
      <c r="B64" s="81" t="s">
        <v>97</v>
      </c>
      <c r="D64" s="17">
        <f t="shared" ref="D64:G65" si="165">D61/C61-1</f>
        <v>0.2437094155844155</v>
      </c>
      <c r="E64" s="17">
        <f t="shared" si="165"/>
        <v>0.2608908467939306</v>
      </c>
      <c r="F64" s="17">
        <f t="shared" si="165"/>
        <v>0.27730331262939956</v>
      </c>
      <c r="G64" s="17">
        <f t="shared" si="165"/>
        <v>0.25235538445952788</v>
      </c>
    </row>
    <row r="65" spans="2:13" x14ac:dyDescent="0.15">
      <c r="B65" s="81" t="s">
        <v>98</v>
      </c>
      <c r="D65" s="17">
        <f t="shared" si="165"/>
        <v>0.25642381567552985</v>
      </c>
      <c r="E65" s="17">
        <f t="shared" si="165"/>
        <v>0.28557264522689718</v>
      </c>
      <c r="F65" s="17">
        <f t="shared" si="165"/>
        <v>0.27093770324667332</v>
      </c>
      <c r="G65" s="17">
        <f t="shared" si="165"/>
        <v>0.23081192007869733</v>
      </c>
      <c r="H65" s="17">
        <f>H62/G62-1</f>
        <v>0.3148309161779681</v>
      </c>
      <c r="I65" s="17">
        <f>I62/H62-1</f>
        <v>0.19999999999999996</v>
      </c>
      <c r="J65" s="17">
        <f t="shared" ref="J65:M65" si="166">J62/I62-1</f>
        <v>0.19999999999999996</v>
      </c>
      <c r="K65" s="17">
        <f t="shared" si="166"/>
        <v>0.19999999999999996</v>
      </c>
      <c r="L65" s="17">
        <f t="shared" si="166"/>
        <v>0.19999999999999996</v>
      </c>
      <c r="M65" s="17">
        <f t="shared" si="166"/>
        <v>0.19999999999999996</v>
      </c>
    </row>
    <row r="66" spans="2:13" x14ac:dyDescent="0.15">
      <c r="B66" s="69"/>
    </row>
    <row r="67" spans="2:13" x14ac:dyDescent="0.15">
      <c r="B67" s="69" t="s">
        <v>99</v>
      </c>
      <c r="D67" s="17">
        <f>D17/D62</f>
        <v>3.0625820939790688E-2</v>
      </c>
      <c r="E67" s="17">
        <f>E17/E62</f>
        <v>2.8770939900508007E-2</v>
      </c>
      <c r="F67" s="17">
        <f>F17/F62</f>
        <v>2.6712469680283669E-2</v>
      </c>
      <c r="G67" s="17">
        <f>G17/G62</f>
        <v>2.4963303718790603E-2</v>
      </c>
      <c r="H67" s="17">
        <f>H17/H62</f>
        <v>2.2919446489064282E-2</v>
      </c>
      <c r="I67" s="17">
        <f>I17/I62</f>
        <v>2.2919446489064282E-2</v>
      </c>
      <c r="J67" s="17">
        <f>J17/J62</f>
        <v>2.2919446489064282E-2</v>
      </c>
      <c r="K67" s="17">
        <f>K17/K62</f>
        <v>2.2919446489064282E-2</v>
      </c>
      <c r="L67" s="17">
        <f>L17/L62</f>
        <v>2.2919446489064282E-2</v>
      </c>
      <c r="M67" s="17">
        <f>M17/M62</f>
        <v>2.2919446489064282E-2</v>
      </c>
    </row>
  </sheetData>
  <phoneticPr fontId="4" type="noConversion"/>
  <hyperlinks>
    <hyperlink ref="A1" r:id="rId1" display="Investor Relations" xr:uid="{00000000-0004-0000-0000-000000000000}"/>
    <hyperlink ref="B5" r:id="rId2" xr:uid="{00000000-0004-0000-0000-000001000000}"/>
    <hyperlink ref="B8" r:id="rId3" xr:uid="{00000000-0004-0000-0000-000002000000}"/>
    <hyperlink ref="B9" r:id="rId4" xr:uid="{00000000-0004-0000-0000-000003000000}"/>
  </hyperlinks>
  <pageMargins left="0.7" right="0.7" top="0.75" bottom="0.75" header="0.3" footer="0.3"/>
  <pageSetup paperSize="9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6"/>
  <sheetViews>
    <sheetView zoomScale="120" zoomScaleNormal="120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C54" sqref="C54"/>
    </sheetView>
  </sheetViews>
  <sheetFormatPr baseColWidth="10" defaultRowHeight="13" x14ac:dyDescent="0.15"/>
  <cols>
    <col min="1" max="1" width="7.1640625" style="29" bestFit="1" customWidth="1"/>
    <col min="2" max="2" width="17.1640625" style="69" bestFit="1" customWidth="1"/>
    <col min="3" max="6" width="10.83203125" style="29" customWidth="1"/>
    <col min="7" max="7" width="10.83203125" style="33" customWidth="1"/>
    <col min="8" max="9" width="10.83203125" style="29" customWidth="1"/>
    <col min="10" max="10" width="10.83203125" style="29"/>
    <col min="11" max="11" width="10.83203125" style="33"/>
    <col min="12" max="14" width="10.83203125" style="29"/>
    <col min="15" max="15" width="10.83203125" style="33"/>
    <col min="16" max="17" width="10.83203125" style="29"/>
    <col min="18" max="18" width="10.83203125" style="60"/>
    <col min="19" max="19" width="10.83203125" style="33"/>
    <col min="20" max="22" width="10.83203125" style="29"/>
    <col min="23" max="23" width="10.83203125" style="33"/>
    <col min="24" max="16384" width="10.83203125" style="29"/>
  </cols>
  <sheetData>
    <row r="1" spans="1:26" x14ac:dyDescent="0.15">
      <c r="A1" s="68" t="s">
        <v>87</v>
      </c>
    </row>
    <row r="2" spans="1:26" x14ac:dyDescent="0.15">
      <c r="B2" s="29"/>
      <c r="C2" s="29" t="s">
        <v>50</v>
      </c>
      <c r="D2" s="29" t="s">
        <v>51</v>
      </c>
      <c r="E2" s="29" t="s">
        <v>52</v>
      </c>
      <c r="F2" s="29" t="s">
        <v>53</v>
      </c>
      <c r="G2" s="33" t="s">
        <v>22</v>
      </c>
      <c r="H2" s="29" t="s">
        <v>23</v>
      </c>
      <c r="I2" s="29" t="s">
        <v>24</v>
      </c>
      <c r="J2" s="29" t="s">
        <v>25</v>
      </c>
      <c r="K2" s="31" t="s">
        <v>0</v>
      </c>
      <c r="L2" s="30" t="s">
        <v>1</v>
      </c>
      <c r="M2" s="30" t="s">
        <v>2</v>
      </c>
      <c r="N2" s="30" t="s">
        <v>3</v>
      </c>
      <c r="O2" s="31" t="s">
        <v>42</v>
      </c>
      <c r="P2" s="30" t="s">
        <v>43</v>
      </c>
      <c r="Q2" s="30" t="s">
        <v>44</v>
      </c>
      <c r="R2" s="59" t="s">
        <v>45</v>
      </c>
      <c r="S2" s="33" t="s">
        <v>89</v>
      </c>
      <c r="T2" s="29" t="s">
        <v>90</v>
      </c>
      <c r="U2" s="29" t="s">
        <v>91</v>
      </c>
      <c r="V2" s="29" t="s">
        <v>92</v>
      </c>
      <c r="W2" s="33" t="s">
        <v>93</v>
      </c>
      <c r="X2" s="29" t="s">
        <v>94</v>
      </c>
      <c r="Y2" s="29" t="s">
        <v>95</v>
      </c>
      <c r="Z2" s="29" t="s">
        <v>96</v>
      </c>
    </row>
    <row r="3" spans="1:26" x14ac:dyDescent="0.15">
      <c r="B3" s="96"/>
      <c r="C3" s="29" t="s">
        <v>54</v>
      </c>
      <c r="D3" s="29" t="s">
        <v>55</v>
      </c>
      <c r="E3" s="29" t="s">
        <v>56</v>
      </c>
      <c r="F3" s="29" t="s">
        <v>57</v>
      </c>
      <c r="G3" s="33" t="s">
        <v>29</v>
      </c>
      <c r="H3" s="29" t="s">
        <v>28</v>
      </c>
      <c r="I3" s="29" t="s">
        <v>27</v>
      </c>
      <c r="J3" s="29" t="s">
        <v>32</v>
      </c>
      <c r="K3" s="33" t="s">
        <v>31</v>
      </c>
      <c r="L3" s="29" t="s">
        <v>30</v>
      </c>
      <c r="M3" s="29" t="s">
        <v>26</v>
      </c>
      <c r="N3" s="29" t="s">
        <v>36</v>
      </c>
      <c r="O3" s="33" t="s">
        <v>46</v>
      </c>
      <c r="P3" s="29" t="s">
        <v>47</v>
      </c>
      <c r="Q3" s="29" t="s">
        <v>48</v>
      </c>
      <c r="R3" s="60" t="s">
        <v>49</v>
      </c>
      <c r="S3" s="76">
        <v>43555</v>
      </c>
      <c r="T3" s="75">
        <v>43646</v>
      </c>
      <c r="U3" s="75">
        <v>43738</v>
      </c>
      <c r="V3" s="75">
        <v>43830</v>
      </c>
      <c r="W3" s="76">
        <v>43921</v>
      </c>
      <c r="X3" s="75">
        <v>44012</v>
      </c>
      <c r="Y3" s="75">
        <v>44104</v>
      </c>
      <c r="Z3" s="75">
        <v>44196</v>
      </c>
    </row>
    <row r="4" spans="1:26" s="30" customFormat="1" x14ac:dyDescent="0.15">
      <c r="B4" s="74" t="s">
        <v>61</v>
      </c>
      <c r="C4" s="30">
        <v>1914</v>
      </c>
      <c r="D4" s="30">
        <v>1970</v>
      </c>
      <c r="E4" s="30">
        <v>1982</v>
      </c>
      <c r="F4" s="30">
        <v>2262</v>
      </c>
      <c r="G4" s="31">
        <v>2238</v>
      </c>
      <c r="H4" s="30">
        <v>2323</v>
      </c>
      <c r="I4" s="30">
        <v>2314</v>
      </c>
      <c r="J4" s="30">
        <v>2615</v>
      </c>
      <c r="K4" s="31">
        <v>2624</v>
      </c>
      <c r="L4" s="32">
        <v>2775</v>
      </c>
      <c r="M4" s="32">
        <v>2858</v>
      </c>
      <c r="N4" s="32">
        <v>3221</v>
      </c>
      <c r="O4" s="31">
        <v>3197</v>
      </c>
      <c r="P4" s="32">
        <v>3318</v>
      </c>
      <c r="Q4" s="32">
        <v>3343</v>
      </c>
      <c r="R4" s="61">
        <v>3851</v>
      </c>
      <c r="S4" s="31">
        <v>3731</v>
      </c>
      <c r="T4" s="30">
        <v>3878</v>
      </c>
      <c r="U4" s="30">
        <v>3955</v>
      </c>
      <c r="V4" s="30">
        <v>4535</v>
      </c>
      <c r="W4" s="31">
        <v>4215</v>
      </c>
      <c r="X4" s="30">
        <v>4945</v>
      </c>
      <c r="Y4" s="30">
        <v>5076</v>
      </c>
      <c r="Z4" s="30">
        <v>5682</v>
      </c>
    </row>
    <row r="5" spans="1:26" s="30" customFormat="1" x14ac:dyDescent="0.15">
      <c r="B5" s="74" t="s">
        <v>62</v>
      </c>
      <c r="C5" s="30">
        <v>223</v>
      </c>
      <c r="D5" s="30">
        <v>327</v>
      </c>
      <c r="E5" s="30">
        <v>276</v>
      </c>
      <c r="F5" s="30">
        <v>294</v>
      </c>
      <c r="G5" s="31">
        <v>306</v>
      </c>
      <c r="H5" s="30">
        <v>327</v>
      </c>
      <c r="I5" s="30">
        <v>353</v>
      </c>
      <c r="J5" s="30">
        <v>366</v>
      </c>
      <c r="K5" s="31">
        <v>351</v>
      </c>
      <c r="L5" s="32">
        <v>361</v>
      </c>
      <c r="M5" s="32">
        <v>381</v>
      </c>
      <c r="N5" s="32">
        <v>523</v>
      </c>
      <c r="O5" s="31">
        <v>488</v>
      </c>
      <c r="P5" s="32">
        <v>539</v>
      </c>
      <c r="Q5" s="32">
        <v>340</v>
      </c>
      <c r="R5" s="61">
        <v>375</v>
      </c>
      <c r="S5" s="31">
        <v>397</v>
      </c>
      <c r="T5" s="30">
        <v>427</v>
      </c>
      <c r="U5" s="30">
        <v>423</v>
      </c>
      <c r="V5" s="30">
        <v>426</v>
      </c>
      <c r="W5" s="31">
        <v>403</v>
      </c>
      <c r="X5" s="30">
        <v>316</v>
      </c>
      <c r="Y5" s="30">
        <v>383</v>
      </c>
      <c r="Z5" s="30">
        <v>434</v>
      </c>
    </row>
    <row r="6" spans="1:26" x14ac:dyDescent="0.15">
      <c r="C6" s="30"/>
      <c r="D6" s="30"/>
      <c r="E6" s="30"/>
      <c r="F6" s="30"/>
      <c r="G6" s="31"/>
      <c r="H6" s="30"/>
      <c r="I6" s="30"/>
      <c r="J6" s="30"/>
      <c r="K6" s="31"/>
      <c r="L6" s="32"/>
      <c r="M6" s="32"/>
      <c r="N6" s="32"/>
      <c r="O6" s="31"/>
      <c r="P6" s="32"/>
      <c r="Q6" s="32"/>
      <c r="R6" s="61"/>
    </row>
    <row r="7" spans="1:26" x14ac:dyDescent="0.15">
      <c r="B7" s="69" t="s">
        <v>59</v>
      </c>
      <c r="C7" s="30">
        <v>165</v>
      </c>
      <c r="D7" s="30">
        <v>169</v>
      </c>
      <c r="E7" s="30">
        <v>173</v>
      </c>
      <c r="F7" s="30">
        <v>179</v>
      </c>
      <c r="G7" s="31">
        <v>184</v>
      </c>
      <c r="H7" s="30">
        <v>188</v>
      </c>
      <c r="I7" s="30">
        <v>192</v>
      </c>
      <c r="J7" s="30">
        <v>197</v>
      </c>
      <c r="K7" s="31">
        <v>205</v>
      </c>
      <c r="L7" s="30">
        <v>212</v>
      </c>
      <c r="M7" s="32">
        <v>220</v>
      </c>
      <c r="N7" s="32">
        <v>227</v>
      </c>
      <c r="O7" s="31">
        <v>237</v>
      </c>
      <c r="P7" s="32">
        <v>244</v>
      </c>
      <c r="Q7" s="32">
        <v>254</v>
      </c>
      <c r="R7" s="61">
        <v>267</v>
      </c>
      <c r="S7" s="33">
        <v>277</v>
      </c>
      <c r="T7" s="29">
        <v>286</v>
      </c>
      <c r="U7" s="29">
        <v>295</v>
      </c>
      <c r="V7" s="29">
        <v>305</v>
      </c>
      <c r="W7" s="33">
        <v>325</v>
      </c>
      <c r="X7" s="29">
        <v>346</v>
      </c>
      <c r="Y7" s="29">
        <v>361</v>
      </c>
      <c r="Z7" s="29">
        <v>377</v>
      </c>
    </row>
    <row r="8" spans="1:26" s="90" customFormat="1" x14ac:dyDescent="0.15">
      <c r="B8" s="70" t="s">
        <v>73</v>
      </c>
      <c r="C8" s="57">
        <f t="shared" ref="C8:J8" si="0">SUM(C4:C5)/C7</f>
        <v>12.951515151515151</v>
      </c>
      <c r="D8" s="57">
        <f t="shared" si="0"/>
        <v>13.591715976331361</v>
      </c>
      <c r="E8" s="57">
        <f t="shared" si="0"/>
        <v>13.052023121387283</v>
      </c>
      <c r="F8" s="57">
        <f t="shared" si="0"/>
        <v>14.279329608938548</v>
      </c>
      <c r="G8" s="58">
        <f t="shared" si="0"/>
        <v>13.826086956521738</v>
      </c>
      <c r="H8" s="57">
        <f t="shared" si="0"/>
        <v>14.095744680851064</v>
      </c>
      <c r="I8" s="57">
        <f t="shared" si="0"/>
        <v>13.890625</v>
      </c>
      <c r="J8" s="57">
        <f t="shared" si="0"/>
        <v>15.131979695431472</v>
      </c>
      <c r="K8" s="58">
        <f t="shared" ref="K8:R8" si="1">SUM(K4:K5)/K7</f>
        <v>14.512195121951219</v>
      </c>
      <c r="L8" s="57">
        <f t="shared" si="1"/>
        <v>14.79245283018868</v>
      </c>
      <c r="M8" s="57">
        <f t="shared" si="1"/>
        <v>14.722727272727273</v>
      </c>
      <c r="N8" s="57">
        <f t="shared" si="1"/>
        <v>16.493392070484582</v>
      </c>
      <c r="O8" s="58">
        <f t="shared" si="1"/>
        <v>15.548523206751055</v>
      </c>
      <c r="P8" s="57">
        <f t="shared" si="1"/>
        <v>15.807377049180328</v>
      </c>
      <c r="Q8" s="57">
        <f t="shared" si="1"/>
        <v>14.5</v>
      </c>
      <c r="R8" s="57">
        <f t="shared" si="1"/>
        <v>15.827715355805243</v>
      </c>
      <c r="S8" s="58">
        <f t="shared" ref="S8:Z8" si="2">SUM(S4:S5)/S7</f>
        <v>14.902527075812275</v>
      </c>
      <c r="T8" s="57">
        <f t="shared" si="2"/>
        <v>15.052447552447552</v>
      </c>
      <c r="U8" s="57">
        <f t="shared" si="2"/>
        <v>14.840677966101694</v>
      </c>
      <c r="V8" s="57">
        <f t="shared" si="2"/>
        <v>16.265573770491802</v>
      </c>
      <c r="W8" s="58">
        <f t="shared" si="2"/>
        <v>14.20923076923077</v>
      </c>
      <c r="X8" s="57">
        <f t="shared" si="2"/>
        <v>15.205202312138729</v>
      </c>
      <c r="Y8" s="57">
        <f t="shared" si="2"/>
        <v>15.121883656509695</v>
      </c>
      <c r="Z8" s="57">
        <f t="shared" si="2"/>
        <v>16.222811671087534</v>
      </c>
    </row>
    <row r="9" spans="1:26" x14ac:dyDescent="0.15">
      <c r="J9" s="30"/>
      <c r="L9" s="34"/>
      <c r="M9" s="34"/>
      <c r="N9" s="34"/>
      <c r="P9" s="34"/>
      <c r="Q9" s="34"/>
      <c r="R9" s="63"/>
      <c r="S9" s="33">
        <v>4080</v>
      </c>
    </row>
    <row r="10" spans="1:26" s="56" customFormat="1" x14ac:dyDescent="0.15">
      <c r="B10" s="77" t="s">
        <v>4</v>
      </c>
      <c r="C10" s="35">
        <f>C8*C7</f>
        <v>2137</v>
      </c>
      <c r="D10" s="35">
        <f t="shared" ref="D10:I10" si="3">D8*D7</f>
        <v>2297</v>
      </c>
      <c r="E10" s="35">
        <f t="shared" si="3"/>
        <v>2258</v>
      </c>
      <c r="F10" s="35">
        <f t="shared" si="3"/>
        <v>2556</v>
      </c>
      <c r="G10" s="36">
        <f t="shared" si="3"/>
        <v>2544</v>
      </c>
      <c r="H10" s="35">
        <f t="shared" si="3"/>
        <v>2650</v>
      </c>
      <c r="I10" s="35">
        <f t="shared" si="3"/>
        <v>2667</v>
      </c>
      <c r="J10" s="35">
        <f t="shared" ref="J10:Q10" si="4">J8*J7</f>
        <v>2981</v>
      </c>
      <c r="K10" s="36">
        <f t="shared" si="4"/>
        <v>2975</v>
      </c>
      <c r="L10" s="35">
        <f t="shared" si="4"/>
        <v>3136</v>
      </c>
      <c r="M10" s="35">
        <f t="shared" si="4"/>
        <v>3239</v>
      </c>
      <c r="N10" s="35">
        <f t="shared" si="4"/>
        <v>3744</v>
      </c>
      <c r="O10" s="36">
        <f t="shared" si="4"/>
        <v>3685</v>
      </c>
      <c r="P10" s="35">
        <f t="shared" si="4"/>
        <v>3857</v>
      </c>
      <c r="Q10" s="35">
        <f t="shared" si="4"/>
        <v>3683</v>
      </c>
      <c r="R10" s="35">
        <f>R8*R7</f>
        <v>4226</v>
      </c>
      <c r="S10" s="36">
        <f t="shared" ref="S10:Y10" si="5">S8*S7</f>
        <v>4128</v>
      </c>
      <c r="T10" s="35">
        <f t="shared" si="5"/>
        <v>4305</v>
      </c>
      <c r="U10" s="35">
        <f t="shared" si="5"/>
        <v>4378</v>
      </c>
      <c r="V10" s="35">
        <f t="shared" si="5"/>
        <v>4960.9999999999991</v>
      </c>
      <c r="W10" s="36">
        <f t="shared" si="5"/>
        <v>4618</v>
      </c>
      <c r="X10" s="35">
        <f t="shared" si="5"/>
        <v>5261</v>
      </c>
      <c r="Y10" s="35">
        <f t="shared" si="5"/>
        <v>5459</v>
      </c>
      <c r="Z10" s="35">
        <f>Z8*Z7</f>
        <v>6116</v>
      </c>
    </row>
    <row r="11" spans="1:26" s="30" customFormat="1" x14ac:dyDescent="0.15">
      <c r="B11" s="74" t="s">
        <v>5</v>
      </c>
      <c r="C11" s="32">
        <f>575+178</f>
        <v>753</v>
      </c>
      <c r="D11" s="32">
        <f>634+185</f>
        <v>819</v>
      </c>
      <c r="E11" s="32">
        <f>651+201</f>
        <v>852</v>
      </c>
      <c r="F11" s="32">
        <f>750+245</f>
        <v>995</v>
      </c>
      <c r="G11" s="31">
        <f>752+255</f>
        <v>1007</v>
      </c>
      <c r="H11" s="30">
        <f>810+255</f>
        <v>1065</v>
      </c>
      <c r="I11" s="30">
        <f>830+271</f>
        <v>1101</v>
      </c>
      <c r="J11" s="30">
        <f>954+307</f>
        <v>1261</v>
      </c>
      <c r="K11" s="31">
        <f>987+300</f>
        <v>1287</v>
      </c>
      <c r="L11" s="32">
        <f>1064+308</f>
        <v>1372</v>
      </c>
      <c r="M11" s="32">
        <f>1102+363</f>
        <v>1465</v>
      </c>
      <c r="N11" s="32">
        <f>1266+40</f>
        <v>1306</v>
      </c>
      <c r="O11" s="31">
        <f>1275+305</f>
        <v>1580</v>
      </c>
      <c r="P11" s="32">
        <f>1362+334</f>
        <v>1696</v>
      </c>
      <c r="Q11" s="32">
        <f>1366+295</f>
        <v>1661</v>
      </c>
      <c r="R11" s="61">
        <f>1578+340</f>
        <v>1918</v>
      </c>
      <c r="S11" s="31">
        <f>1549+341</f>
        <v>1890</v>
      </c>
      <c r="T11" s="30">
        <f>1627+318</f>
        <v>1945</v>
      </c>
      <c r="U11" s="30">
        <f>1701+340</f>
        <v>2041</v>
      </c>
      <c r="V11" s="30">
        <f>1913+381</f>
        <v>2294</v>
      </c>
      <c r="W11" s="31">
        <f>1739+591</f>
        <v>2330</v>
      </c>
      <c r="X11" s="30">
        <f>1843+440</f>
        <v>2283</v>
      </c>
      <c r="Y11" s="30">
        <f>2022+344</f>
        <v>2366</v>
      </c>
      <c r="Z11" s="30">
        <f>2330+366</f>
        <v>2696</v>
      </c>
    </row>
    <row r="12" spans="1:26" s="30" customFormat="1" x14ac:dyDescent="0.15">
      <c r="B12" s="74" t="s">
        <v>6</v>
      </c>
      <c r="C12" s="40">
        <f>C10-C11</f>
        <v>1384</v>
      </c>
      <c r="D12" s="40">
        <f>D10-D11</f>
        <v>1478</v>
      </c>
      <c r="E12" s="40">
        <f>E10-E11</f>
        <v>1406</v>
      </c>
      <c r="F12" s="40">
        <f>F10-F11</f>
        <v>1561</v>
      </c>
      <c r="G12" s="41">
        <f>G10-G11</f>
        <v>1537</v>
      </c>
      <c r="H12" s="42">
        <f t="shared" ref="H12:L12" si="6">H10-H11</f>
        <v>1585</v>
      </c>
      <c r="I12" s="42">
        <f t="shared" si="6"/>
        <v>1566</v>
      </c>
      <c r="J12" s="42">
        <f t="shared" si="6"/>
        <v>1720</v>
      </c>
      <c r="K12" s="41">
        <f t="shared" si="6"/>
        <v>1688</v>
      </c>
      <c r="L12" s="40">
        <f t="shared" si="6"/>
        <v>1764</v>
      </c>
      <c r="M12" s="40">
        <f>M10-M11</f>
        <v>1774</v>
      </c>
      <c r="N12" s="40">
        <f t="shared" ref="N12:O12" si="7">N10-N11</f>
        <v>2438</v>
      </c>
      <c r="O12" s="41">
        <f t="shared" si="7"/>
        <v>2105</v>
      </c>
      <c r="P12" s="40">
        <f t="shared" ref="P12:S12" si="8">P10-P11</f>
        <v>2161</v>
      </c>
      <c r="Q12" s="40">
        <f t="shared" si="8"/>
        <v>2022</v>
      </c>
      <c r="R12" s="40">
        <f t="shared" si="8"/>
        <v>2308</v>
      </c>
      <c r="S12" s="41">
        <f t="shared" si="8"/>
        <v>2238</v>
      </c>
      <c r="T12" s="40">
        <f t="shared" ref="T12:V12" si="9">T10-T11</f>
        <v>2360</v>
      </c>
      <c r="U12" s="40">
        <f t="shared" si="9"/>
        <v>2337</v>
      </c>
      <c r="V12" s="40">
        <f t="shared" si="9"/>
        <v>2666.9999999999991</v>
      </c>
      <c r="W12" s="41">
        <f t="shared" ref="W12:Z12" si="10">W10-W11</f>
        <v>2288</v>
      </c>
      <c r="X12" s="40">
        <f t="shared" si="10"/>
        <v>2978</v>
      </c>
      <c r="Y12" s="40">
        <f t="shared" si="10"/>
        <v>3093</v>
      </c>
      <c r="Z12" s="40">
        <f t="shared" si="10"/>
        <v>3420</v>
      </c>
    </row>
    <row r="13" spans="1:26" s="30" customFormat="1" x14ac:dyDescent="0.15">
      <c r="B13" s="74" t="s">
        <v>7</v>
      </c>
      <c r="C13" s="32">
        <v>185</v>
      </c>
      <c r="D13" s="32">
        <v>202</v>
      </c>
      <c r="E13" s="32">
        <v>230</v>
      </c>
      <c r="F13" s="32">
        <v>208</v>
      </c>
      <c r="G13" s="31">
        <v>195</v>
      </c>
      <c r="H13" s="30">
        <v>209</v>
      </c>
      <c r="I13" s="30">
        <v>215</v>
      </c>
      <c r="J13" s="30">
        <v>215</v>
      </c>
      <c r="K13" s="31">
        <v>214</v>
      </c>
      <c r="L13" s="32">
        <v>232</v>
      </c>
      <c r="M13" s="32">
        <v>240</v>
      </c>
      <c r="N13" s="32">
        <v>267</v>
      </c>
      <c r="O13" s="31">
        <v>258</v>
      </c>
      <c r="P13" s="32">
        <v>255</v>
      </c>
      <c r="Q13" s="32">
        <v>269</v>
      </c>
      <c r="R13" s="61">
        <v>289</v>
      </c>
      <c r="S13" s="31">
        <v>511</v>
      </c>
      <c r="T13" s="30">
        <v>483</v>
      </c>
      <c r="U13" s="30">
        <v>533</v>
      </c>
      <c r="V13" s="30">
        <v>558</v>
      </c>
      <c r="W13" s="31">
        <v>605</v>
      </c>
      <c r="X13" s="30">
        <v>631</v>
      </c>
      <c r="Y13" s="30">
        <v>674</v>
      </c>
      <c r="Z13" s="30">
        <v>732</v>
      </c>
    </row>
    <row r="14" spans="1:26" s="30" customFormat="1" x14ac:dyDescent="0.15">
      <c r="B14" s="74" t="s">
        <v>8</v>
      </c>
      <c r="C14" s="32">
        <f>249+222</f>
        <v>471</v>
      </c>
      <c r="D14" s="32">
        <f>278+234</f>
        <v>512</v>
      </c>
      <c r="E14" s="32">
        <f>317+235</f>
        <v>552</v>
      </c>
      <c r="F14" s="32">
        <f>299+255</f>
        <v>554</v>
      </c>
      <c r="G14" s="31">
        <f>296+233</f>
        <v>529</v>
      </c>
      <c r="H14" s="30">
        <f>318+250</f>
        <v>568</v>
      </c>
      <c r="I14" s="30">
        <f>325+233</f>
        <v>558</v>
      </c>
      <c r="J14" s="30">
        <f>328+253</f>
        <v>581</v>
      </c>
      <c r="K14" s="31">
        <f>317+238</f>
        <v>555</v>
      </c>
      <c r="L14" s="32">
        <f>335+284</f>
        <v>619</v>
      </c>
      <c r="M14" s="32">
        <f>346+278</f>
        <v>624</v>
      </c>
      <c r="N14" s="32">
        <f>366+328</f>
        <v>694</v>
      </c>
      <c r="O14" s="31">
        <f>351+285</f>
        <v>636</v>
      </c>
      <c r="P14" s="32">
        <f>357+313</f>
        <v>670</v>
      </c>
      <c r="Q14" s="32">
        <f>367+326</f>
        <v>693</v>
      </c>
      <c r="R14" s="61">
        <f>407+389</f>
        <v>796</v>
      </c>
      <c r="S14" s="31">
        <f>388+329</f>
        <v>717</v>
      </c>
      <c r="T14" s="30">
        <f>399+356</f>
        <v>755</v>
      </c>
      <c r="U14" s="30">
        <f>390+316</f>
        <v>706</v>
      </c>
      <c r="V14" s="30">
        <f>438+400</f>
        <v>838</v>
      </c>
      <c r="W14" s="31">
        <f>399+371</f>
        <v>770</v>
      </c>
      <c r="X14" s="30">
        <f>423+414</f>
        <v>837</v>
      </c>
      <c r="Y14" s="30">
        <f>449+471</f>
        <v>920</v>
      </c>
      <c r="Z14" s="30">
        <f>507+605</f>
        <v>1112</v>
      </c>
    </row>
    <row r="15" spans="1:26" s="30" customFormat="1" x14ac:dyDescent="0.15">
      <c r="B15" s="74" t="s">
        <v>9</v>
      </c>
      <c r="C15" s="32">
        <f>217+141+48</f>
        <v>406</v>
      </c>
      <c r="D15" s="32">
        <f>215+150+1</f>
        <v>366</v>
      </c>
      <c r="E15" s="32">
        <f>141+153</f>
        <v>294</v>
      </c>
      <c r="F15" s="32">
        <f>225+164-1</f>
        <v>388</v>
      </c>
      <c r="G15" s="31">
        <f>231+175</f>
        <v>406</v>
      </c>
      <c r="H15" s="30">
        <f>261+176</f>
        <v>437</v>
      </c>
      <c r="I15" s="30">
        <f>261+184</f>
        <v>445</v>
      </c>
      <c r="J15" s="30">
        <f>275+189</f>
        <v>464</v>
      </c>
      <c r="K15" s="31">
        <f>265+183+40</f>
        <v>488</v>
      </c>
      <c r="L15" s="32">
        <f>282+201</f>
        <v>483</v>
      </c>
      <c r="M15" s="32">
        <f>293+194</f>
        <v>487</v>
      </c>
      <c r="N15" s="32">
        <f>315+227+92</f>
        <v>634</v>
      </c>
      <c r="O15" s="31">
        <f>339+185+153</f>
        <v>677</v>
      </c>
      <c r="P15" s="32">
        <f>368+180+116</f>
        <v>664</v>
      </c>
      <c r="Q15" s="32">
        <f>354+188+28</f>
        <v>570</v>
      </c>
      <c r="R15" s="61">
        <f>390+223+12</f>
        <v>625</v>
      </c>
      <c r="S15" s="31">
        <f>419+73</f>
        <v>492</v>
      </c>
      <c r="T15" s="30">
        <f>419-2</f>
        <v>417</v>
      </c>
      <c r="U15" s="30">
        <v>401</v>
      </c>
      <c r="V15" s="30">
        <v>472</v>
      </c>
      <c r="W15" s="31">
        <f>486+29</f>
        <v>515</v>
      </c>
      <c r="X15" s="30">
        <f>512+47</f>
        <v>559</v>
      </c>
      <c r="Y15" s="30">
        <f>503+19</f>
        <v>522</v>
      </c>
      <c r="Z15" s="30">
        <f>569+44</f>
        <v>613</v>
      </c>
    </row>
    <row r="16" spans="1:26" s="30" customFormat="1" x14ac:dyDescent="0.15">
      <c r="B16" s="74" t="s">
        <v>10</v>
      </c>
      <c r="C16" s="40">
        <f>SUM(C13:C15)</f>
        <v>1062</v>
      </c>
      <c r="D16" s="40">
        <f>SUM(D13:D15)</f>
        <v>1080</v>
      </c>
      <c r="E16" s="40">
        <f>SUM(E13:E15)</f>
        <v>1076</v>
      </c>
      <c r="F16" s="40">
        <f>SUM(F13:F15)</f>
        <v>1150</v>
      </c>
      <c r="G16" s="41">
        <f>SUM(G13:G15)</f>
        <v>1130</v>
      </c>
      <c r="H16" s="42">
        <f t="shared" ref="H16:M16" si="11">SUM(H13:H15)</f>
        <v>1214</v>
      </c>
      <c r="I16" s="42">
        <f t="shared" si="11"/>
        <v>1218</v>
      </c>
      <c r="J16" s="42">
        <f t="shared" si="11"/>
        <v>1260</v>
      </c>
      <c r="K16" s="41">
        <f t="shared" si="11"/>
        <v>1257</v>
      </c>
      <c r="L16" s="40">
        <f t="shared" si="11"/>
        <v>1334</v>
      </c>
      <c r="M16" s="40">
        <f t="shared" si="11"/>
        <v>1351</v>
      </c>
      <c r="N16" s="40">
        <f t="shared" ref="N16:O16" si="12">SUM(N13:N15)</f>
        <v>1595</v>
      </c>
      <c r="O16" s="41">
        <f t="shared" si="12"/>
        <v>1571</v>
      </c>
      <c r="P16" s="40">
        <f t="shared" ref="P16:S16" si="13">SUM(P13:P15)</f>
        <v>1589</v>
      </c>
      <c r="Q16" s="40">
        <f t="shared" si="13"/>
        <v>1532</v>
      </c>
      <c r="R16" s="40">
        <f t="shared" si="13"/>
        <v>1710</v>
      </c>
      <c r="S16" s="41">
        <f t="shared" si="13"/>
        <v>1720</v>
      </c>
      <c r="T16" s="40">
        <f t="shared" ref="T16:V16" si="14">SUM(T13:T15)</f>
        <v>1655</v>
      </c>
      <c r="U16" s="40">
        <f t="shared" si="14"/>
        <v>1640</v>
      </c>
      <c r="V16" s="40">
        <f t="shared" si="14"/>
        <v>1868</v>
      </c>
      <c r="W16" s="41">
        <f t="shared" ref="W16" si="15">SUM(W13:W15)</f>
        <v>1890</v>
      </c>
      <c r="X16" s="40">
        <f t="shared" ref="X16:Y16" si="16">SUM(X13:X15)</f>
        <v>2027</v>
      </c>
      <c r="Y16" s="40">
        <f t="shared" si="16"/>
        <v>2116</v>
      </c>
      <c r="Z16" s="40">
        <f t="shared" ref="Z16" si="17">SUM(Z13:Z15)</f>
        <v>2457</v>
      </c>
    </row>
    <row r="17" spans="2:27" s="30" customFormat="1" x14ac:dyDescent="0.15">
      <c r="B17" s="74" t="s">
        <v>11</v>
      </c>
      <c r="C17" s="40">
        <f>C12-C16</f>
        <v>322</v>
      </c>
      <c r="D17" s="40">
        <f>D12-D16</f>
        <v>398</v>
      </c>
      <c r="E17" s="40">
        <f>E12-E16</f>
        <v>330</v>
      </c>
      <c r="F17" s="40">
        <f>F12-F16</f>
        <v>411</v>
      </c>
      <c r="G17" s="41">
        <f>G12-G16</f>
        <v>407</v>
      </c>
      <c r="H17" s="42">
        <f t="shared" ref="H17:I17" si="18">H12-H16</f>
        <v>371</v>
      </c>
      <c r="I17" s="42">
        <f t="shared" si="18"/>
        <v>348</v>
      </c>
      <c r="J17" s="42">
        <f t="shared" ref="J17:S17" si="19">J12-J16</f>
        <v>460</v>
      </c>
      <c r="K17" s="41">
        <f t="shared" si="19"/>
        <v>431</v>
      </c>
      <c r="L17" s="40">
        <f t="shared" si="19"/>
        <v>430</v>
      </c>
      <c r="M17" s="40">
        <f t="shared" si="19"/>
        <v>423</v>
      </c>
      <c r="N17" s="40">
        <f t="shared" si="19"/>
        <v>843</v>
      </c>
      <c r="O17" s="41">
        <f t="shared" si="19"/>
        <v>534</v>
      </c>
      <c r="P17" s="40">
        <f t="shared" si="19"/>
        <v>572</v>
      </c>
      <c r="Q17" s="40">
        <f t="shared" si="19"/>
        <v>490</v>
      </c>
      <c r="R17" s="40">
        <f t="shared" si="19"/>
        <v>598</v>
      </c>
      <c r="S17" s="41">
        <f t="shared" si="19"/>
        <v>518</v>
      </c>
      <c r="T17" s="40">
        <f t="shared" ref="T17:V17" si="20">T12-T16</f>
        <v>705</v>
      </c>
      <c r="U17" s="40">
        <f t="shared" si="20"/>
        <v>697</v>
      </c>
      <c r="V17" s="40">
        <f t="shared" si="20"/>
        <v>798.99999999999909</v>
      </c>
      <c r="W17" s="41">
        <f t="shared" ref="W17" si="21">W12-W16</f>
        <v>398</v>
      </c>
      <c r="X17" s="40">
        <f t="shared" ref="X17:Y17" si="22">X12-X16</f>
        <v>951</v>
      </c>
      <c r="Y17" s="40">
        <f t="shared" si="22"/>
        <v>977</v>
      </c>
      <c r="Z17" s="40">
        <f t="shared" ref="Z17" si="23">Z12-Z16</f>
        <v>963</v>
      </c>
    </row>
    <row r="18" spans="2:27" s="30" customFormat="1" x14ac:dyDescent="0.15">
      <c r="B18" s="74" t="s">
        <v>12</v>
      </c>
      <c r="C18" s="32">
        <v>-1</v>
      </c>
      <c r="D18" s="32">
        <v>1</v>
      </c>
      <c r="E18" s="32">
        <v>20</v>
      </c>
      <c r="F18" s="32">
        <v>7</v>
      </c>
      <c r="G18" s="31">
        <v>15</v>
      </c>
      <c r="H18" s="30">
        <v>9</v>
      </c>
      <c r="I18" s="30">
        <v>12</v>
      </c>
      <c r="J18" s="30">
        <v>9</v>
      </c>
      <c r="K18" s="31">
        <v>7</v>
      </c>
      <c r="L18" s="32">
        <v>17</v>
      </c>
      <c r="M18" s="32">
        <v>28</v>
      </c>
      <c r="N18" s="32">
        <v>21</v>
      </c>
      <c r="O18" s="31">
        <v>14</v>
      </c>
      <c r="P18" s="32">
        <v>37</v>
      </c>
      <c r="Q18" s="32">
        <v>43</v>
      </c>
      <c r="R18" s="61">
        <v>88</v>
      </c>
      <c r="S18" s="31">
        <v>199</v>
      </c>
      <c r="T18" s="30">
        <v>238</v>
      </c>
      <c r="U18" s="30">
        <v>-213</v>
      </c>
      <c r="V18" s="30">
        <v>55</v>
      </c>
      <c r="W18" s="31">
        <v>-135</v>
      </c>
      <c r="X18" s="30">
        <v>848</v>
      </c>
      <c r="Y18" s="30">
        <v>167</v>
      </c>
      <c r="Z18" s="30">
        <v>896</v>
      </c>
    </row>
    <row r="19" spans="2:27" s="30" customFormat="1" x14ac:dyDescent="0.15">
      <c r="B19" s="74" t="s">
        <v>13</v>
      </c>
      <c r="C19" s="40">
        <f>C17+C18</f>
        <v>321</v>
      </c>
      <c r="D19" s="40">
        <f>D17+D18</f>
        <v>399</v>
      </c>
      <c r="E19" s="40">
        <f>E17+E18</f>
        <v>350</v>
      </c>
      <c r="F19" s="40">
        <f>F17+F18</f>
        <v>418</v>
      </c>
      <c r="G19" s="41">
        <f>G17+G18</f>
        <v>422</v>
      </c>
      <c r="H19" s="42">
        <f t="shared" ref="H19:J19" si="24">H17+H18</f>
        <v>380</v>
      </c>
      <c r="I19" s="42">
        <f t="shared" si="24"/>
        <v>360</v>
      </c>
      <c r="J19" s="42">
        <f t="shared" si="24"/>
        <v>469</v>
      </c>
      <c r="K19" s="41">
        <f t="shared" ref="K19:L19" si="25">K17+K18</f>
        <v>438</v>
      </c>
      <c r="L19" s="40">
        <f t="shared" si="25"/>
        <v>447</v>
      </c>
      <c r="M19" s="40">
        <f t="shared" ref="M19" si="26">M17+M18</f>
        <v>451</v>
      </c>
      <c r="N19" s="40">
        <f t="shared" ref="N19:O19" si="27">N17+N18</f>
        <v>864</v>
      </c>
      <c r="O19" s="41">
        <f t="shared" si="27"/>
        <v>548</v>
      </c>
      <c r="P19" s="40">
        <f t="shared" ref="P19:S19" si="28">P17+P18</f>
        <v>609</v>
      </c>
      <c r="Q19" s="40">
        <f t="shared" si="28"/>
        <v>533</v>
      </c>
      <c r="R19" s="40">
        <f t="shared" si="28"/>
        <v>686</v>
      </c>
      <c r="S19" s="41">
        <f t="shared" si="28"/>
        <v>717</v>
      </c>
      <c r="T19" s="40">
        <f t="shared" ref="T19:V19" si="29">T17+T18</f>
        <v>943</v>
      </c>
      <c r="U19" s="40">
        <f t="shared" si="29"/>
        <v>484</v>
      </c>
      <c r="V19" s="40">
        <f t="shared" si="29"/>
        <v>853.99999999999909</v>
      </c>
      <c r="W19" s="41">
        <f t="shared" ref="W19:Z19" si="30">W17+W18</f>
        <v>263</v>
      </c>
      <c r="X19" s="40">
        <f t="shared" si="30"/>
        <v>1799</v>
      </c>
      <c r="Y19" s="40">
        <f t="shared" si="30"/>
        <v>1144</v>
      </c>
      <c r="Z19" s="40">
        <f t="shared" si="30"/>
        <v>1859</v>
      </c>
    </row>
    <row r="20" spans="2:27" s="30" customFormat="1" x14ac:dyDescent="0.15">
      <c r="B20" s="74" t="s">
        <v>14</v>
      </c>
      <c r="C20" s="32">
        <v>66</v>
      </c>
      <c r="D20" s="32">
        <v>94</v>
      </c>
      <c r="E20" s="32">
        <v>49</v>
      </c>
      <c r="F20" s="32">
        <v>51</v>
      </c>
      <c r="G20" s="31">
        <v>57</v>
      </c>
      <c r="H20" s="30">
        <v>57</v>
      </c>
      <c r="I20" s="30">
        <v>37</v>
      </c>
      <c r="J20" s="30">
        <v>79</v>
      </c>
      <c r="K20" s="31">
        <v>54</v>
      </c>
      <c r="L20" s="32">
        <v>36</v>
      </c>
      <c r="M20" s="32">
        <v>71</v>
      </c>
      <c r="N20" s="32">
        <v>244</v>
      </c>
      <c r="O20" s="31">
        <v>37</v>
      </c>
      <c r="P20" s="32">
        <v>83</v>
      </c>
      <c r="Q20" s="32">
        <v>97</v>
      </c>
      <c r="R20" s="61">
        <v>102</v>
      </c>
      <c r="S20" s="31">
        <v>50</v>
      </c>
      <c r="T20" s="30">
        <v>120</v>
      </c>
      <c r="U20" s="30">
        <v>22</v>
      </c>
      <c r="V20" s="30">
        <v>347</v>
      </c>
      <c r="W20" s="31">
        <v>179</v>
      </c>
      <c r="X20" s="30">
        <v>269</v>
      </c>
      <c r="Y20" s="30">
        <v>123</v>
      </c>
      <c r="Z20" s="30">
        <v>292</v>
      </c>
    </row>
    <row r="21" spans="2:27" s="56" customFormat="1" x14ac:dyDescent="0.15">
      <c r="B21" s="77" t="s">
        <v>15</v>
      </c>
      <c r="C21" s="35">
        <f>C19-C20</f>
        <v>255</v>
      </c>
      <c r="D21" s="35">
        <f>D19-D20</f>
        <v>305</v>
      </c>
      <c r="E21" s="35">
        <f>E19-E20</f>
        <v>301</v>
      </c>
      <c r="F21" s="35">
        <f>F19-F20</f>
        <v>367</v>
      </c>
      <c r="G21" s="36">
        <f>G19-G20</f>
        <v>365</v>
      </c>
      <c r="H21" s="37">
        <f t="shared" ref="H21:I21" si="31">H19-H20</f>
        <v>323</v>
      </c>
      <c r="I21" s="37">
        <f t="shared" si="31"/>
        <v>323</v>
      </c>
      <c r="J21" s="37">
        <f t="shared" ref="J21:S21" si="32">J19-J20</f>
        <v>390</v>
      </c>
      <c r="K21" s="36">
        <f t="shared" si="32"/>
        <v>384</v>
      </c>
      <c r="L21" s="35">
        <f t="shared" si="32"/>
        <v>411</v>
      </c>
      <c r="M21" s="35">
        <f t="shared" si="32"/>
        <v>380</v>
      </c>
      <c r="N21" s="35">
        <f t="shared" si="32"/>
        <v>620</v>
      </c>
      <c r="O21" s="36">
        <f t="shared" si="32"/>
        <v>511</v>
      </c>
      <c r="P21" s="35">
        <f t="shared" si="32"/>
        <v>526</v>
      </c>
      <c r="Q21" s="35">
        <f t="shared" si="32"/>
        <v>436</v>
      </c>
      <c r="R21" s="35">
        <f t="shared" si="32"/>
        <v>584</v>
      </c>
      <c r="S21" s="36">
        <f t="shared" si="32"/>
        <v>667</v>
      </c>
      <c r="T21" s="35">
        <f t="shared" ref="T21:V21" si="33">T19-T20</f>
        <v>823</v>
      </c>
      <c r="U21" s="35">
        <f t="shared" si="33"/>
        <v>462</v>
      </c>
      <c r="V21" s="35">
        <f t="shared" si="33"/>
        <v>506.99999999999909</v>
      </c>
      <c r="W21" s="36">
        <f t="shared" ref="W21" si="34">W19-W20</f>
        <v>84</v>
      </c>
      <c r="X21" s="35">
        <f t="shared" ref="X21:Y21" si="35">X19-X20</f>
        <v>1530</v>
      </c>
      <c r="Y21" s="35">
        <f t="shared" si="35"/>
        <v>1021</v>
      </c>
      <c r="Z21" s="35">
        <f t="shared" ref="Z21" si="36">Z19-Z20</f>
        <v>1567</v>
      </c>
    </row>
    <row r="22" spans="2:27" x14ac:dyDescent="0.15">
      <c r="B22" s="69" t="s">
        <v>16</v>
      </c>
      <c r="C22" s="43">
        <f t="shared" ref="C22:I22" si="37">IFERROR(C21/C23,0)</f>
        <v>0.20833333333333334</v>
      </c>
      <c r="D22" s="43">
        <f t="shared" si="37"/>
        <v>0.24918300653594772</v>
      </c>
      <c r="E22" s="43">
        <f t="shared" si="37"/>
        <v>0.24531377343113284</v>
      </c>
      <c r="F22" s="43">
        <f t="shared" si="37"/>
        <v>0.29837398373983742</v>
      </c>
      <c r="G22" s="44">
        <f t="shared" si="37"/>
        <v>0.29795918367346941</v>
      </c>
      <c r="H22" s="45">
        <f t="shared" si="37"/>
        <v>0.26584362139917694</v>
      </c>
      <c r="I22" s="45">
        <f t="shared" si="37"/>
        <v>0.26606260296540363</v>
      </c>
      <c r="J22" s="45">
        <f t="shared" ref="J22:M22" si="38">IFERROR(J21/J23,0)</f>
        <v>0.32072368421052633</v>
      </c>
      <c r="K22" s="44">
        <f t="shared" si="38"/>
        <v>0.31578947368421051</v>
      </c>
      <c r="L22" s="43">
        <f t="shared" si="38"/>
        <v>0.33827160493827163</v>
      </c>
      <c r="M22" s="43">
        <f t="shared" si="38"/>
        <v>0.3107113654946852</v>
      </c>
      <c r="N22" s="43">
        <f t="shared" ref="N22:O22" si="39">IFERROR(N21/N23,0)</f>
        <v>0.50488599348534202</v>
      </c>
      <c r="O22" s="44">
        <f t="shared" si="39"/>
        <v>0.41988496302382911</v>
      </c>
      <c r="P22" s="43">
        <f t="shared" ref="P22:Q22" si="40">IFERROR(P21/P23,0)</f>
        <v>0.43760399334442596</v>
      </c>
      <c r="Q22" s="43">
        <f t="shared" si="40"/>
        <v>0.36363636363636365</v>
      </c>
      <c r="R22" s="43">
        <f>IFERROR(R21/R23,0)</f>
        <v>0.48829431438127091</v>
      </c>
      <c r="S22" s="44">
        <f t="shared" ref="S22" si="41">IFERROR(S21/S23,0)</f>
        <v>0.56144781144781142</v>
      </c>
      <c r="T22" s="43">
        <f t="shared" ref="T22:U22" si="42">IFERROR(T21/T23,0)</f>
        <v>0.69334456613310869</v>
      </c>
      <c r="U22" s="43">
        <f t="shared" si="42"/>
        <v>0.3888888888888889</v>
      </c>
      <c r="V22" s="43">
        <f>IFERROR(V21/V23,0)</f>
        <v>0.42712721145745502</v>
      </c>
      <c r="W22" s="44">
        <f t="shared" ref="W22" si="43">IFERROR(W21/W23,0)</f>
        <v>7.0886075949367092E-2</v>
      </c>
      <c r="X22" s="43">
        <f t="shared" ref="X22:Y22" si="44">IFERROR(X21/X23,0)</f>
        <v>1.2922297297297298</v>
      </c>
      <c r="Y22" s="43">
        <f t="shared" si="44"/>
        <v>0.85798319327731087</v>
      </c>
      <c r="Z22" s="43">
        <f t="shared" ref="Z22" si="45">IFERROR(Z21/Z23,0)</f>
        <v>1.3157010915197314</v>
      </c>
    </row>
    <row r="23" spans="2:27" s="30" customFormat="1" x14ac:dyDescent="0.15">
      <c r="B23" s="74" t="s">
        <v>17</v>
      </c>
      <c r="C23" s="32">
        <v>1224</v>
      </c>
      <c r="D23" s="32">
        <v>1224</v>
      </c>
      <c r="E23" s="32">
        <v>1227</v>
      </c>
      <c r="F23" s="32">
        <v>1230</v>
      </c>
      <c r="G23" s="31">
        <v>1225</v>
      </c>
      <c r="H23" s="30">
        <v>1215</v>
      </c>
      <c r="I23" s="30">
        <v>1214</v>
      </c>
      <c r="J23" s="30">
        <v>1216</v>
      </c>
      <c r="K23" s="31">
        <v>1216</v>
      </c>
      <c r="L23" s="32">
        <v>1215</v>
      </c>
      <c r="M23" s="32">
        <v>1223</v>
      </c>
      <c r="N23" s="32">
        <v>1228</v>
      </c>
      <c r="O23" s="31">
        <v>1217</v>
      </c>
      <c r="P23" s="32">
        <v>1202</v>
      </c>
      <c r="Q23" s="32">
        <v>1199</v>
      </c>
      <c r="R23" s="61">
        <v>1196</v>
      </c>
      <c r="S23" s="31">
        <v>1188</v>
      </c>
      <c r="T23" s="30">
        <v>1187</v>
      </c>
      <c r="U23" s="30">
        <v>1188</v>
      </c>
      <c r="V23" s="30">
        <v>1187</v>
      </c>
      <c r="W23" s="31">
        <v>1185</v>
      </c>
      <c r="X23" s="30">
        <v>1184</v>
      </c>
      <c r="Y23" s="30">
        <v>1190</v>
      </c>
      <c r="Z23" s="30">
        <v>1191</v>
      </c>
    </row>
    <row r="24" spans="2:27" x14ac:dyDescent="0.15">
      <c r="C24" s="34"/>
      <c r="D24" s="34"/>
      <c r="E24" s="34"/>
      <c r="F24" s="34"/>
      <c r="L24" s="34"/>
      <c r="M24" s="34"/>
      <c r="N24" s="34"/>
      <c r="P24" s="34"/>
      <c r="Q24" s="34"/>
      <c r="R24" s="63"/>
    </row>
    <row r="25" spans="2:27" x14ac:dyDescent="0.15">
      <c r="B25" s="69" t="s">
        <v>19</v>
      </c>
      <c r="C25" s="46">
        <f t="shared" ref="C25:S25" si="46">IFERROR(C12/C10,0)</f>
        <v>0.64763687412260174</v>
      </c>
      <c r="D25" s="46">
        <f t="shared" si="46"/>
        <v>0.64344797562037437</v>
      </c>
      <c r="E25" s="46">
        <f t="shared" si="46"/>
        <v>0.62267493356953052</v>
      </c>
      <c r="F25" s="46">
        <f t="shared" si="46"/>
        <v>0.61071987480438183</v>
      </c>
      <c r="G25" s="47">
        <f t="shared" si="46"/>
        <v>0.60416666666666663</v>
      </c>
      <c r="H25" s="48">
        <f t="shared" si="46"/>
        <v>0.59811320754716979</v>
      </c>
      <c r="I25" s="48">
        <f t="shared" si="46"/>
        <v>0.58717660292463447</v>
      </c>
      <c r="J25" s="48">
        <f t="shared" si="46"/>
        <v>0.57698758805769879</v>
      </c>
      <c r="K25" s="47">
        <f t="shared" si="46"/>
        <v>0.56739495798319328</v>
      </c>
      <c r="L25" s="46">
        <f t="shared" si="46"/>
        <v>0.5625</v>
      </c>
      <c r="M25" s="46">
        <f t="shared" si="46"/>
        <v>0.54769990737882057</v>
      </c>
      <c r="N25" s="46">
        <f t="shared" si="46"/>
        <v>0.65117521367521369</v>
      </c>
      <c r="O25" s="47">
        <f t="shared" si="46"/>
        <v>0.57123473541383984</v>
      </c>
      <c r="P25" s="46">
        <f t="shared" si="46"/>
        <v>0.56028001037075448</v>
      </c>
      <c r="Q25" s="46">
        <f t="shared" si="46"/>
        <v>0.54900896008688571</v>
      </c>
      <c r="R25" s="46">
        <f t="shared" si="46"/>
        <v>0.54614292475153814</v>
      </c>
      <c r="S25" s="47">
        <f t="shared" si="46"/>
        <v>0.54215116279069764</v>
      </c>
      <c r="T25" s="46">
        <f t="shared" ref="T25:V25" si="47">IFERROR(T12/T10,0)</f>
        <v>0.54819976771196288</v>
      </c>
      <c r="U25" s="46">
        <f t="shared" si="47"/>
        <v>0.5338053905893102</v>
      </c>
      <c r="V25" s="46">
        <f t="shared" si="47"/>
        <v>0.53759322717194102</v>
      </c>
      <c r="W25" s="47">
        <f t="shared" ref="W25" si="48">IFERROR(W12/W10,0)</f>
        <v>0.49545257687310523</v>
      </c>
      <c r="X25" s="46">
        <f t="shared" ref="X25:Y25" si="49">IFERROR(X12/X10,0)</f>
        <v>0.56605208135335483</v>
      </c>
      <c r="Y25" s="46">
        <f t="shared" si="49"/>
        <v>0.56658728704891004</v>
      </c>
      <c r="Z25" s="46">
        <f t="shared" ref="Z25" si="50">IFERROR(Z12/Z10,0)</f>
        <v>0.55918901242642249</v>
      </c>
    </row>
    <row r="26" spans="2:27" x14ac:dyDescent="0.15">
      <c r="B26" s="69" t="s">
        <v>20</v>
      </c>
      <c r="C26" s="49">
        <f t="shared" ref="C26:S26" si="51">IFERROR(C17/C10,0)</f>
        <v>0.15067852129153017</v>
      </c>
      <c r="D26" s="49">
        <f t="shared" si="51"/>
        <v>0.17326948193295602</v>
      </c>
      <c r="E26" s="49">
        <f t="shared" si="51"/>
        <v>0.14614703277236493</v>
      </c>
      <c r="F26" s="49">
        <f t="shared" si="51"/>
        <v>0.16079812206572769</v>
      </c>
      <c r="G26" s="50">
        <f t="shared" si="51"/>
        <v>0.15998427672955975</v>
      </c>
      <c r="H26" s="51">
        <f t="shared" si="51"/>
        <v>0.14000000000000001</v>
      </c>
      <c r="I26" s="51">
        <f t="shared" si="51"/>
        <v>0.13048368953880765</v>
      </c>
      <c r="J26" s="51">
        <f t="shared" si="51"/>
        <v>0.15431063401543108</v>
      </c>
      <c r="K26" s="50">
        <f t="shared" si="51"/>
        <v>0.14487394957983193</v>
      </c>
      <c r="L26" s="49">
        <f t="shared" si="51"/>
        <v>0.1371173469387755</v>
      </c>
      <c r="M26" s="49">
        <f t="shared" si="51"/>
        <v>0.13059586292065453</v>
      </c>
      <c r="N26" s="49">
        <f t="shared" si="51"/>
        <v>0.22516025641025642</v>
      </c>
      <c r="O26" s="50">
        <f t="shared" si="51"/>
        <v>0.14491180461329714</v>
      </c>
      <c r="P26" s="49">
        <f t="shared" si="51"/>
        <v>0.14830178895514648</v>
      </c>
      <c r="Q26" s="49">
        <f t="shared" si="51"/>
        <v>0.13304371436329079</v>
      </c>
      <c r="R26" s="49">
        <f t="shared" si="51"/>
        <v>0.14150496923805017</v>
      </c>
      <c r="S26" s="50">
        <f t="shared" si="51"/>
        <v>0.12548449612403101</v>
      </c>
      <c r="T26" s="49">
        <f t="shared" ref="T26:V26" si="52">IFERROR(T17/T10,0)</f>
        <v>0.16376306620209058</v>
      </c>
      <c r="U26" s="49">
        <f t="shared" si="52"/>
        <v>0.15920511649154864</v>
      </c>
      <c r="V26" s="49">
        <f t="shared" si="52"/>
        <v>0.16105623866156002</v>
      </c>
      <c r="W26" s="50">
        <f t="shared" ref="W26" si="53">IFERROR(W17/W10,0)</f>
        <v>8.6184495452576879E-2</v>
      </c>
      <c r="X26" s="49">
        <f t="shared" ref="X26:Y26" si="54">IFERROR(X17/X10,0)</f>
        <v>0.18076411328644745</v>
      </c>
      <c r="Y26" s="49">
        <f t="shared" si="54"/>
        <v>0.17897050741894119</v>
      </c>
      <c r="Z26" s="49">
        <f t="shared" ref="Z26" si="55">IFERROR(Z17/Z10,0)</f>
        <v>0.15745585349901897</v>
      </c>
    </row>
    <row r="27" spans="2:27" x14ac:dyDescent="0.15">
      <c r="B27" s="69" t="s">
        <v>21</v>
      </c>
      <c r="C27" s="49">
        <f t="shared" ref="C27:S27" si="56">IFERROR(C20/C19,0)</f>
        <v>0.20560747663551401</v>
      </c>
      <c r="D27" s="49">
        <f t="shared" si="56"/>
        <v>0.23558897243107768</v>
      </c>
      <c r="E27" s="49">
        <f t="shared" si="56"/>
        <v>0.14000000000000001</v>
      </c>
      <c r="F27" s="49">
        <f t="shared" si="56"/>
        <v>0.12200956937799043</v>
      </c>
      <c r="G27" s="50">
        <f t="shared" si="56"/>
        <v>0.13507109004739337</v>
      </c>
      <c r="H27" s="51">
        <f t="shared" si="56"/>
        <v>0.15</v>
      </c>
      <c r="I27" s="51">
        <f t="shared" si="56"/>
        <v>0.10277777777777777</v>
      </c>
      <c r="J27" s="51">
        <f t="shared" si="56"/>
        <v>0.16844349680170576</v>
      </c>
      <c r="K27" s="50">
        <f t="shared" si="56"/>
        <v>0.12328767123287671</v>
      </c>
      <c r="L27" s="49">
        <f t="shared" si="56"/>
        <v>8.0536912751677847E-2</v>
      </c>
      <c r="M27" s="49">
        <f t="shared" si="56"/>
        <v>0.1574279379157428</v>
      </c>
      <c r="N27" s="49">
        <f t="shared" si="56"/>
        <v>0.28240740740740738</v>
      </c>
      <c r="O27" s="50">
        <f t="shared" si="56"/>
        <v>6.7518248175182483E-2</v>
      </c>
      <c r="P27" s="49">
        <f t="shared" si="56"/>
        <v>0.13628899835796388</v>
      </c>
      <c r="Q27" s="49">
        <f t="shared" si="56"/>
        <v>0.18198874296435272</v>
      </c>
      <c r="R27" s="49">
        <f t="shared" si="56"/>
        <v>0.14868804664723032</v>
      </c>
      <c r="S27" s="50">
        <f t="shared" si="56"/>
        <v>6.9735006973500699E-2</v>
      </c>
      <c r="T27" s="49">
        <f t="shared" ref="T27:V27" si="57">IFERROR(T20/T19,0)</f>
        <v>0.12725344644750794</v>
      </c>
      <c r="U27" s="49">
        <f t="shared" si="57"/>
        <v>4.5454545454545456E-2</v>
      </c>
      <c r="V27" s="49">
        <f t="shared" si="57"/>
        <v>0.40632318501171005</v>
      </c>
      <c r="W27" s="50">
        <f t="shared" ref="W27" si="58">IFERROR(W20/W19,0)</f>
        <v>0.68060836501901145</v>
      </c>
      <c r="X27" s="49">
        <f t="shared" ref="X27:Y27" si="59">IFERROR(X20/X19,0)</f>
        <v>0.14952751528627015</v>
      </c>
      <c r="Y27" s="49">
        <f t="shared" si="59"/>
        <v>0.10751748251748251</v>
      </c>
      <c r="Z27" s="49">
        <f t="shared" ref="Z27" si="60">IFERROR(Z20/Z19,0)</f>
        <v>0.15707369553523401</v>
      </c>
    </row>
    <row r="28" spans="2:27" s="86" customFormat="1" x14ac:dyDescent="0.15">
      <c r="B28" s="83"/>
      <c r="C28" s="84"/>
      <c r="D28" s="84"/>
      <c r="E28" s="84"/>
      <c r="F28" s="84"/>
      <c r="G28" s="85"/>
      <c r="K28" s="85"/>
      <c r="L28" s="84"/>
      <c r="M28" s="84"/>
      <c r="N28" s="84"/>
      <c r="O28" s="85"/>
      <c r="P28" s="84"/>
      <c r="Q28" s="84"/>
      <c r="R28" s="62"/>
      <c r="S28" s="85"/>
      <c r="T28" s="84"/>
      <c r="U28" s="84"/>
      <c r="V28" s="62"/>
      <c r="W28" s="85"/>
      <c r="X28" s="84"/>
      <c r="Y28" s="84"/>
      <c r="Z28" s="91">
        <v>0.2</v>
      </c>
      <c r="AA28" s="91" t="s">
        <v>100</v>
      </c>
    </row>
    <row r="29" spans="2:27" s="92" customFormat="1" x14ac:dyDescent="0.15">
      <c r="B29" s="71" t="s">
        <v>18</v>
      </c>
      <c r="C29" s="52"/>
      <c r="D29" s="52"/>
      <c r="E29" s="52"/>
      <c r="F29" s="52"/>
      <c r="G29" s="53">
        <f>IFERROR((G10/C10)-1,0)</f>
        <v>0.19045390734674772</v>
      </c>
      <c r="H29" s="52">
        <f>IFERROR((H10/D10)-1,0)</f>
        <v>0.15367871136264699</v>
      </c>
      <c r="I29" s="52">
        <f t="shared" ref="I29" si="61">IFERROR((I10/E10)-1,0)</f>
        <v>0.18113374667847659</v>
      </c>
      <c r="J29" s="52">
        <f>IFERROR((J10/F10)-1,0)</f>
        <v>0.16627543035993742</v>
      </c>
      <c r="K29" s="53">
        <f>IFERROR((K10/G10)-1,0)</f>
        <v>0.16941823899371067</v>
      </c>
      <c r="L29" s="52">
        <f t="shared" ref="L29" si="62">IFERROR((L10/H10)-1,0)</f>
        <v>0.18339622641509434</v>
      </c>
      <c r="M29" s="52">
        <f t="shared" ref="M29:S29" si="63">IFERROR((M10/I10)-1,0)</f>
        <v>0.21447319085114369</v>
      </c>
      <c r="N29" s="52">
        <f t="shared" si="63"/>
        <v>0.25595437772559548</v>
      </c>
      <c r="O29" s="53">
        <f t="shared" si="63"/>
        <v>0.23865546218487399</v>
      </c>
      <c r="P29" s="52">
        <f t="shared" si="63"/>
        <v>0.22991071428571419</v>
      </c>
      <c r="Q29" s="52">
        <f t="shared" si="63"/>
        <v>0.13707934547699918</v>
      </c>
      <c r="R29" s="64">
        <f t="shared" si="63"/>
        <v>0.12873931623931623</v>
      </c>
      <c r="S29" s="53">
        <f t="shared" si="63"/>
        <v>0.12021709633649924</v>
      </c>
      <c r="T29" s="52">
        <f t="shared" ref="T29:V29" si="64">IFERROR((T10/P10)-1,0)</f>
        <v>0.11615245009074404</v>
      </c>
      <c r="U29" s="52">
        <f t="shared" si="64"/>
        <v>0.18870486016834098</v>
      </c>
      <c r="V29" s="64">
        <f t="shared" si="64"/>
        <v>0.17392333175579733</v>
      </c>
      <c r="W29" s="53">
        <f t="shared" ref="W29:Z29" si="65">IFERROR((W10/S10)-1,0)</f>
        <v>0.118701550387597</v>
      </c>
      <c r="X29" s="52">
        <f t="shared" si="65"/>
        <v>0.22206736353077816</v>
      </c>
      <c r="Y29" s="52">
        <f t="shared" si="65"/>
        <v>0.24691640018273175</v>
      </c>
      <c r="Z29" s="52">
        <f t="shared" si="65"/>
        <v>0.2328159645232819</v>
      </c>
    </row>
    <row r="30" spans="2:27" s="34" customFormat="1" x14ac:dyDescent="0.15">
      <c r="B30" s="72" t="s">
        <v>74</v>
      </c>
      <c r="C30" s="54"/>
      <c r="D30" s="54"/>
      <c r="E30" s="54"/>
      <c r="F30" s="54"/>
      <c r="G30" s="55">
        <f>G13/C13-1</f>
        <v>5.4054054054053946E-2</v>
      </c>
      <c r="H30" s="54">
        <f t="shared" ref="H30:Q30" si="66">H13/D13-1</f>
        <v>3.4653465346534684E-2</v>
      </c>
      <c r="I30" s="54">
        <f t="shared" si="66"/>
        <v>-6.5217391304347783E-2</v>
      </c>
      <c r="J30" s="54">
        <f t="shared" si="66"/>
        <v>3.3653846153846256E-2</v>
      </c>
      <c r="K30" s="55">
        <f t="shared" si="66"/>
        <v>9.7435897435897534E-2</v>
      </c>
      <c r="L30" s="54">
        <f t="shared" si="66"/>
        <v>0.11004784688995217</v>
      </c>
      <c r="M30" s="54">
        <f t="shared" si="66"/>
        <v>0.11627906976744184</v>
      </c>
      <c r="N30" s="54">
        <f t="shared" si="66"/>
        <v>0.24186046511627901</v>
      </c>
      <c r="O30" s="55">
        <f t="shared" si="66"/>
        <v>0.20560747663551404</v>
      </c>
      <c r="P30" s="54">
        <f t="shared" si="66"/>
        <v>9.9137931034482651E-2</v>
      </c>
      <c r="Q30" s="54">
        <f t="shared" si="66"/>
        <v>0.12083333333333335</v>
      </c>
      <c r="R30" s="65">
        <f>R13/N13-1</f>
        <v>8.2397003745318331E-2</v>
      </c>
      <c r="S30" s="55">
        <f t="shared" ref="S30:S32" si="67">S13/O13-1</f>
        <v>0.98062015503875966</v>
      </c>
      <c r="T30" s="54">
        <f t="shared" ref="T30:V32" si="68">T13/P13-1</f>
        <v>0.89411764705882346</v>
      </c>
      <c r="U30" s="54">
        <f t="shared" si="68"/>
        <v>0.98141263940520451</v>
      </c>
      <c r="V30" s="65">
        <f>V13/R13-1</f>
        <v>0.9307958477508651</v>
      </c>
      <c r="W30" s="55">
        <f t="shared" ref="W30:Z32" si="69">W13/S13-1</f>
        <v>0.18395303326810186</v>
      </c>
      <c r="X30" s="54">
        <f t="shared" si="69"/>
        <v>0.30641821946169778</v>
      </c>
      <c r="Y30" s="54">
        <f t="shared" si="69"/>
        <v>0.26454033771106933</v>
      </c>
      <c r="Z30" s="54">
        <f t="shared" si="69"/>
        <v>0.31182795698924726</v>
      </c>
    </row>
    <row r="31" spans="2:27" x14ac:dyDescent="0.15">
      <c r="B31" s="69" t="s">
        <v>75</v>
      </c>
      <c r="C31" s="54"/>
      <c r="D31" s="54"/>
      <c r="E31" s="54"/>
      <c r="F31" s="54"/>
      <c r="G31" s="55">
        <f>G14/C14-1</f>
        <v>0.12314225053078554</v>
      </c>
      <c r="H31" s="54">
        <f t="shared" ref="H31:R31" si="70">H14/D14-1</f>
        <v>0.109375</v>
      </c>
      <c r="I31" s="54">
        <f t="shared" si="70"/>
        <v>1.0869565217391353E-2</v>
      </c>
      <c r="J31" s="54">
        <f t="shared" si="70"/>
        <v>4.8736462093862842E-2</v>
      </c>
      <c r="K31" s="55">
        <f t="shared" si="70"/>
        <v>4.914933837429114E-2</v>
      </c>
      <c r="L31" s="54">
        <f t="shared" si="70"/>
        <v>8.9788732394366244E-2</v>
      </c>
      <c r="M31" s="54">
        <f t="shared" si="70"/>
        <v>0.11827956989247301</v>
      </c>
      <c r="N31" s="54">
        <f t="shared" si="70"/>
        <v>0.19449225473321863</v>
      </c>
      <c r="O31" s="55">
        <f t="shared" si="70"/>
        <v>0.14594594594594601</v>
      </c>
      <c r="P31" s="54">
        <f t="shared" si="70"/>
        <v>8.2390953150242252E-2</v>
      </c>
      <c r="Q31" s="54">
        <f t="shared" si="70"/>
        <v>0.11057692307692313</v>
      </c>
      <c r="R31" s="65">
        <f t="shared" si="70"/>
        <v>0.14697406340057628</v>
      </c>
      <c r="S31" s="55">
        <f t="shared" si="67"/>
        <v>0.12735849056603765</v>
      </c>
      <c r="T31" s="54">
        <f t="shared" si="68"/>
        <v>0.12686567164179108</v>
      </c>
      <c r="U31" s="54">
        <f t="shared" si="68"/>
        <v>1.8759018759018753E-2</v>
      </c>
      <c r="V31" s="65">
        <f t="shared" si="68"/>
        <v>5.2763819095477338E-2</v>
      </c>
      <c r="W31" s="55">
        <f t="shared" si="69"/>
        <v>7.3919107391910766E-2</v>
      </c>
      <c r="X31" s="54">
        <f t="shared" si="69"/>
        <v>0.10860927152317879</v>
      </c>
      <c r="Y31" s="54">
        <f t="shared" si="69"/>
        <v>0.30311614730878178</v>
      </c>
      <c r="Z31" s="54">
        <f t="shared" si="69"/>
        <v>0.32696897374701672</v>
      </c>
    </row>
    <row r="32" spans="2:27" x14ac:dyDescent="0.15">
      <c r="B32" s="69" t="s">
        <v>76</v>
      </c>
      <c r="C32" s="54"/>
      <c r="D32" s="54"/>
      <c r="E32" s="54"/>
      <c r="F32" s="54"/>
      <c r="G32" s="55">
        <f>G15/C15-1</f>
        <v>0</v>
      </c>
      <c r="H32" s="54">
        <f t="shared" ref="H32:R32" si="71">H15/D15-1</f>
        <v>0.19398907103825147</v>
      </c>
      <c r="I32" s="54">
        <f t="shared" si="71"/>
        <v>0.51360544217687076</v>
      </c>
      <c r="J32" s="54">
        <f t="shared" si="71"/>
        <v>0.19587628865979378</v>
      </c>
      <c r="K32" s="55">
        <f t="shared" si="71"/>
        <v>0.20197044334975378</v>
      </c>
      <c r="L32" s="54">
        <f t="shared" si="71"/>
        <v>0.10526315789473695</v>
      </c>
      <c r="M32" s="54">
        <f t="shared" si="71"/>
        <v>9.4382022471910076E-2</v>
      </c>
      <c r="N32" s="54">
        <f t="shared" si="71"/>
        <v>0.36637931034482762</v>
      </c>
      <c r="O32" s="55">
        <f t="shared" si="71"/>
        <v>0.38729508196721318</v>
      </c>
      <c r="P32" s="54">
        <f t="shared" si="71"/>
        <v>0.37474120082815743</v>
      </c>
      <c r="Q32" s="54">
        <f t="shared" si="71"/>
        <v>0.17043121149897322</v>
      </c>
      <c r="R32" s="65">
        <f t="shared" si="71"/>
        <v>-1.4195583596214534E-2</v>
      </c>
      <c r="S32" s="55">
        <f t="shared" si="67"/>
        <v>-0.27326440177252587</v>
      </c>
      <c r="T32" s="54">
        <f t="shared" si="68"/>
        <v>-0.37198795180722888</v>
      </c>
      <c r="U32" s="54">
        <f t="shared" si="68"/>
        <v>-0.29649122807017547</v>
      </c>
      <c r="V32" s="65">
        <f t="shared" si="68"/>
        <v>-0.24480000000000002</v>
      </c>
      <c r="W32" s="55">
        <f t="shared" si="69"/>
        <v>4.674796747967469E-2</v>
      </c>
      <c r="X32" s="54">
        <f t="shared" si="69"/>
        <v>0.34052757793764998</v>
      </c>
      <c r="Y32" s="54">
        <f t="shared" si="69"/>
        <v>0.30174563591022441</v>
      </c>
      <c r="Z32" s="54">
        <f t="shared" si="69"/>
        <v>0.29872881355932202</v>
      </c>
    </row>
    <row r="33" spans="2:26" x14ac:dyDescent="0.15">
      <c r="C33" s="34"/>
      <c r="D33" s="34"/>
      <c r="E33" s="34"/>
      <c r="F33" s="34"/>
      <c r="L33" s="34"/>
      <c r="M33" s="34"/>
      <c r="N33" s="34"/>
      <c r="P33" s="34"/>
      <c r="Q33" s="34"/>
      <c r="R33" s="63"/>
    </row>
    <row r="34" spans="2:26" s="56" customFormat="1" x14ac:dyDescent="0.15">
      <c r="B34" s="77" t="s">
        <v>33</v>
      </c>
      <c r="C34" s="32"/>
      <c r="D34" s="32"/>
      <c r="E34" s="32"/>
      <c r="F34" s="32"/>
      <c r="G34" s="31"/>
      <c r="H34" s="30"/>
      <c r="I34" s="30"/>
      <c r="J34" s="37">
        <f t="shared" ref="J34:L34" si="72">J35-J36</f>
        <v>6514</v>
      </c>
      <c r="K34" s="36">
        <f t="shared" si="72"/>
        <v>6380</v>
      </c>
      <c r="L34" s="35">
        <f t="shared" si="72"/>
        <v>6602</v>
      </c>
      <c r="M34" s="35">
        <f t="shared" ref="M34:R34" si="73">M35-M36</f>
        <v>7138</v>
      </c>
      <c r="N34" s="35">
        <f t="shared" si="73"/>
        <v>6656</v>
      </c>
      <c r="O34" s="36">
        <f t="shared" si="73"/>
        <v>4793</v>
      </c>
      <c r="P34" s="35">
        <f t="shared" si="73"/>
        <v>4334</v>
      </c>
      <c r="Q34" s="35">
        <f t="shared" si="73"/>
        <v>8533</v>
      </c>
      <c r="R34" s="35">
        <f t="shared" si="73"/>
        <v>8082</v>
      </c>
      <c r="S34" s="39"/>
      <c r="V34" s="35">
        <f>V35-V36</f>
        <v>8659</v>
      </c>
      <c r="W34" s="36">
        <f t="shared" ref="W34:Z34" si="74">W35-W36</f>
        <v>4585</v>
      </c>
      <c r="X34" s="35">
        <f t="shared" si="74"/>
        <v>7289</v>
      </c>
      <c r="Y34" s="35">
        <f t="shared" si="74"/>
        <v>8660</v>
      </c>
      <c r="Z34" s="35">
        <f t="shared" si="74"/>
        <v>10233</v>
      </c>
    </row>
    <row r="35" spans="2:26" s="30" customFormat="1" x14ac:dyDescent="0.15">
      <c r="B35" s="74" t="s">
        <v>34</v>
      </c>
      <c r="C35" s="32"/>
      <c r="D35" s="32"/>
      <c r="E35" s="32"/>
      <c r="F35" s="32"/>
      <c r="G35" s="31"/>
      <c r="J35" s="30">
        <f>1590+3385+1539</f>
        <v>6514</v>
      </c>
      <c r="K35" s="31">
        <f>1240+2815+2325</f>
        <v>6380</v>
      </c>
      <c r="L35" s="32">
        <f>1271+2820+2511</f>
        <v>6602</v>
      </c>
      <c r="M35" s="32">
        <f>2330+2591+2217</f>
        <v>7138</v>
      </c>
      <c r="N35" s="32">
        <f>2883+2812+1961</f>
        <v>7656</v>
      </c>
      <c r="O35" s="31">
        <f>2879+3427+1487</f>
        <v>7793</v>
      </c>
      <c r="P35" s="32">
        <f>2840+2125+1369</f>
        <v>6334</v>
      </c>
      <c r="Q35" s="32">
        <f>8147+1440+946</f>
        <v>10533</v>
      </c>
      <c r="R35" s="32">
        <f>7575+1534+971</f>
        <v>10080</v>
      </c>
      <c r="S35" s="31"/>
      <c r="V35" s="30">
        <f>7349+3412+2863</f>
        <v>13624</v>
      </c>
      <c r="W35" s="31">
        <f>7854+2332+2366</f>
        <v>12552</v>
      </c>
      <c r="X35" s="30">
        <f>6353+6695+3175</f>
        <v>16223</v>
      </c>
      <c r="Y35" s="30">
        <f>6112+8046+3439</f>
        <v>17597</v>
      </c>
      <c r="Z35" s="30">
        <f>4794+8289+6089</f>
        <v>19172</v>
      </c>
    </row>
    <row r="36" spans="2:26" s="30" customFormat="1" x14ac:dyDescent="0.15">
      <c r="B36" s="74" t="s">
        <v>35</v>
      </c>
      <c r="C36" s="32"/>
      <c r="D36" s="32"/>
      <c r="E36" s="32"/>
      <c r="F36" s="32"/>
      <c r="G36" s="31"/>
      <c r="J36" s="30">
        <v>0</v>
      </c>
      <c r="K36" s="31">
        <v>0</v>
      </c>
      <c r="L36" s="32">
        <v>0</v>
      </c>
      <c r="M36" s="32">
        <v>0</v>
      </c>
      <c r="N36" s="32">
        <v>1000</v>
      </c>
      <c r="O36" s="31">
        <v>3000</v>
      </c>
      <c r="P36" s="32">
        <v>2000</v>
      </c>
      <c r="Q36" s="32">
        <v>2000</v>
      </c>
      <c r="R36" s="32">
        <v>1998</v>
      </c>
      <c r="S36" s="31"/>
      <c r="V36" s="30">
        <v>4965</v>
      </c>
      <c r="W36" s="31">
        <v>7967</v>
      </c>
      <c r="X36" s="30">
        <v>8934</v>
      </c>
      <c r="Y36" s="30">
        <v>8937</v>
      </c>
      <c r="Z36" s="30">
        <v>8939</v>
      </c>
    </row>
    <row r="37" spans="2:26" s="30" customFormat="1" x14ac:dyDescent="0.15">
      <c r="B37" s="74"/>
      <c r="C37" s="32"/>
      <c r="D37" s="32"/>
      <c r="E37" s="32"/>
      <c r="F37" s="32"/>
      <c r="G37" s="31"/>
      <c r="K37" s="31"/>
      <c r="L37" s="32"/>
      <c r="M37" s="32"/>
      <c r="N37" s="32"/>
      <c r="O37" s="31"/>
      <c r="P37" s="32"/>
      <c r="Q37" s="32"/>
      <c r="R37" s="32"/>
      <c r="S37" s="31"/>
      <c r="W37" s="31"/>
    </row>
    <row r="38" spans="2:26" s="30" customFormat="1" x14ac:dyDescent="0.15">
      <c r="B38" s="78" t="s">
        <v>77</v>
      </c>
      <c r="C38" s="32"/>
      <c r="D38" s="32"/>
      <c r="E38" s="32"/>
      <c r="F38" s="32"/>
      <c r="G38" s="31"/>
      <c r="J38" s="32">
        <f>4059+211</f>
        <v>4270</v>
      </c>
      <c r="K38" s="31">
        <f>4060+184</f>
        <v>4244</v>
      </c>
      <c r="L38" s="32">
        <f>4062+143</f>
        <v>4205</v>
      </c>
      <c r="M38" s="32">
        <f>4326+226</f>
        <v>4552</v>
      </c>
      <c r="N38" s="32">
        <f>4339+168</f>
        <v>4507</v>
      </c>
      <c r="O38" s="31">
        <f>4338+138</f>
        <v>4476</v>
      </c>
      <c r="P38" s="32">
        <f>4331+125</f>
        <v>4456</v>
      </c>
      <c r="Q38" s="32">
        <f>6054+684</f>
        <v>6738</v>
      </c>
      <c r="R38" s="32">
        <f>6284+825</f>
        <v>7109</v>
      </c>
      <c r="S38" s="31"/>
      <c r="V38" s="30">
        <f>6212+778</f>
        <v>6990</v>
      </c>
      <c r="W38" s="31">
        <f>9124+1369</f>
        <v>10493</v>
      </c>
      <c r="X38" s="30">
        <f>9118+1254</f>
        <v>10372</v>
      </c>
      <c r="Y38" s="30">
        <f>9119+1146</f>
        <v>10265</v>
      </c>
      <c r="Z38" s="30">
        <f>9135+1048</f>
        <v>10183</v>
      </c>
    </row>
    <row r="39" spans="2:26" s="30" customFormat="1" x14ac:dyDescent="0.15">
      <c r="B39" s="78" t="s">
        <v>78</v>
      </c>
      <c r="C39" s="32"/>
      <c r="D39" s="32"/>
      <c r="E39" s="32"/>
      <c r="F39" s="32"/>
      <c r="G39" s="31"/>
      <c r="J39" s="32">
        <v>33103</v>
      </c>
      <c r="K39" s="31">
        <v>33493</v>
      </c>
      <c r="L39" s="32">
        <v>35290</v>
      </c>
      <c r="M39" s="32">
        <v>37761</v>
      </c>
      <c r="N39" s="32">
        <v>40774</v>
      </c>
      <c r="O39" s="31">
        <v>42322</v>
      </c>
      <c r="P39" s="32">
        <v>41677</v>
      </c>
      <c r="Q39" s="32">
        <v>43724</v>
      </c>
      <c r="R39" s="32">
        <v>43332</v>
      </c>
      <c r="S39" s="31"/>
      <c r="V39" s="30">
        <v>51333</v>
      </c>
      <c r="W39" s="31">
        <v>54266</v>
      </c>
      <c r="X39" s="30">
        <v>63166</v>
      </c>
      <c r="Y39" s="30">
        <v>65582</v>
      </c>
      <c r="Z39" s="30">
        <v>70379</v>
      </c>
    </row>
    <row r="40" spans="2:26" s="30" customFormat="1" x14ac:dyDescent="0.15">
      <c r="B40" s="78" t="s">
        <v>79</v>
      </c>
      <c r="C40" s="32"/>
      <c r="D40" s="32"/>
      <c r="E40" s="32"/>
      <c r="F40" s="32"/>
      <c r="G40" s="31"/>
      <c r="J40" s="32">
        <v>18391</v>
      </c>
      <c r="K40" s="31">
        <v>18867</v>
      </c>
      <c r="L40" s="32">
        <v>20292</v>
      </c>
      <c r="M40" s="32">
        <v>22329</v>
      </c>
      <c r="N40" s="32">
        <v>24780</v>
      </c>
      <c r="O40" s="31">
        <v>27681</v>
      </c>
      <c r="P40" s="32">
        <v>26658</v>
      </c>
      <c r="Q40" s="32">
        <v>28609</v>
      </c>
      <c r="R40" s="32">
        <v>27946</v>
      </c>
      <c r="S40" s="31"/>
      <c r="V40" s="30">
        <v>34404</v>
      </c>
      <c r="W40" s="31">
        <v>38255</v>
      </c>
      <c r="X40" s="30">
        <v>45482</v>
      </c>
      <c r="Y40" s="30">
        <v>47055</v>
      </c>
      <c r="Z40" s="30">
        <v>50316</v>
      </c>
    </row>
    <row r="41" spans="2:26" s="30" customFormat="1" x14ac:dyDescent="0.15">
      <c r="B41" s="79"/>
      <c r="C41" s="32"/>
      <c r="D41" s="32"/>
      <c r="E41" s="32"/>
      <c r="F41" s="32"/>
      <c r="G41" s="31"/>
      <c r="J41" s="32"/>
      <c r="K41" s="31"/>
      <c r="L41" s="32"/>
      <c r="M41" s="32"/>
      <c r="N41" s="32"/>
      <c r="O41" s="31"/>
      <c r="P41" s="32"/>
      <c r="Q41" s="32"/>
      <c r="R41" s="32"/>
      <c r="S41" s="31"/>
      <c r="W41" s="31"/>
    </row>
    <row r="42" spans="2:26" s="30" customFormat="1" x14ac:dyDescent="0.15">
      <c r="B42" s="78" t="s">
        <v>80</v>
      </c>
      <c r="C42" s="32"/>
      <c r="D42" s="32"/>
      <c r="E42" s="32"/>
      <c r="F42" s="32"/>
      <c r="G42" s="31"/>
      <c r="J42" s="40">
        <f t="shared" ref="J42:Q42" si="75">J39-J38-J35</f>
        <v>22319</v>
      </c>
      <c r="K42" s="41">
        <f t="shared" si="75"/>
        <v>22869</v>
      </c>
      <c r="L42" s="40">
        <f t="shared" si="75"/>
        <v>24483</v>
      </c>
      <c r="M42" s="40">
        <f t="shared" si="75"/>
        <v>26071</v>
      </c>
      <c r="N42" s="40">
        <f t="shared" si="75"/>
        <v>28611</v>
      </c>
      <c r="O42" s="41">
        <f t="shared" si="75"/>
        <v>30053</v>
      </c>
      <c r="P42" s="40">
        <f t="shared" si="75"/>
        <v>30887</v>
      </c>
      <c r="Q42" s="40">
        <f t="shared" si="75"/>
        <v>26453</v>
      </c>
      <c r="R42" s="40">
        <f t="shared" ref="R42" si="76">R39-R38-R35</f>
        <v>26143</v>
      </c>
      <c r="S42" s="31"/>
      <c r="V42" s="40">
        <f>V39-V38-V35</f>
        <v>30719</v>
      </c>
      <c r="W42" s="41">
        <f t="shared" ref="W42" si="77">W39-W38-W35</f>
        <v>31221</v>
      </c>
      <c r="X42" s="40">
        <f t="shared" ref="X42:Y42" si="78">X39-X38-X35</f>
        <v>36571</v>
      </c>
      <c r="Y42" s="40">
        <f t="shared" si="78"/>
        <v>37720</v>
      </c>
      <c r="Z42" s="40">
        <f t="shared" ref="Z42" si="79">Z39-Z38-Z35</f>
        <v>41024</v>
      </c>
    </row>
    <row r="43" spans="2:26" s="30" customFormat="1" x14ac:dyDescent="0.15">
      <c r="B43" s="78" t="s">
        <v>81</v>
      </c>
      <c r="C43" s="32"/>
      <c r="D43" s="32"/>
      <c r="E43" s="32"/>
      <c r="F43" s="32"/>
      <c r="G43" s="31"/>
      <c r="J43" s="40">
        <f t="shared" ref="J43:Q43" si="80">J39-J40</f>
        <v>14712</v>
      </c>
      <c r="K43" s="41">
        <f t="shared" si="80"/>
        <v>14626</v>
      </c>
      <c r="L43" s="40">
        <f t="shared" si="80"/>
        <v>14998</v>
      </c>
      <c r="M43" s="40">
        <f t="shared" si="80"/>
        <v>15432</v>
      </c>
      <c r="N43" s="40">
        <f t="shared" si="80"/>
        <v>15994</v>
      </c>
      <c r="O43" s="41">
        <f t="shared" si="80"/>
        <v>14641</v>
      </c>
      <c r="P43" s="40">
        <f t="shared" si="80"/>
        <v>15019</v>
      </c>
      <c r="Q43" s="40">
        <f t="shared" si="80"/>
        <v>15115</v>
      </c>
      <c r="R43" s="40">
        <f t="shared" ref="R43" si="81">R39-R40</f>
        <v>15386</v>
      </c>
      <c r="S43" s="31"/>
      <c r="V43" s="40">
        <f>V39-V40</f>
        <v>16929</v>
      </c>
      <c r="W43" s="41">
        <f t="shared" ref="W43" si="82">W39-W40</f>
        <v>16011</v>
      </c>
      <c r="X43" s="40">
        <f t="shared" ref="X43:Y43" si="83">X39-X40</f>
        <v>17684</v>
      </c>
      <c r="Y43" s="40">
        <f t="shared" si="83"/>
        <v>18527</v>
      </c>
      <c r="Z43" s="40">
        <f t="shared" ref="Z43" si="84">Z39-Z40</f>
        <v>20063</v>
      </c>
    </row>
    <row r="44" spans="2:26" s="30" customFormat="1" x14ac:dyDescent="0.15">
      <c r="B44" s="78"/>
      <c r="C44" s="32"/>
      <c r="D44" s="32"/>
      <c r="E44" s="32"/>
      <c r="F44" s="32"/>
      <c r="G44" s="31"/>
      <c r="J44" s="32"/>
      <c r="K44" s="31"/>
      <c r="L44" s="32"/>
      <c r="M44" s="32"/>
      <c r="N44" s="32"/>
      <c r="O44" s="31"/>
      <c r="P44" s="32"/>
      <c r="Q44" s="32"/>
      <c r="R44" s="32"/>
      <c r="S44" s="31"/>
      <c r="V44" s="32"/>
      <c r="W44" s="31"/>
    </row>
    <row r="45" spans="2:26" s="56" customFormat="1" x14ac:dyDescent="0.15">
      <c r="B45" s="80" t="s">
        <v>105</v>
      </c>
      <c r="C45" s="38"/>
      <c r="D45" s="38"/>
      <c r="E45" s="38"/>
      <c r="F45" s="38"/>
      <c r="G45" s="39"/>
      <c r="J45" s="35">
        <f t="shared" ref="J45:R45" si="85">SUM(G21:J21)</f>
        <v>1401</v>
      </c>
      <c r="K45" s="36">
        <f t="shared" si="85"/>
        <v>1420</v>
      </c>
      <c r="L45" s="35">
        <f t="shared" si="85"/>
        <v>1508</v>
      </c>
      <c r="M45" s="35">
        <f t="shared" si="85"/>
        <v>1565</v>
      </c>
      <c r="N45" s="35">
        <f t="shared" si="85"/>
        <v>1795</v>
      </c>
      <c r="O45" s="36">
        <f t="shared" si="85"/>
        <v>1922</v>
      </c>
      <c r="P45" s="35">
        <f t="shared" si="85"/>
        <v>2037</v>
      </c>
      <c r="Q45" s="35">
        <f t="shared" si="85"/>
        <v>2093</v>
      </c>
      <c r="R45" s="35">
        <f t="shared" si="85"/>
        <v>2057</v>
      </c>
      <c r="S45" s="39"/>
      <c r="V45" s="35">
        <f>SUM(R21:U21)</f>
        <v>2536</v>
      </c>
      <c r="W45" s="36">
        <f t="shared" ref="W45:Y45" si="86">SUM(T21:W21)</f>
        <v>1875.9999999999991</v>
      </c>
      <c r="X45" s="35">
        <f t="shared" si="86"/>
        <v>2582.9999999999991</v>
      </c>
      <c r="Y45" s="35">
        <f t="shared" si="86"/>
        <v>3141.9999999999991</v>
      </c>
      <c r="Z45" s="35">
        <f>SUM(W21:Z21)</f>
        <v>4202</v>
      </c>
    </row>
    <row r="46" spans="2:26" s="48" customFormat="1" x14ac:dyDescent="0.15">
      <c r="B46" s="73" t="s">
        <v>82</v>
      </c>
      <c r="C46" s="46"/>
      <c r="D46" s="46"/>
      <c r="E46" s="46"/>
      <c r="F46" s="46"/>
      <c r="G46" s="47"/>
      <c r="J46" s="46">
        <f t="shared" ref="J46:R46" si="87">J45/J43</f>
        <v>9.5228384991843398E-2</v>
      </c>
      <c r="K46" s="47">
        <f t="shared" si="87"/>
        <v>9.7087378640776698E-2</v>
      </c>
      <c r="L46" s="46">
        <f t="shared" si="87"/>
        <v>0.10054673956527536</v>
      </c>
      <c r="M46" s="46">
        <f t="shared" si="87"/>
        <v>0.10141264904095386</v>
      </c>
      <c r="N46" s="46">
        <f t="shared" si="87"/>
        <v>0.11222958609478555</v>
      </c>
      <c r="O46" s="47">
        <f t="shared" si="87"/>
        <v>0.13127518612116659</v>
      </c>
      <c r="P46" s="46">
        <f t="shared" si="87"/>
        <v>0.13562820427458552</v>
      </c>
      <c r="Q46" s="46">
        <f t="shared" si="87"/>
        <v>0.13847171683757856</v>
      </c>
      <c r="R46" s="46">
        <f t="shared" si="87"/>
        <v>0.13369296763291305</v>
      </c>
      <c r="S46" s="47"/>
      <c r="V46" s="46">
        <f>V45/V43</f>
        <v>0.14980211471439542</v>
      </c>
      <c r="W46" s="47">
        <f t="shared" ref="W46" si="88">W45/W43</f>
        <v>0.11716944600587091</v>
      </c>
      <c r="X46" s="46">
        <f t="shared" ref="X46:Y46" si="89">X45/X43</f>
        <v>0.14606423885998637</v>
      </c>
      <c r="Y46" s="46">
        <f t="shared" si="89"/>
        <v>0.16959032762994544</v>
      </c>
      <c r="Z46" s="46">
        <f t="shared" ref="Z46" si="90">Z45/Z43</f>
        <v>0.2094402631710113</v>
      </c>
    </row>
    <row r="47" spans="2:26" s="48" customFormat="1" x14ac:dyDescent="0.15">
      <c r="B47" s="73" t="s">
        <v>83</v>
      </c>
      <c r="C47" s="46"/>
      <c r="D47" s="46"/>
      <c r="E47" s="46"/>
      <c r="F47" s="46"/>
      <c r="G47" s="47"/>
      <c r="J47" s="46">
        <f t="shared" ref="J47:Q47" si="91">J45/J39</f>
        <v>4.2322448116484911E-2</v>
      </c>
      <c r="K47" s="47">
        <f t="shared" si="91"/>
        <v>4.2396918759143705E-2</v>
      </c>
      <c r="L47" s="46">
        <f t="shared" si="91"/>
        <v>4.2731652026069711E-2</v>
      </c>
      <c r="M47" s="46">
        <f t="shared" si="91"/>
        <v>4.1444876989486505E-2</v>
      </c>
      <c r="N47" s="46">
        <f t="shared" si="91"/>
        <v>4.4023152008632951E-2</v>
      </c>
      <c r="O47" s="47">
        <f t="shared" si="91"/>
        <v>4.5413732810358681E-2</v>
      </c>
      <c r="P47" s="46">
        <f t="shared" si="91"/>
        <v>4.8875878782062052E-2</v>
      </c>
      <c r="Q47" s="46">
        <f t="shared" si="91"/>
        <v>4.7868447534534807E-2</v>
      </c>
      <c r="R47" s="46">
        <f t="shared" ref="R47" si="92">R45/R39</f>
        <v>4.7470691405889415E-2</v>
      </c>
      <c r="S47" s="47"/>
      <c r="V47" s="46">
        <f>V45/V39</f>
        <v>4.9402918200767539E-2</v>
      </c>
      <c r="W47" s="47">
        <f t="shared" ref="W47" si="93">W45/W39</f>
        <v>3.4570449268418513E-2</v>
      </c>
      <c r="X47" s="46">
        <f t="shared" ref="X47:Y47" si="94">X45/X39</f>
        <v>4.0892252160972663E-2</v>
      </c>
      <c r="Y47" s="46">
        <f t="shared" si="94"/>
        <v>4.7909487359336388E-2</v>
      </c>
      <c r="Z47" s="46">
        <f t="shared" ref="Z47" si="95">Z45/Z39</f>
        <v>5.970530982253229E-2</v>
      </c>
    </row>
    <row r="48" spans="2:26" s="48" customFormat="1" x14ac:dyDescent="0.15">
      <c r="B48" s="73" t="s">
        <v>84</v>
      </c>
      <c r="C48" s="46"/>
      <c r="D48" s="46"/>
      <c r="E48" s="46"/>
      <c r="F48" s="46"/>
      <c r="G48" s="47"/>
      <c r="J48" s="46">
        <f t="shared" ref="J48:Q48" si="96">J45/(J43-J38)</f>
        <v>0.1341696992913235</v>
      </c>
      <c r="K48" s="47">
        <f t="shared" si="96"/>
        <v>0.13677518782508188</v>
      </c>
      <c r="L48" s="46">
        <f t="shared" si="96"/>
        <v>0.13972018901139627</v>
      </c>
      <c r="M48" s="46">
        <f t="shared" si="96"/>
        <v>0.14384191176470587</v>
      </c>
      <c r="N48" s="46">
        <f t="shared" si="96"/>
        <v>0.15626360233307218</v>
      </c>
      <c r="O48" s="47">
        <f t="shared" si="96"/>
        <v>0.18908017707820954</v>
      </c>
      <c r="P48" s="46">
        <f t="shared" si="96"/>
        <v>0.19284294234592445</v>
      </c>
      <c r="Q48" s="46">
        <f t="shared" si="96"/>
        <v>0.24985078190282917</v>
      </c>
      <c r="R48" s="46">
        <f t="shared" ref="R48" si="97">R45/(R43-R38)</f>
        <v>0.24851999516733117</v>
      </c>
      <c r="S48" s="47"/>
      <c r="V48" s="46">
        <f>V45/(V43-V38)</f>
        <v>0.25515645437166717</v>
      </c>
      <c r="W48" s="47">
        <f t="shared" ref="W48" si="98">W45/(W43-W38)</f>
        <v>0.33997825299021367</v>
      </c>
      <c r="X48" s="46">
        <f t="shared" ref="X48:Y48" si="99">X45/(X43-X38)</f>
        <v>0.35325492341356662</v>
      </c>
      <c r="Y48" s="46">
        <f t="shared" si="99"/>
        <v>0.38029532800774618</v>
      </c>
      <c r="Z48" s="46">
        <f t="shared" ref="Z48" si="100">Z45/(Z43-Z38)</f>
        <v>0.42530364372469637</v>
      </c>
    </row>
    <row r="49" spans="2:26" s="48" customFormat="1" x14ac:dyDescent="0.15">
      <c r="B49" s="73" t="s">
        <v>85</v>
      </c>
      <c r="C49" s="46"/>
      <c r="D49" s="46"/>
      <c r="E49" s="46"/>
      <c r="F49" s="46"/>
      <c r="G49" s="47"/>
      <c r="J49" s="46">
        <f t="shared" ref="J49:Q49" si="101">J45/J42</f>
        <v>6.2771629553295405E-2</v>
      </c>
      <c r="K49" s="47">
        <f t="shared" si="101"/>
        <v>6.209278936551664E-2</v>
      </c>
      <c r="L49" s="46">
        <f t="shared" si="101"/>
        <v>6.1593758934771065E-2</v>
      </c>
      <c r="M49" s="46">
        <f t="shared" si="101"/>
        <v>6.0028384028230602E-2</v>
      </c>
      <c r="N49" s="46">
        <f t="shared" si="101"/>
        <v>6.273810772080668E-2</v>
      </c>
      <c r="O49" s="47">
        <f t="shared" si="101"/>
        <v>6.3953681828769177E-2</v>
      </c>
      <c r="P49" s="46">
        <f t="shared" si="101"/>
        <v>6.5950076083789291E-2</v>
      </c>
      <c r="Q49" s="46">
        <f t="shared" si="101"/>
        <v>7.9121460703889923E-2</v>
      </c>
      <c r="R49" s="46">
        <f t="shared" ref="R49" si="102">R45/R42</f>
        <v>7.8682630149562019E-2</v>
      </c>
      <c r="S49" s="47"/>
      <c r="V49" s="46">
        <f>V45/V42</f>
        <v>8.2554770663107527E-2</v>
      </c>
      <c r="W49" s="47">
        <f t="shared" ref="W49" si="103">W45/W42</f>
        <v>6.0087761442618723E-2</v>
      </c>
      <c r="X49" s="46">
        <f t="shared" ref="X49:Y49" si="104">X45/X42</f>
        <v>7.0629733942194614E-2</v>
      </c>
      <c r="Y49" s="46">
        <f t="shared" si="104"/>
        <v>8.3297985153764562E-2</v>
      </c>
      <c r="Z49" s="46">
        <f t="shared" ref="Z49" si="105">Z45/Z42</f>
        <v>0.10242784711388456</v>
      </c>
    </row>
    <row r="50" spans="2:26" x14ac:dyDescent="0.15">
      <c r="C50" s="30"/>
      <c r="D50" s="30"/>
      <c r="E50" s="30"/>
      <c r="F50" s="30"/>
      <c r="G50" s="31"/>
      <c r="H50" s="30"/>
      <c r="I50" s="30"/>
      <c r="J50" s="30"/>
      <c r="K50" s="31"/>
      <c r="L50" s="30"/>
      <c r="M50" s="30"/>
      <c r="N50" s="30"/>
    </row>
    <row r="51" spans="2:26" s="92" customFormat="1" x14ac:dyDescent="0.15">
      <c r="B51" s="71" t="s">
        <v>102</v>
      </c>
      <c r="C51" s="56"/>
      <c r="D51" s="56"/>
      <c r="E51" s="56"/>
      <c r="F51" s="37">
        <f>SUM(C10:F10)</f>
        <v>9248</v>
      </c>
      <c r="G51" s="36">
        <f>SUM(D10:G10)</f>
        <v>9655</v>
      </c>
      <c r="H51" s="37">
        <f>SUM(E10:H10)</f>
        <v>10008</v>
      </c>
      <c r="I51" s="37">
        <f>SUM(F10:I10)</f>
        <v>10417</v>
      </c>
      <c r="J51" s="37">
        <f>SUM(G10:J10)</f>
        <v>10842</v>
      </c>
      <c r="K51" s="36">
        <f>SUM(H10:K10)</f>
        <v>11273</v>
      </c>
      <c r="L51" s="37">
        <f>SUM(I10:L10)</f>
        <v>11759</v>
      </c>
      <c r="M51" s="37">
        <f>SUM(J10:M10)</f>
        <v>12331</v>
      </c>
      <c r="N51" s="37">
        <f>SUM(K10:N10)</f>
        <v>13094</v>
      </c>
      <c r="O51" s="36">
        <f>SUM(L10:O10)</f>
        <v>13804</v>
      </c>
      <c r="P51" s="37">
        <f>SUM(M10:P10)</f>
        <v>14525</v>
      </c>
      <c r="Q51" s="37">
        <f>SUM(N10:Q10)</f>
        <v>14969</v>
      </c>
      <c r="R51" s="37">
        <f>SUM(O10:R10)</f>
        <v>15451</v>
      </c>
      <c r="S51" s="36">
        <f>SUM(P10:S10)</f>
        <v>15894</v>
      </c>
      <c r="T51" s="37">
        <f>SUM(Q10:T10)</f>
        <v>16342</v>
      </c>
      <c r="U51" s="37">
        <f>SUM(R10:U10)</f>
        <v>17037</v>
      </c>
      <c r="V51" s="37">
        <f>SUM(S10:V10)</f>
        <v>17772</v>
      </c>
      <c r="W51" s="36">
        <f>SUM(T10:W10)</f>
        <v>18262</v>
      </c>
      <c r="X51" s="37">
        <f>SUM(U10:X10)</f>
        <v>19218</v>
      </c>
      <c r="Y51" s="37">
        <f>SUM(V10:Y10)</f>
        <v>20299</v>
      </c>
      <c r="Z51" s="37">
        <f>SUM(W10:Z10)</f>
        <v>21454</v>
      </c>
    </row>
    <row r="52" spans="2:26" s="94" customFormat="1" x14ac:dyDescent="0.15">
      <c r="B52" s="93" t="s">
        <v>103</v>
      </c>
      <c r="G52" s="95"/>
      <c r="J52" s="94">
        <f>J51/F51-1</f>
        <v>0.17236159169550169</v>
      </c>
      <c r="K52" s="95">
        <f>K51/G51-1</f>
        <v>0.16758156395649926</v>
      </c>
      <c r="L52" s="94">
        <f>L51/H51-1</f>
        <v>0.17496003197442045</v>
      </c>
      <c r="M52" s="94">
        <f>M51/I51-1</f>
        <v>0.18373812038014781</v>
      </c>
      <c r="N52" s="94">
        <f>N51/J51-1</f>
        <v>0.20771075447334431</v>
      </c>
      <c r="O52" s="95">
        <f>O51/K51-1</f>
        <v>0.22451876164286344</v>
      </c>
      <c r="P52" s="94">
        <f>P51/L51-1</f>
        <v>0.23522408368058501</v>
      </c>
      <c r="Q52" s="94">
        <f>Q51/M51-1</f>
        <v>0.2139323655826777</v>
      </c>
      <c r="R52" s="94">
        <f>R51/N51-1</f>
        <v>0.18000610966855057</v>
      </c>
      <c r="S52" s="95">
        <f>S51/O51-1</f>
        <v>0.15140538974210371</v>
      </c>
      <c r="T52" s="94">
        <f>T51/P51-1</f>
        <v>0.12509466437177275</v>
      </c>
      <c r="U52" s="94">
        <f>U51/Q51-1</f>
        <v>0.13815218117442707</v>
      </c>
      <c r="V52" s="94">
        <f>V51/R51-1</f>
        <v>0.15021681444566704</v>
      </c>
      <c r="W52" s="95">
        <f>W51/S51-1</f>
        <v>0.14898703913426448</v>
      </c>
      <c r="X52" s="94">
        <f>X51/T51-1</f>
        <v>0.1759882511320523</v>
      </c>
      <c r="Y52" s="94">
        <f>Y51/U51-1</f>
        <v>0.1914656336209426</v>
      </c>
      <c r="Z52" s="94">
        <f>Z51/V51-1</f>
        <v>0.20717983344586988</v>
      </c>
    </row>
    <row r="53" spans="2:26" x14ac:dyDescent="0.15">
      <c r="C53" s="30"/>
      <c r="D53" s="30"/>
      <c r="E53" s="30"/>
      <c r="F53" s="30"/>
      <c r="G53" s="31"/>
      <c r="H53" s="30"/>
      <c r="I53" s="30"/>
      <c r="J53" s="30"/>
      <c r="K53" s="31"/>
      <c r="L53" s="30"/>
      <c r="M53" s="30"/>
      <c r="N53" s="30"/>
    </row>
    <row r="54" spans="2:26" s="48" customFormat="1" x14ac:dyDescent="0.15">
      <c r="B54" s="81" t="s">
        <v>104</v>
      </c>
      <c r="G54" s="47">
        <f t="shared" ref="G54" si="106">G4/C4-1</f>
        <v>0.16927899686520376</v>
      </c>
      <c r="H54" s="48">
        <f t="shared" ref="H54" si="107">H4/D4-1</f>
        <v>0.17918781725888322</v>
      </c>
      <c r="I54" s="48">
        <f t="shared" ref="I54" si="108">I4/E4-1</f>
        <v>0.16750756811301715</v>
      </c>
      <c r="J54" s="48">
        <f>J4/F4-1</f>
        <v>0.15605658709106995</v>
      </c>
      <c r="K54" s="47">
        <f t="shared" ref="K54" si="109">K4/G4-1</f>
        <v>0.17247542448614839</v>
      </c>
      <c r="L54" s="48">
        <f t="shared" ref="L54" si="110">L4/H4-1</f>
        <v>0.19457597933706405</v>
      </c>
      <c r="M54" s="48">
        <f t="shared" ref="M54" si="111">M4/I4-1</f>
        <v>0.23509075194468454</v>
      </c>
      <c r="N54" s="48">
        <f>N4/J4-1</f>
        <v>0.23173996175908229</v>
      </c>
      <c r="O54" s="47">
        <f t="shared" ref="O54" si="112">O4/K4-1</f>
        <v>0.21836890243902429</v>
      </c>
      <c r="P54" s="48">
        <f t="shared" ref="P54" si="113">P4/L4-1</f>
        <v>0.19567567567567568</v>
      </c>
      <c r="Q54" s="48">
        <f t="shared" ref="Q54" si="114">Q4/M4-1</f>
        <v>0.16969909027291807</v>
      </c>
      <c r="R54" s="48">
        <f>R4/N4-1</f>
        <v>0.19559143123253642</v>
      </c>
      <c r="S54" s="47">
        <f t="shared" ref="S54" si="115">S4/O4-1</f>
        <v>0.16703159211761021</v>
      </c>
      <c r="T54" s="48">
        <f t="shared" ref="T54" si="116">T4/P4-1</f>
        <v>0.16877637130801681</v>
      </c>
      <c r="U54" s="48">
        <f t="shared" ref="U54" si="117">U4/Q4-1</f>
        <v>0.18306909961112772</v>
      </c>
      <c r="V54" s="48">
        <f>V4/R4-1</f>
        <v>0.17761620358348473</v>
      </c>
      <c r="W54" s="47">
        <f t="shared" ref="W54:Y54" si="118">W4/S4-1</f>
        <v>0.12972393460198339</v>
      </c>
      <c r="X54" s="48">
        <f t="shared" si="118"/>
        <v>0.275141825683342</v>
      </c>
      <c r="Y54" s="48">
        <f t="shared" si="118"/>
        <v>0.28343868520859661</v>
      </c>
      <c r="Z54" s="48">
        <f>Z4/V4-1</f>
        <v>0.25292171995589863</v>
      </c>
    </row>
    <row r="55" spans="2:26" s="48" customFormat="1" x14ac:dyDescent="0.15">
      <c r="B55" s="81" t="s">
        <v>101</v>
      </c>
      <c r="G55" s="47">
        <f>G5/C5-1</f>
        <v>0.37219730941704032</v>
      </c>
      <c r="H55" s="48">
        <f t="shared" ref="H55" si="119">H5/D5-1</f>
        <v>0</v>
      </c>
      <c r="I55" s="48">
        <f t="shared" ref="I55" si="120">I5/E5-1</f>
        <v>0.27898550724637672</v>
      </c>
      <c r="J55" s="48">
        <f>J5/F5-1</f>
        <v>0.24489795918367352</v>
      </c>
      <c r="K55" s="47">
        <f t="shared" ref="K55" si="121">K5/G5-1</f>
        <v>0.14705882352941169</v>
      </c>
      <c r="L55" s="48">
        <f t="shared" ref="L55" si="122">L5/H5-1</f>
        <v>0.10397553516819569</v>
      </c>
      <c r="M55" s="48">
        <f t="shared" ref="M55" si="123">M5/I5-1</f>
        <v>7.932011331444766E-2</v>
      </c>
      <c r="N55" s="48">
        <f>N5/J5-1</f>
        <v>0.4289617486338797</v>
      </c>
      <c r="O55" s="47">
        <f t="shared" ref="O55" si="124">O5/K5-1</f>
        <v>0.39031339031339041</v>
      </c>
      <c r="P55" s="48">
        <f t="shared" ref="P55" si="125">P5/L5-1</f>
        <v>0.49307479224376727</v>
      </c>
      <c r="Q55" s="48">
        <f t="shared" ref="Q55" si="126">Q5/M5-1</f>
        <v>-0.1076115485564304</v>
      </c>
      <c r="R55" s="48">
        <f>R5/N5-1</f>
        <v>-0.28298279158699813</v>
      </c>
      <c r="S55" s="47">
        <f t="shared" ref="S55" si="127">S5/O5-1</f>
        <v>-0.18647540983606559</v>
      </c>
      <c r="T55" s="48">
        <f t="shared" ref="T55" si="128">T5/P5-1</f>
        <v>-0.20779220779220775</v>
      </c>
      <c r="U55" s="48">
        <f t="shared" ref="U55" si="129">U5/Q5-1</f>
        <v>0.24411764705882355</v>
      </c>
      <c r="V55" s="48">
        <f>V5/R5-1</f>
        <v>0.1359999999999999</v>
      </c>
      <c r="W55" s="47">
        <f t="shared" ref="W55" si="130">W5/S5-1</f>
        <v>1.5113350125944613E-2</v>
      </c>
      <c r="X55" s="48">
        <f>X5/T5-1</f>
        <v>-0.25995316159250581</v>
      </c>
      <c r="Y55" s="48">
        <f t="shared" ref="Y55" si="131">Y5/U5-1</f>
        <v>-9.4562647754137141E-2</v>
      </c>
      <c r="Z55" s="48">
        <f>Z5/V5-1</f>
        <v>1.8779342723004744E-2</v>
      </c>
    </row>
    <row r="56" spans="2:26" x14ac:dyDescent="0.15">
      <c r="C56" s="30"/>
      <c r="D56" s="30"/>
      <c r="E56" s="30"/>
      <c r="F56" s="30"/>
      <c r="G56" s="31"/>
      <c r="H56" s="30"/>
      <c r="I56" s="30"/>
      <c r="J56" s="30"/>
      <c r="K56" s="31"/>
      <c r="L56" s="30"/>
      <c r="M56" s="30"/>
      <c r="N56" s="30"/>
    </row>
    <row r="57" spans="2:26" x14ac:dyDescent="0.15">
      <c r="B57" s="69" t="s">
        <v>88</v>
      </c>
      <c r="G57" s="47">
        <f>G7/C7-1</f>
        <v>0.11515151515151523</v>
      </c>
      <c r="H57" s="48">
        <f>H7/D7-1</f>
        <v>0.11242603550295849</v>
      </c>
      <c r="I57" s="48">
        <f>I7/E7-1</f>
        <v>0.10982658959537561</v>
      </c>
      <c r="J57" s="48">
        <f>J7/F7-1</f>
        <v>0.1005586592178771</v>
      </c>
      <c r="K57" s="47">
        <f>K7/G7-1</f>
        <v>0.11413043478260865</v>
      </c>
      <c r="L57" s="48">
        <f>L7/H7-1</f>
        <v>0.12765957446808507</v>
      </c>
      <c r="M57" s="48">
        <f>M7/I7-1</f>
        <v>0.14583333333333326</v>
      </c>
      <c r="N57" s="48">
        <f>N7/J7-1</f>
        <v>0.15228426395939088</v>
      </c>
      <c r="O57" s="47">
        <f>O7/K7-1</f>
        <v>0.15609756097560967</v>
      </c>
      <c r="P57" s="48">
        <f>P7/L7-1</f>
        <v>0.15094339622641506</v>
      </c>
      <c r="Q57" s="48">
        <f>Q7/M7-1</f>
        <v>0.15454545454545454</v>
      </c>
      <c r="R57" s="66">
        <f>R7/N7-1</f>
        <v>0.17621145374449343</v>
      </c>
      <c r="S57" s="47">
        <f>S7/O7-1</f>
        <v>0.16877637130801681</v>
      </c>
      <c r="T57" s="48">
        <f>T7/P7-1</f>
        <v>0.17213114754098369</v>
      </c>
      <c r="U57" s="48">
        <f>U7/Q7-1</f>
        <v>0.1614173228346456</v>
      </c>
      <c r="V57" s="48">
        <f>V7/R7-1</f>
        <v>0.14232209737827706</v>
      </c>
      <c r="W57" s="47">
        <f>W7/S7-1</f>
        <v>0.1732851985559567</v>
      </c>
      <c r="X57" s="48">
        <f>X7/T7-1</f>
        <v>0.20979020979020979</v>
      </c>
      <c r="Y57" s="48">
        <f>Y7/U7-1</f>
        <v>0.22372881355932206</v>
      </c>
      <c r="Z57" s="48">
        <f>Z7/V7-1</f>
        <v>0.23606557377049175</v>
      </c>
    </row>
    <row r="58" spans="2:26" x14ac:dyDescent="0.15">
      <c r="B58" s="69" t="s">
        <v>86</v>
      </c>
      <c r="G58" s="47">
        <f>G8/C8-1</f>
        <v>6.7526601696811905E-2</v>
      </c>
      <c r="H58" s="48">
        <f>H8/D8-1</f>
        <v>3.7083522448336792E-2</v>
      </c>
      <c r="I58" s="48">
        <f>I8/E8-1</f>
        <v>6.4250719663418998E-2</v>
      </c>
      <c r="J58" s="48">
        <f>J8/F8-1</f>
        <v>5.971219306816633E-2</v>
      </c>
      <c r="K58" s="47">
        <f>K8/G8-1</f>
        <v>4.9624175487037903E-2</v>
      </c>
      <c r="L58" s="48">
        <f>L8/H8-1</f>
        <v>4.9426842292630724E-2</v>
      </c>
      <c r="M58" s="48">
        <f>M8/I8-1</f>
        <v>5.9903875651907246E-2</v>
      </c>
      <c r="N58" s="48">
        <f>N8/J8-1</f>
        <v>8.9969217673754764E-2</v>
      </c>
      <c r="O58" s="47">
        <f>O8/K8-1</f>
        <v>7.1410842818139919E-2</v>
      </c>
      <c r="P58" s="48">
        <f>P8/L8-1</f>
        <v>6.8610948477751732E-2</v>
      </c>
      <c r="Q58" s="48">
        <f>Q8/M8-1</f>
        <v>-1.5128125964803951E-2</v>
      </c>
      <c r="R58" s="66">
        <f>R8/N8-1</f>
        <v>-4.0360206792791176E-2</v>
      </c>
      <c r="S58" s="47">
        <f>S8/O8-1</f>
        <v>-4.1547105300540288E-2</v>
      </c>
      <c r="T58" s="48">
        <f>T8/P8-1</f>
        <v>-4.7758049572931616E-2</v>
      </c>
      <c r="U58" s="48">
        <f>U8/Q8-1</f>
        <v>2.3495032144944528E-2</v>
      </c>
      <c r="V58" s="48">
        <f>V8/R8-1</f>
        <v>2.7664031405894685E-2</v>
      </c>
      <c r="W58" s="47">
        <f>W8/S8-1</f>
        <v>-4.6522063208109699E-2</v>
      </c>
      <c r="X58" s="48">
        <f>X8/T8-1</f>
        <v>1.0148167542782138E-2</v>
      </c>
      <c r="Y58" s="48">
        <f>Y8/U8-1</f>
        <v>1.8948304858465104E-2</v>
      </c>
      <c r="Z58" s="48">
        <f>Z8/V8-1</f>
        <v>-2.6289942185651061E-3</v>
      </c>
    </row>
    <row r="59" spans="2:26" x14ac:dyDescent="0.15">
      <c r="C59" s="30"/>
      <c r="D59" s="30"/>
      <c r="E59" s="30"/>
      <c r="F59" s="30"/>
      <c r="G59" s="31"/>
      <c r="H59" s="30"/>
      <c r="I59" s="30"/>
      <c r="J59" s="30"/>
      <c r="K59" s="31"/>
      <c r="L59" s="30"/>
      <c r="M59" s="30"/>
      <c r="N59" s="30"/>
    </row>
    <row r="60" spans="2:26" s="30" customFormat="1" x14ac:dyDescent="0.15">
      <c r="B60" s="74" t="s">
        <v>58</v>
      </c>
      <c r="C60" s="30">
        <v>1123</v>
      </c>
      <c r="D60" s="30">
        <v>1161</v>
      </c>
      <c r="E60" s="30">
        <v>1216</v>
      </c>
      <c r="F60" s="30">
        <v>1428</v>
      </c>
      <c r="G60" s="31">
        <v>1414</v>
      </c>
      <c r="H60" s="30">
        <v>1448</v>
      </c>
      <c r="I60" s="30">
        <v>1512</v>
      </c>
      <c r="J60" s="30">
        <v>1755</v>
      </c>
      <c r="K60" s="31">
        <v>1771</v>
      </c>
      <c r="L60" s="30">
        <v>1817</v>
      </c>
      <c r="M60" s="30">
        <v>1941</v>
      </c>
      <c r="N60" s="30">
        <v>2199</v>
      </c>
      <c r="O60" s="31">
        <v>2214</v>
      </c>
      <c r="P60" s="30">
        <v>2327</v>
      </c>
      <c r="Q60" s="30">
        <v>2463</v>
      </c>
      <c r="R60" s="59">
        <v>2867</v>
      </c>
      <c r="S60" s="31">
        <v>2838</v>
      </c>
      <c r="T60" s="30">
        <v>2973</v>
      </c>
      <c r="U60" s="30">
        <v>3090</v>
      </c>
      <c r="V60" s="30">
        <v>3461</v>
      </c>
      <c r="W60" s="31">
        <v>3261</v>
      </c>
      <c r="X60" s="30">
        <v>3742</v>
      </c>
      <c r="Y60" s="30">
        <v>4013</v>
      </c>
      <c r="Z60" s="30">
        <v>4408</v>
      </c>
    </row>
    <row r="61" spans="2:26" s="30" customFormat="1" x14ac:dyDescent="0.15">
      <c r="B61" s="74" t="s">
        <v>60</v>
      </c>
      <c r="C61" s="30">
        <v>63021</v>
      </c>
      <c r="D61" s="30">
        <v>67482</v>
      </c>
      <c r="E61" s="30">
        <v>69738</v>
      </c>
      <c r="F61" s="30">
        <v>81523</v>
      </c>
      <c r="G61" s="31">
        <v>81056</v>
      </c>
      <c r="H61" s="30">
        <v>86208</v>
      </c>
      <c r="I61" s="30">
        <v>87403</v>
      </c>
      <c r="J61" s="30">
        <v>99348</v>
      </c>
      <c r="K61" s="31">
        <v>100639</v>
      </c>
      <c r="L61" s="30">
        <v>107800</v>
      </c>
      <c r="M61" s="30">
        <v>115224</v>
      </c>
      <c r="N61" s="30">
        <v>131449</v>
      </c>
      <c r="O61" s="31">
        <v>132364</v>
      </c>
      <c r="P61" s="30">
        <v>139403</v>
      </c>
      <c r="Q61" s="30">
        <v>143004</v>
      </c>
      <c r="R61" s="59">
        <v>163648</v>
      </c>
      <c r="S61" s="31">
        <v>161492</v>
      </c>
      <c r="T61" s="30">
        <v>172359</v>
      </c>
      <c r="U61" s="30">
        <v>178670</v>
      </c>
      <c r="V61" s="30">
        <v>199404</v>
      </c>
      <c r="W61" s="31">
        <v>190567</v>
      </c>
      <c r="X61" s="30">
        <v>221731</v>
      </c>
      <c r="Y61" s="30">
        <v>246691</v>
      </c>
      <c r="Z61" s="30">
        <v>277072</v>
      </c>
    </row>
    <row r="62" spans="2:26" x14ac:dyDescent="0.15">
      <c r="D62" s="30"/>
    </row>
    <row r="63" spans="2:26" s="48" customFormat="1" x14ac:dyDescent="0.15">
      <c r="B63" s="81" t="s">
        <v>97</v>
      </c>
      <c r="G63" s="47">
        <f>G60/C60-1</f>
        <v>0.25912733748886918</v>
      </c>
      <c r="H63" s="48">
        <f>H60/D60-1</f>
        <v>0.24720068906115422</v>
      </c>
      <c r="I63" s="48">
        <f t="shared" ref="I63:Y63" si="132">I60/E60-1</f>
        <v>0.24342105263157898</v>
      </c>
      <c r="J63" s="48">
        <f t="shared" si="132"/>
        <v>0.22899159663865554</v>
      </c>
      <c r="K63" s="47">
        <f t="shared" si="132"/>
        <v>0.25247524752475248</v>
      </c>
      <c r="L63" s="48">
        <f t="shared" si="132"/>
        <v>0.25483425414364635</v>
      </c>
      <c r="M63" s="48">
        <f t="shared" si="132"/>
        <v>0.28373015873015883</v>
      </c>
      <c r="N63" s="48">
        <f t="shared" si="132"/>
        <v>0.25299145299145298</v>
      </c>
      <c r="O63" s="47">
        <f t="shared" si="132"/>
        <v>0.25014116318464152</v>
      </c>
      <c r="P63" s="48">
        <f t="shared" si="132"/>
        <v>0.28068244358833239</v>
      </c>
      <c r="Q63" s="48">
        <f t="shared" si="132"/>
        <v>0.26893353941267395</v>
      </c>
      <c r="R63" s="48">
        <f t="shared" si="132"/>
        <v>0.303774442928604</v>
      </c>
      <c r="S63" s="47">
        <f t="shared" si="132"/>
        <v>0.28184281842818426</v>
      </c>
      <c r="T63" s="48">
        <f t="shared" si="132"/>
        <v>0.27761065749892566</v>
      </c>
      <c r="U63" s="48">
        <f t="shared" si="132"/>
        <v>0.25456760048721061</v>
      </c>
      <c r="V63" s="48">
        <f t="shared" si="132"/>
        <v>0.20718521102197429</v>
      </c>
      <c r="W63" s="47">
        <f t="shared" si="132"/>
        <v>0.14904862579281186</v>
      </c>
      <c r="X63" s="48">
        <f t="shared" si="132"/>
        <v>0.25866128489740992</v>
      </c>
      <c r="Y63" s="48">
        <f t="shared" si="132"/>
        <v>0.29870550161812304</v>
      </c>
      <c r="Z63" s="48">
        <f>Z60/V60-1</f>
        <v>0.27362034094192422</v>
      </c>
    </row>
    <row r="64" spans="2:26" s="48" customFormat="1" x14ac:dyDescent="0.15">
      <c r="B64" s="81" t="s">
        <v>98</v>
      </c>
      <c r="G64" s="47">
        <f>G61/C61-1</f>
        <v>0.28617444978657902</v>
      </c>
      <c r="H64" s="48">
        <f>H61/D61-1</f>
        <v>0.2774962212145462</v>
      </c>
      <c r="I64" s="48">
        <f t="shared" ref="I64:Z64" si="133">I61/E61-1</f>
        <v>0.25330522813960821</v>
      </c>
      <c r="J64" s="48">
        <f t="shared" si="133"/>
        <v>0.21864995154741607</v>
      </c>
      <c r="K64" s="47">
        <f t="shared" si="133"/>
        <v>0.24159840110540864</v>
      </c>
      <c r="L64" s="48">
        <f t="shared" si="133"/>
        <v>0.25046399406087594</v>
      </c>
      <c r="M64" s="48">
        <f t="shared" si="133"/>
        <v>0.31830715192842352</v>
      </c>
      <c r="N64" s="48">
        <f t="shared" si="133"/>
        <v>0.32311672102105726</v>
      </c>
      <c r="O64" s="47">
        <f t="shared" si="133"/>
        <v>0.31523564423334882</v>
      </c>
      <c r="P64" s="48">
        <f t="shared" si="133"/>
        <v>0.29316326530612247</v>
      </c>
      <c r="Q64" s="48">
        <f t="shared" si="133"/>
        <v>0.24109560508227457</v>
      </c>
      <c r="R64" s="48">
        <f t="shared" si="133"/>
        <v>0.2449543168833539</v>
      </c>
      <c r="S64" s="47">
        <f t="shared" si="133"/>
        <v>0.22005983500045323</v>
      </c>
      <c r="T64" s="48">
        <f t="shared" si="133"/>
        <v>0.23640811173360698</v>
      </c>
      <c r="U64" s="48">
        <f t="shared" si="133"/>
        <v>0.24940561103185921</v>
      </c>
      <c r="V64" s="48">
        <f t="shared" si="133"/>
        <v>0.21849335158388739</v>
      </c>
      <c r="W64" s="47">
        <f t="shared" si="133"/>
        <v>0.18003987813637834</v>
      </c>
      <c r="X64" s="48">
        <f t="shared" si="133"/>
        <v>0.28644863337568682</v>
      </c>
      <c r="Y64" s="48">
        <f t="shared" si="133"/>
        <v>0.3807074494878826</v>
      </c>
      <c r="Z64" s="48">
        <f t="shared" si="133"/>
        <v>0.38950071212212389</v>
      </c>
    </row>
    <row r="65" spans="2:26" x14ac:dyDescent="0.15">
      <c r="F65" s="30"/>
      <c r="Z65" s="48"/>
    </row>
    <row r="66" spans="2:26" x14ac:dyDescent="0.15">
      <c r="B66" s="69" t="s">
        <v>99</v>
      </c>
      <c r="C66" s="48">
        <f>C10/C61</f>
        <v>3.3909331810031577E-2</v>
      </c>
      <c r="D66" s="48">
        <f t="shared" ref="C66:Z66" si="134">D10/D61</f>
        <v>3.4038706618061111E-2</v>
      </c>
      <c r="E66" s="48">
        <f t="shared" si="134"/>
        <v>3.2378330322062575E-2</v>
      </c>
      <c r="F66" s="48">
        <f t="shared" si="134"/>
        <v>3.1353115071820224E-2</v>
      </c>
      <c r="G66" s="47">
        <f t="shared" si="134"/>
        <v>3.1385708645874456E-2</v>
      </c>
      <c r="H66" s="48">
        <f t="shared" si="134"/>
        <v>3.0739606533036378E-2</v>
      </c>
      <c r="I66" s="48">
        <f t="shared" si="134"/>
        <v>3.0513826756518654E-2</v>
      </c>
      <c r="J66" s="48">
        <f t="shared" si="134"/>
        <v>3.0005636751620567E-2</v>
      </c>
      <c r="K66" s="47">
        <f t="shared" si="134"/>
        <v>2.9561104541976767E-2</v>
      </c>
      <c r="L66" s="48">
        <f t="shared" si="134"/>
        <v>2.9090909090909091E-2</v>
      </c>
      <c r="M66" s="48">
        <f t="shared" si="134"/>
        <v>2.81104630979657E-2</v>
      </c>
      <c r="N66" s="48">
        <f t="shared" si="134"/>
        <v>2.8482529345982093E-2</v>
      </c>
      <c r="O66" s="47">
        <f t="shared" si="134"/>
        <v>2.7839896044241638E-2</v>
      </c>
      <c r="P66" s="48">
        <f t="shared" si="134"/>
        <v>2.766798418972332E-2</v>
      </c>
      <c r="Q66" s="48">
        <f t="shared" si="134"/>
        <v>2.5754524348969261E-2</v>
      </c>
      <c r="R66" s="48">
        <f t="shared" si="134"/>
        <v>2.5823719202190065E-2</v>
      </c>
      <c r="S66" s="47">
        <f t="shared" si="134"/>
        <v>2.5561637728184677E-2</v>
      </c>
      <c r="T66" s="48">
        <f t="shared" si="134"/>
        <v>2.4976937670791777E-2</v>
      </c>
      <c r="U66" s="48">
        <f t="shared" si="134"/>
        <v>2.4503274192645658E-2</v>
      </c>
      <c r="V66" s="48">
        <f t="shared" si="134"/>
        <v>2.4879139836713401E-2</v>
      </c>
      <c r="W66" s="47">
        <f t="shared" si="134"/>
        <v>2.4232946942545141E-2</v>
      </c>
      <c r="X66" s="48">
        <f t="shared" si="134"/>
        <v>2.3726948419481263E-2</v>
      </c>
      <c r="Y66" s="48">
        <f t="shared" si="134"/>
        <v>2.2128898095187907E-2</v>
      </c>
      <c r="Z66" s="48">
        <f t="shared" si="134"/>
        <v>2.2073684818386556E-2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2021-02-28T11:43:51Z</dcterms:modified>
</cp:coreProperties>
</file>