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ichaelsjoeberg/Dropbox/_PROJECTS/_Investing/stocks/"/>
    </mc:Choice>
  </mc:AlternateContent>
  <xr:revisionPtr revIDLastSave="0" documentId="13_ncr:1_{8C6D9C12-49A0-C046-BBF0-4F97650DFF12}" xr6:coauthVersionLast="45" xr6:coauthVersionMax="45" xr10:uidLastSave="{00000000-0000-0000-0000-000000000000}"/>
  <bookViews>
    <workbookView xWindow="0" yWindow="460" windowWidth="35840" windowHeight="20340" tabRatio="500" xr2:uid="{00000000-000D-0000-FFFF-FFFF00000000}"/>
  </bookViews>
  <sheets>
    <sheet name="Main" sheetId="2" r:id="rId1"/>
    <sheet name="Reports" sheetId="1" r:id="rId2"/>
    <sheet name="Products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3" i="2"/>
  <c r="F7" i="2" s="1"/>
  <c r="V15" i="1"/>
  <c r="V8" i="1"/>
  <c r="W15" i="1"/>
  <c r="W12" i="1"/>
  <c r="W8" i="1"/>
  <c r="X15" i="1"/>
  <c r="X12" i="1"/>
  <c r="X8" i="1"/>
  <c r="F4" i="2" l="1"/>
  <c r="R18" i="2"/>
  <c r="S18" i="2" s="1"/>
  <c r="T18" i="2" s="1"/>
  <c r="U18" i="2" s="1"/>
  <c r="Q18" i="2"/>
  <c r="Q35" i="2" s="1"/>
  <c r="M18" i="2"/>
  <c r="N18" i="2" s="1"/>
  <c r="O18" i="2" s="1"/>
  <c r="P18" i="2" s="1"/>
  <c r="L18" i="2"/>
  <c r="M19" i="2"/>
  <c r="N19" i="2" s="1"/>
  <c r="O19" i="2" s="1"/>
  <c r="P19" i="2" s="1"/>
  <c r="L19" i="2"/>
  <c r="E32" i="2"/>
  <c r="M15" i="2"/>
  <c r="N15" i="2" s="1"/>
  <c r="O15" i="2" s="1"/>
  <c r="P15" i="2" s="1"/>
  <c r="L15" i="2"/>
  <c r="H20" i="2"/>
  <c r="I20" i="2" s="1"/>
  <c r="J20" i="2" s="1"/>
  <c r="K20" i="2" s="1"/>
  <c r="G20" i="2"/>
  <c r="H19" i="2"/>
  <c r="I19" i="2" s="1"/>
  <c r="J19" i="2" s="1"/>
  <c r="K19" i="2" s="1"/>
  <c r="G19" i="2"/>
  <c r="H18" i="2"/>
  <c r="I18" i="2" s="1"/>
  <c r="J18" i="2" s="1"/>
  <c r="K18" i="2" s="1"/>
  <c r="G18" i="2"/>
  <c r="G17" i="2"/>
  <c r="K15" i="2"/>
  <c r="J15" i="2"/>
  <c r="I15" i="2"/>
  <c r="H15" i="2"/>
  <c r="G15" i="2"/>
  <c r="K59" i="2"/>
  <c r="J59" i="2"/>
  <c r="I59" i="2"/>
  <c r="H59" i="2"/>
  <c r="G59" i="2"/>
  <c r="K58" i="2"/>
  <c r="J58" i="2"/>
  <c r="I58" i="2"/>
  <c r="H58" i="2"/>
  <c r="G58" i="2"/>
  <c r="H13" i="2"/>
  <c r="I13" i="2" s="1"/>
  <c r="J13" i="2" s="1"/>
  <c r="K13" i="2" s="1"/>
  <c r="G13" i="2"/>
  <c r="H12" i="2"/>
  <c r="I12" i="2" s="1"/>
  <c r="J12" i="2" s="1"/>
  <c r="K12" i="2" s="1"/>
  <c r="G12" i="2"/>
  <c r="C59" i="2"/>
  <c r="D59" i="2"/>
  <c r="E59" i="2"/>
  <c r="F59" i="2"/>
  <c r="F13" i="2"/>
  <c r="E13" i="2"/>
  <c r="D13" i="2"/>
  <c r="C13" i="2"/>
  <c r="B13" i="2"/>
  <c r="C62" i="2"/>
  <c r="D62" i="2"/>
  <c r="C58" i="2"/>
  <c r="D58" i="2"/>
  <c r="C56" i="2"/>
  <c r="D56" i="2"/>
  <c r="C23" i="2"/>
  <c r="C16" i="2"/>
  <c r="B23" i="2"/>
  <c r="B16" i="2"/>
  <c r="C21" i="2" l="1"/>
  <c r="C15" i="2"/>
  <c r="C17" i="2" s="1"/>
  <c r="B21" i="2"/>
  <c r="B15" i="2"/>
  <c r="B17" i="2" s="1"/>
  <c r="C30" i="2" l="1"/>
  <c r="C22" i="2"/>
  <c r="B22" i="2"/>
  <c r="B30" i="2"/>
  <c r="F23" i="2"/>
  <c r="F16" i="2"/>
  <c r="E23" i="2"/>
  <c r="E16" i="2"/>
  <c r="D23" i="2"/>
  <c r="D16" i="2"/>
  <c r="F15" i="2"/>
  <c r="E62" i="2"/>
  <c r="F62" i="2"/>
  <c r="E58" i="2"/>
  <c r="F58" i="2"/>
  <c r="C24" i="2" l="1"/>
  <c r="C31" i="2"/>
  <c r="B24" i="2"/>
  <c r="B31" i="2"/>
  <c r="X42" i="1"/>
  <c r="X33" i="1"/>
  <c r="C5" i="2" s="1"/>
  <c r="X29" i="1"/>
  <c r="X28" i="1"/>
  <c r="X13" i="1"/>
  <c r="X7" i="1"/>
  <c r="X9" i="1" s="1"/>
  <c r="C26" i="2" l="1"/>
  <c r="C32" i="2"/>
  <c r="B26" i="2"/>
  <c r="B32" i="2"/>
  <c r="X14" i="1"/>
  <c r="X23" i="1"/>
  <c r="X41" i="1"/>
  <c r="W42" i="1"/>
  <c r="W33" i="1"/>
  <c r="W29" i="1"/>
  <c r="W28" i="1"/>
  <c r="W7" i="1"/>
  <c r="W9" i="1" s="1"/>
  <c r="W23" i="1" s="1"/>
  <c r="C27" i="2" l="1"/>
  <c r="B27" i="2"/>
  <c r="W41" i="1"/>
  <c r="W13" i="1"/>
  <c r="X16" i="1"/>
  <c r="X24" i="1"/>
  <c r="F46" i="2"/>
  <c r="F45" i="2"/>
  <c r="F49" i="2" s="1"/>
  <c r="F41" i="2"/>
  <c r="U12" i="1"/>
  <c r="U42" i="1"/>
  <c r="U29" i="1"/>
  <c r="U28" i="1"/>
  <c r="U13" i="1"/>
  <c r="U7" i="1"/>
  <c r="U33" i="1" l="1"/>
  <c r="V41" i="1"/>
  <c r="X19" i="1"/>
  <c r="X20" i="1" s="1"/>
  <c r="X25" i="1"/>
  <c r="U41" i="1"/>
  <c r="F42" i="2"/>
  <c r="W14" i="1"/>
  <c r="U9" i="1"/>
  <c r="U23" i="1" s="1"/>
  <c r="F44" i="2"/>
  <c r="G35" i="2"/>
  <c r="F40" i="2"/>
  <c r="G23" i="2" s="1"/>
  <c r="W24" i="1" l="1"/>
  <c r="W16" i="1"/>
  <c r="U14" i="1"/>
  <c r="F48" i="2"/>
  <c r="F17" i="2"/>
  <c r="U24" i="1" l="1"/>
  <c r="U16" i="1"/>
  <c r="W25" i="1"/>
  <c r="W19" i="1"/>
  <c r="W20" i="1" s="1"/>
  <c r="U19" i="1" l="1"/>
  <c r="U25" i="1"/>
  <c r="U20" i="1" l="1"/>
  <c r="T42" i="1"/>
  <c r="T12" i="1"/>
  <c r="X30" i="1" s="1"/>
  <c r="T7" i="1"/>
  <c r="X27" i="1" s="1"/>
  <c r="V42" i="1"/>
  <c r="V29" i="1"/>
  <c r="V28" i="1"/>
  <c r="V13" i="1"/>
  <c r="V7" i="1"/>
  <c r="T9" i="1" l="1"/>
  <c r="T13" i="1"/>
  <c r="T33" i="1"/>
  <c r="T41" i="1"/>
  <c r="V9" i="1"/>
  <c r="V33" i="1"/>
  <c r="T28" i="1"/>
  <c r="T29" i="1"/>
  <c r="S12" i="1"/>
  <c r="W30" i="1" s="1"/>
  <c r="S42" i="1"/>
  <c r="S29" i="1"/>
  <c r="S28" i="1"/>
  <c r="S7" i="1"/>
  <c r="F56" i="2"/>
  <c r="B12" i="1"/>
  <c r="B13" i="1" s="1"/>
  <c r="F12" i="1"/>
  <c r="C12" i="1"/>
  <c r="C13" i="1" s="1"/>
  <c r="G12" i="1"/>
  <c r="G13" i="1" s="1"/>
  <c r="C7" i="1"/>
  <c r="C9" i="1" s="1"/>
  <c r="C14" i="1" s="1"/>
  <c r="F7" i="1"/>
  <c r="F9" i="1" s="1"/>
  <c r="G7" i="1"/>
  <c r="G27" i="1" s="1"/>
  <c r="D12" i="1"/>
  <c r="D13" i="1" s="1"/>
  <c r="H12" i="1"/>
  <c r="H13" i="1" s="1"/>
  <c r="H7" i="1"/>
  <c r="E37" i="1"/>
  <c r="E34" i="1"/>
  <c r="I37" i="1"/>
  <c r="I34" i="1"/>
  <c r="E12" i="1"/>
  <c r="E13" i="1" s="1"/>
  <c r="I12" i="1"/>
  <c r="I13" i="1" s="1"/>
  <c r="J12" i="1"/>
  <c r="N33" i="1"/>
  <c r="O33" i="1"/>
  <c r="K12" i="1"/>
  <c r="O12" i="1"/>
  <c r="O13" i="1" s="1"/>
  <c r="P33" i="1"/>
  <c r="L12" i="1"/>
  <c r="L13" i="1" s="1"/>
  <c r="L31" i="1" s="1"/>
  <c r="P12" i="1"/>
  <c r="P13" i="1" s="1"/>
  <c r="M12" i="1"/>
  <c r="M13" i="1" s="1"/>
  <c r="M31" i="1" s="1"/>
  <c r="Q12" i="1"/>
  <c r="U30" i="1" s="1"/>
  <c r="E41" i="2"/>
  <c r="R41" i="1"/>
  <c r="Q7" i="1"/>
  <c r="P7" i="1"/>
  <c r="P9" i="1" s="1"/>
  <c r="P23" i="1" s="1"/>
  <c r="O7" i="1"/>
  <c r="O9" i="1" s="1"/>
  <c r="R42" i="1"/>
  <c r="N12" i="1"/>
  <c r="N13" i="1" s="1"/>
  <c r="R29" i="1"/>
  <c r="R28" i="1"/>
  <c r="N7" i="1"/>
  <c r="N9" i="1" s="1"/>
  <c r="N23" i="1" s="1"/>
  <c r="R7" i="1"/>
  <c r="R9" i="1"/>
  <c r="R12" i="1"/>
  <c r="V30" i="1" s="1"/>
  <c r="J13" i="1"/>
  <c r="E45" i="2"/>
  <c r="E44" i="2"/>
  <c r="Q42" i="1"/>
  <c r="E42" i="2"/>
  <c r="E46" i="2"/>
  <c r="M7" i="1"/>
  <c r="M9" i="1"/>
  <c r="M23" i="1" s="1"/>
  <c r="I7" i="1"/>
  <c r="I27" i="1" s="1"/>
  <c r="E7" i="1"/>
  <c r="E9" i="1" s="1"/>
  <c r="E42" i="1"/>
  <c r="P42" i="1"/>
  <c r="J7" i="1"/>
  <c r="J9" i="1"/>
  <c r="K7" i="1"/>
  <c r="L7" i="1"/>
  <c r="I42" i="1"/>
  <c r="M42" i="1"/>
  <c r="B7" i="1"/>
  <c r="B9" i="1" s="1"/>
  <c r="B23" i="1" s="1"/>
  <c r="D7" i="1"/>
  <c r="D9" i="1" s="1"/>
  <c r="O42" i="1"/>
  <c r="N41" i="1"/>
  <c r="N42" i="1"/>
  <c r="Q29" i="1"/>
  <c r="Q28" i="1"/>
  <c r="N29" i="1"/>
  <c r="N28" i="1"/>
  <c r="O29" i="1"/>
  <c r="O28" i="1"/>
  <c r="P29" i="1"/>
  <c r="P28" i="1"/>
  <c r="G28" i="2"/>
  <c r="H28" i="2" s="1"/>
  <c r="I28" i="2" s="1"/>
  <c r="J28" i="2" s="1"/>
  <c r="K28" i="2" s="1"/>
  <c r="L28" i="2" s="1"/>
  <c r="M28" i="2" s="1"/>
  <c r="N28" i="2" s="1"/>
  <c r="O28" i="2" s="1"/>
  <c r="P28" i="2" s="1"/>
  <c r="Q28" i="2" s="1"/>
  <c r="R28" i="2" s="1"/>
  <c r="S28" i="2" s="1"/>
  <c r="T28" i="2" s="1"/>
  <c r="U28" i="2" s="1"/>
  <c r="F28" i="1"/>
  <c r="I28" i="1"/>
  <c r="M28" i="1"/>
  <c r="K28" i="1"/>
  <c r="J28" i="1"/>
  <c r="H28" i="1"/>
  <c r="L28" i="1"/>
  <c r="H29" i="1"/>
  <c r="I29" i="1"/>
  <c r="J29" i="1"/>
  <c r="K29" i="1"/>
  <c r="L29" i="1"/>
  <c r="M29" i="1"/>
  <c r="L30" i="1"/>
  <c r="G29" i="1"/>
  <c r="G28" i="1"/>
  <c r="F29" i="1"/>
  <c r="E9" i="2"/>
  <c r="F9" i="2" s="1"/>
  <c r="G9" i="2" s="1"/>
  <c r="H9" i="2" s="1"/>
  <c r="I9" i="2" s="1"/>
  <c r="J9" i="2" s="1"/>
  <c r="K9" i="2" s="1"/>
  <c r="L9" i="2" s="1"/>
  <c r="M9" i="2" s="1"/>
  <c r="N9" i="2" s="1"/>
  <c r="O9" i="2" s="1"/>
  <c r="P9" i="2" s="1"/>
  <c r="Q9" i="2" s="1"/>
  <c r="R9" i="2" s="1"/>
  <c r="S9" i="2" s="1"/>
  <c r="T9" i="2" s="1"/>
  <c r="U9" i="2" s="1"/>
  <c r="S41" i="1" l="1"/>
  <c r="S33" i="1"/>
  <c r="R27" i="1"/>
  <c r="L27" i="1"/>
  <c r="Q41" i="1"/>
  <c r="J30" i="1"/>
  <c r="M30" i="1"/>
  <c r="I33" i="1"/>
  <c r="S9" i="1"/>
  <c r="S23" i="1" s="1"/>
  <c r="W27" i="1"/>
  <c r="Q9" i="1"/>
  <c r="Q23" i="1" s="1"/>
  <c r="U27" i="1"/>
  <c r="P41" i="1"/>
  <c r="D15" i="2"/>
  <c r="D17" i="2" s="1"/>
  <c r="D30" i="2" s="1"/>
  <c r="D21" i="2"/>
  <c r="K27" i="1"/>
  <c r="R13" i="1"/>
  <c r="V31" i="1" s="1"/>
  <c r="I30" i="1"/>
  <c r="P30" i="1"/>
  <c r="H9" i="1"/>
  <c r="H23" i="1" s="1"/>
  <c r="F27" i="1"/>
  <c r="N30" i="1"/>
  <c r="J27" i="1"/>
  <c r="Q13" i="1"/>
  <c r="J14" i="1"/>
  <c r="J24" i="1" s="1"/>
  <c r="V27" i="1"/>
  <c r="P27" i="1"/>
  <c r="G30" i="1"/>
  <c r="Q30" i="1"/>
  <c r="T14" i="1"/>
  <c r="T16" i="1" s="1"/>
  <c r="T19" i="1" s="1"/>
  <c r="X31" i="1"/>
  <c r="E35" i="2"/>
  <c r="E40" i="2"/>
  <c r="E36" i="2"/>
  <c r="V14" i="1"/>
  <c r="V23" i="1"/>
  <c r="O14" i="1"/>
  <c r="O16" i="1" s="1"/>
  <c r="O23" i="1"/>
  <c r="E56" i="2"/>
  <c r="O30" i="1"/>
  <c r="K30" i="1"/>
  <c r="M27" i="1"/>
  <c r="E49" i="2"/>
  <c r="E48" i="2"/>
  <c r="O41" i="1"/>
  <c r="M14" i="1"/>
  <c r="M24" i="1" s="1"/>
  <c r="R33" i="1"/>
  <c r="M41" i="1"/>
  <c r="I41" i="1"/>
  <c r="J23" i="1"/>
  <c r="N27" i="1"/>
  <c r="Q33" i="1"/>
  <c r="P31" i="1"/>
  <c r="E33" i="1"/>
  <c r="E23" i="1"/>
  <c r="E14" i="1"/>
  <c r="D23" i="1"/>
  <c r="D14" i="1"/>
  <c r="N31" i="1"/>
  <c r="T30" i="1"/>
  <c r="F23" i="1"/>
  <c r="C16" i="1"/>
  <c r="C24" i="1"/>
  <c r="P14" i="1"/>
  <c r="F30" i="1"/>
  <c r="Q27" i="1"/>
  <c r="B14" i="1"/>
  <c r="E15" i="2"/>
  <c r="C23" i="1"/>
  <c r="L9" i="1"/>
  <c r="N14" i="1"/>
  <c r="K13" i="1"/>
  <c r="K31" i="1" s="1"/>
  <c r="G9" i="1"/>
  <c r="M33" i="1"/>
  <c r="S27" i="1"/>
  <c r="S13" i="1"/>
  <c r="E41" i="1"/>
  <c r="H27" i="1"/>
  <c r="R30" i="1"/>
  <c r="C6" i="2"/>
  <c r="C7" i="2" s="1"/>
  <c r="K9" i="1"/>
  <c r="R23" i="1"/>
  <c r="F13" i="1"/>
  <c r="J31" i="1" s="1"/>
  <c r="S30" i="1"/>
  <c r="I9" i="1"/>
  <c r="H30" i="1"/>
  <c r="O27" i="1"/>
  <c r="T31" i="1"/>
  <c r="E37" i="2" l="1"/>
  <c r="J16" i="1"/>
  <c r="Q14" i="1"/>
  <c r="O24" i="1"/>
  <c r="F21" i="2"/>
  <c r="F22" i="2" s="1"/>
  <c r="F24" i="2" s="1"/>
  <c r="T20" i="1"/>
  <c r="H14" i="1"/>
  <c r="R14" i="1"/>
  <c r="R16" i="1" s="1"/>
  <c r="U31" i="1"/>
  <c r="Q31" i="1"/>
  <c r="R31" i="1"/>
  <c r="S31" i="1"/>
  <c r="W31" i="1"/>
  <c r="V24" i="1"/>
  <c r="V16" i="1"/>
  <c r="F14" i="1"/>
  <c r="O31" i="1"/>
  <c r="M16" i="1"/>
  <c r="O19" i="1"/>
  <c r="O25" i="1"/>
  <c r="T27" i="1"/>
  <c r="I23" i="1"/>
  <c r="I14" i="1"/>
  <c r="H24" i="1"/>
  <c r="H16" i="1"/>
  <c r="F24" i="1"/>
  <c r="F16" i="1"/>
  <c r="K14" i="1"/>
  <c r="K23" i="1"/>
  <c r="J19" i="1"/>
  <c r="J25" i="1"/>
  <c r="D22" i="2"/>
  <c r="D16" i="1"/>
  <c r="D24" i="1"/>
  <c r="E24" i="1"/>
  <c r="E16" i="1"/>
  <c r="R25" i="1"/>
  <c r="R19" i="1"/>
  <c r="C19" i="1"/>
  <c r="C20" i="1" s="1"/>
  <c r="C25" i="1"/>
  <c r="N24" i="1"/>
  <c r="N16" i="1"/>
  <c r="L23" i="1"/>
  <c r="L14" i="1"/>
  <c r="B24" i="1"/>
  <c r="B16" i="1"/>
  <c r="F36" i="2"/>
  <c r="G14" i="1"/>
  <c r="G23" i="1"/>
  <c r="Q24" i="1"/>
  <c r="Q16" i="1"/>
  <c r="M19" i="1"/>
  <c r="M25" i="1"/>
  <c r="P16" i="1"/>
  <c r="P24" i="1"/>
  <c r="E34" i="2"/>
  <c r="E17" i="2"/>
  <c r="S14" i="1"/>
  <c r="E21" i="2"/>
  <c r="E38" i="2" s="1"/>
  <c r="R20" i="1" l="1"/>
  <c r="R24" i="1"/>
  <c r="V19" i="1"/>
  <c r="V25" i="1"/>
  <c r="F35" i="2"/>
  <c r="I24" i="1"/>
  <c r="I16" i="1"/>
  <c r="F25" i="1"/>
  <c r="F19" i="1"/>
  <c r="H19" i="1"/>
  <c r="H20" i="1" s="1"/>
  <c r="H25" i="1"/>
  <c r="S16" i="1"/>
  <c r="S24" i="1"/>
  <c r="D19" i="1"/>
  <c r="D20" i="1" s="1"/>
  <c r="D25" i="1"/>
  <c r="G24" i="1"/>
  <c r="G16" i="1"/>
  <c r="G36" i="2"/>
  <c r="D31" i="2"/>
  <c r="D24" i="2"/>
  <c r="B25" i="1"/>
  <c r="B19" i="1"/>
  <c r="P19" i="1"/>
  <c r="P25" i="1"/>
  <c r="T23" i="1"/>
  <c r="L24" i="1"/>
  <c r="L16" i="1"/>
  <c r="M20" i="1"/>
  <c r="J20" i="1"/>
  <c r="F37" i="2"/>
  <c r="E22" i="2"/>
  <c r="E30" i="2"/>
  <c r="N25" i="1"/>
  <c r="N19" i="1"/>
  <c r="Q25" i="1"/>
  <c r="Q19" i="1"/>
  <c r="E25" i="1"/>
  <c r="E19" i="1"/>
  <c r="K24" i="1"/>
  <c r="K16" i="1"/>
  <c r="O20" i="1"/>
  <c r="F38" i="2"/>
  <c r="Q20" i="1" l="1"/>
  <c r="X44" i="1"/>
  <c r="W44" i="1"/>
  <c r="V20" i="1"/>
  <c r="T24" i="1"/>
  <c r="G37" i="2"/>
  <c r="H21" i="2"/>
  <c r="S25" i="1"/>
  <c r="S19" i="1"/>
  <c r="E44" i="1"/>
  <c r="B20" i="1"/>
  <c r="E20" i="1"/>
  <c r="E48" i="1"/>
  <c r="E47" i="1"/>
  <c r="E46" i="1"/>
  <c r="E45" i="1"/>
  <c r="I19" i="1"/>
  <c r="I20" i="1" s="1"/>
  <c r="I25" i="1"/>
  <c r="D26" i="2"/>
  <c r="D32" i="2"/>
  <c r="H36" i="2"/>
  <c r="F34" i="2"/>
  <c r="P20" i="1"/>
  <c r="K19" i="1"/>
  <c r="K25" i="1"/>
  <c r="L25" i="1"/>
  <c r="L19" i="1"/>
  <c r="N20" i="1"/>
  <c r="Q44" i="1"/>
  <c r="E31" i="2"/>
  <c r="E24" i="2"/>
  <c r="R44" i="1"/>
  <c r="P44" i="1"/>
  <c r="F20" i="1"/>
  <c r="G21" i="2"/>
  <c r="G38" i="2" s="1"/>
  <c r="G19" i="1"/>
  <c r="G20" i="1" s="1"/>
  <c r="G25" i="1"/>
  <c r="S20" i="1" l="1"/>
  <c r="U44" i="1"/>
  <c r="W48" i="1"/>
  <c r="W45" i="1"/>
  <c r="W47" i="1"/>
  <c r="W46" i="1"/>
  <c r="I44" i="1"/>
  <c r="I48" i="1" s="1"/>
  <c r="X48" i="1"/>
  <c r="X46" i="1"/>
  <c r="X47" i="1"/>
  <c r="X45" i="1"/>
  <c r="T44" i="1"/>
  <c r="H38" i="2"/>
  <c r="H35" i="2"/>
  <c r="F30" i="2"/>
  <c r="D27" i="2"/>
  <c r="H37" i="2"/>
  <c r="P48" i="1"/>
  <c r="P45" i="1"/>
  <c r="P47" i="1"/>
  <c r="P46" i="1"/>
  <c r="I36" i="2"/>
  <c r="G34" i="2"/>
  <c r="R47" i="1"/>
  <c r="R46" i="1"/>
  <c r="R45" i="1"/>
  <c r="R48" i="1"/>
  <c r="E26" i="2"/>
  <c r="Q48" i="1"/>
  <c r="Q47" i="1"/>
  <c r="Q46" i="1"/>
  <c r="Q45" i="1"/>
  <c r="L20" i="1"/>
  <c r="O44" i="1"/>
  <c r="N44" i="1"/>
  <c r="K20" i="1"/>
  <c r="M44" i="1"/>
  <c r="S44" i="1"/>
  <c r="I47" i="1" l="1"/>
  <c r="I46" i="1"/>
  <c r="T47" i="1"/>
  <c r="T45" i="1"/>
  <c r="T48" i="1"/>
  <c r="T46" i="1"/>
  <c r="U48" i="1"/>
  <c r="U46" i="1"/>
  <c r="U47" i="1"/>
  <c r="U45" i="1"/>
  <c r="I45" i="1"/>
  <c r="G16" i="2"/>
  <c r="I21" i="2"/>
  <c r="I38" i="2" s="1"/>
  <c r="E54" i="2"/>
  <c r="E53" i="2"/>
  <c r="E51" i="2"/>
  <c r="I35" i="2"/>
  <c r="M48" i="1"/>
  <c r="M47" i="1"/>
  <c r="M46" i="1"/>
  <c r="M45" i="1"/>
  <c r="H34" i="2"/>
  <c r="O48" i="1"/>
  <c r="O47" i="1"/>
  <c r="O46" i="1"/>
  <c r="O45" i="1"/>
  <c r="T25" i="1"/>
  <c r="E27" i="2"/>
  <c r="E52" i="2"/>
  <c r="J36" i="2"/>
  <c r="S47" i="1"/>
  <c r="S46" i="1"/>
  <c r="S45" i="1"/>
  <c r="S48" i="1"/>
  <c r="F31" i="2"/>
  <c r="I37" i="2"/>
  <c r="N48" i="1"/>
  <c r="N47" i="1"/>
  <c r="N46" i="1"/>
  <c r="N45" i="1"/>
  <c r="G22" i="2" l="1"/>
  <c r="G31" i="2" s="1"/>
  <c r="G30" i="2"/>
  <c r="H17" i="2" s="1"/>
  <c r="H22" i="2" s="1"/>
  <c r="J21" i="2"/>
  <c r="J38" i="2" s="1"/>
  <c r="Q15" i="2"/>
  <c r="R15" i="2" s="1"/>
  <c r="S15" i="2" s="1"/>
  <c r="T15" i="2" s="1"/>
  <c r="U15" i="2" s="1"/>
  <c r="J35" i="2"/>
  <c r="F32" i="2"/>
  <c r="I34" i="2"/>
  <c r="K36" i="2"/>
  <c r="J37" i="2"/>
  <c r="H16" i="2" l="1"/>
  <c r="H30" i="2"/>
  <c r="I17" i="2" s="1"/>
  <c r="I16" i="2" s="1"/>
  <c r="R35" i="2"/>
  <c r="F26" i="2"/>
  <c r="V44" i="1"/>
  <c r="K35" i="2"/>
  <c r="J34" i="2"/>
  <c r="K37" i="2"/>
  <c r="L20" i="2"/>
  <c r="K21" i="2"/>
  <c r="K38" i="2" s="1"/>
  <c r="L36" i="2"/>
  <c r="H31" i="2"/>
  <c r="I30" i="2" l="1"/>
  <c r="J17" i="2" s="1"/>
  <c r="J30" i="2" s="1"/>
  <c r="K17" i="2" s="1"/>
  <c r="K16" i="2" s="1"/>
  <c r="I22" i="2"/>
  <c r="I31" i="2" s="1"/>
  <c r="S35" i="2"/>
  <c r="V47" i="1"/>
  <c r="V48" i="1"/>
  <c r="F27" i="2"/>
  <c r="F51" i="2"/>
  <c r="F53" i="2"/>
  <c r="F52" i="2"/>
  <c r="F54" i="2"/>
  <c r="G24" i="2"/>
  <c r="G25" i="2" s="1"/>
  <c r="V46" i="1"/>
  <c r="V45" i="1"/>
  <c r="L35" i="2"/>
  <c r="M20" i="2"/>
  <c r="M21" i="2" s="1"/>
  <c r="L37" i="2"/>
  <c r="K34" i="2"/>
  <c r="L21" i="2"/>
  <c r="L38" i="2" s="1"/>
  <c r="M36" i="2"/>
  <c r="J22" i="2" l="1"/>
  <c r="J16" i="2"/>
  <c r="T35" i="2"/>
  <c r="M35" i="2"/>
  <c r="J31" i="2"/>
  <c r="G32" i="2"/>
  <c r="K22" i="2"/>
  <c r="K30" i="2"/>
  <c r="L17" i="2" s="1"/>
  <c r="L34" i="2"/>
  <c r="M38" i="2"/>
  <c r="N36" i="2"/>
  <c r="N20" i="2"/>
  <c r="M37" i="2"/>
  <c r="U35" i="2" l="1"/>
  <c r="G26" i="2"/>
  <c r="N35" i="2"/>
  <c r="M34" i="2"/>
  <c r="O36" i="2"/>
  <c r="Q19" i="2"/>
  <c r="L22" i="2"/>
  <c r="L30" i="2"/>
  <c r="M17" i="2" s="1"/>
  <c r="K31" i="2"/>
  <c r="L16" i="2"/>
  <c r="O20" i="2"/>
  <c r="N37" i="2"/>
  <c r="N21" i="2"/>
  <c r="N38" i="2" s="1"/>
  <c r="Q36" i="2" l="1"/>
  <c r="R19" i="2"/>
  <c r="G27" i="2"/>
  <c r="G40" i="2"/>
  <c r="O35" i="2"/>
  <c r="M22" i="2"/>
  <c r="M30" i="2"/>
  <c r="N17" i="2" s="1"/>
  <c r="M16" i="2"/>
  <c r="O37" i="2"/>
  <c r="P20" i="2"/>
  <c r="Q20" i="2" s="1"/>
  <c r="L31" i="2"/>
  <c r="O21" i="2"/>
  <c r="O38" i="2" s="1"/>
  <c r="P36" i="2"/>
  <c r="P21" i="2"/>
  <c r="N34" i="2"/>
  <c r="R20" i="2" l="1"/>
  <c r="Q37" i="2"/>
  <c r="Q21" i="2"/>
  <c r="Q38" i="2" s="1"/>
  <c r="R36" i="2"/>
  <c r="S19" i="2"/>
  <c r="R21" i="2"/>
  <c r="P35" i="2"/>
  <c r="N30" i="2"/>
  <c r="O17" i="2" s="1"/>
  <c r="O16" i="2" s="1"/>
  <c r="N22" i="2"/>
  <c r="N16" i="2"/>
  <c r="O34" i="2"/>
  <c r="P38" i="2"/>
  <c r="H23" i="2"/>
  <c r="H24" i="2" s="1"/>
  <c r="P37" i="2"/>
  <c r="M31" i="2"/>
  <c r="R38" i="2" l="1"/>
  <c r="S36" i="2"/>
  <c r="T19" i="2"/>
  <c r="R37" i="2"/>
  <c r="S20" i="2"/>
  <c r="Q34" i="2"/>
  <c r="H25" i="2"/>
  <c r="H32" i="2" s="1"/>
  <c r="N31" i="2"/>
  <c r="P34" i="2"/>
  <c r="O22" i="2"/>
  <c r="O30" i="2"/>
  <c r="P17" i="2" s="1"/>
  <c r="S21" i="2" l="1"/>
  <c r="S38" i="2" s="1"/>
  <c r="T20" i="2"/>
  <c r="T21" i="2" s="1"/>
  <c r="S37" i="2"/>
  <c r="T36" i="2"/>
  <c r="U19" i="2"/>
  <c r="R34" i="2"/>
  <c r="H26" i="2"/>
  <c r="P22" i="2"/>
  <c r="P30" i="2"/>
  <c r="Q17" i="2" s="1"/>
  <c r="P16" i="2"/>
  <c r="O31" i="2"/>
  <c r="T38" i="2" l="1"/>
  <c r="U36" i="2"/>
  <c r="T37" i="2"/>
  <c r="U20" i="2"/>
  <c r="U37" i="2" s="1"/>
  <c r="Q22" i="2"/>
  <c r="Q30" i="2"/>
  <c r="R17" i="2" s="1"/>
  <c r="Q16" i="2"/>
  <c r="S34" i="2"/>
  <c r="H27" i="2"/>
  <c r="H40" i="2"/>
  <c r="I23" i="2" s="1"/>
  <c r="I24" i="2" s="1"/>
  <c r="P31" i="2"/>
  <c r="U21" i="2" l="1"/>
  <c r="U38" i="2" s="1"/>
  <c r="T34" i="2"/>
  <c r="R30" i="2"/>
  <c r="S17" i="2" s="1"/>
  <c r="R22" i="2"/>
  <c r="R16" i="2"/>
  <c r="Q31" i="2"/>
  <c r="I25" i="2"/>
  <c r="I32" i="2" s="1"/>
  <c r="R31" i="2" l="1"/>
  <c r="S30" i="2"/>
  <c r="T17" i="2" s="1"/>
  <c r="S22" i="2"/>
  <c r="S16" i="2"/>
  <c r="U34" i="2"/>
  <c r="I26" i="2"/>
  <c r="I40" i="2" s="1"/>
  <c r="S31" i="2" l="1"/>
  <c r="T16" i="2"/>
  <c r="T30" i="2"/>
  <c r="U17" i="2" s="1"/>
  <c r="T22" i="2"/>
  <c r="I27" i="2"/>
  <c r="J23" i="2"/>
  <c r="J24" i="2" s="1"/>
  <c r="T31" i="2" l="1"/>
  <c r="U30" i="2"/>
  <c r="U22" i="2"/>
  <c r="U16" i="2"/>
  <c r="J25" i="2"/>
  <c r="J32" i="2" s="1"/>
  <c r="U31" i="2" l="1"/>
  <c r="J26" i="2"/>
  <c r="J27" i="2" l="1"/>
  <c r="J40" i="2"/>
  <c r="K23" i="2" s="1"/>
  <c r="K24" i="2" s="1"/>
  <c r="K25" i="2" l="1"/>
  <c r="K32" i="2" s="1"/>
  <c r="K26" i="2"/>
  <c r="K27" i="2" l="1"/>
  <c r="K40" i="2"/>
  <c r="L23" i="2" l="1"/>
  <c r="L24" i="2" s="1"/>
  <c r="L25" i="2" l="1"/>
  <c r="L32" i="2" s="1"/>
  <c r="L26" i="2" l="1"/>
  <c r="L27" i="2"/>
  <c r="L40" i="2"/>
  <c r="M23" i="2" l="1"/>
  <c r="M24" i="2" s="1"/>
  <c r="M25" i="2" l="1"/>
  <c r="M32" i="2" s="1"/>
  <c r="M26" i="2" l="1"/>
  <c r="M27" i="2" l="1"/>
  <c r="M40" i="2"/>
  <c r="N23" i="2" l="1"/>
  <c r="N24" i="2" s="1"/>
  <c r="N25" i="2" l="1"/>
  <c r="N32" i="2" s="1"/>
  <c r="N26" i="2" l="1"/>
  <c r="N27" i="2"/>
  <c r="N40" i="2"/>
  <c r="O23" i="2" l="1"/>
  <c r="O24" i="2" s="1"/>
  <c r="O25" i="2" l="1"/>
  <c r="O32" i="2" s="1"/>
  <c r="O26" i="2" l="1"/>
  <c r="O27" i="2" s="1"/>
  <c r="O40" i="2"/>
  <c r="P23" i="2" l="1"/>
  <c r="P24" i="2" s="1"/>
  <c r="P25" i="2" l="1"/>
  <c r="P32" i="2" s="1"/>
  <c r="P26" i="2" l="1"/>
  <c r="P27" i="2" l="1"/>
  <c r="P40" i="2"/>
  <c r="Q23" i="2" l="1"/>
  <c r="Q24" i="2" s="1"/>
  <c r="Q25" i="2" l="1"/>
  <c r="Q32" i="2" s="1"/>
  <c r="Q26" i="2"/>
  <c r="Q27" i="2" l="1"/>
  <c r="Q40" i="2"/>
  <c r="R23" i="2" l="1"/>
  <c r="R24" i="2" s="1"/>
  <c r="R25" i="2" l="1"/>
  <c r="R32" i="2" s="1"/>
  <c r="R26" i="2" l="1"/>
  <c r="R27" i="2"/>
  <c r="R40" i="2"/>
  <c r="S23" i="2" l="1"/>
  <c r="S24" i="2" s="1"/>
  <c r="S25" i="2" l="1"/>
  <c r="S32" i="2" s="1"/>
  <c r="S26" i="2" l="1"/>
  <c r="S27" i="2" l="1"/>
  <c r="S40" i="2"/>
  <c r="T23" i="2" l="1"/>
  <c r="T24" i="2" s="1"/>
  <c r="T25" i="2" l="1"/>
  <c r="T32" i="2" s="1"/>
  <c r="T26" i="2" l="1"/>
  <c r="T27" i="2"/>
  <c r="T40" i="2"/>
  <c r="U23" i="2" l="1"/>
  <c r="U24" i="2" s="1"/>
  <c r="U25" i="2" l="1"/>
  <c r="U32" i="2" s="1"/>
  <c r="U26" i="2" l="1"/>
  <c r="U27" i="2" l="1"/>
  <c r="V26" i="2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AW26" i="2" s="1"/>
  <c r="AX26" i="2" s="1"/>
  <c r="AY26" i="2" s="1"/>
  <c r="AZ26" i="2" s="1"/>
  <c r="BA26" i="2" s="1"/>
  <c r="BB26" i="2" s="1"/>
  <c r="BC26" i="2" s="1"/>
  <c r="BD26" i="2" s="1"/>
  <c r="BE26" i="2" s="1"/>
  <c r="BF26" i="2" s="1"/>
  <c r="BG26" i="2" s="1"/>
  <c r="BH26" i="2" s="1"/>
  <c r="BI26" i="2" s="1"/>
  <c r="BJ26" i="2" s="1"/>
  <c r="BK26" i="2" s="1"/>
  <c r="BL26" i="2" s="1"/>
  <c r="BM26" i="2" s="1"/>
  <c r="BN26" i="2" s="1"/>
  <c r="BO26" i="2" s="1"/>
  <c r="BP26" i="2" s="1"/>
  <c r="BQ26" i="2" s="1"/>
  <c r="BR26" i="2" s="1"/>
  <c r="BS26" i="2" s="1"/>
  <c r="BT26" i="2" s="1"/>
  <c r="BU26" i="2" s="1"/>
  <c r="BV26" i="2" s="1"/>
  <c r="BW26" i="2" s="1"/>
  <c r="BX26" i="2" s="1"/>
  <c r="BY26" i="2" s="1"/>
  <c r="BZ26" i="2" s="1"/>
  <c r="CA26" i="2" s="1"/>
  <c r="CB26" i="2" s="1"/>
  <c r="CC26" i="2" s="1"/>
  <c r="CD26" i="2" s="1"/>
  <c r="CE26" i="2" s="1"/>
  <c r="CF26" i="2" s="1"/>
  <c r="CG26" i="2" s="1"/>
  <c r="CH26" i="2" s="1"/>
  <c r="CI26" i="2" s="1"/>
  <c r="CJ26" i="2" s="1"/>
  <c r="CK26" i="2" s="1"/>
  <c r="CL26" i="2" s="1"/>
  <c r="CM26" i="2" s="1"/>
  <c r="CN26" i="2" s="1"/>
  <c r="CO26" i="2" s="1"/>
  <c r="CP26" i="2" s="1"/>
  <c r="CQ26" i="2" s="1"/>
  <c r="CR26" i="2" s="1"/>
  <c r="CS26" i="2" s="1"/>
  <c r="CT26" i="2" s="1"/>
  <c r="CU26" i="2" s="1"/>
  <c r="CV26" i="2" s="1"/>
  <c r="CW26" i="2" s="1"/>
  <c r="CX26" i="2" s="1"/>
  <c r="CY26" i="2" s="1"/>
  <c r="CZ26" i="2" s="1"/>
  <c r="DA26" i="2" s="1"/>
  <c r="DB26" i="2" s="1"/>
  <c r="DC26" i="2" s="1"/>
  <c r="DD26" i="2" s="1"/>
  <c r="DE26" i="2" s="1"/>
  <c r="DF26" i="2" s="1"/>
  <c r="DG26" i="2" s="1"/>
  <c r="DH26" i="2" s="1"/>
  <c r="DI26" i="2" s="1"/>
  <c r="DJ26" i="2" s="1"/>
  <c r="DK26" i="2" s="1"/>
  <c r="DL26" i="2" s="1"/>
  <c r="DM26" i="2" s="1"/>
  <c r="DN26" i="2" s="1"/>
  <c r="DO26" i="2" s="1"/>
  <c r="DP26" i="2" s="1"/>
  <c r="DQ26" i="2" s="1"/>
  <c r="DR26" i="2" s="1"/>
  <c r="DS26" i="2" s="1"/>
  <c r="DT26" i="2" s="1"/>
  <c r="DU26" i="2" s="1"/>
  <c r="DV26" i="2" s="1"/>
  <c r="DW26" i="2" s="1"/>
  <c r="DX26" i="2" s="1"/>
  <c r="DY26" i="2" s="1"/>
  <c r="DZ26" i="2" s="1"/>
  <c r="EA26" i="2" s="1"/>
  <c r="EB26" i="2" s="1"/>
  <c r="EC26" i="2" s="1"/>
  <c r="ED26" i="2" s="1"/>
  <c r="EE26" i="2" s="1"/>
  <c r="EF26" i="2" s="1"/>
  <c r="EG26" i="2" s="1"/>
  <c r="EH26" i="2" s="1"/>
  <c r="EI26" i="2" s="1"/>
  <c r="EJ26" i="2" s="1"/>
  <c r="EK26" i="2" s="1"/>
  <c r="EL26" i="2" s="1"/>
  <c r="EM26" i="2" s="1"/>
  <c r="EN26" i="2" s="1"/>
  <c r="EO26" i="2" s="1"/>
  <c r="EP26" i="2" s="1"/>
  <c r="EQ26" i="2" s="1"/>
  <c r="ER26" i="2" s="1"/>
  <c r="ES26" i="2" s="1"/>
  <c r="ET26" i="2" s="1"/>
  <c r="EU26" i="2" s="1"/>
  <c r="EV26" i="2" s="1"/>
  <c r="EW26" i="2" s="1"/>
  <c r="EX26" i="2" s="1"/>
  <c r="EY26" i="2" s="1"/>
  <c r="EZ26" i="2" s="1"/>
  <c r="FA26" i="2" s="1"/>
  <c r="FB26" i="2" s="1"/>
  <c r="FC26" i="2" s="1"/>
  <c r="FD26" i="2" s="1"/>
  <c r="FE26" i="2" s="1"/>
  <c r="FF26" i="2" s="1"/>
  <c r="FG26" i="2" s="1"/>
  <c r="FH26" i="2" s="1"/>
  <c r="FI26" i="2" s="1"/>
  <c r="FJ26" i="2" s="1"/>
  <c r="FK26" i="2" s="1"/>
  <c r="FL26" i="2" s="1"/>
  <c r="FM26" i="2" s="1"/>
  <c r="FN26" i="2" s="1"/>
  <c r="FO26" i="2" s="1"/>
  <c r="FP26" i="2" s="1"/>
  <c r="FQ26" i="2" s="1"/>
  <c r="FR26" i="2" s="1"/>
  <c r="FS26" i="2" s="1"/>
  <c r="FT26" i="2" s="1"/>
  <c r="FU26" i="2" s="1"/>
  <c r="FV26" i="2" s="1"/>
  <c r="FW26" i="2" s="1"/>
  <c r="FX26" i="2" s="1"/>
  <c r="FY26" i="2" s="1"/>
  <c r="FZ26" i="2" s="1"/>
  <c r="GA26" i="2" s="1"/>
  <c r="GB26" i="2" s="1"/>
  <c r="GC26" i="2" s="1"/>
  <c r="GD26" i="2" s="1"/>
  <c r="GE26" i="2" s="1"/>
  <c r="GF26" i="2" s="1"/>
  <c r="GG26" i="2" s="1"/>
  <c r="GH26" i="2" s="1"/>
  <c r="GI26" i="2" s="1"/>
  <c r="GJ26" i="2" s="1"/>
  <c r="GK26" i="2" s="1"/>
  <c r="GL26" i="2" s="1"/>
  <c r="GM26" i="2" s="1"/>
  <c r="GN26" i="2" s="1"/>
  <c r="GO26" i="2" s="1"/>
  <c r="GP26" i="2" s="1"/>
  <c r="GQ26" i="2" s="1"/>
  <c r="GR26" i="2" s="1"/>
  <c r="F5" i="2" s="1"/>
  <c r="U40" i="2"/>
  <c r="F6" i="2" l="1"/>
  <c r="G7" i="2" s="1"/>
</calcChain>
</file>

<file path=xl/sharedStrings.xml><?xml version="1.0" encoding="utf-8"?>
<sst xmlns="http://schemas.openxmlformats.org/spreadsheetml/2006/main" count="130" uniqueCount="89">
  <si>
    <t>Q117</t>
  </si>
  <si>
    <t>Q217</t>
  </si>
  <si>
    <t>Q317</t>
  </si>
  <si>
    <t>Q417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</si>
  <si>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</si>
  <si>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</si>
  <si>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</si>
  <si>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</si>
  <si>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</si>
  <si>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</si>
  <si>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</si>
  <si>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</si>
  <si>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</si>
  <si>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</si>
  <si>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</si>
  <si>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</si>
  <si>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</si>
  <si>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Shares</t>
  </si>
  <si>
    <t>Revenue y/y</t>
  </si>
  <si>
    <t>Gross Margin</t>
  </si>
  <si>
    <t>Operating Margin</t>
  </si>
  <si>
    <t>Tax Rate</t>
  </si>
  <si>
    <t>Q116</t>
  </si>
  <si>
    <t>Q216</t>
  </si>
  <si>
    <t>Q316</t>
  </si>
  <si>
    <t>Q416</t>
  </si>
  <si>
    <t>Net Cash</t>
  </si>
  <si>
    <t>Cash</t>
  </si>
  <si>
    <t>Debt</t>
  </si>
  <si>
    <t>Maturity</t>
  </si>
  <si>
    <t>ROIC</t>
  </si>
  <si>
    <t>Discount</t>
  </si>
  <si>
    <t>NPV</t>
  </si>
  <si>
    <t>Value</t>
  </si>
  <si>
    <t>Q118</t>
  </si>
  <si>
    <t>Q218</t>
  </si>
  <si>
    <t>Q318</t>
  </si>
  <si>
    <t>Q418</t>
  </si>
  <si>
    <t>Q115</t>
  </si>
  <si>
    <t>Q215</t>
  </si>
  <si>
    <t>Q315</t>
  </si>
  <si>
    <t>Q415</t>
  </si>
  <si>
    <t>R&amp;D y/y</t>
  </si>
  <si>
    <t>S&amp;M y/y</t>
  </si>
  <si>
    <t>G&amp;A y/y</t>
  </si>
  <si>
    <t>EDGAR</t>
  </si>
  <si>
    <t>CEO</t>
  </si>
  <si>
    <t>Founder</t>
  </si>
  <si>
    <t>Price</t>
  </si>
  <si>
    <t>Market Cap</t>
  </si>
  <si>
    <t>EV</t>
  </si>
  <si>
    <t>per share</t>
  </si>
  <si>
    <t>Q119</t>
  </si>
  <si>
    <t>Q219</t>
  </si>
  <si>
    <t>Q319</t>
  </si>
  <si>
    <t>Q419</t>
  </si>
  <si>
    <t>Intangibles</t>
  </si>
  <si>
    <t>Total assets</t>
  </si>
  <si>
    <t>Total liabilities</t>
  </si>
  <si>
    <t>TWC</t>
  </si>
  <si>
    <t>Equity</t>
  </si>
  <si>
    <t>NI 12M</t>
  </si>
  <si>
    <t>ROE</t>
  </si>
  <si>
    <t>ROA</t>
  </si>
  <si>
    <t>ROTB</t>
  </si>
  <si>
    <t>ROTWC</t>
  </si>
  <si>
    <t>Investor Relations</t>
  </si>
  <si>
    <t>Expected return on invested capital (innovation grade)</t>
  </si>
  <si>
    <t>Tax anomaly</t>
  </si>
  <si>
    <t>Operating Expenses y/y</t>
  </si>
  <si>
    <t>Q120</t>
  </si>
  <si>
    <t>Q420</t>
  </si>
  <si>
    <t>Trademarks</t>
  </si>
  <si>
    <t>Risk-free rate + market premium (opportunity cost)</t>
  </si>
  <si>
    <t>http://www.worldgovernmentbonds.com/country/united-states/</t>
  </si>
  <si>
    <t>Net present value on future net income (terminal value)</t>
  </si>
  <si>
    <t>Q220</t>
  </si>
  <si>
    <t>Q320</t>
  </si>
  <si>
    <t>Airbnb Inc (ABNB)</t>
  </si>
  <si>
    <t>Bookings</t>
  </si>
  <si>
    <t>Bookings y/y</t>
  </si>
  <si>
    <t>GBV</t>
  </si>
  <si>
    <t>GBV y/y</t>
  </si>
  <si>
    <t>Platform</t>
  </si>
  <si>
    <t>Platform y/y</t>
  </si>
  <si>
    <t>ARPB</t>
  </si>
  <si>
    <t>ARPB y/y</t>
  </si>
  <si>
    <t>Brian Chesky</t>
  </si>
  <si>
    <t>Joe Gebbia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</si>
</sst>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 ;[Red]\-#,##0\ "/>
    <numFmt numFmtId="165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4" fillId="0" borderId="0" xfId="4" applyFont="1" applyBorder="1"/>
    <xf numFmtId="0" fontId="5" fillId="0" borderId="0" xfId="0" applyFont="1"/>
    <xf numFmtId="0" fontId="6" fillId="0" borderId="0" xfId="0" applyFont="1"/>
    <xf numFmtId="4" fontId="6" fillId="0" borderId="0" xfId="0" applyNumberFormat="1" applyFont="1" applyBorder="1"/>
    <xf numFmtId="0" fontId="7" fillId="0" borderId="0" xfId="0" applyFont="1"/>
    <xf numFmtId="0" fontId="6" fillId="0" borderId="0" xfId="0" applyFont="1" applyBorder="1"/>
    <xf numFmtId="10" fontId="6" fillId="0" borderId="0" xfId="0" applyNumberFormat="1" applyFont="1"/>
    <xf numFmtId="3" fontId="6" fillId="0" borderId="0" xfId="0" applyNumberFormat="1" applyFont="1" applyBorder="1"/>
    <xf numFmtId="0" fontId="4" fillId="0" borderId="0" xfId="4" applyFont="1"/>
    <xf numFmtId="3" fontId="6" fillId="2" borderId="0" xfId="0" applyNumberFormat="1" applyFont="1" applyFill="1" applyBorder="1"/>
    <xf numFmtId="164" fontId="6" fillId="2" borderId="0" xfId="0" applyNumberFormat="1" applyFont="1" applyFill="1"/>
    <xf numFmtId="0" fontId="5" fillId="0" borderId="0" xfId="0" applyFont="1" applyBorder="1"/>
    <xf numFmtId="164" fontId="5" fillId="2" borderId="0" xfId="0" applyNumberFormat="1" applyFont="1" applyFill="1"/>
    <xf numFmtId="0" fontId="7" fillId="0" borderId="0" xfId="0" applyFont="1" applyBorder="1"/>
    <xf numFmtId="164" fontId="6" fillId="0" borderId="0" xfId="0" applyNumberFormat="1" applyFont="1"/>
    <xf numFmtId="3" fontId="6" fillId="0" borderId="0" xfId="0" applyNumberFormat="1" applyFont="1"/>
    <xf numFmtId="3" fontId="5" fillId="0" borderId="0" xfId="0" applyNumberFormat="1" applyFont="1" applyBorder="1"/>
    <xf numFmtId="0" fontId="6" fillId="0" borderId="0" xfId="0" applyFont="1" applyFill="1" applyBorder="1"/>
    <xf numFmtId="9" fontId="6" fillId="0" borderId="0" xfId="0" applyNumberFormat="1" applyFont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right"/>
    </xf>
    <xf numFmtId="3" fontId="6" fillId="2" borderId="0" xfId="0" applyNumberFormat="1" applyFont="1" applyFill="1" applyBorder="1" applyAlignment="1">
      <alignment horizontal="right"/>
    </xf>
    <xf numFmtId="3" fontId="6" fillId="2" borderId="1" xfId="0" applyNumberFormat="1" applyFont="1" applyFill="1" applyBorder="1" applyAlignment="1">
      <alignment horizontal="right"/>
    </xf>
    <xf numFmtId="2" fontId="6" fillId="2" borderId="0" xfId="0" applyNumberFormat="1" applyFont="1" applyFill="1" applyBorder="1" applyAlignment="1">
      <alignment horizontal="right"/>
    </xf>
    <xf numFmtId="9" fontId="5" fillId="0" borderId="0" xfId="1" applyNumberFormat="1" applyFont="1" applyBorder="1" applyAlignment="1">
      <alignment horizontal="right"/>
    </xf>
    <xf numFmtId="9" fontId="5" fillId="0" borderId="1" xfId="1" applyNumberFormat="1" applyFont="1" applyBorder="1" applyAlignment="1">
      <alignment horizontal="right"/>
    </xf>
    <xf numFmtId="9" fontId="6" fillId="0" borderId="0" xfId="1" applyNumberFormat="1" applyFont="1" applyBorder="1" applyAlignment="1">
      <alignment horizontal="right"/>
    </xf>
    <xf numFmtId="9" fontId="6" fillId="0" borderId="1" xfId="1" applyNumberFormat="1" applyFont="1" applyBorder="1" applyAlignment="1">
      <alignment horizontal="right"/>
    </xf>
    <xf numFmtId="9" fontId="6" fillId="0" borderId="0" xfId="0" applyNumberFormat="1" applyFont="1" applyBorder="1" applyAlignment="1">
      <alignment horizontal="right"/>
    </xf>
    <xf numFmtId="9" fontId="6" fillId="0" borderId="1" xfId="0" applyNumberFormat="1" applyFont="1" applyBorder="1" applyAlignment="1">
      <alignment horizontal="right"/>
    </xf>
    <xf numFmtId="9" fontId="6" fillId="0" borderId="0" xfId="1" applyFont="1" applyBorder="1" applyAlignment="1">
      <alignment horizontal="right"/>
    </xf>
    <xf numFmtId="9" fontId="6" fillId="0" borderId="1" xfId="1" applyFont="1" applyBorder="1" applyAlignment="1">
      <alignment horizontal="right"/>
    </xf>
    <xf numFmtId="3" fontId="6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4" fontId="6" fillId="2" borderId="0" xfId="0" applyNumberFormat="1" applyFont="1" applyFill="1"/>
    <xf numFmtId="4" fontId="6" fillId="2" borderId="0" xfId="0" applyNumberFormat="1" applyFont="1" applyFill="1" applyBorder="1"/>
    <xf numFmtId="9" fontId="7" fillId="0" borderId="0" xfId="0" applyNumberFormat="1" applyFont="1" applyBorder="1" applyAlignment="1">
      <alignment horizontal="right"/>
    </xf>
    <xf numFmtId="9" fontId="7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3" fontId="7" fillId="0" borderId="0" xfId="0" applyNumberFormat="1" applyFont="1" applyBorder="1"/>
    <xf numFmtId="3" fontId="7" fillId="0" borderId="0" xfId="0" applyNumberFormat="1" applyFont="1" applyAlignment="1">
      <alignment horizontal="right"/>
    </xf>
    <xf numFmtId="2" fontId="6" fillId="0" borderId="0" xfId="0" applyNumberFormat="1" applyFont="1" applyBorder="1" applyAlignment="1">
      <alignment horizontal="right"/>
    </xf>
    <xf numFmtId="9" fontId="5" fillId="0" borderId="0" xfId="1" applyFont="1" applyBorder="1" applyAlignment="1">
      <alignment horizontal="right"/>
    </xf>
    <xf numFmtId="3" fontId="5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165" fontId="6" fillId="0" borderId="0" xfId="0" applyNumberFormat="1" applyFont="1" applyFill="1" applyAlignment="1">
      <alignment horizontal="right"/>
    </xf>
    <xf numFmtId="165" fontId="6" fillId="0" borderId="0" xfId="0" applyNumberFormat="1" applyFont="1" applyAlignment="1">
      <alignment horizontal="right"/>
    </xf>
    <xf numFmtId="3" fontId="6" fillId="0" borderId="0" xfId="0" applyNumberFormat="1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9" fontId="6" fillId="0" borderId="0" xfId="0" applyNumberFormat="1" applyFont="1" applyAlignment="1">
      <alignment horizontal="right"/>
    </xf>
    <xf numFmtId="0" fontId="7" fillId="0" borderId="1" xfId="0" applyFont="1" applyBorder="1" applyAlignment="1">
      <alignment horizontal="right"/>
    </xf>
    <xf numFmtId="0" fontId="7" fillId="0" borderId="0" xfId="0" applyFont="1" applyAlignment="1">
      <alignment horizontal="right"/>
    </xf>
    <xf numFmtId="14" fontId="6" fillId="0" borderId="0" xfId="0" applyNumberFormat="1" applyFont="1" applyBorder="1" applyAlignment="1">
      <alignment horizontal="right"/>
    </xf>
    <xf numFmtId="14" fontId="6" fillId="0" borderId="1" xfId="0" applyNumberFormat="1" applyFont="1" applyBorder="1" applyAlignment="1">
      <alignment horizontal="right"/>
    </xf>
    <xf numFmtId="4" fontId="6" fillId="2" borderId="0" xfId="0" applyNumberFormat="1" applyFont="1" applyFill="1" applyBorder="1" applyAlignment="1">
      <alignment horizontal="right"/>
    </xf>
    <xf numFmtId="4" fontId="6" fillId="2" borderId="1" xfId="0" applyNumberFormat="1" applyFont="1" applyFill="1" applyBorder="1" applyAlignment="1">
      <alignment horizontal="right"/>
    </xf>
    <xf numFmtId="4" fontId="6" fillId="0" borderId="0" xfId="0" applyNumberFormat="1" applyFont="1" applyFill="1" applyBorder="1" applyAlignment="1">
      <alignment horizontal="right"/>
    </xf>
    <xf numFmtId="3" fontId="6" fillId="0" borderId="0" xfId="0" applyNumberFormat="1" applyFont="1" applyFill="1" applyBorder="1"/>
    <xf numFmtId="3" fontId="5" fillId="0" borderId="0" xfId="0" applyNumberFormat="1" applyFont="1" applyFill="1" applyBorder="1"/>
    <xf numFmtId="1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4" fillId="0" borderId="0" xfId="4" applyBorder="1"/>
    <xf numFmtId="0" fontId="4" fillId="0" borderId="0" xfId="4"/>
  </cellXfs>
  <cellStyles count="5">
    <cellStyle name="Followed Hyperlink" xfId="3" builtinId="9" hidden="1"/>
    <cellStyle name="Hyperlink" xfId="2" builtinId="8" hidden="1"/>
    <cellStyle name="Hyperlink" xfId="4" builtinId="8" customBuiltin="1"/>
    <cellStyle name="Normal" xfId="0" builtinId="0"/>
    <cellStyle name="Per 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8</xdr:row>
      <xdr:rowOff>20320</xdr:rowOff>
    </xdr:from>
    <xdr:to>
      <xdr:col>6</xdr:col>
      <xdr:colOff>165100</xdr:colOff>
      <xdr:row>63</xdr:row>
      <xdr:rowOff>10160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4188460" y="1320800"/>
          <a:ext cx="0" cy="876808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165100</xdr:colOff>
      <xdr:row>0</xdr:row>
      <xdr:rowOff>152400</xdr:rowOff>
    </xdr:from>
    <xdr:to>
      <xdr:col>24</xdr:col>
      <xdr:colOff>165100</xdr:colOff>
      <xdr:row>53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0647660" y="152400"/>
          <a:ext cx="0" cy="8963660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Brian_Chesky" TargetMode="External"/><Relationship Id="rId2" Type="http://schemas.openxmlformats.org/officeDocument/2006/relationships/hyperlink" Target="http://www.worldgovernmentbonds.com/country/united-states/" TargetMode="External"/><Relationship Id="rId1" Type="http://schemas.openxmlformats.org/officeDocument/2006/relationships/hyperlink" Target="https://www.adobe.com/investor-relations.html?promoid=2XBSC4VN&amp;mv=other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Joe_Gebbia" TargetMode="External"/><Relationship Id="rId4" Type="http://schemas.openxmlformats.org/officeDocument/2006/relationships/hyperlink" Target="https://en.wikipedia.org/wiki/Brian_Chesky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ec.gov/cgi-bin/browse-edgar?action=getcompany&amp;CIK=0001559720&amp;owner=include&amp;count=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R62"/>
  <sheetViews>
    <sheetView tabSelected="1" zoomScale="125" zoomScaleNormal="125" workbookViewId="0">
      <pane xSplit="1" ySplit="9" topLeftCell="B10" activePane="bottomRight" state="frozen"/>
      <selection pane="topRight" activeCell="B1" sqref="B1"/>
      <selection pane="bottomLeft" activeCell="A11" sqref="A11"/>
      <selection pane="bottomRight" activeCell="C5" sqref="C5"/>
    </sheetView>
  </sheetViews>
  <sheetFormatPr baseColWidth="10" defaultRowHeight="13" x14ac:dyDescent="0.15"/>
  <cols>
    <col min="1" max="1" width="20.33203125" style="3" bestFit="1" customWidth="1"/>
    <col min="2" max="16384" width="10.83203125" style="3"/>
  </cols>
  <sheetData>
    <row r="1" spans="1:117" x14ac:dyDescent="0.15">
      <c r="A1" s="1" t="s">
        <v>66</v>
      </c>
      <c r="B1" s="2" t="s">
        <v>78</v>
      </c>
    </row>
    <row r="2" spans="1:117" x14ac:dyDescent="0.15">
      <c r="B2" s="3" t="s">
        <v>48</v>
      </c>
      <c r="C2" s="4">
        <v>144.71</v>
      </c>
      <c r="D2" s="67">
        <v>44176</v>
      </c>
      <c r="E2" s="6" t="s">
        <v>29</v>
      </c>
      <c r="F2" s="7">
        <v>-0.01</v>
      </c>
      <c r="I2" s="16"/>
      <c r="L2" s="2"/>
    </row>
    <row r="3" spans="1:117" x14ac:dyDescent="0.15">
      <c r="A3" s="2" t="s">
        <v>46</v>
      </c>
      <c r="B3" s="3" t="s">
        <v>17</v>
      </c>
      <c r="C3" s="8">
        <f>F28</f>
        <v>260.55599999999998</v>
      </c>
      <c r="D3" s="68" t="s">
        <v>77</v>
      </c>
      <c r="E3" s="6" t="s">
        <v>30</v>
      </c>
      <c r="F3" s="7">
        <v>0.02</v>
      </c>
      <c r="G3" s="5" t="s">
        <v>67</v>
      </c>
      <c r="I3" s="16"/>
    </row>
    <row r="4" spans="1:117" x14ac:dyDescent="0.15">
      <c r="A4" s="70" t="s">
        <v>87</v>
      </c>
      <c r="B4" s="3" t="s">
        <v>49</v>
      </c>
      <c r="C4" s="10">
        <f>C2*C3</f>
        <v>37705.05876</v>
      </c>
      <c r="D4" s="68"/>
      <c r="E4" s="6" t="s">
        <v>31</v>
      </c>
      <c r="F4" s="7">
        <f>7%</f>
        <v>7.0000000000000007E-2</v>
      </c>
      <c r="G4" s="5" t="s">
        <v>73</v>
      </c>
      <c r="I4" s="19"/>
      <c r="L4" s="9" t="s">
        <v>74</v>
      </c>
    </row>
    <row r="5" spans="1:117" x14ac:dyDescent="0.15">
      <c r="B5" s="3" t="s">
        <v>26</v>
      </c>
      <c r="C5" s="8">
        <f>Reports!X33</f>
        <v>0</v>
      </c>
      <c r="D5" s="68" t="s">
        <v>77</v>
      </c>
      <c r="E5" s="6" t="s">
        <v>32</v>
      </c>
      <c r="F5" s="11">
        <f>NPV(F4,G26:GR26)</f>
        <v>72836.701873816011</v>
      </c>
      <c r="G5" s="5" t="s">
        <v>75</v>
      </c>
      <c r="I5" s="19"/>
    </row>
    <row r="6" spans="1:117" x14ac:dyDescent="0.15">
      <c r="A6" s="2" t="s">
        <v>47</v>
      </c>
      <c r="B6" s="3" t="s">
        <v>50</v>
      </c>
      <c r="C6" s="10">
        <f>C4-C5</f>
        <v>37705.05876</v>
      </c>
      <c r="D6" s="68"/>
      <c r="E6" s="12" t="s">
        <v>33</v>
      </c>
      <c r="F6" s="13">
        <f>F5+C5</f>
        <v>72836.701873816011</v>
      </c>
      <c r="I6" s="19"/>
    </row>
    <row r="7" spans="1:117" x14ac:dyDescent="0.15">
      <c r="A7" s="70" t="s">
        <v>87</v>
      </c>
      <c r="B7" s="5" t="s">
        <v>51</v>
      </c>
      <c r="C7" s="43">
        <f>C6/C3</f>
        <v>144.71</v>
      </c>
      <c r="D7" s="68"/>
      <c r="E7" s="14" t="s">
        <v>51</v>
      </c>
      <c r="F7" s="42">
        <f>F6/C3</f>
        <v>279.543368311672</v>
      </c>
      <c r="G7" s="19">
        <f>F7/C2-1</f>
        <v>0.93174879629377361</v>
      </c>
    </row>
    <row r="8" spans="1:117" x14ac:dyDescent="0.15">
      <c r="A8" s="70" t="s">
        <v>88</v>
      </c>
      <c r="E8" s="6"/>
      <c r="F8" s="15"/>
    </row>
    <row r="9" spans="1:117" x14ac:dyDescent="0.15">
      <c r="B9" s="38">
        <v>2015</v>
      </c>
      <c r="C9" s="38">
        <v>2016</v>
      </c>
      <c r="D9" s="38">
        <v>2017</v>
      </c>
      <c r="E9" s="38">
        <f>D9+1</f>
        <v>2018</v>
      </c>
      <c r="F9" s="38">
        <f t="shared" ref="F9:U9" si="0">E9+1</f>
        <v>2019</v>
      </c>
      <c r="G9" s="38">
        <f t="shared" si="0"/>
        <v>2020</v>
      </c>
      <c r="H9" s="38">
        <f t="shared" si="0"/>
        <v>2021</v>
      </c>
      <c r="I9" s="38">
        <f t="shared" si="0"/>
        <v>2022</v>
      </c>
      <c r="J9" s="38">
        <f t="shared" si="0"/>
        <v>2023</v>
      </c>
      <c r="K9" s="38">
        <f t="shared" si="0"/>
        <v>2024</v>
      </c>
      <c r="L9" s="38">
        <f t="shared" si="0"/>
        <v>2025</v>
      </c>
      <c r="M9" s="38">
        <f t="shared" si="0"/>
        <v>2026</v>
      </c>
      <c r="N9" s="38">
        <f t="shared" si="0"/>
        <v>2027</v>
      </c>
      <c r="O9" s="38">
        <f t="shared" si="0"/>
        <v>2028</v>
      </c>
      <c r="P9" s="38">
        <f t="shared" si="0"/>
        <v>2029</v>
      </c>
      <c r="Q9" s="38">
        <f t="shared" si="0"/>
        <v>2030</v>
      </c>
      <c r="R9" s="38">
        <f t="shared" si="0"/>
        <v>2031</v>
      </c>
      <c r="S9" s="38">
        <f t="shared" si="0"/>
        <v>2032</v>
      </c>
      <c r="T9" s="38">
        <f t="shared" si="0"/>
        <v>2033</v>
      </c>
      <c r="U9" s="38">
        <f t="shared" si="0"/>
        <v>2034</v>
      </c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8"/>
      <c r="CC9" s="38"/>
      <c r="CD9" s="38"/>
      <c r="CE9" s="38"/>
      <c r="CF9" s="38"/>
      <c r="CG9" s="38"/>
      <c r="CH9" s="38"/>
      <c r="CI9" s="38"/>
      <c r="CJ9" s="38"/>
      <c r="CK9" s="38"/>
      <c r="CL9" s="38"/>
      <c r="CM9" s="38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8"/>
      <c r="CZ9" s="38"/>
      <c r="DA9" s="38"/>
      <c r="DB9" s="38"/>
      <c r="DC9" s="38"/>
      <c r="DD9" s="38"/>
      <c r="DE9" s="38"/>
      <c r="DF9" s="38"/>
      <c r="DG9" s="38"/>
      <c r="DH9" s="38"/>
      <c r="DI9" s="38"/>
      <c r="DJ9" s="38"/>
      <c r="DK9" s="38"/>
      <c r="DL9" s="38"/>
      <c r="DM9" s="38"/>
    </row>
    <row r="10" spans="1:117" x14ac:dyDescent="0.15">
      <c r="A10" s="8" t="s">
        <v>83</v>
      </c>
      <c r="B10" s="37">
        <v>919</v>
      </c>
      <c r="C10" s="37">
        <v>1655.576</v>
      </c>
      <c r="D10" s="37">
        <v>2561.721</v>
      </c>
      <c r="E10" s="37">
        <v>3651.9850000000001</v>
      </c>
      <c r="F10" s="37">
        <v>4805.2389999999996</v>
      </c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  <c r="CB10" s="37"/>
      <c r="CC10" s="37"/>
      <c r="CD10" s="37"/>
      <c r="CE10" s="37"/>
      <c r="CF10" s="37"/>
      <c r="CG10" s="37"/>
      <c r="CH10" s="37"/>
      <c r="CI10" s="37"/>
      <c r="CJ10" s="37"/>
      <c r="CK10" s="37"/>
      <c r="CL10" s="37"/>
      <c r="CM10" s="37"/>
      <c r="CN10" s="37"/>
      <c r="CO10" s="37"/>
      <c r="CP10" s="37"/>
      <c r="CQ10" s="37"/>
      <c r="CR10" s="37"/>
      <c r="CS10" s="37"/>
      <c r="CT10" s="37"/>
      <c r="CU10" s="37"/>
      <c r="CV10" s="37"/>
      <c r="CW10" s="37"/>
      <c r="CX10" s="37"/>
      <c r="CY10" s="37"/>
      <c r="CZ10" s="37"/>
      <c r="DA10" s="37"/>
      <c r="DB10" s="37"/>
      <c r="DC10" s="37"/>
      <c r="DD10" s="37"/>
      <c r="DE10" s="37"/>
      <c r="DF10" s="37"/>
      <c r="DG10" s="37"/>
      <c r="DH10" s="37"/>
      <c r="DI10" s="37"/>
      <c r="DJ10" s="37"/>
      <c r="DK10" s="37"/>
      <c r="DL10" s="37"/>
      <c r="DM10" s="37"/>
    </row>
    <row r="11" spans="1:117" x14ac:dyDescent="0.15">
      <c r="A11" s="8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  <c r="CB11" s="37"/>
      <c r="CC11" s="37"/>
      <c r="CD11" s="37"/>
      <c r="CE11" s="37"/>
      <c r="CF11" s="37"/>
      <c r="CG11" s="37"/>
      <c r="CH11" s="37"/>
      <c r="CI11" s="37"/>
      <c r="CJ11" s="37"/>
      <c r="CK11" s="37"/>
      <c r="CL11" s="37"/>
      <c r="CM11" s="37"/>
      <c r="CN11" s="37"/>
      <c r="CO11" s="37"/>
      <c r="CP11" s="37"/>
      <c r="CQ11" s="37"/>
      <c r="CR11" s="37"/>
      <c r="CS11" s="37"/>
      <c r="CT11" s="37"/>
      <c r="CU11" s="37"/>
      <c r="CV11" s="37"/>
      <c r="CW11" s="37"/>
      <c r="CX11" s="37"/>
      <c r="CY11" s="37"/>
      <c r="CZ11" s="37"/>
      <c r="DA11" s="37"/>
      <c r="DB11" s="37"/>
      <c r="DC11" s="37"/>
      <c r="DD11" s="37"/>
      <c r="DE11" s="37"/>
      <c r="DF11" s="37"/>
      <c r="DG11" s="37"/>
      <c r="DH11" s="37"/>
      <c r="DI11" s="37"/>
      <c r="DJ11" s="37"/>
      <c r="DK11" s="37"/>
      <c r="DL11" s="37"/>
      <c r="DM11" s="37"/>
    </row>
    <row r="12" spans="1:117" s="16" customFormat="1" x14ac:dyDescent="0.15">
      <c r="A12" s="16" t="s">
        <v>79</v>
      </c>
      <c r="B12" s="16">
        <v>72.400000000000006</v>
      </c>
      <c r="C12" s="16">
        <v>125.7</v>
      </c>
      <c r="D12" s="16">
        <v>185.8</v>
      </c>
      <c r="E12" s="16">
        <v>250.3</v>
      </c>
      <c r="F12" s="16">
        <v>326.89999999999998</v>
      </c>
      <c r="G12" s="16">
        <f>F12*1.25</f>
        <v>408.625</v>
      </c>
      <c r="H12" s="16">
        <f t="shared" ref="H12:K12" si="1">G12*1.25</f>
        <v>510.78125</v>
      </c>
      <c r="I12" s="16">
        <f t="shared" si="1"/>
        <v>638.4765625</v>
      </c>
      <c r="J12" s="16">
        <f t="shared" si="1"/>
        <v>798.095703125</v>
      </c>
      <c r="K12" s="16">
        <f t="shared" si="1"/>
        <v>997.61962890625</v>
      </c>
    </row>
    <row r="13" spans="1:117" x14ac:dyDescent="0.15">
      <c r="A13" s="8" t="s">
        <v>85</v>
      </c>
      <c r="B13" s="56">
        <f>B10/B12</f>
        <v>12.693370165745856</v>
      </c>
      <c r="C13" s="56">
        <f>C10/C12</f>
        <v>13.17085123309467</v>
      </c>
      <c r="D13" s="56">
        <f>D10/D12</f>
        <v>13.787518837459633</v>
      </c>
      <c r="E13" s="56">
        <f>E10/E12</f>
        <v>14.590431482221334</v>
      </c>
      <c r="F13" s="56">
        <f>F10/F12</f>
        <v>14.699415723462833</v>
      </c>
      <c r="G13" s="37">
        <f>F13*1.02</f>
        <v>14.993404037932089</v>
      </c>
      <c r="H13" s="37">
        <f t="shared" ref="H13:K13" si="2">G13*1.02</f>
        <v>15.293272118690732</v>
      </c>
      <c r="I13" s="37">
        <f t="shared" si="2"/>
        <v>15.599137561064547</v>
      </c>
      <c r="J13" s="37">
        <f t="shared" si="2"/>
        <v>15.911120312285838</v>
      </c>
      <c r="K13" s="37">
        <f t="shared" si="2"/>
        <v>16.229342718531555</v>
      </c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  <c r="CB13" s="37"/>
      <c r="CC13" s="37"/>
      <c r="CD13" s="37"/>
      <c r="CE13" s="37"/>
      <c r="CF13" s="37"/>
      <c r="CG13" s="37"/>
      <c r="CH13" s="37"/>
      <c r="CI13" s="37"/>
      <c r="CJ13" s="37"/>
      <c r="CK13" s="37"/>
      <c r="CL13" s="37"/>
      <c r="CM13" s="37"/>
      <c r="CN13" s="37"/>
      <c r="CO13" s="37"/>
      <c r="CP13" s="37"/>
      <c r="CQ13" s="37"/>
      <c r="CR13" s="37"/>
      <c r="CS13" s="37"/>
      <c r="CT13" s="37"/>
      <c r="CU13" s="37"/>
      <c r="CV13" s="37"/>
      <c r="CW13" s="37"/>
      <c r="CX13" s="37"/>
      <c r="CY13" s="37"/>
      <c r="CZ13" s="37"/>
      <c r="DA13" s="37"/>
      <c r="DB13" s="37"/>
      <c r="DC13" s="37"/>
      <c r="DD13" s="37"/>
      <c r="DE13" s="37"/>
      <c r="DF13" s="37"/>
      <c r="DG13" s="37"/>
      <c r="DH13" s="37"/>
      <c r="DI13" s="37"/>
      <c r="DJ13" s="37"/>
      <c r="DK13" s="37"/>
      <c r="DL13" s="37"/>
      <c r="DM13" s="37"/>
    </row>
    <row r="14" spans="1:117" s="59" customFormat="1" x14ac:dyDescent="0.15">
      <c r="F14" s="48"/>
      <c r="G14" s="48"/>
      <c r="H14" s="48"/>
      <c r="I14" s="48"/>
    </row>
    <row r="15" spans="1:117" x14ac:dyDescent="0.15">
      <c r="A15" s="2" t="s">
        <v>4</v>
      </c>
      <c r="B15" s="24">
        <f>SUM(B10:B10)</f>
        <v>919</v>
      </c>
      <c r="C15" s="24">
        <f>SUM(C10:C10)</f>
        <v>1655.576</v>
      </c>
      <c r="D15" s="24">
        <f>SUM(D10:D10)</f>
        <v>2561.721</v>
      </c>
      <c r="E15" s="24">
        <f>SUM(E10:E10)</f>
        <v>3651.9850000000001</v>
      </c>
      <c r="F15" s="24">
        <f>SUM(F10:F10)</f>
        <v>4805.2389999999996</v>
      </c>
      <c r="G15" s="46">
        <f>G12*G13</f>
        <v>6126.679725</v>
      </c>
      <c r="H15" s="46">
        <f>H12*H13</f>
        <v>7811.5166493750003</v>
      </c>
      <c r="I15" s="46">
        <f>I12*I13</f>
        <v>9959.6837279531264</v>
      </c>
      <c r="J15" s="46">
        <f>J12*J13</f>
        <v>12698.596753140237</v>
      </c>
      <c r="K15" s="46">
        <f>K12*K13</f>
        <v>16190.710860253801</v>
      </c>
      <c r="L15" s="46">
        <f>K15*1.1</f>
        <v>17809.781946279181</v>
      </c>
      <c r="M15" s="46">
        <f t="shared" ref="M15:P15" si="3">L15*1.1</f>
        <v>19590.760140907099</v>
      </c>
      <c r="N15" s="46">
        <f t="shared" si="3"/>
        <v>21549.836154997811</v>
      </c>
      <c r="O15" s="46">
        <f t="shared" si="3"/>
        <v>23704.819770497594</v>
      </c>
      <c r="P15" s="46">
        <f t="shared" si="3"/>
        <v>26075.301747547353</v>
      </c>
      <c r="Q15" s="46">
        <f t="shared" ref="Q15:U15" si="4">P15*1.05</f>
        <v>27379.066834924721</v>
      </c>
      <c r="R15" s="46">
        <f t="shared" si="4"/>
        <v>28748.020176670958</v>
      </c>
      <c r="S15" s="46">
        <f t="shared" si="4"/>
        <v>30185.421185504507</v>
      </c>
      <c r="T15" s="46">
        <f t="shared" si="4"/>
        <v>31694.692244779733</v>
      </c>
      <c r="U15" s="46">
        <f t="shared" si="4"/>
        <v>33279.42685701872</v>
      </c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</row>
    <row r="16" spans="1:117" x14ac:dyDescent="0.15">
      <c r="A16" s="3" t="s">
        <v>5</v>
      </c>
      <c r="B16" s="37">
        <f>226+181</f>
        <v>407</v>
      </c>
      <c r="C16" s="37">
        <f>413+270</f>
        <v>683</v>
      </c>
      <c r="D16" s="37">
        <f>648+396</f>
        <v>1044</v>
      </c>
      <c r="E16" s="37">
        <f>864+609</f>
        <v>1473</v>
      </c>
      <c r="F16" s="37">
        <f>1196+815</f>
        <v>2011</v>
      </c>
      <c r="G16" s="23">
        <f>G15-G17</f>
        <v>2564.0250000000001</v>
      </c>
      <c r="H16" s="23">
        <f t="shared" ref="H16" si="5">H15-H17</f>
        <v>3269.131875</v>
      </c>
      <c r="I16" s="23">
        <f t="shared" ref="I16:P16" si="6">I15-I17</f>
        <v>4168.1431406250013</v>
      </c>
      <c r="J16" s="23">
        <f t="shared" si="6"/>
        <v>5314.3825042968765</v>
      </c>
      <c r="K16" s="23">
        <f>K15-K17</f>
        <v>6775.8376929785172</v>
      </c>
      <c r="L16" s="23">
        <f t="shared" si="6"/>
        <v>7453.4214622763684</v>
      </c>
      <c r="M16" s="23">
        <f t="shared" si="6"/>
        <v>8198.7636085040049</v>
      </c>
      <c r="N16" s="23">
        <f t="shared" si="6"/>
        <v>9018.6399693544063</v>
      </c>
      <c r="O16" s="23">
        <f t="shared" si="6"/>
        <v>9920.5039662898489</v>
      </c>
      <c r="P16" s="23">
        <f t="shared" si="6"/>
        <v>10912.554362918834</v>
      </c>
      <c r="Q16" s="23">
        <f t="shared" ref="Q16:U16" si="7">Q15-Q17</f>
        <v>11458.182081064775</v>
      </c>
      <c r="R16" s="23">
        <f t="shared" si="7"/>
        <v>12031.091185118014</v>
      </c>
      <c r="S16" s="23">
        <f t="shared" si="7"/>
        <v>12632.645744373916</v>
      </c>
      <c r="T16" s="23">
        <f t="shared" si="7"/>
        <v>13264.27803159261</v>
      </c>
      <c r="U16" s="23">
        <f t="shared" si="7"/>
        <v>13927.491933172241</v>
      </c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</row>
    <row r="17" spans="1:200" x14ac:dyDescent="0.15">
      <c r="A17" s="3" t="s">
        <v>6</v>
      </c>
      <c r="B17" s="26">
        <f>B15-B16</f>
        <v>512</v>
      </c>
      <c r="C17" s="26">
        <f>C15-C16</f>
        <v>972.57600000000002</v>
      </c>
      <c r="D17" s="26">
        <f>D15-D16</f>
        <v>1517.721</v>
      </c>
      <c r="E17" s="26">
        <f>E15-E16</f>
        <v>2178.9850000000001</v>
      </c>
      <c r="F17" s="26">
        <f>F15-F16</f>
        <v>2794.2389999999996</v>
      </c>
      <c r="G17" s="23">
        <f>G15*F30</f>
        <v>3562.6547249999999</v>
      </c>
      <c r="H17" s="23">
        <f t="shared" ref="H17:U17" si="8">H15*G30</f>
        <v>4542.3847743750002</v>
      </c>
      <c r="I17" s="23">
        <f t="shared" si="8"/>
        <v>5791.5405873281252</v>
      </c>
      <c r="J17" s="23">
        <f t="shared" si="8"/>
        <v>7384.2142488433601</v>
      </c>
      <c r="K17" s="23">
        <f>K15*J30</f>
        <v>9414.8731672752838</v>
      </c>
      <c r="L17" s="23">
        <f t="shared" si="8"/>
        <v>10356.360484002813</v>
      </c>
      <c r="M17" s="23">
        <f t="shared" si="8"/>
        <v>11391.996532403095</v>
      </c>
      <c r="N17" s="23">
        <f t="shared" si="8"/>
        <v>12531.196185643405</v>
      </c>
      <c r="O17" s="23">
        <f t="shared" si="8"/>
        <v>13784.315804207745</v>
      </c>
      <c r="P17" s="23">
        <f t="shared" si="8"/>
        <v>15162.747384628519</v>
      </c>
      <c r="Q17" s="23">
        <f t="shared" si="8"/>
        <v>15920.884753859946</v>
      </c>
      <c r="R17" s="23">
        <f t="shared" si="8"/>
        <v>16716.928991552944</v>
      </c>
      <c r="S17" s="23">
        <f t="shared" si="8"/>
        <v>17552.77544113059</v>
      </c>
      <c r="T17" s="23">
        <f t="shared" si="8"/>
        <v>18430.414213187123</v>
      </c>
      <c r="U17" s="23">
        <f t="shared" si="8"/>
        <v>19351.934923846478</v>
      </c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</row>
    <row r="18" spans="1:200" x14ac:dyDescent="0.15">
      <c r="A18" s="3" t="s">
        <v>7</v>
      </c>
      <c r="B18" s="37">
        <v>100</v>
      </c>
      <c r="C18" s="37">
        <v>228</v>
      </c>
      <c r="D18" s="37">
        <v>401</v>
      </c>
      <c r="E18" s="37">
        <v>579</v>
      </c>
      <c r="F18" s="37">
        <v>977</v>
      </c>
      <c r="G18" s="23">
        <f>F18*1.4</f>
        <v>1367.8</v>
      </c>
      <c r="H18" s="23">
        <f t="shared" ref="H18:K18" si="9">G18*1.4</f>
        <v>1914.9199999999998</v>
      </c>
      <c r="I18" s="23">
        <f t="shared" si="9"/>
        <v>2680.8879999999995</v>
      </c>
      <c r="J18" s="23">
        <f t="shared" si="9"/>
        <v>3753.243199999999</v>
      </c>
      <c r="K18" s="23">
        <f t="shared" si="9"/>
        <v>5254.5404799999978</v>
      </c>
      <c r="L18" s="23">
        <f>K18*0.9</f>
        <v>4729.0864319999982</v>
      </c>
      <c r="M18" s="23">
        <f t="shared" ref="M18:P18" si="10">L18*0.9</f>
        <v>4256.1777887999988</v>
      </c>
      <c r="N18" s="23">
        <f t="shared" si="10"/>
        <v>3830.5600099199992</v>
      </c>
      <c r="O18" s="23">
        <f t="shared" si="10"/>
        <v>3447.5040089279992</v>
      </c>
      <c r="P18" s="23">
        <f t="shared" si="10"/>
        <v>3102.7536080351992</v>
      </c>
      <c r="Q18" s="23">
        <f>P18*1.05</f>
        <v>3257.8912884369593</v>
      </c>
      <c r="R18" s="23">
        <f t="shared" ref="R18:U18" si="11">Q18*1.05</f>
        <v>3420.7858528588072</v>
      </c>
      <c r="S18" s="23">
        <f t="shared" si="11"/>
        <v>3591.8251455017476</v>
      </c>
      <c r="T18" s="23">
        <f t="shared" si="11"/>
        <v>3771.4164027768352</v>
      </c>
      <c r="U18" s="23">
        <f t="shared" si="11"/>
        <v>3959.9872229156772</v>
      </c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</row>
    <row r="19" spans="1:200" x14ac:dyDescent="0.15">
      <c r="A19" s="3" t="s">
        <v>8</v>
      </c>
      <c r="B19" s="37">
        <v>397</v>
      </c>
      <c r="C19" s="37">
        <v>663</v>
      </c>
      <c r="D19" s="37">
        <v>872</v>
      </c>
      <c r="E19" s="37">
        <v>1101</v>
      </c>
      <c r="F19" s="37">
        <v>1622</v>
      </c>
      <c r="G19" s="23">
        <f>F19*1.2</f>
        <v>1946.3999999999999</v>
      </c>
      <c r="H19" s="23">
        <f t="shared" ref="H19:K19" si="12">G19*1.2</f>
        <v>2335.6799999999998</v>
      </c>
      <c r="I19" s="23">
        <f t="shared" si="12"/>
        <v>2802.8159999999998</v>
      </c>
      <c r="J19" s="23">
        <f t="shared" si="12"/>
        <v>3363.3791999999999</v>
      </c>
      <c r="K19" s="23">
        <f t="shared" si="12"/>
        <v>4036.0550399999997</v>
      </c>
      <c r="L19" s="23">
        <f>K19*0.95</f>
        <v>3834.2522879999997</v>
      </c>
      <c r="M19" s="23">
        <f t="shared" ref="M19:P19" si="13">L19*0.95</f>
        <v>3642.5396735999993</v>
      </c>
      <c r="N19" s="23">
        <f t="shared" si="13"/>
        <v>3460.4126899199991</v>
      </c>
      <c r="O19" s="23">
        <f t="shared" si="13"/>
        <v>3287.392055423999</v>
      </c>
      <c r="P19" s="23">
        <f t="shared" si="13"/>
        <v>3123.0224526527991</v>
      </c>
      <c r="Q19" s="23">
        <f t="shared" ref="Q19:U19" si="14">P19*0.98</f>
        <v>3060.5620035997431</v>
      </c>
      <c r="R19" s="23">
        <f t="shared" si="14"/>
        <v>2999.3507635277483</v>
      </c>
      <c r="S19" s="23">
        <f t="shared" si="14"/>
        <v>2939.3637482571935</v>
      </c>
      <c r="T19" s="23">
        <f t="shared" si="14"/>
        <v>2880.5764732920497</v>
      </c>
      <c r="U19" s="23">
        <f t="shared" si="14"/>
        <v>2822.9649438262086</v>
      </c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</row>
    <row r="20" spans="1:200" x14ac:dyDescent="0.15">
      <c r="A20" s="3" t="s">
        <v>9</v>
      </c>
      <c r="B20" s="37">
        <v>138</v>
      </c>
      <c r="C20" s="37">
        <v>214</v>
      </c>
      <c r="D20" s="37">
        <v>327</v>
      </c>
      <c r="E20" s="37">
        <v>479</v>
      </c>
      <c r="F20" s="37">
        <v>697</v>
      </c>
      <c r="G20" s="23">
        <f>F20*1.2</f>
        <v>836.4</v>
      </c>
      <c r="H20" s="23">
        <f t="shared" ref="H20:K20" si="15">G20*1.2</f>
        <v>1003.68</v>
      </c>
      <c r="I20" s="23">
        <f t="shared" si="15"/>
        <v>1204.4159999999999</v>
      </c>
      <c r="J20" s="23">
        <f t="shared" si="15"/>
        <v>1445.2991999999999</v>
      </c>
      <c r="K20" s="23">
        <f t="shared" si="15"/>
        <v>1734.3590399999998</v>
      </c>
      <c r="L20" s="23">
        <f t="shared" ref="L20:U20" si="16">K20*0.98</f>
        <v>1699.6718591999997</v>
      </c>
      <c r="M20" s="23">
        <f t="shared" si="16"/>
        <v>1665.6784220159998</v>
      </c>
      <c r="N20" s="23">
        <f t="shared" si="16"/>
        <v>1632.3648535756797</v>
      </c>
      <c r="O20" s="23">
        <f t="shared" si="16"/>
        <v>1599.7175565041662</v>
      </c>
      <c r="P20" s="23">
        <f t="shared" si="16"/>
        <v>1567.7232053740829</v>
      </c>
      <c r="Q20" s="23">
        <f t="shared" si="16"/>
        <v>1536.3687412666013</v>
      </c>
      <c r="R20" s="23">
        <f t="shared" si="16"/>
        <v>1505.6413664412692</v>
      </c>
      <c r="S20" s="23">
        <f t="shared" si="16"/>
        <v>1475.5285391124437</v>
      </c>
      <c r="T20" s="23">
        <f t="shared" si="16"/>
        <v>1446.0179683301949</v>
      </c>
      <c r="U20" s="23">
        <f t="shared" si="16"/>
        <v>1417.097608963591</v>
      </c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</row>
    <row r="21" spans="1:200" x14ac:dyDescent="0.15">
      <c r="A21" s="3" t="s">
        <v>10</v>
      </c>
      <c r="B21" s="26">
        <f>SUM(B18:B20)</f>
        <v>635</v>
      </c>
      <c r="C21" s="26">
        <f>SUM(C18:C20)</f>
        <v>1105</v>
      </c>
      <c r="D21" s="26">
        <f>SUM(D18:D20)</f>
        <v>1600</v>
      </c>
      <c r="E21" s="26">
        <f>SUM(E18:E20)</f>
        <v>2159</v>
      </c>
      <c r="F21" s="26">
        <f>SUM(F18:F20)</f>
        <v>3296</v>
      </c>
      <c r="G21" s="23">
        <f t="shared" ref="G21:H21" si="17">SUM(G18:G20)</f>
        <v>4150.5999999999995</v>
      </c>
      <c r="H21" s="23">
        <f t="shared" si="17"/>
        <v>5254.28</v>
      </c>
      <c r="I21" s="23">
        <f t="shared" ref="I21:P21" si="18">SUM(I18:I20)</f>
        <v>6688.12</v>
      </c>
      <c r="J21" s="23">
        <f t="shared" si="18"/>
        <v>8561.9215999999979</v>
      </c>
      <c r="K21" s="23">
        <f t="shared" si="18"/>
        <v>11024.954559999996</v>
      </c>
      <c r="L21" s="23">
        <f t="shared" si="18"/>
        <v>10263.010579199998</v>
      </c>
      <c r="M21" s="23">
        <f t="shared" si="18"/>
        <v>9564.395884415997</v>
      </c>
      <c r="N21" s="23">
        <f t="shared" si="18"/>
        <v>8923.3375534156785</v>
      </c>
      <c r="O21" s="23">
        <f t="shared" si="18"/>
        <v>8334.6136208561657</v>
      </c>
      <c r="P21" s="23">
        <f t="shared" si="18"/>
        <v>7793.499266062081</v>
      </c>
      <c r="Q21" s="23">
        <f t="shared" ref="Q21:U21" si="19">SUM(Q18:Q20)</f>
        <v>7854.8220333033032</v>
      </c>
      <c r="R21" s="23">
        <f t="shared" si="19"/>
        <v>7925.7779828278244</v>
      </c>
      <c r="S21" s="23">
        <f t="shared" si="19"/>
        <v>8006.7174328713845</v>
      </c>
      <c r="T21" s="23">
        <f t="shared" si="19"/>
        <v>8098.0108443990803</v>
      </c>
      <c r="U21" s="23">
        <f t="shared" si="19"/>
        <v>8200.0497757054763</v>
      </c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</row>
    <row r="22" spans="1:200" x14ac:dyDescent="0.15">
      <c r="A22" s="3" t="s">
        <v>11</v>
      </c>
      <c r="B22" s="26">
        <f>B17-B21</f>
        <v>-123</v>
      </c>
      <c r="C22" s="26">
        <f>C17-C21</f>
        <v>-132.42399999999998</v>
      </c>
      <c r="D22" s="26">
        <f>D17-D21</f>
        <v>-82.278999999999996</v>
      </c>
      <c r="E22" s="26">
        <f>E17-E21</f>
        <v>19.985000000000127</v>
      </c>
      <c r="F22" s="26">
        <f>F17-F21</f>
        <v>-501.76100000000042</v>
      </c>
      <c r="G22" s="23">
        <f t="shared" ref="G22:H22" si="20">G17-G21</f>
        <v>-587.94527499999958</v>
      </c>
      <c r="H22" s="23">
        <f t="shared" si="20"/>
        <v>-711.89522562499951</v>
      </c>
      <c r="I22" s="23">
        <f t="shared" ref="I22:P22" si="21">I17-I21</f>
        <v>-896.57941267187471</v>
      </c>
      <c r="J22" s="23">
        <f t="shared" si="21"/>
        <v>-1177.7073511566377</v>
      </c>
      <c r="K22" s="23">
        <f t="shared" si="21"/>
        <v>-1610.0813927247127</v>
      </c>
      <c r="L22" s="23">
        <f t="shared" si="21"/>
        <v>93.349904802815217</v>
      </c>
      <c r="M22" s="23">
        <f t="shared" si="21"/>
        <v>1827.6006479870975</v>
      </c>
      <c r="N22" s="23">
        <f t="shared" si="21"/>
        <v>3607.858632227726</v>
      </c>
      <c r="O22" s="23">
        <f t="shared" si="21"/>
        <v>5449.7021833515792</v>
      </c>
      <c r="P22" s="23">
        <f t="shared" si="21"/>
        <v>7369.2481185664383</v>
      </c>
      <c r="Q22" s="23">
        <f t="shared" ref="Q22:U22" si="22">Q17-Q21</f>
        <v>8066.0627205566425</v>
      </c>
      <c r="R22" s="23">
        <f t="shared" si="22"/>
        <v>8791.151008725119</v>
      </c>
      <c r="S22" s="23">
        <f t="shared" si="22"/>
        <v>9546.058008259206</v>
      </c>
      <c r="T22" s="23">
        <f t="shared" si="22"/>
        <v>10332.403368788044</v>
      </c>
      <c r="U22" s="23">
        <f t="shared" si="22"/>
        <v>11151.885148141002</v>
      </c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</row>
    <row r="23" spans="1:200" x14ac:dyDescent="0.15">
      <c r="A23" s="3" t="s">
        <v>12</v>
      </c>
      <c r="B23" s="37">
        <f>4-8-3</f>
        <v>-7</v>
      </c>
      <c r="C23" s="37">
        <f>12-12-3</f>
        <v>-3</v>
      </c>
      <c r="D23" s="37">
        <f>32-16+7</f>
        <v>23</v>
      </c>
      <c r="E23" s="23">
        <f>67-26-12</f>
        <v>29</v>
      </c>
      <c r="F23" s="37">
        <f>86-10+14</f>
        <v>90</v>
      </c>
      <c r="G23" s="23">
        <f t="shared" ref="G23:U23" si="23">F40*$F$3</f>
        <v>0</v>
      </c>
      <c r="H23" s="23">
        <f t="shared" si="23"/>
        <v>-10.583014949999992</v>
      </c>
      <c r="I23" s="23">
        <f t="shared" si="23"/>
        <v>-23.58762328034998</v>
      </c>
      <c r="J23" s="23">
        <f t="shared" si="23"/>
        <v>-40.15062992749003</v>
      </c>
      <c r="K23" s="23">
        <f t="shared" si="23"/>
        <v>-62.072073587004326</v>
      </c>
      <c r="L23" s="23">
        <f t="shared" si="23"/>
        <v>-92.170835980615237</v>
      </c>
      <c r="M23" s="23">
        <f t="shared" si="23"/>
        <v>-92.149612741815631</v>
      </c>
      <c r="N23" s="23">
        <f t="shared" si="23"/>
        <v>-60.911494107400557</v>
      </c>
      <c r="O23" s="23">
        <f t="shared" si="23"/>
        <v>2.9335543787653022</v>
      </c>
      <c r="P23" s="23">
        <f t="shared" si="23"/>
        <v>101.08099765791151</v>
      </c>
      <c r="Q23" s="23">
        <f t="shared" si="23"/>
        <v>235.5469217499498</v>
      </c>
      <c r="R23" s="23">
        <f t="shared" si="23"/>
        <v>384.97589531146849</v>
      </c>
      <c r="S23" s="23">
        <f t="shared" si="23"/>
        <v>550.14617958412714</v>
      </c>
      <c r="T23" s="23">
        <f t="shared" si="23"/>
        <v>731.87785496530705</v>
      </c>
      <c r="U23" s="23">
        <f t="shared" si="23"/>
        <v>931.03491699286735</v>
      </c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</row>
    <row r="24" spans="1:200" x14ac:dyDescent="0.15">
      <c r="A24" s="3" t="s">
        <v>13</v>
      </c>
      <c r="B24" s="26">
        <f>B22+B23</f>
        <v>-130</v>
      </c>
      <c r="C24" s="26">
        <f>C22+C23</f>
        <v>-135.42399999999998</v>
      </c>
      <c r="D24" s="26">
        <f>D22+D23</f>
        <v>-59.278999999999996</v>
      </c>
      <c r="E24" s="26">
        <f>E22+E23</f>
        <v>48.985000000000127</v>
      </c>
      <c r="F24" s="26">
        <f>F22+F23</f>
        <v>-411.76100000000042</v>
      </c>
      <c r="G24" s="23">
        <f t="shared" ref="G24:H24" si="24">G22+G23</f>
        <v>-587.94527499999958</v>
      </c>
      <c r="H24" s="23">
        <f t="shared" si="24"/>
        <v>-722.47824057499952</v>
      </c>
      <c r="I24" s="23">
        <f t="shared" ref="I24" si="25">I22+I23</f>
        <v>-920.16703595222464</v>
      </c>
      <c r="J24" s="23">
        <f t="shared" ref="J24" si="26">J22+J23</f>
        <v>-1217.8579810841277</v>
      </c>
      <c r="K24" s="23">
        <f t="shared" ref="K24" si="27">K22+K23</f>
        <v>-1672.153466311717</v>
      </c>
      <c r="L24" s="23">
        <f t="shared" ref="L24" si="28">L22+L23</f>
        <v>1.1790688221999801</v>
      </c>
      <c r="M24" s="23">
        <f t="shared" ref="M24" si="29">M22+M23</f>
        <v>1735.4510352452819</v>
      </c>
      <c r="N24" s="23">
        <f t="shared" ref="N24" si="30">N22+N23</f>
        <v>3546.9471381203257</v>
      </c>
      <c r="O24" s="23">
        <f t="shared" ref="O24" si="31">O22+O23</f>
        <v>5452.6357377303448</v>
      </c>
      <c r="P24" s="23">
        <f t="shared" ref="P24:Q24" si="32">P22+P23</f>
        <v>7470.3291162243495</v>
      </c>
      <c r="Q24" s="23">
        <f t="shared" si="32"/>
        <v>8301.6096423065919</v>
      </c>
      <c r="R24" s="23">
        <f t="shared" ref="R24:U24" si="33">R22+R23</f>
        <v>9176.1269040365878</v>
      </c>
      <c r="S24" s="23">
        <f t="shared" si="33"/>
        <v>10096.204187843334</v>
      </c>
      <c r="T24" s="23">
        <f t="shared" si="33"/>
        <v>11064.281223753351</v>
      </c>
      <c r="U24" s="23">
        <f t="shared" si="33"/>
        <v>12082.920065133869</v>
      </c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</row>
    <row r="25" spans="1:200" x14ac:dyDescent="0.15">
      <c r="A25" s="3" t="s">
        <v>14</v>
      </c>
      <c r="B25" s="37">
        <v>5</v>
      </c>
      <c r="C25" s="37">
        <v>11</v>
      </c>
      <c r="D25" s="37">
        <v>11</v>
      </c>
      <c r="E25" s="23">
        <v>64</v>
      </c>
      <c r="F25" s="37">
        <v>263</v>
      </c>
      <c r="G25" s="23">
        <f>G24*0.1</f>
        <v>-58.794527499999958</v>
      </c>
      <c r="H25" s="23">
        <f t="shared" ref="H25:P25" si="34">H24*0.1</f>
        <v>-72.247824057499955</v>
      </c>
      <c r="I25" s="23">
        <f t="shared" si="34"/>
        <v>-92.016703595222467</v>
      </c>
      <c r="J25" s="23">
        <f t="shared" si="34"/>
        <v>-121.78579810841278</v>
      </c>
      <c r="K25" s="23">
        <f t="shared" si="34"/>
        <v>-167.21534663117171</v>
      </c>
      <c r="L25" s="23">
        <f t="shared" si="34"/>
        <v>0.11790688221999801</v>
      </c>
      <c r="M25" s="23">
        <f t="shared" si="34"/>
        <v>173.5451035245282</v>
      </c>
      <c r="N25" s="23">
        <f t="shared" si="34"/>
        <v>354.6947138120326</v>
      </c>
      <c r="O25" s="23">
        <f t="shared" si="34"/>
        <v>545.26357377303452</v>
      </c>
      <c r="P25" s="23">
        <f t="shared" si="34"/>
        <v>747.03291162243499</v>
      </c>
      <c r="Q25" s="23">
        <f t="shared" ref="Q25:U25" si="35">Q24*0.1</f>
        <v>830.16096423065926</v>
      </c>
      <c r="R25" s="23">
        <f t="shared" si="35"/>
        <v>917.6126904036588</v>
      </c>
      <c r="S25" s="23">
        <f t="shared" si="35"/>
        <v>1009.6204187843334</v>
      </c>
      <c r="T25" s="23">
        <f t="shared" si="35"/>
        <v>1106.4281223753351</v>
      </c>
      <c r="U25" s="23">
        <f t="shared" si="35"/>
        <v>1208.2920065133869</v>
      </c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</row>
    <row r="26" spans="1:200" s="2" customFormat="1" x14ac:dyDescent="0.15">
      <c r="A26" s="2" t="s">
        <v>15</v>
      </c>
      <c r="B26" s="24">
        <f>B24-B25</f>
        <v>-135</v>
      </c>
      <c r="C26" s="24">
        <f>C24-C25</f>
        <v>-146.42399999999998</v>
      </c>
      <c r="D26" s="24">
        <f>D24-D25</f>
        <v>-70.278999999999996</v>
      </c>
      <c r="E26" s="24">
        <f>E24-E25</f>
        <v>-15.014999999999873</v>
      </c>
      <c r="F26" s="24">
        <f t="shared" ref="F26:H26" si="36">F24-F25</f>
        <v>-674.76100000000042</v>
      </c>
      <c r="G26" s="24">
        <f>G24-G25</f>
        <v>-529.15074749999962</v>
      </c>
      <c r="H26" s="24">
        <f t="shared" si="36"/>
        <v>-650.23041651749952</v>
      </c>
      <c r="I26" s="24">
        <f t="shared" ref="I26:P26" si="37">I24-I25</f>
        <v>-828.15033235700218</v>
      </c>
      <c r="J26" s="24">
        <f t="shared" si="37"/>
        <v>-1096.0721829757149</v>
      </c>
      <c r="K26" s="24">
        <f t="shared" si="37"/>
        <v>-1504.9381196805452</v>
      </c>
      <c r="L26" s="24">
        <f t="shared" si="37"/>
        <v>1.0611619399799821</v>
      </c>
      <c r="M26" s="24">
        <f t="shared" si="37"/>
        <v>1561.9059317207536</v>
      </c>
      <c r="N26" s="24">
        <f t="shared" si="37"/>
        <v>3192.252424308293</v>
      </c>
      <c r="O26" s="24">
        <f t="shared" si="37"/>
        <v>4907.3721639573105</v>
      </c>
      <c r="P26" s="24">
        <f t="shared" si="37"/>
        <v>6723.2962046019147</v>
      </c>
      <c r="Q26" s="24">
        <f t="shared" ref="Q26:U26" si="38">Q24-Q25</f>
        <v>7471.4486780759325</v>
      </c>
      <c r="R26" s="24">
        <f t="shared" si="38"/>
        <v>8258.5142136329287</v>
      </c>
      <c r="S26" s="24">
        <f t="shared" si="38"/>
        <v>9086.5837690589997</v>
      </c>
      <c r="T26" s="24">
        <f t="shared" si="38"/>
        <v>9957.8531013780157</v>
      </c>
      <c r="U26" s="24">
        <f t="shared" si="38"/>
        <v>10874.628058620481</v>
      </c>
      <c r="V26" s="24">
        <f t="shared" ref="V26:BA26" si="39">U26*($F$2+1)</f>
        <v>10765.881778034276</v>
      </c>
      <c r="W26" s="24">
        <f t="shared" si="39"/>
        <v>10658.222960253934</v>
      </c>
      <c r="X26" s="24">
        <f t="shared" si="39"/>
        <v>10551.640730651394</v>
      </c>
      <c r="Y26" s="24">
        <f t="shared" si="39"/>
        <v>10446.12432334488</v>
      </c>
      <c r="Z26" s="24">
        <f t="shared" si="39"/>
        <v>10341.663080111432</v>
      </c>
      <c r="AA26" s="24">
        <f t="shared" si="39"/>
        <v>10238.246449310318</v>
      </c>
      <c r="AB26" s="24">
        <f t="shared" si="39"/>
        <v>10135.863984817215</v>
      </c>
      <c r="AC26" s="24">
        <f t="shared" si="39"/>
        <v>10034.505344969042</v>
      </c>
      <c r="AD26" s="24">
        <f t="shared" si="39"/>
        <v>9934.1602915193525</v>
      </c>
      <c r="AE26" s="24">
        <f t="shared" si="39"/>
        <v>9834.8186886041585</v>
      </c>
      <c r="AF26" s="24">
        <f t="shared" si="39"/>
        <v>9736.4705017181168</v>
      </c>
      <c r="AG26" s="24">
        <f t="shared" si="39"/>
        <v>9639.1057967009347</v>
      </c>
      <c r="AH26" s="24">
        <f t="shared" si="39"/>
        <v>9542.7147387339246</v>
      </c>
      <c r="AI26" s="24">
        <f t="shared" si="39"/>
        <v>9447.287591346585</v>
      </c>
      <c r="AJ26" s="24">
        <f t="shared" si="39"/>
        <v>9352.81471543312</v>
      </c>
      <c r="AK26" s="24">
        <f t="shared" si="39"/>
        <v>9259.2865682787888</v>
      </c>
      <c r="AL26" s="24">
        <f t="shared" si="39"/>
        <v>9166.6937025960015</v>
      </c>
      <c r="AM26" s="24">
        <f t="shared" si="39"/>
        <v>9075.0267655700409</v>
      </c>
      <c r="AN26" s="24">
        <f t="shared" si="39"/>
        <v>8984.2764979143412</v>
      </c>
      <c r="AO26" s="24">
        <f t="shared" si="39"/>
        <v>8894.4337329351983</v>
      </c>
      <c r="AP26" s="24">
        <f t="shared" si="39"/>
        <v>8805.4893956058459</v>
      </c>
      <c r="AQ26" s="24">
        <f t="shared" si="39"/>
        <v>8717.4345016497882</v>
      </c>
      <c r="AR26" s="24">
        <f t="shared" si="39"/>
        <v>8630.2601566332905</v>
      </c>
      <c r="AS26" s="24">
        <f t="shared" si="39"/>
        <v>8543.9575550669579</v>
      </c>
      <c r="AT26" s="24">
        <f t="shared" si="39"/>
        <v>8458.5179795162876</v>
      </c>
      <c r="AU26" s="24">
        <f t="shared" si="39"/>
        <v>8373.932799721124</v>
      </c>
      <c r="AV26" s="24">
        <f t="shared" si="39"/>
        <v>8290.1934717239128</v>
      </c>
      <c r="AW26" s="24">
        <f t="shared" si="39"/>
        <v>8207.291537006673</v>
      </c>
      <c r="AX26" s="24">
        <f t="shared" si="39"/>
        <v>8125.2186216366063</v>
      </c>
      <c r="AY26" s="24">
        <f t="shared" si="39"/>
        <v>8043.9664354202405</v>
      </c>
      <c r="AZ26" s="24">
        <f t="shared" si="39"/>
        <v>7963.5267710660382</v>
      </c>
      <c r="BA26" s="24">
        <f t="shared" si="39"/>
        <v>7883.8915033553776</v>
      </c>
      <c r="BB26" s="24">
        <f t="shared" ref="BB26:CG26" si="40">BA26*($F$2+1)</f>
        <v>7805.0525883218234</v>
      </c>
      <c r="BC26" s="24">
        <f t="shared" si="40"/>
        <v>7727.0020624386052</v>
      </c>
      <c r="BD26" s="24">
        <f t="shared" si="40"/>
        <v>7649.732041814219</v>
      </c>
      <c r="BE26" s="24">
        <f t="shared" si="40"/>
        <v>7573.2347213960766</v>
      </c>
      <c r="BF26" s="24">
        <f t="shared" si="40"/>
        <v>7497.502374182116</v>
      </c>
      <c r="BG26" s="24">
        <f t="shared" si="40"/>
        <v>7422.5273504402949</v>
      </c>
      <c r="BH26" s="24">
        <f t="shared" si="40"/>
        <v>7348.3020769358918</v>
      </c>
      <c r="BI26" s="24">
        <f t="shared" si="40"/>
        <v>7274.8190561665324</v>
      </c>
      <c r="BJ26" s="24">
        <f t="shared" si="40"/>
        <v>7202.0708656048673</v>
      </c>
      <c r="BK26" s="24">
        <f t="shared" si="40"/>
        <v>7130.0501569488188</v>
      </c>
      <c r="BL26" s="24">
        <f t="shared" si="40"/>
        <v>7058.7496553793308</v>
      </c>
      <c r="BM26" s="24">
        <f t="shared" si="40"/>
        <v>6988.1621588255375</v>
      </c>
      <c r="BN26" s="24">
        <f t="shared" si="40"/>
        <v>6918.2805372372823</v>
      </c>
      <c r="BO26" s="24">
        <f t="shared" si="40"/>
        <v>6849.0977318649093</v>
      </c>
      <c r="BP26" s="24">
        <f t="shared" si="40"/>
        <v>6780.6067545462602</v>
      </c>
      <c r="BQ26" s="24">
        <f t="shared" si="40"/>
        <v>6712.8006870007976</v>
      </c>
      <c r="BR26" s="24">
        <f t="shared" si="40"/>
        <v>6645.6726801307896</v>
      </c>
      <c r="BS26" s="24">
        <f t="shared" si="40"/>
        <v>6579.2159533294816</v>
      </c>
      <c r="BT26" s="24">
        <f t="shared" si="40"/>
        <v>6513.4237937961871</v>
      </c>
      <c r="BU26" s="24">
        <f t="shared" si="40"/>
        <v>6448.289555858225</v>
      </c>
      <c r="BV26" s="24">
        <f t="shared" si="40"/>
        <v>6383.8066602996423</v>
      </c>
      <c r="BW26" s="24">
        <f t="shared" si="40"/>
        <v>6319.9685936966462</v>
      </c>
      <c r="BX26" s="24">
        <f t="shared" si="40"/>
        <v>6256.7689077596797</v>
      </c>
      <c r="BY26" s="24">
        <f t="shared" si="40"/>
        <v>6194.201218682083</v>
      </c>
      <c r="BZ26" s="24">
        <f t="shared" si="40"/>
        <v>6132.2592064952623</v>
      </c>
      <c r="CA26" s="24">
        <f t="shared" si="40"/>
        <v>6070.9366144303094</v>
      </c>
      <c r="CB26" s="24">
        <f t="shared" si="40"/>
        <v>6010.2272482860062</v>
      </c>
      <c r="CC26" s="24">
        <f t="shared" si="40"/>
        <v>5950.1249758031463</v>
      </c>
      <c r="CD26" s="24">
        <f t="shared" si="40"/>
        <v>5890.6237260451144</v>
      </c>
      <c r="CE26" s="24">
        <f t="shared" si="40"/>
        <v>5831.7174887846631</v>
      </c>
      <c r="CF26" s="24">
        <f t="shared" si="40"/>
        <v>5773.4003138968164</v>
      </c>
      <c r="CG26" s="24">
        <f t="shared" si="40"/>
        <v>5715.6663107578479</v>
      </c>
      <c r="CH26" s="24">
        <f t="shared" ref="CH26:DM26" si="41">CG26*($F$2+1)</f>
        <v>5658.5096476502695</v>
      </c>
      <c r="CI26" s="24">
        <f t="shared" si="41"/>
        <v>5601.9245511737663</v>
      </c>
      <c r="CJ26" s="24">
        <f t="shared" si="41"/>
        <v>5545.9053056620287</v>
      </c>
      <c r="CK26" s="24">
        <f t="shared" si="41"/>
        <v>5490.4462526054085</v>
      </c>
      <c r="CL26" s="24">
        <f t="shared" si="41"/>
        <v>5435.5417900793545</v>
      </c>
      <c r="CM26" s="24">
        <f t="shared" si="41"/>
        <v>5381.1863721785612</v>
      </c>
      <c r="CN26" s="24">
        <f t="shared" si="41"/>
        <v>5327.3745084567754</v>
      </c>
      <c r="CO26" s="24">
        <f t="shared" si="41"/>
        <v>5274.1007633722074</v>
      </c>
      <c r="CP26" s="24">
        <f t="shared" si="41"/>
        <v>5221.3597557384855</v>
      </c>
      <c r="CQ26" s="24">
        <f t="shared" si="41"/>
        <v>5169.1461581811009</v>
      </c>
      <c r="CR26" s="24">
        <f t="shared" si="41"/>
        <v>5117.4546965992895</v>
      </c>
      <c r="CS26" s="24">
        <f t="shared" si="41"/>
        <v>5066.2801496332968</v>
      </c>
      <c r="CT26" s="24">
        <f t="shared" si="41"/>
        <v>5015.6173481369642</v>
      </c>
      <c r="CU26" s="24">
        <f t="shared" si="41"/>
        <v>4965.4611746555947</v>
      </c>
      <c r="CV26" s="24">
        <f t="shared" si="41"/>
        <v>4915.8065629090388</v>
      </c>
      <c r="CW26" s="24">
        <f t="shared" si="41"/>
        <v>4866.6484972799481</v>
      </c>
      <c r="CX26" s="24">
        <f t="shared" si="41"/>
        <v>4817.9820123071486</v>
      </c>
      <c r="CY26" s="24">
        <f t="shared" si="41"/>
        <v>4769.8021921840773</v>
      </c>
      <c r="CZ26" s="24">
        <f t="shared" si="41"/>
        <v>4722.104170262236</v>
      </c>
      <c r="DA26" s="24">
        <f t="shared" si="41"/>
        <v>4674.8831285596134</v>
      </c>
      <c r="DB26" s="24">
        <f t="shared" si="41"/>
        <v>4628.1342972740176</v>
      </c>
      <c r="DC26" s="24">
        <f t="shared" si="41"/>
        <v>4581.8529543012774</v>
      </c>
      <c r="DD26" s="24">
        <f t="shared" si="41"/>
        <v>4536.0344247582643</v>
      </c>
      <c r="DE26" s="24">
        <f t="shared" si="41"/>
        <v>4490.674080510682</v>
      </c>
      <c r="DF26" s="24">
        <f t="shared" si="41"/>
        <v>4445.7673397055751</v>
      </c>
      <c r="DG26" s="24">
        <f t="shared" si="41"/>
        <v>4401.3096663085189</v>
      </c>
      <c r="DH26" s="24">
        <f t="shared" si="41"/>
        <v>4357.2965696454339</v>
      </c>
      <c r="DI26" s="24">
        <f t="shared" si="41"/>
        <v>4313.7236039489799</v>
      </c>
      <c r="DJ26" s="24">
        <f t="shared" si="41"/>
        <v>4270.58636790949</v>
      </c>
      <c r="DK26" s="24">
        <f t="shared" si="41"/>
        <v>4227.8805042303948</v>
      </c>
      <c r="DL26" s="24">
        <f t="shared" si="41"/>
        <v>4185.6016991880906</v>
      </c>
      <c r="DM26" s="24">
        <f t="shared" si="41"/>
        <v>4143.7456821962096</v>
      </c>
      <c r="DN26" s="24">
        <f t="shared" ref="DN26:ES26" si="42">DM26*($F$2+1)</f>
        <v>4102.3082253742477</v>
      </c>
      <c r="DO26" s="24">
        <f t="shared" si="42"/>
        <v>4061.2851431205054</v>
      </c>
      <c r="DP26" s="24">
        <f t="shared" si="42"/>
        <v>4020.6722916893004</v>
      </c>
      <c r="DQ26" s="24">
        <f t="shared" si="42"/>
        <v>3980.4655687724076</v>
      </c>
      <c r="DR26" s="24">
        <f t="shared" si="42"/>
        <v>3940.6609130846832</v>
      </c>
      <c r="DS26" s="24">
        <f t="shared" si="42"/>
        <v>3901.2543039538364</v>
      </c>
      <c r="DT26" s="24">
        <f t="shared" si="42"/>
        <v>3862.2417609142981</v>
      </c>
      <c r="DU26" s="24">
        <f t="shared" si="42"/>
        <v>3823.6193433051549</v>
      </c>
      <c r="DV26" s="24">
        <f t="shared" si="42"/>
        <v>3785.3831498721033</v>
      </c>
      <c r="DW26" s="24">
        <f t="shared" si="42"/>
        <v>3747.5293183733825</v>
      </c>
      <c r="DX26" s="24">
        <f t="shared" si="42"/>
        <v>3710.0540251896487</v>
      </c>
      <c r="DY26" s="24">
        <f t="shared" si="42"/>
        <v>3672.9534849377519</v>
      </c>
      <c r="DZ26" s="24">
        <f t="shared" si="42"/>
        <v>3636.2239500883743</v>
      </c>
      <c r="EA26" s="24">
        <f t="shared" si="42"/>
        <v>3599.8617105874905</v>
      </c>
      <c r="EB26" s="24">
        <f t="shared" si="42"/>
        <v>3563.8630934816156</v>
      </c>
      <c r="EC26" s="24">
        <f t="shared" si="42"/>
        <v>3528.2244625467993</v>
      </c>
      <c r="ED26" s="24">
        <f t="shared" si="42"/>
        <v>3492.9422179213311</v>
      </c>
      <c r="EE26" s="24">
        <f t="shared" si="42"/>
        <v>3458.0127957421178</v>
      </c>
      <c r="EF26" s="24">
        <f t="shared" si="42"/>
        <v>3423.4326677846966</v>
      </c>
      <c r="EG26" s="24">
        <f t="shared" si="42"/>
        <v>3389.1983411068495</v>
      </c>
      <c r="EH26" s="24">
        <f t="shared" si="42"/>
        <v>3355.3063576957811</v>
      </c>
      <c r="EI26" s="24">
        <f t="shared" si="42"/>
        <v>3321.7532941188233</v>
      </c>
      <c r="EJ26" s="24">
        <f t="shared" si="42"/>
        <v>3288.5357611776349</v>
      </c>
      <c r="EK26" s="24">
        <f t="shared" si="42"/>
        <v>3255.6504035658586</v>
      </c>
      <c r="EL26" s="24">
        <f t="shared" si="42"/>
        <v>3223.0938995301999</v>
      </c>
      <c r="EM26" s="24">
        <f t="shared" si="42"/>
        <v>3190.8629605348979</v>
      </c>
      <c r="EN26" s="24">
        <f t="shared" si="42"/>
        <v>3158.9543309295486</v>
      </c>
      <c r="EO26" s="24">
        <f t="shared" si="42"/>
        <v>3127.3647876202531</v>
      </c>
      <c r="EP26" s="24">
        <f t="shared" si="42"/>
        <v>3096.0911397440505</v>
      </c>
      <c r="EQ26" s="24">
        <f t="shared" si="42"/>
        <v>3065.1302283466098</v>
      </c>
      <c r="ER26" s="24">
        <f t="shared" si="42"/>
        <v>3034.4789260631437</v>
      </c>
      <c r="ES26" s="24">
        <f t="shared" si="42"/>
        <v>3004.1341368025123</v>
      </c>
      <c r="ET26" s="24">
        <f t="shared" ref="ET26:FY26" si="43">ES26*($F$2+1)</f>
        <v>2974.092795434487</v>
      </c>
      <c r="EU26" s="24">
        <f t="shared" si="43"/>
        <v>2944.3518674801421</v>
      </c>
      <c r="EV26" s="24">
        <f t="shared" si="43"/>
        <v>2914.9083488053407</v>
      </c>
      <c r="EW26" s="24">
        <f t="shared" si="43"/>
        <v>2885.7592653172874</v>
      </c>
      <c r="EX26" s="24">
        <f t="shared" si="43"/>
        <v>2856.9016726641144</v>
      </c>
      <c r="EY26" s="24">
        <f t="shared" si="43"/>
        <v>2828.3326559374732</v>
      </c>
      <c r="EZ26" s="24">
        <f t="shared" si="43"/>
        <v>2800.0493293780983</v>
      </c>
      <c r="FA26" s="24">
        <f t="shared" si="43"/>
        <v>2772.0488360843174</v>
      </c>
      <c r="FB26" s="24">
        <f t="shared" si="43"/>
        <v>2744.3283477234741</v>
      </c>
      <c r="FC26" s="24">
        <f t="shared" si="43"/>
        <v>2716.8850642462394</v>
      </c>
      <c r="FD26" s="24">
        <f t="shared" si="43"/>
        <v>2689.7162136037769</v>
      </c>
      <c r="FE26" s="24">
        <f t="shared" si="43"/>
        <v>2662.819051467739</v>
      </c>
      <c r="FF26" s="24">
        <f t="shared" si="43"/>
        <v>2636.1908609530615</v>
      </c>
      <c r="FG26" s="24">
        <f t="shared" si="43"/>
        <v>2609.828952343531</v>
      </c>
      <c r="FH26" s="24">
        <f t="shared" si="43"/>
        <v>2583.7306628200959</v>
      </c>
      <c r="FI26" s="24">
        <f t="shared" si="43"/>
        <v>2557.8933561918948</v>
      </c>
      <c r="FJ26" s="24">
        <f t="shared" si="43"/>
        <v>2532.314422629976</v>
      </c>
      <c r="FK26" s="24">
        <f t="shared" si="43"/>
        <v>2506.991278403676</v>
      </c>
      <c r="FL26" s="24">
        <f t="shared" si="43"/>
        <v>2481.9213656196393</v>
      </c>
      <c r="FM26" s="24">
        <f t="shared" si="43"/>
        <v>2457.1021519634428</v>
      </c>
      <c r="FN26" s="24">
        <f t="shared" si="43"/>
        <v>2432.5311304438083</v>
      </c>
      <c r="FO26" s="24">
        <f t="shared" si="43"/>
        <v>2408.2058191393703</v>
      </c>
      <c r="FP26" s="24">
        <f t="shared" si="43"/>
        <v>2384.1237609479767</v>
      </c>
      <c r="FQ26" s="24">
        <f t="shared" si="43"/>
        <v>2360.282523338497</v>
      </c>
      <c r="FR26" s="24">
        <f t="shared" si="43"/>
        <v>2336.679698105112</v>
      </c>
      <c r="FS26" s="24">
        <f t="shared" si="43"/>
        <v>2313.3129011240608</v>
      </c>
      <c r="FT26" s="24">
        <f t="shared" si="43"/>
        <v>2290.17977211282</v>
      </c>
      <c r="FU26" s="24">
        <f t="shared" si="43"/>
        <v>2267.2779743916917</v>
      </c>
      <c r="FV26" s="24">
        <f t="shared" si="43"/>
        <v>2244.6051946477746</v>
      </c>
      <c r="FW26" s="24">
        <f t="shared" si="43"/>
        <v>2222.1591427012968</v>
      </c>
      <c r="FX26" s="24">
        <f t="shared" si="43"/>
        <v>2199.9375512742836</v>
      </c>
      <c r="FY26" s="24">
        <f t="shared" si="43"/>
        <v>2177.9381757615406</v>
      </c>
      <c r="FZ26" s="24">
        <f t="shared" ref="FZ26:GR26" si="44">FY26*($F$2+1)</f>
        <v>2156.1587940039253</v>
      </c>
      <c r="GA26" s="24">
        <f t="shared" si="44"/>
        <v>2134.597206063886</v>
      </c>
      <c r="GB26" s="24">
        <f t="shared" si="44"/>
        <v>2113.2512340032472</v>
      </c>
      <c r="GC26" s="24">
        <f t="shared" si="44"/>
        <v>2092.1187216632147</v>
      </c>
      <c r="GD26" s="24">
        <f t="shared" si="44"/>
        <v>2071.1975344465827</v>
      </c>
      <c r="GE26" s="24">
        <f t="shared" si="44"/>
        <v>2050.4855591021169</v>
      </c>
      <c r="GF26" s="24">
        <f t="shared" si="44"/>
        <v>2029.9807035110957</v>
      </c>
      <c r="GG26" s="24">
        <f t="shared" si="44"/>
        <v>2009.6808964759848</v>
      </c>
      <c r="GH26" s="24">
        <f t="shared" si="44"/>
        <v>1989.5840875112249</v>
      </c>
      <c r="GI26" s="24">
        <f t="shared" si="44"/>
        <v>1969.6882466361126</v>
      </c>
      <c r="GJ26" s="24">
        <f t="shared" si="44"/>
        <v>1949.9913641697515</v>
      </c>
      <c r="GK26" s="24">
        <f t="shared" si="44"/>
        <v>1930.491450528054</v>
      </c>
      <c r="GL26" s="24">
        <f t="shared" si="44"/>
        <v>1911.1865360227735</v>
      </c>
      <c r="GM26" s="24">
        <f t="shared" si="44"/>
        <v>1892.0746706625457</v>
      </c>
      <c r="GN26" s="24">
        <f t="shared" si="44"/>
        <v>1873.1539239559202</v>
      </c>
      <c r="GO26" s="24">
        <f t="shared" si="44"/>
        <v>1854.422384716361</v>
      </c>
      <c r="GP26" s="24">
        <f t="shared" si="44"/>
        <v>1835.8781608691972</v>
      </c>
      <c r="GQ26" s="24">
        <f t="shared" si="44"/>
        <v>1817.5193792605053</v>
      </c>
      <c r="GR26" s="24">
        <f t="shared" si="44"/>
        <v>1799.3441854679002</v>
      </c>
    </row>
    <row r="27" spans="1:200" x14ac:dyDescent="0.15">
      <c r="A27" s="3" t="s">
        <v>16</v>
      </c>
      <c r="B27" s="28">
        <f t="shared" ref="B27:C27" si="45">B26/B28</f>
        <v>-0.54319835189596344</v>
      </c>
      <c r="C27" s="28">
        <f t="shared" si="45"/>
        <v>-0.58256413520911576</v>
      </c>
      <c r="D27" s="28">
        <f t="shared" ref="D27:G27" si="46">D26/D28</f>
        <v>-0.27559743692305277</v>
      </c>
      <c r="E27" s="28">
        <f t="shared" si="46"/>
        <v>-5.8577748648205301E-2</v>
      </c>
      <c r="F27" s="28">
        <f t="shared" si="46"/>
        <v>-2.5896966487050785</v>
      </c>
      <c r="G27" s="49">
        <f t="shared" si="46"/>
        <v>-2.0308522831943985</v>
      </c>
      <c r="H27" s="49">
        <f t="shared" ref="H27" si="47">H26/H28</f>
        <v>-2.4955495805796049</v>
      </c>
      <c r="I27" s="49">
        <f t="shared" ref="I27:P27" si="48">I26/I28</f>
        <v>-3.1783967068768413</v>
      </c>
      <c r="J27" s="49">
        <f t="shared" si="48"/>
        <v>-4.2066664478105089</v>
      </c>
      <c r="K27" s="49">
        <f t="shared" si="48"/>
        <v>-5.7758720569879234</v>
      </c>
      <c r="L27" s="49">
        <f t="shared" si="48"/>
        <v>4.0726828013171144E-3</v>
      </c>
      <c r="M27" s="49">
        <f t="shared" si="48"/>
        <v>5.994511474388438</v>
      </c>
      <c r="N27" s="49">
        <f t="shared" si="48"/>
        <v>12.251694162898929</v>
      </c>
      <c r="O27" s="49">
        <f t="shared" si="48"/>
        <v>18.834232042084277</v>
      </c>
      <c r="P27" s="49">
        <f t="shared" si="48"/>
        <v>25.803651440004895</v>
      </c>
      <c r="Q27" s="49">
        <f t="shared" ref="Q27:U27" si="49">Q26/Q28</f>
        <v>28.675020640767947</v>
      </c>
      <c r="R27" s="49">
        <f t="shared" si="49"/>
        <v>31.69573609371087</v>
      </c>
      <c r="S27" s="49">
        <f t="shared" si="49"/>
        <v>34.873822783044723</v>
      </c>
      <c r="T27" s="49">
        <f t="shared" si="49"/>
        <v>38.2177079068531</v>
      </c>
      <c r="U27" s="49">
        <f t="shared" si="49"/>
        <v>41.736241186618159</v>
      </c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</row>
    <row r="28" spans="1:200" s="16" customFormat="1" x14ac:dyDescent="0.15">
      <c r="A28" s="16" t="s">
        <v>17</v>
      </c>
      <c r="B28" s="23">
        <v>248.52799999999999</v>
      </c>
      <c r="C28" s="23">
        <v>251.34399999999999</v>
      </c>
      <c r="D28" s="23">
        <v>255.006</v>
      </c>
      <c r="E28" s="23">
        <v>256.32600000000002</v>
      </c>
      <c r="F28" s="23">
        <v>260.55599999999998</v>
      </c>
      <c r="G28" s="23">
        <f t="shared" ref="G28" si="50">F28</f>
        <v>260.55599999999998</v>
      </c>
      <c r="H28" s="23">
        <f t="shared" ref="H28" si="51">G28</f>
        <v>260.55599999999998</v>
      </c>
      <c r="I28" s="23">
        <f t="shared" ref="I28" si="52">H28</f>
        <v>260.55599999999998</v>
      </c>
      <c r="J28" s="23">
        <f t="shared" ref="J28" si="53">I28</f>
        <v>260.55599999999998</v>
      </c>
      <c r="K28" s="23">
        <f t="shared" ref="K28" si="54">J28</f>
        <v>260.55599999999998</v>
      </c>
      <c r="L28" s="23">
        <f t="shared" ref="L28" si="55">K28</f>
        <v>260.55599999999998</v>
      </c>
      <c r="M28" s="23">
        <f t="shared" ref="M28" si="56">L28</f>
        <v>260.55599999999998</v>
      </c>
      <c r="N28" s="23">
        <f t="shared" ref="N28" si="57">M28</f>
        <v>260.55599999999998</v>
      </c>
      <c r="O28" s="23">
        <f t="shared" ref="O28" si="58">N28</f>
        <v>260.55599999999998</v>
      </c>
      <c r="P28" s="23">
        <f t="shared" ref="P28:U28" si="59">O28</f>
        <v>260.55599999999998</v>
      </c>
      <c r="Q28" s="23">
        <f t="shared" si="59"/>
        <v>260.55599999999998</v>
      </c>
      <c r="R28" s="23">
        <f t="shared" si="59"/>
        <v>260.55599999999998</v>
      </c>
      <c r="S28" s="23">
        <f t="shared" si="59"/>
        <v>260.55599999999998</v>
      </c>
      <c r="T28" s="23">
        <f t="shared" si="59"/>
        <v>260.55599999999998</v>
      </c>
      <c r="U28" s="23">
        <f t="shared" si="59"/>
        <v>260.55599999999998</v>
      </c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  <c r="AX28" s="37"/>
      <c r="AY28" s="37"/>
      <c r="AZ28" s="37"/>
      <c r="BA28" s="37"/>
      <c r="BB28" s="37"/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</row>
    <row r="29" spans="1:200" x14ac:dyDescent="0.15"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</row>
    <row r="30" spans="1:200" x14ac:dyDescent="0.15">
      <c r="A30" s="3" t="s">
        <v>19</v>
      </c>
      <c r="B30" s="33">
        <f t="shared" ref="B30:C30" si="60">IFERROR(B17/B15,0)</f>
        <v>0.5571273122959739</v>
      </c>
      <c r="C30" s="33">
        <f t="shared" si="60"/>
        <v>0.58745475894794319</v>
      </c>
      <c r="D30" s="33">
        <f t="shared" ref="D30:P30" si="61">IFERROR(D17/D15,0)</f>
        <v>0.59246147414179762</v>
      </c>
      <c r="E30" s="33">
        <f>IFERROR(E17/E15,0)</f>
        <v>0.59665770806835183</v>
      </c>
      <c r="F30" s="33">
        <f t="shared" si="61"/>
        <v>0.58149844367782744</v>
      </c>
      <c r="G30" s="33">
        <f t="shared" si="61"/>
        <v>0.58149844367782744</v>
      </c>
      <c r="H30" s="33">
        <f>IFERROR(H17/H15,0)</f>
        <v>0.58149844367782744</v>
      </c>
      <c r="I30" s="33">
        <f t="shared" si="61"/>
        <v>0.58149844367782744</v>
      </c>
      <c r="J30" s="33">
        <f t="shared" si="61"/>
        <v>0.58149844367782744</v>
      </c>
      <c r="K30" s="33">
        <f t="shared" si="61"/>
        <v>0.58149844367782744</v>
      </c>
      <c r="L30" s="33">
        <f t="shared" si="61"/>
        <v>0.58149844367782744</v>
      </c>
      <c r="M30" s="33">
        <f t="shared" si="61"/>
        <v>0.58149844367782744</v>
      </c>
      <c r="N30" s="33">
        <f t="shared" si="61"/>
        <v>0.58149844367782744</v>
      </c>
      <c r="O30" s="33">
        <f t="shared" si="61"/>
        <v>0.58149844367782744</v>
      </c>
      <c r="P30" s="33">
        <f t="shared" si="61"/>
        <v>0.58149844367782744</v>
      </c>
      <c r="Q30" s="33">
        <f t="shared" ref="Q30:U30" si="62">IFERROR(Q17/Q15,0)</f>
        <v>0.58149844367782744</v>
      </c>
      <c r="R30" s="33">
        <f t="shared" si="62"/>
        <v>0.58149844367782744</v>
      </c>
      <c r="S30" s="33">
        <f t="shared" si="62"/>
        <v>0.58149844367782744</v>
      </c>
      <c r="T30" s="33">
        <f t="shared" si="62"/>
        <v>0.58149844367782744</v>
      </c>
      <c r="U30" s="33">
        <f t="shared" si="62"/>
        <v>0.58149844367782744</v>
      </c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</row>
    <row r="31" spans="1:200" x14ac:dyDescent="0.15">
      <c r="A31" s="3" t="s">
        <v>20</v>
      </c>
      <c r="B31" s="35">
        <f t="shared" ref="B31:C31" si="63">IFERROR(B22/B15,0)</f>
        <v>-0.13384113166485309</v>
      </c>
      <c r="C31" s="35">
        <f t="shared" si="63"/>
        <v>-7.9986663251943715E-2</v>
      </c>
      <c r="D31" s="35">
        <f t="shared" ref="D31:P31" si="64">IFERROR(D22/D15,0)</f>
        <v>-3.2118642115983746E-2</v>
      </c>
      <c r="E31" s="35">
        <f>IFERROR(E22/E15,0)</f>
        <v>5.4723663980000264E-3</v>
      </c>
      <c r="F31" s="35">
        <f t="shared" si="64"/>
        <v>-0.10441957205458469</v>
      </c>
      <c r="G31" s="35">
        <f>IFERROR(G22/G15,0)</f>
        <v>-9.5964747855331961E-2</v>
      </c>
      <c r="H31" s="35">
        <f t="shared" si="64"/>
        <v>-9.1134059822039593E-2</v>
      </c>
      <c r="I31" s="35">
        <f t="shared" si="64"/>
        <v>-9.0020871863180751E-2</v>
      </c>
      <c r="J31" s="35">
        <f t="shared" si="64"/>
        <v>-9.2743109656222636E-2</v>
      </c>
      <c r="K31" s="35">
        <f t="shared" si="64"/>
        <v>-9.9444762285099172E-2</v>
      </c>
      <c r="L31" s="35">
        <f t="shared" si="64"/>
        <v>5.241496222940443E-3</v>
      </c>
      <c r="M31" s="35">
        <f t="shared" si="64"/>
        <v>9.3288909406374632E-2</v>
      </c>
      <c r="N31" s="35">
        <f t="shared" si="64"/>
        <v>0.16741930686981099</v>
      </c>
      <c r="O31" s="35">
        <f t="shared" si="64"/>
        <v>0.22989848630421303</v>
      </c>
      <c r="P31" s="35">
        <f t="shared" si="64"/>
        <v>0.28261410701640649</v>
      </c>
      <c r="Q31" s="35">
        <f t="shared" ref="Q31:U31" si="65">IFERROR(Q22/Q15,0)</f>
        <v>0.29460692613042522</v>
      </c>
      <c r="R31" s="35">
        <f t="shared" si="65"/>
        <v>0.30580022397017603</v>
      </c>
      <c r="S31" s="35">
        <f t="shared" si="65"/>
        <v>0.31624730195394346</v>
      </c>
      <c r="T31" s="35">
        <f t="shared" si="65"/>
        <v>0.32599790807212647</v>
      </c>
      <c r="U31" s="35">
        <f t="shared" si="65"/>
        <v>0.33509847378243052</v>
      </c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</row>
    <row r="32" spans="1:200" x14ac:dyDescent="0.15">
      <c r="A32" s="3" t="s">
        <v>21</v>
      </c>
      <c r="B32" s="35">
        <f t="shared" ref="B32:C32" si="66">IFERROR(B25/B24,0)</f>
        <v>-3.8461538461538464E-2</v>
      </c>
      <c r="C32" s="35">
        <f t="shared" si="66"/>
        <v>-8.1226370510396995E-2</v>
      </c>
      <c r="D32" s="35">
        <f t="shared" ref="D32:P32" si="67">IFERROR(D25/D24,0)</f>
        <v>-0.18556318426424198</v>
      </c>
      <c r="E32" s="35">
        <f>IFERROR(E25/E24,0)</f>
        <v>1.3065224048177979</v>
      </c>
      <c r="F32" s="35">
        <f t="shared" si="67"/>
        <v>-0.63872003419459278</v>
      </c>
      <c r="G32" s="35">
        <f t="shared" si="67"/>
        <v>0.1</v>
      </c>
      <c r="H32" s="35">
        <f t="shared" si="67"/>
        <v>0.1</v>
      </c>
      <c r="I32" s="35">
        <f t="shared" si="67"/>
        <v>0.1</v>
      </c>
      <c r="J32" s="35">
        <f t="shared" si="67"/>
        <v>0.1</v>
      </c>
      <c r="K32" s="35">
        <f t="shared" si="67"/>
        <v>0.1</v>
      </c>
      <c r="L32" s="35">
        <f t="shared" si="67"/>
        <v>0.1</v>
      </c>
      <c r="M32" s="35">
        <f t="shared" si="67"/>
        <v>0.1</v>
      </c>
      <c r="N32" s="35">
        <f t="shared" si="67"/>
        <v>0.1</v>
      </c>
      <c r="O32" s="35">
        <f t="shared" si="67"/>
        <v>0.1</v>
      </c>
      <c r="P32" s="35">
        <f t="shared" si="67"/>
        <v>0.1</v>
      </c>
      <c r="Q32" s="35">
        <f t="shared" ref="Q32:U32" si="68">IFERROR(Q25/Q24,0)</f>
        <v>0.1</v>
      </c>
      <c r="R32" s="35">
        <f t="shared" si="68"/>
        <v>0.1</v>
      </c>
      <c r="S32" s="35">
        <f t="shared" si="68"/>
        <v>0.1</v>
      </c>
      <c r="T32" s="35">
        <f t="shared" si="68"/>
        <v>0.1</v>
      </c>
      <c r="U32" s="35">
        <f t="shared" si="68"/>
        <v>0.1</v>
      </c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</row>
    <row r="33" spans="1:117" x14ac:dyDescent="0.15"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</row>
    <row r="34" spans="1:117" x14ac:dyDescent="0.15">
      <c r="A34" s="2" t="s">
        <v>18</v>
      </c>
      <c r="B34" s="50"/>
      <c r="C34" s="50"/>
      <c r="D34" s="50"/>
      <c r="E34" s="50">
        <f t="shared" ref="E34:U34" si="69">E15/D15-1</f>
        <v>0.42559825991979605</v>
      </c>
      <c r="F34" s="50">
        <f>F15/E15-1</f>
        <v>0.31578826309527552</v>
      </c>
      <c r="G34" s="50">
        <f t="shared" si="69"/>
        <v>0.27500000000000013</v>
      </c>
      <c r="H34" s="50">
        <f t="shared" si="69"/>
        <v>0.27500000000000013</v>
      </c>
      <c r="I34" s="50">
        <f t="shared" si="69"/>
        <v>0.27500000000000013</v>
      </c>
      <c r="J34" s="50">
        <f t="shared" si="69"/>
        <v>0.27500000000000013</v>
      </c>
      <c r="K34" s="50">
        <f t="shared" si="69"/>
        <v>0.27499999999999991</v>
      </c>
      <c r="L34" s="50">
        <f t="shared" si="69"/>
        <v>0.10000000000000009</v>
      </c>
      <c r="M34" s="50">
        <f t="shared" si="69"/>
        <v>0.10000000000000009</v>
      </c>
      <c r="N34" s="50">
        <f t="shared" si="69"/>
        <v>0.10000000000000009</v>
      </c>
      <c r="O34" s="50">
        <f t="shared" si="69"/>
        <v>0.10000000000000009</v>
      </c>
      <c r="P34" s="50">
        <f t="shared" si="69"/>
        <v>0.10000000000000009</v>
      </c>
      <c r="Q34" s="50">
        <f t="shared" si="69"/>
        <v>5.0000000000000044E-2</v>
      </c>
      <c r="R34" s="50">
        <f t="shared" si="69"/>
        <v>5.0000000000000044E-2</v>
      </c>
      <c r="S34" s="50">
        <f t="shared" si="69"/>
        <v>5.0000000000000044E-2</v>
      </c>
      <c r="T34" s="50">
        <f t="shared" si="69"/>
        <v>5.0000000000000044E-2</v>
      </c>
      <c r="U34" s="50">
        <f t="shared" si="69"/>
        <v>5.0000000000000044E-2</v>
      </c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</row>
    <row r="35" spans="1:117" x14ac:dyDescent="0.15">
      <c r="A35" s="3" t="s">
        <v>42</v>
      </c>
      <c r="B35" s="35"/>
      <c r="C35" s="35"/>
      <c r="D35" s="35"/>
      <c r="E35" s="35">
        <f t="shared" ref="E35:U35" si="70">E18/D18-1</f>
        <v>0.44389027431421457</v>
      </c>
      <c r="F35" s="35">
        <f t="shared" si="70"/>
        <v>0.68739205526770286</v>
      </c>
      <c r="G35" s="35">
        <f t="shared" si="70"/>
        <v>0.39999999999999991</v>
      </c>
      <c r="H35" s="35">
        <f t="shared" si="70"/>
        <v>0.39999999999999991</v>
      </c>
      <c r="I35" s="35">
        <f t="shared" si="70"/>
        <v>0.39999999999999991</v>
      </c>
      <c r="J35" s="35">
        <f t="shared" si="70"/>
        <v>0.39999999999999991</v>
      </c>
      <c r="K35" s="35">
        <f t="shared" si="70"/>
        <v>0.39999999999999991</v>
      </c>
      <c r="L35" s="35">
        <f t="shared" si="70"/>
        <v>-9.9999999999999978E-2</v>
      </c>
      <c r="M35" s="35">
        <f t="shared" si="70"/>
        <v>-9.9999999999999978E-2</v>
      </c>
      <c r="N35" s="35">
        <f t="shared" si="70"/>
        <v>-9.9999999999999978E-2</v>
      </c>
      <c r="O35" s="35">
        <f t="shared" si="70"/>
        <v>-9.9999999999999978E-2</v>
      </c>
      <c r="P35" s="35">
        <f t="shared" si="70"/>
        <v>-9.9999999999999978E-2</v>
      </c>
      <c r="Q35" s="35">
        <f>Q18/P18-1</f>
        <v>5.0000000000000044E-2</v>
      </c>
      <c r="R35" s="35">
        <f t="shared" si="70"/>
        <v>5.0000000000000044E-2</v>
      </c>
      <c r="S35" s="35">
        <f t="shared" si="70"/>
        <v>5.0000000000000044E-2</v>
      </c>
      <c r="T35" s="35">
        <f t="shared" si="70"/>
        <v>5.0000000000000044E-2</v>
      </c>
      <c r="U35" s="35">
        <f t="shared" si="70"/>
        <v>5.0000000000000044E-2</v>
      </c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</row>
    <row r="36" spans="1:117" x14ac:dyDescent="0.15">
      <c r="A36" s="3" t="s">
        <v>43</v>
      </c>
      <c r="B36" s="35"/>
      <c r="C36" s="35"/>
      <c r="D36" s="35"/>
      <c r="E36" s="35">
        <f t="shared" ref="E36:U36" si="71">E19/D19-1</f>
        <v>0.26261467889908263</v>
      </c>
      <c r="F36" s="35">
        <f t="shared" si="71"/>
        <v>0.4732061762034514</v>
      </c>
      <c r="G36" s="35">
        <f t="shared" si="71"/>
        <v>0.19999999999999996</v>
      </c>
      <c r="H36" s="35">
        <f t="shared" si="71"/>
        <v>0.19999999999999996</v>
      </c>
      <c r="I36" s="35">
        <f t="shared" si="71"/>
        <v>0.19999999999999996</v>
      </c>
      <c r="J36" s="35">
        <f t="shared" si="71"/>
        <v>0.19999999999999996</v>
      </c>
      <c r="K36" s="35">
        <f t="shared" si="71"/>
        <v>0.19999999999999996</v>
      </c>
      <c r="L36" s="35">
        <f t="shared" si="71"/>
        <v>-5.0000000000000044E-2</v>
      </c>
      <c r="M36" s="35">
        <f t="shared" si="71"/>
        <v>-5.0000000000000044E-2</v>
      </c>
      <c r="N36" s="35">
        <f t="shared" si="71"/>
        <v>-5.0000000000000044E-2</v>
      </c>
      <c r="O36" s="35">
        <f t="shared" si="71"/>
        <v>-5.0000000000000044E-2</v>
      </c>
      <c r="P36" s="35">
        <f t="shared" si="71"/>
        <v>-4.9999999999999933E-2</v>
      </c>
      <c r="Q36" s="35">
        <f t="shared" si="71"/>
        <v>-2.0000000000000018E-2</v>
      </c>
      <c r="R36" s="35">
        <f t="shared" si="71"/>
        <v>-2.0000000000000018E-2</v>
      </c>
      <c r="S36" s="35">
        <f t="shared" si="71"/>
        <v>-1.9999999999999907E-2</v>
      </c>
      <c r="T36" s="35">
        <f t="shared" si="71"/>
        <v>-1.9999999999999907E-2</v>
      </c>
      <c r="U36" s="35">
        <f t="shared" si="71"/>
        <v>-2.0000000000000018E-2</v>
      </c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</row>
    <row r="37" spans="1:117" x14ac:dyDescent="0.15">
      <c r="A37" s="3" t="s">
        <v>44</v>
      </c>
      <c r="B37" s="35"/>
      <c r="C37" s="35"/>
      <c r="D37" s="35"/>
      <c r="E37" s="35">
        <f t="shared" ref="E37:U37" si="72">E20/D20-1</f>
        <v>0.46483180428134552</v>
      </c>
      <c r="F37" s="35">
        <f t="shared" si="72"/>
        <v>0.45511482254697277</v>
      </c>
      <c r="G37" s="35">
        <f t="shared" si="72"/>
        <v>0.19999999999999996</v>
      </c>
      <c r="H37" s="35">
        <f t="shared" si="72"/>
        <v>0.19999999999999996</v>
      </c>
      <c r="I37" s="35">
        <f t="shared" si="72"/>
        <v>0.19999999999999996</v>
      </c>
      <c r="J37" s="35">
        <f t="shared" si="72"/>
        <v>0.19999999999999996</v>
      </c>
      <c r="K37" s="35">
        <f t="shared" si="72"/>
        <v>0.19999999999999996</v>
      </c>
      <c r="L37" s="35">
        <f t="shared" si="72"/>
        <v>-2.0000000000000018E-2</v>
      </c>
      <c r="M37" s="35">
        <f t="shared" si="72"/>
        <v>-2.0000000000000018E-2</v>
      </c>
      <c r="N37" s="35">
        <f t="shared" si="72"/>
        <v>-2.0000000000000018E-2</v>
      </c>
      <c r="O37" s="35">
        <f t="shared" si="72"/>
        <v>-2.0000000000000018E-2</v>
      </c>
      <c r="P37" s="35">
        <f t="shared" si="72"/>
        <v>-1.9999999999999907E-2</v>
      </c>
      <c r="Q37" s="35">
        <f t="shared" si="72"/>
        <v>-1.9999999999999907E-2</v>
      </c>
      <c r="R37" s="35">
        <f t="shared" si="72"/>
        <v>-2.0000000000000129E-2</v>
      </c>
      <c r="S37" s="35">
        <f t="shared" si="72"/>
        <v>-2.0000000000000018E-2</v>
      </c>
      <c r="T37" s="35">
        <f t="shared" si="72"/>
        <v>-1.9999999999999907E-2</v>
      </c>
      <c r="U37" s="35">
        <f t="shared" si="72"/>
        <v>-2.0000000000000018E-2</v>
      </c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</row>
    <row r="38" spans="1:117" x14ac:dyDescent="0.15">
      <c r="A38" s="6" t="s">
        <v>69</v>
      </c>
      <c r="B38" s="44"/>
      <c r="C38" s="44"/>
      <c r="D38" s="44"/>
      <c r="E38" s="44">
        <f>E21/D21-1</f>
        <v>0.34937499999999999</v>
      </c>
      <c r="F38" s="44">
        <f t="shared" ref="F38:U38" si="73">F21/E21-1</f>
        <v>0.52663270032422416</v>
      </c>
      <c r="G38" s="44">
        <f t="shared" si="73"/>
        <v>0.259283980582524</v>
      </c>
      <c r="H38" s="44">
        <f t="shared" si="73"/>
        <v>0.26590854334313119</v>
      </c>
      <c r="I38" s="44">
        <f t="shared" si="73"/>
        <v>0.27288991070137114</v>
      </c>
      <c r="J38" s="44">
        <f t="shared" si="73"/>
        <v>0.2801686572609341</v>
      </c>
      <c r="K38" s="44">
        <f t="shared" si="73"/>
        <v>0.28767291679008133</v>
      </c>
      <c r="L38" s="44">
        <f>L21/K21-1</f>
        <v>-6.911084999519479E-2</v>
      </c>
      <c r="M38" s="44">
        <f t="shared" si="73"/>
        <v>-6.807112682899108E-2</v>
      </c>
      <c r="N38" s="44">
        <f t="shared" si="73"/>
        <v>-6.7025491076215693E-2</v>
      </c>
      <c r="O38" s="44">
        <f t="shared" si="73"/>
        <v>-6.5975755039565986E-2</v>
      </c>
      <c r="P38" s="44">
        <f t="shared" si="73"/>
        <v>-6.4923748047542862E-2</v>
      </c>
      <c r="Q38" s="44">
        <f t="shared" si="73"/>
        <v>7.868451018948619E-3</v>
      </c>
      <c r="R38" s="44">
        <f t="shared" si="73"/>
        <v>9.0334254835664485E-3</v>
      </c>
      <c r="S38" s="44">
        <f t="shared" si="73"/>
        <v>1.0212177305360504E-2</v>
      </c>
      <c r="T38" s="44">
        <f t="shared" si="73"/>
        <v>1.140210233383443E-2</v>
      </c>
      <c r="U38" s="44">
        <f t="shared" si="73"/>
        <v>1.2600493289901094E-2</v>
      </c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</row>
    <row r="39" spans="1:117" x14ac:dyDescent="0.15"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</row>
    <row r="40" spans="1:117" x14ac:dyDescent="0.15">
      <c r="A40" s="2" t="s">
        <v>26</v>
      </c>
      <c r="B40" s="44"/>
      <c r="C40" s="44"/>
      <c r="D40" s="44"/>
      <c r="E40" s="24">
        <f>E41-E42</f>
        <v>0</v>
      </c>
      <c r="F40" s="24">
        <f>F41-F42</f>
        <v>0</v>
      </c>
      <c r="G40" s="51">
        <f>F40+G26</f>
        <v>-529.15074749999962</v>
      </c>
      <c r="H40" s="51">
        <f>G40+H26</f>
        <v>-1179.381164017499</v>
      </c>
      <c r="I40" s="51">
        <f t="shared" ref="I40:U40" si="74">H40+I26</f>
        <v>-2007.5314963745013</v>
      </c>
      <c r="J40" s="51">
        <f t="shared" si="74"/>
        <v>-3103.6036793502162</v>
      </c>
      <c r="K40" s="51">
        <f t="shared" si="74"/>
        <v>-4608.5417990307615</v>
      </c>
      <c r="L40" s="51">
        <f t="shared" si="74"/>
        <v>-4607.4806370907818</v>
      </c>
      <c r="M40" s="51">
        <f t="shared" si="74"/>
        <v>-3045.5747053700279</v>
      </c>
      <c r="N40" s="51">
        <f t="shared" si="74"/>
        <v>146.67771893826512</v>
      </c>
      <c r="O40" s="51">
        <f t="shared" si="74"/>
        <v>5054.0498828955751</v>
      </c>
      <c r="P40" s="51">
        <f t="shared" si="74"/>
        <v>11777.34608749749</v>
      </c>
      <c r="Q40" s="51">
        <f t="shared" si="74"/>
        <v>19248.794765573424</v>
      </c>
      <c r="R40" s="51">
        <f t="shared" si="74"/>
        <v>27507.308979206355</v>
      </c>
      <c r="S40" s="51">
        <f t="shared" si="74"/>
        <v>36593.892748265353</v>
      </c>
      <c r="T40" s="51">
        <f t="shared" si="74"/>
        <v>46551.745849643368</v>
      </c>
      <c r="U40" s="51">
        <f t="shared" si="74"/>
        <v>57426.373908263849</v>
      </c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</row>
    <row r="41" spans="1:117" x14ac:dyDescent="0.15">
      <c r="A41" s="3" t="s">
        <v>27</v>
      </c>
      <c r="B41" s="44"/>
      <c r="C41" s="44"/>
      <c r="D41" s="44"/>
      <c r="E41" s="52">
        <f>Reports!Q34</f>
        <v>0</v>
      </c>
      <c r="F41" s="52">
        <f>Reports!U34</f>
        <v>0</v>
      </c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23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</row>
    <row r="42" spans="1:117" x14ac:dyDescent="0.15">
      <c r="A42" s="3" t="s">
        <v>28</v>
      </c>
      <c r="B42" s="44"/>
      <c r="C42" s="44"/>
      <c r="D42" s="44"/>
      <c r="E42" s="52">
        <f>Reports!Q35</f>
        <v>0</v>
      </c>
      <c r="F42" s="52">
        <f>Reports!U35</f>
        <v>0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23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</row>
    <row r="43" spans="1:117" x14ac:dyDescent="0.15">
      <c r="B43" s="44"/>
      <c r="C43" s="44"/>
      <c r="D43" s="44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4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</row>
    <row r="44" spans="1:117" x14ac:dyDescent="0.15">
      <c r="A44" s="3" t="s">
        <v>56</v>
      </c>
      <c r="B44" s="44"/>
      <c r="C44" s="44"/>
      <c r="D44" s="44"/>
      <c r="E44" s="52">
        <f>Reports!Q37</f>
        <v>0</v>
      </c>
      <c r="F44" s="52">
        <f>Reports!U37</f>
        <v>0</v>
      </c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37"/>
      <c r="AL44" s="37"/>
      <c r="AM44" s="37"/>
      <c r="AN44" s="37"/>
      <c r="AO44" s="37"/>
      <c r="AP44" s="37"/>
      <c r="AQ44" s="37"/>
      <c r="AR44" s="37"/>
      <c r="AS44" s="37"/>
      <c r="AT44" s="37"/>
      <c r="AU44" s="37"/>
      <c r="AV44" s="37"/>
      <c r="AW44" s="37"/>
      <c r="AX44" s="37"/>
      <c r="AY44" s="37"/>
      <c r="AZ44" s="37"/>
      <c r="BA44" s="37"/>
      <c r="BB44" s="37"/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37"/>
      <c r="CD44" s="37"/>
      <c r="CE44" s="37"/>
      <c r="CF44" s="37"/>
      <c r="CG44" s="37"/>
      <c r="CH44" s="37"/>
      <c r="CI44" s="37"/>
      <c r="CJ44" s="37"/>
      <c r="CK44" s="37"/>
      <c r="CL44" s="37"/>
      <c r="CM44" s="37"/>
      <c r="CN44" s="37"/>
      <c r="CO44" s="37"/>
      <c r="CP44" s="37"/>
      <c r="CQ44" s="37"/>
      <c r="CR44" s="37"/>
      <c r="CS44" s="37"/>
      <c r="CT44" s="37"/>
      <c r="CU44" s="37"/>
      <c r="CV44" s="37"/>
      <c r="CW44" s="37"/>
      <c r="CX44" s="37"/>
      <c r="CY44" s="37"/>
      <c r="CZ44" s="37"/>
      <c r="DA44" s="37"/>
      <c r="DB44" s="37"/>
      <c r="DC44" s="37"/>
      <c r="DD44" s="37"/>
      <c r="DE44" s="37"/>
      <c r="DF44" s="37"/>
      <c r="DG44" s="37"/>
      <c r="DH44" s="37"/>
      <c r="DI44" s="37"/>
      <c r="DJ44" s="37"/>
      <c r="DK44" s="37"/>
      <c r="DL44" s="37"/>
      <c r="DM44" s="37"/>
    </row>
    <row r="45" spans="1:117" x14ac:dyDescent="0.15">
      <c r="A45" s="3" t="s">
        <v>57</v>
      </c>
      <c r="B45" s="44"/>
      <c r="C45" s="44"/>
      <c r="D45" s="44"/>
      <c r="E45" s="52">
        <f>Reports!Q38</f>
        <v>0</v>
      </c>
      <c r="F45" s="52">
        <f>Reports!U38</f>
        <v>0</v>
      </c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37"/>
      <c r="AL45" s="37"/>
      <c r="AM45" s="37"/>
      <c r="AN45" s="37"/>
      <c r="AO45" s="37"/>
      <c r="AP45" s="37"/>
      <c r="AQ45" s="37"/>
      <c r="AR45" s="37"/>
      <c r="AS45" s="37"/>
      <c r="AT45" s="37"/>
      <c r="AU45" s="37"/>
      <c r="AV45" s="37"/>
      <c r="AW45" s="37"/>
      <c r="AX45" s="37"/>
      <c r="AY45" s="37"/>
      <c r="AZ45" s="37"/>
      <c r="BA45" s="37"/>
      <c r="BB45" s="37"/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37"/>
      <c r="CD45" s="37"/>
      <c r="CE45" s="37"/>
      <c r="CF45" s="37"/>
      <c r="CG45" s="37"/>
      <c r="CH45" s="37"/>
      <c r="CI45" s="37"/>
      <c r="CJ45" s="37"/>
      <c r="CK45" s="37"/>
      <c r="CL45" s="37"/>
      <c r="CM45" s="37"/>
      <c r="CN45" s="37"/>
      <c r="CO45" s="37"/>
      <c r="CP45" s="37"/>
      <c r="CQ45" s="37"/>
      <c r="CR45" s="37"/>
      <c r="CS45" s="37"/>
      <c r="CT45" s="37"/>
      <c r="CU45" s="37"/>
      <c r="CV45" s="37"/>
      <c r="CW45" s="37"/>
      <c r="CX45" s="37"/>
      <c r="CY45" s="37"/>
      <c r="CZ45" s="37"/>
      <c r="DA45" s="37"/>
      <c r="DB45" s="37"/>
      <c r="DC45" s="37"/>
      <c r="DD45" s="37"/>
      <c r="DE45" s="37"/>
      <c r="DF45" s="37"/>
      <c r="DG45" s="37"/>
      <c r="DH45" s="37"/>
      <c r="DI45" s="37"/>
      <c r="DJ45" s="37"/>
      <c r="DK45" s="37"/>
      <c r="DL45" s="37"/>
      <c r="DM45" s="37"/>
    </row>
    <row r="46" spans="1:117" x14ac:dyDescent="0.15">
      <c r="A46" s="3" t="s">
        <v>58</v>
      </c>
      <c r="B46" s="44"/>
      <c r="C46" s="44"/>
      <c r="D46" s="44"/>
      <c r="E46" s="52">
        <f>Reports!Q39</f>
        <v>0</v>
      </c>
      <c r="F46" s="52">
        <f>Reports!U39</f>
        <v>0</v>
      </c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37"/>
      <c r="AL46" s="37"/>
      <c r="AM46" s="37"/>
      <c r="AN46" s="37"/>
      <c r="AO46" s="37"/>
      <c r="AP46" s="37"/>
      <c r="AQ46" s="37"/>
      <c r="AR46" s="37"/>
      <c r="AS46" s="37"/>
      <c r="AT46" s="37"/>
      <c r="AU46" s="37"/>
      <c r="AV46" s="37"/>
      <c r="AW46" s="37"/>
      <c r="AX46" s="37"/>
      <c r="AY46" s="37"/>
      <c r="AZ46" s="37"/>
      <c r="BA46" s="37"/>
      <c r="BB46" s="37"/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37"/>
      <c r="CD46" s="37"/>
      <c r="CE46" s="37"/>
      <c r="CF46" s="37"/>
      <c r="CG46" s="37"/>
      <c r="CH46" s="37"/>
      <c r="CI46" s="37"/>
      <c r="CJ46" s="37"/>
      <c r="CK46" s="37"/>
      <c r="CL46" s="37"/>
      <c r="CM46" s="37"/>
      <c r="CN46" s="37"/>
      <c r="CO46" s="37"/>
      <c r="CP46" s="37"/>
      <c r="CQ46" s="37"/>
      <c r="CR46" s="37"/>
      <c r="CS46" s="37"/>
      <c r="CT46" s="37"/>
      <c r="CU46" s="37"/>
      <c r="CV46" s="37"/>
      <c r="CW46" s="37"/>
      <c r="CX46" s="37"/>
      <c r="CY46" s="37"/>
      <c r="CZ46" s="37"/>
      <c r="DA46" s="37"/>
      <c r="DB46" s="37"/>
      <c r="DC46" s="37"/>
      <c r="DD46" s="37"/>
      <c r="DE46" s="37"/>
      <c r="DF46" s="37"/>
      <c r="DG46" s="37"/>
      <c r="DH46" s="37"/>
      <c r="DI46" s="37"/>
      <c r="DJ46" s="37"/>
      <c r="DK46" s="37"/>
      <c r="DL46" s="37"/>
      <c r="DM46" s="37"/>
    </row>
    <row r="47" spans="1:117" x14ac:dyDescent="0.15">
      <c r="B47" s="44"/>
      <c r="C47" s="44"/>
      <c r="D47" s="4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</row>
    <row r="48" spans="1:117" x14ac:dyDescent="0.15">
      <c r="A48" s="3" t="s">
        <v>59</v>
      </c>
      <c r="B48" s="44"/>
      <c r="C48" s="44"/>
      <c r="D48" s="44"/>
      <c r="E48" s="56">
        <f>E45-E44-E41</f>
        <v>0</v>
      </c>
      <c r="F48" s="56">
        <f>F45-F44-F41</f>
        <v>0</v>
      </c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37"/>
      <c r="AL48" s="37"/>
      <c r="AM48" s="37"/>
      <c r="AN48" s="37"/>
      <c r="AO48" s="37"/>
      <c r="AP48" s="37"/>
      <c r="AQ48" s="37"/>
      <c r="AR48" s="37"/>
      <c r="AS48" s="37"/>
      <c r="AT48" s="37"/>
      <c r="AU48" s="37"/>
      <c r="AV48" s="37"/>
      <c r="AW48" s="37"/>
      <c r="AX48" s="37"/>
      <c r="AY48" s="37"/>
      <c r="AZ48" s="37"/>
      <c r="BA48" s="37"/>
      <c r="BB48" s="37"/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37"/>
      <c r="CD48" s="37"/>
      <c r="CE48" s="37"/>
      <c r="CF48" s="37"/>
      <c r="CG48" s="37"/>
      <c r="CH48" s="37"/>
      <c r="CI48" s="37"/>
      <c r="CJ48" s="37"/>
      <c r="CK48" s="37"/>
      <c r="CL48" s="37"/>
      <c r="CM48" s="37"/>
      <c r="CN48" s="37"/>
      <c r="CO48" s="37"/>
      <c r="CP48" s="37"/>
      <c r="CQ48" s="37"/>
      <c r="CR48" s="37"/>
      <c r="CS48" s="37"/>
      <c r="CT48" s="37"/>
      <c r="CU48" s="37"/>
      <c r="CV48" s="37"/>
      <c r="CW48" s="37"/>
      <c r="CX48" s="37"/>
      <c r="CY48" s="37"/>
      <c r="CZ48" s="37"/>
      <c r="DA48" s="37"/>
      <c r="DB48" s="37"/>
      <c r="DC48" s="37"/>
      <c r="DD48" s="37"/>
      <c r="DE48" s="37"/>
      <c r="DF48" s="37"/>
      <c r="DG48" s="37"/>
      <c r="DH48" s="37"/>
      <c r="DI48" s="37"/>
      <c r="DJ48" s="37"/>
      <c r="DK48" s="37"/>
      <c r="DL48" s="37"/>
      <c r="DM48" s="37"/>
    </row>
    <row r="49" spans="1:117" x14ac:dyDescent="0.15">
      <c r="A49" s="3" t="s">
        <v>60</v>
      </c>
      <c r="B49" s="44"/>
      <c r="C49" s="44"/>
      <c r="D49" s="44"/>
      <c r="E49" s="56">
        <f>E45-E46</f>
        <v>0</v>
      </c>
      <c r="F49" s="56">
        <f>F45-F46</f>
        <v>0</v>
      </c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37"/>
      <c r="AM49" s="37"/>
      <c r="AN49" s="37"/>
      <c r="AO49" s="37"/>
      <c r="AP49" s="37"/>
      <c r="AQ49" s="37"/>
      <c r="AR49" s="37"/>
      <c r="AS49" s="37"/>
      <c r="AT49" s="37"/>
      <c r="AU49" s="37"/>
      <c r="AV49" s="37"/>
      <c r="AW49" s="37"/>
      <c r="AX49" s="37"/>
      <c r="AY49" s="37"/>
      <c r="AZ49" s="37"/>
      <c r="BA49" s="37"/>
      <c r="BB49" s="37"/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37"/>
      <c r="CD49" s="37"/>
      <c r="CE49" s="37"/>
      <c r="CF49" s="37"/>
      <c r="CG49" s="37"/>
      <c r="CH49" s="37"/>
      <c r="CI49" s="37"/>
      <c r="CJ49" s="37"/>
      <c r="CK49" s="37"/>
      <c r="CL49" s="37"/>
      <c r="CM49" s="37"/>
      <c r="CN49" s="37"/>
      <c r="CO49" s="37"/>
      <c r="CP49" s="37"/>
      <c r="CQ49" s="37"/>
      <c r="CR49" s="37"/>
      <c r="CS49" s="37"/>
      <c r="CT49" s="37"/>
      <c r="CU49" s="37"/>
      <c r="CV49" s="37"/>
      <c r="CW49" s="37"/>
      <c r="CX49" s="37"/>
      <c r="CY49" s="37"/>
      <c r="CZ49" s="37"/>
      <c r="DA49" s="37"/>
      <c r="DB49" s="37"/>
      <c r="DC49" s="37"/>
      <c r="DD49" s="37"/>
      <c r="DE49" s="37"/>
      <c r="DF49" s="37"/>
      <c r="DG49" s="37"/>
      <c r="DH49" s="37"/>
      <c r="DI49" s="37"/>
      <c r="DJ49" s="37"/>
      <c r="DK49" s="37"/>
      <c r="DL49" s="37"/>
      <c r="DM49" s="37"/>
    </row>
    <row r="50" spans="1:117" x14ac:dyDescent="0.1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</row>
    <row r="51" spans="1:117" x14ac:dyDescent="0.15">
      <c r="A51" s="18" t="s">
        <v>62</v>
      </c>
      <c r="B51" s="57"/>
      <c r="C51" s="57"/>
      <c r="D51" s="57"/>
      <c r="E51" s="57" t="e">
        <f>E26/E49</f>
        <v>#DIV/0!</v>
      </c>
      <c r="F51" s="57" t="e">
        <f>F26/F49</f>
        <v>#DIV/0!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</row>
    <row r="52" spans="1:117" x14ac:dyDescent="0.15">
      <c r="A52" s="18" t="s">
        <v>63</v>
      </c>
      <c r="B52" s="57"/>
      <c r="C52" s="57"/>
      <c r="D52" s="57"/>
      <c r="E52" s="57" t="e">
        <f>E26/E45</f>
        <v>#DIV/0!</v>
      </c>
      <c r="F52" s="57" t="e">
        <f>F26/F45</f>
        <v>#DIV/0!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</row>
    <row r="53" spans="1:117" x14ac:dyDescent="0.15">
      <c r="A53" s="18" t="s">
        <v>64</v>
      </c>
      <c r="B53" s="57"/>
      <c r="C53" s="57"/>
      <c r="D53" s="57"/>
      <c r="E53" s="57" t="e">
        <f>E26/(E49-E44)</f>
        <v>#DIV/0!</v>
      </c>
      <c r="F53" s="57" t="e">
        <f>F26/(F49-F44)</f>
        <v>#DIV/0!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</row>
    <row r="54" spans="1:117" x14ac:dyDescent="0.15">
      <c r="A54" s="18" t="s">
        <v>65</v>
      </c>
      <c r="B54" s="57"/>
      <c r="C54" s="57"/>
      <c r="D54" s="57"/>
      <c r="E54" s="57" t="e">
        <f>E26/E48</f>
        <v>#DIV/0!</v>
      </c>
      <c r="F54" s="57" t="e">
        <f>F26/F48</f>
        <v>#DIV/0!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</row>
    <row r="55" spans="1:117" x14ac:dyDescent="0.1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</row>
    <row r="56" spans="1:117" x14ac:dyDescent="0.15">
      <c r="A56" s="6" t="s">
        <v>84</v>
      </c>
      <c r="B56" s="57"/>
      <c r="C56" s="57">
        <f>C10/B10-1</f>
        <v>0.8014972796517954</v>
      </c>
      <c r="D56" s="57">
        <f>D10/C10-1</f>
        <v>0.54732914707630465</v>
      </c>
      <c r="E56" s="57">
        <f>E10/D10-1</f>
        <v>0.42559825991979605</v>
      </c>
      <c r="F56" s="57">
        <f>F10/E10-1</f>
        <v>0.31578826309527552</v>
      </c>
      <c r="G56" s="57"/>
      <c r="H56" s="57"/>
      <c r="I56" s="57"/>
      <c r="J56" s="57"/>
      <c r="K56" s="57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</row>
    <row r="58" spans="1:117" x14ac:dyDescent="0.15">
      <c r="A58" s="3" t="s">
        <v>80</v>
      </c>
      <c r="C58" s="19">
        <f t="shared" ref="C58:F59" si="75">C12/B12-1</f>
        <v>0.73618784530386727</v>
      </c>
      <c r="D58" s="19">
        <f t="shared" si="75"/>
        <v>0.47812251392203664</v>
      </c>
      <c r="E58" s="19">
        <f t="shared" si="75"/>
        <v>0.34714747039827776</v>
      </c>
      <c r="F58" s="19">
        <f t="shared" si="75"/>
        <v>0.30603276068717533</v>
      </c>
      <c r="G58" s="19">
        <f t="shared" ref="G58:K58" si="76">G12/F12-1</f>
        <v>0.25</v>
      </c>
      <c r="H58" s="19">
        <f t="shared" si="76"/>
        <v>0.25</v>
      </c>
      <c r="I58" s="19">
        <f t="shared" si="76"/>
        <v>0.25</v>
      </c>
      <c r="J58" s="19">
        <f t="shared" si="76"/>
        <v>0.25</v>
      </c>
      <c r="K58" s="19">
        <f t="shared" si="76"/>
        <v>0.25</v>
      </c>
    </row>
    <row r="59" spans="1:117" x14ac:dyDescent="0.15">
      <c r="A59" s="3" t="s">
        <v>86</v>
      </c>
      <c r="C59" s="19">
        <f t="shared" si="75"/>
        <v>3.7616571573508173E-2</v>
      </c>
      <c r="D59" s="19">
        <f t="shared" si="75"/>
        <v>4.6820633947747492E-2</v>
      </c>
      <c r="E59" s="19">
        <f t="shared" si="75"/>
        <v>5.8234745078298511E-2</v>
      </c>
      <c r="F59" s="19">
        <f t="shared" si="75"/>
        <v>7.4695694486004438E-3</v>
      </c>
      <c r="G59" s="19">
        <f t="shared" ref="G59:K59" si="77">G13/F13-1</f>
        <v>2.0000000000000018E-2</v>
      </c>
      <c r="H59" s="19">
        <f t="shared" si="77"/>
        <v>2.0000000000000018E-2</v>
      </c>
      <c r="I59" s="19">
        <f t="shared" si="77"/>
        <v>2.0000000000000018E-2</v>
      </c>
      <c r="J59" s="19">
        <f t="shared" si="77"/>
        <v>2.0000000000000018E-2</v>
      </c>
      <c r="K59" s="19">
        <f t="shared" si="77"/>
        <v>2.0000000000000018E-2</v>
      </c>
    </row>
    <row r="61" spans="1:117" s="16" customFormat="1" x14ac:dyDescent="0.15">
      <c r="A61" s="16" t="s">
        <v>81</v>
      </c>
      <c r="B61" s="16">
        <v>8057.7</v>
      </c>
      <c r="C61" s="16">
        <v>13924.8</v>
      </c>
      <c r="D61" s="16">
        <v>20975.3</v>
      </c>
      <c r="E61" s="16">
        <v>29440.7</v>
      </c>
      <c r="F61" s="16">
        <v>37962.6</v>
      </c>
    </row>
    <row r="62" spans="1:117" x14ac:dyDescent="0.15">
      <c r="A62" s="3" t="s">
        <v>82</v>
      </c>
      <c r="C62" s="19">
        <f>C61/B61-1</f>
        <v>0.72813582039539804</v>
      </c>
      <c r="D62" s="19">
        <f>D61/C61-1</f>
        <v>0.50632684131908534</v>
      </c>
      <c r="E62" s="19">
        <f>E61/D61-1</f>
        <v>0.40358898323265935</v>
      </c>
      <c r="F62" s="19">
        <f>F61/E61-1</f>
        <v>0.28945982941981674</v>
      </c>
    </row>
  </sheetData>
  <hyperlinks>
    <hyperlink ref="A1" r:id="rId1" xr:uid="{00000000-0004-0000-0000-000000000000}"/>
    <hyperlink ref="L4" r:id="rId2" xr:uid="{CBCA994A-BC74-CB48-8009-AD2DE8254A02}"/>
    <hyperlink ref="A4" r:id="rId3" xr:uid="{606FB931-DDDA-0844-8613-7FFB04EE7E4D}"/>
    <hyperlink ref="A7" r:id="rId4" xr:uid="{A829725C-CA8B-8146-B4EA-1D513093D185}"/>
    <hyperlink ref="A8" r:id="rId5" xr:uid="{34D0BF07-1AEB-874D-9377-D889FE649DDC}"/>
  </hyperlinks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52"/>
  <sheetViews>
    <sheetView zoomScale="125" zoomScaleNormal="125" workbookViewId="0">
      <pane xSplit="1" ySplit="2" topLeftCell="L3" activePane="bottomRight" state="frozen"/>
      <selection pane="topRight" activeCell="B1" sqref="B1"/>
      <selection pane="bottomLeft" activeCell="A3" sqref="A3"/>
      <selection pane="bottomRight" activeCell="X33" sqref="X33"/>
    </sheetView>
  </sheetViews>
  <sheetFormatPr baseColWidth="10" defaultRowHeight="13" x14ac:dyDescent="0.15"/>
  <cols>
    <col min="1" max="1" width="20.33203125" style="6" bestFit="1" customWidth="1"/>
    <col min="2" max="5" width="10.83203125" style="20" customWidth="1"/>
    <col min="6" max="6" width="10.83203125" style="21" customWidth="1"/>
    <col min="7" max="8" width="10.83203125" style="20" customWidth="1"/>
    <col min="9" max="9" width="10.83203125" style="20"/>
    <col min="10" max="10" width="10.83203125" style="21"/>
    <col min="11" max="13" width="10.83203125" style="20"/>
    <col min="14" max="14" width="10.83203125" style="21"/>
    <col min="15" max="17" width="10.83203125" style="20"/>
    <col min="18" max="18" width="10.83203125" style="21"/>
    <col min="19" max="21" width="10.83203125" style="20"/>
    <col min="22" max="22" width="10.83203125" style="21"/>
    <col min="23" max="25" width="10.83203125" style="20"/>
    <col min="26" max="16384" width="10.83203125" style="6"/>
  </cols>
  <sheetData>
    <row r="1" spans="1:25" x14ac:dyDescent="0.15">
      <c r="A1" s="69" t="s">
        <v>45</v>
      </c>
      <c r="B1" s="20" t="s">
        <v>38</v>
      </c>
      <c r="C1" s="20" t="s">
        <v>39</v>
      </c>
      <c r="D1" s="20" t="s">
        <v>40</v>
      </c>
      <c r="E1" s="20" t="s">
        <v>41</v>
      </c>
      <c r="F1" s="21" t="s">
        <v>22</v>
      </c>
      <c r="G1" s="20" t="s">
        <v>23</v>
      </c>
      <c r="H1" s="20" t="s">
        <v>24</v>
      </c>
      <c r="I1" s="20" t="s">
        <v>25</v>
      </c>
      <c r="J1" s="22" t="s">
        <v>0</v>
      </c>
      <c r="K1" s="23" t="s">
        <v>1</v>
      </c>
      <c r="L1" s="23" t="s">
        <v>2</v>
      </c>
      <c r="M1" s="23" t="s">
        <v>3</v>
      </c>
      <c r="N1" s="22" t="s">
        <v>34</v>
      </c>
      <c r="O1" s="23" t="s">
        <v>35</v>
      </c>
      <c r="P1" s="23" t="s">
        <v>36</v>
      </c>
      <c r="Q1" s="23" t="s">
        <v>37</v>
      </c>
      <c r="R1" s="22" t="s">
        <v>52</v>
      </c>
      <c r="S1" s="23" t="s">
        <v>53</v>
      </c>
      <c r="T1" s="23" t="s">
        <v>54</v>
      </c>
      <c r="U1" s="23" t="s">
        <v>55</v>
      </c>
      <c r="V1" s="22" t="s">
        <v>70</v>
      </c>
      <c r="W1" s="23" t="s">
        <v>76</v>
      </c>
      <c r="X1" s="23" t="s">
        <v>77</v>
      </c>
      <c r="Y1" s="23" t="s">
        <v>71</v>
      </c>
    </row>
    <row r="2" spans="1:25" s="20" customFormat="1" x14ac:dyDescent="0.15">
      <c r="A2" s="1"/>
      <c r="F2" s="21"/>
      <c r="J2" s="21"/>
      <c r="N2" s="21"/>
      <c r="R2" s="21"/>
      <c r="V2" s="61">
        <v>43921</v>
      </c>
      <c r="W2" s="60">
        <v>44012</v>
      </c>
      <c r="X2" s="60">
        <v>44104</v>
      </c>
    </row>
    <row r="3" spans="1:25" s="8" customFormat="1" x14ac:dyDescent="0.15">
      <c r="A3" s="8" t="s">
        <v>83</v>
      </c>
      <c r="B3" s="23"/>
      <c r="C3" s="23"/>
      <c r="D3" s="23"/>
      <c r="E3" s="23"/>
      <c r="F3" s="22"/>
      <c r="G3" s="23"/>
      <c r="H3" s="23"/>
      <c r="I3" s="23"/>
      <c r="J3" s="22"/>
      <c r="K3" s="23"/>
      <c r="L3" s="23"/>
      <c r="M3" s="23"/>
      <c r="N3" s="22"/>
      <c r="O3" s="23"/>
      <c r="P3" s="23"/>
      <c r="Q3" s="23"/>
      <c r="R3" s="22"/>
      <c r="S3" s="23"/>
      <c r="T3" s="23"/>
      <c r="U3" s="23"/>
      <c r="V3" s="22">
        <v>841.83</v>
      </c>
      <c r="W3" s="23">
        <v>334.774</v>
      </c>
      <c r="X3" s="23">
        <v>1342.3309999999999</v>
      </c>
      <c r="Y3" s="23"/>
    </row>
    <row r="4" spans="1:25" s="8" customFormat="1" x14ac:dyDescent="0.15">
      <c r="B4" s="23"/>
      <c r="C4" s="23"/>
      <c r="D4" s="23"/>
      <c r="E4" s="23"/>
      <c r="F4" s="22"/>
      <c r="G4" s="23"/>
      <c r="H4" s="23"/>
      <c r="I4" s="23"/>
      <c r="J4" s="22"/>
      <c r="K4" s="23"/>
      <c r="L4" s="23"/>
      <c r="M4" s="23"/>
      <c r="N4" s="22"/>
      <c r="O4" s="23"/>
      <c r="P4" s="23"/>
      <c r="Q4" s="23"/>
      <c r="R4" s="22"/>
      <c r="S4" s="23"/>
      <c r="T4" s="23"/>
      <c r="U4" s="23"/>
      <c r="V4" s="22"/>
      <c r="W4" s="23"/>
      <c r="X4" s="23"/>
      <c r="Y4" s="23"/>
    </row>
    <row r="5" spans="1:25" s="8" customFormat="1" x14ac:dyDescent="0.15">
      <c r="B5" s="23"/>
      <c r="C5" s="23"/>
      <c r="D5" s="23"/>
      <c r="E5" s="23"/>
      <c r="F5" s="22"/>
      <c r="G5" s="23"/>
      <c r="H5" s="23"/>
      <c r="I5" s="23"/>
      <c r="J5" s="22"/>
      <c r="K5" s="23"/>
      <c r="L5" s="23"/>
      <c r="M5" s="23"/>
      <c r="N5" s="22"/>
      <c r="O5" s="23"/>
      <c r="P5" s="23"/>
      <c r="Q5" s="23"/>
      <c r="R5" s="22"/>
      <c r="S5" s="23"/>
      <c r="T5" s="23"/>
      <c r="U5" s="23"/>
      <c r="V5" s="22"/>
      <c r="W5" s="23"/>
      <c r="X5" s="23"/>
      <c r="Y5" s="23"/>
    </row>
    <row r="6" spans="1:25" s="39" customFormat="1" x14ac:dyDescent="0.15">
      <c r="F6" s="40"/>
      <c r="J6" s="40"/>
      <c r="N6" s="40"/>
      <c r="R6" s="40"/>
      <c r="V6" s="40"/>
    </row>
    <row r="7" spans="1:25" s="17" customFormat="1" x14ac:dyDescent="0.15">
      <c r="A7" s="17" t="s">
        <v>4</v>
      </c>
      <c r="B7" s="24">
        <f t="shared" ref="B7:X7" si="0">SUM(B3:B5)</f>
        <v>0</v>
      </c>
      <c r="C7" s="24">
        <f t="shared" si="0"/>
        <v>0</v>
      </c>
      <c r="D7" s="24">
        <f t="shared" si="0"/>
        <v>0</v>
      </c>
      <c r="E7" s="24">
        <f t="shared" si="0"/>
        <v>0</v>
      </c>
      <c r="F7" s="25">
        <f t="shared" si="0"/>
        <v>0</v>
      </c>
      <c r="G7" s="24">
        <f t="shared" si="0"/>
        <v>0</v>
      </c>
      <c r="H7" s="24">
        <f t="shared" si="0"/>
        <v>0</v>
      </c>
      <c r="I7" s="24">
        <f t="shared" si="0"/>
        <v>0</v>
      </c>
      <c r="J7" s="25">
        <f t="shared" si="0"/>
        <v>0</v>
      </c>
      <c r="K7" s="24">
        <f t="shared" si="0"/>
        <v>0</v>
      </c>
      <c r="L7" s="24">
        <f t="shared" si="0"/>
        <v>0</v>
      </c>
      <c r="M7" s="24">
        <f t="shared" si="0"/>
        <v>0</v>
      </c>
      <c r="N7" s="25">
        <f t="shared" si="0"/>
        <v>0</v>
      </c>
      <c r="O7" s="24">
        <f t="shared" si="0"/>
        <v>0</v>
      </c>
      <c r="P7" s="24">
        <f t="shared" si="0"/>
        <v>0</v>
      </c>
      <c r="Q7" s="24">
        <f t="shared" si="0"/>
        <v>0</v>
      </c>
      <c r="R7" s="25">
        <f t="shared" si="0"/>
        <v>0</v>
      </c>
      <c r="S7" s="24">
        <f t="shared" si="0"/>
        <v>0</v>
      </c>
      <c r="T7" s="24">
        <f t="shared" si="0"/>
        <v>0</v>
      </c>
      <c r="U7" s="24">
        <f t="shared" si="0"/>
        <v>0</v>
      </c>
      <c r="V7" s="25">
        <f t="shared" si="0"/>
        <v>841.83</v>
      </c>
      <c r="W7" s="24">
        <f t="shared" si="0"/>
        <v>334.774</v>
      </c>
      <c r="X7" s="24">
        <f t="shared" si="0"/>
        <v>1342.3309999999999</v>
      </c>
      <c r="Y7" s="51"/>
    </row>
    <row r="8" spans="1:25" s="8" customFormat="1" x14ac:dyDescent="0.15">
      <c r="A8" s="8" t="s">
        <v>5</v>
      </c>
      <c r="B8" s="23">
        <v>166.798</v>
      </c>
      <c r="C8" s="23">
        <v>185.173</v>
      </c>
      <c r="D8" s="23">
        <v>190.98500000000001</v>
      </c>
      <c r="E8" s="23">
        <v>201.36099999999999</v>
      </c>
      <c r="F8" s="22">
        <v>198.572</v>
      </c>
      <c r="G8" s="23">
        <v>202.07900000000001</v>
      </c>
      <c r="H8" s="23">
        <v>202.70099999999999</v>
      </c>
      <c r="I8" s="23">
        <v>216.55600000000001</v>
      </c>
      <c r="J8" s="22">
        <v>237.33699999999999</v>
      </c>
      <c r="K8" s="23">
        <v>239.36</v>
      </c>
      <c r="L8" s="23">
        <v>262.92200000000003</v>
      </c>
      <c r="M8" s="23">
        <v>270.87200000000001</v>
      </c>
      <c r="N8" s="22">
        <v>258.90199999999999</v>
      </c>
      <c r="O8" s="23">
        <v>281.34399999999999</v>
      </c>
      <c r="P8" s="23">
        <v>295.49200000000002</v>
      </c>
      <c r="Q8" s="23">
        <v>359.26100000000002</v>
      </c>
      <c r="R8" s="22">
        <v>397.286</v>
      </c>
      <c r="S8" s="23">
        <v>407.488</v>
      </c>
      <c r="T8" s="52">
        <v>415.96300000000002</v>
      </c>
      <c r="U8" s="52">
        <v>451.983</v>
      </c>
      <c r="V8" s="22">
        <f>278+222</f>
        <v>500</v>
      </c>
      <c r="W8" s="52">
        <f>161+160</f>
        <v>321</v>
      </c>
      <c r="X8" s="52">
        <f>227+166</f>
        <v>393</v>
      </c>
      <c r="Y8" s="52"/>
    </row>
    <row r="9" spans="1:25" s="8" customFormat="1" x14ac:dyDescent="0.15">
      <c r="A9" s="8" t="s">
        <v>6</v>
      </c>
      <c r="B9" s="26">
        <f>B7-B8</f>
        <v>-166.798</v>
      </c>
      <c r="C9" s="26">
        <f>C7-C8</f>
        <v>-185.173</v>
      </c>
      <c r="D9" s="26">
        <f>D7-D8</f>
        <v>-190.98500000000001</v>
      </c>
      <c r="E9" s="26">
        <f>E7-E8</f>
        <v>-201.36099999999999</v>
      </c>
      <c r="F9" s="27">
        <f>F7-F8</f>
        <v>-198.572</v>
      </c>
      <c r="G9" s="26">
        <f t="shared" ref="G9:L9" si="1">G7-G8</f>
        <v>-202.07900000000001</v>
      </c>
      <c r="H9" s="26">
        <f t="shared" si="1"/>
        <v>-202.70099999999999</v>
      </c>
      <c r="I9" s="26">
        <f t="shared" si="1"/>
        <v>-216.55600000000001</v>
      </c>
      <c r="J9" s="27">
        <f t="shared" si="1"/>
        <v>-237.33699999999999</v>
      </c>
      <c r="K9" s="26">
        <f t="shared" si="1"/>
        <v>-239.36</v>
      </c>
      <c r="L9" s="26">
        <f t="shared" si="1"/>
        <v>-262.92200000000003</v>
      </c>
      <c r="M9" s="26">
        <f t="shared" ref="M9" si="2">M7-M8</f>
        <v>-270.87200000000001</v>
      </c>
      <c r="N9" s="27">
        <f>N7-N8</f>
        <v>-258.90199999999999</v>
      </c>
      <c r="O9" s="26">
        <f>O7-O8</f>
        <v>-281.34399999999999</v>
      </c>
      <c r="P9" s="26">
        <f t="shared" ref="P9:R9" si="3">P7-P8</f>
        <v>-295.49200000000002</v>
      </c>
      <c r="Q9" s="26">
        <f t="shared" si="3"/>
        <v>-359.26100000000002</v>
      </c>
      <c r="R9" s="27">
        <f t="shared" si="3"/>
        <v>-397.286</v>
      </c>
      <c r="S9" s="26">
        <f t="shared" ref="S9:X9" si="4">S7-S8</f>
        <v>-407.488</v>
      </c>
      <c r="T9" s="26">
        <f t="shared" si="4"/>
        <v>-415.96300000000002</v>
      </c>
      <c r="U9" s="26">
        <f t="shared" si="4"/>
        <v>-451.983</v>
      </c>
      <c r="V9" s="27">
        <f t="shared" ref="V9" si="5">V7-V8</f>
        <v>341.83000000000004</v>
      </c>
      <c r="W9" s="26">
        <f t="shared" si="4"/>
        <v>13.774000000000001</v>
      </c>
      <c r="X9" s="26">
        <f t="shared" si="4"/>
        <v>949.3309999999999</v>
      </c>
      <c r="Y9" s="52"/>
    </row>
    <row r="10" spans="1:25" s="8" customFormat="1" x14ac:dyDescent="0.15">
      <c r="A10" s="8" t="s">
        <v>7</v>
      </c>
      <c r="B10" s="23">
        <v>215.50899999999999</v>
      </c>
      <c r="C10" s="23">
        <v>208.047</v>
      </c>
      <c r="D10" s="23">
        <v>218.66</v>
      </c>
      <c r="E10" s="23">
        <v>220.51400000000001</v>
      </c>
      <c r="F10" s="22">
        <v>237.20400000000001</v>
      </c>
      <c r="G10" s="23">
        <v>232.48400000000001</v>
      </c>
      <c r="H10" s="23">
        <v>248.45</v>
      </c>
      <c r="I10" s="23">
        <v>257.84899999999999</v>
      </c>
      <c r="J10" s="22">
        <v>285.077</v>
      </c>
      <c r="K10" s="23">
        <v>299.40100000000001</v>
      </c>
      <c r="L10" s="23">
        <v>315.55500000000001</v>
      </c>
      <c r="M10" s="23">
        <v>324.02600000000001</v>
      </c>
      <c r="N10" s="22">
        <v>348.76900000000001</v>
      </c>
      <c r="O10" s="23">
        <v>374.12799999999999</v>
      </c>
      <c r="P10" s="23">
        <v>398.95699999999999</v>
      </c>
      <c r="Q10" s="23">
        <v>415.95800000000003</v>
      </c>
      <c r="R10" s="22">
        <v>464.637</v>
      </c>
      <c r="S10" s="23">
        <v>475.95800000000003</v>
      </c>
      <c r="T10" s="52">
        <v>489.827</v>
      </c>
      <c r="U10" s="52">
        <v>499.80599999999998</v>
      </c>
      <c r="V10" s="22">
        <v>259</v>
      </c>
      <c r="W10" s="52">
        <v>218</v>
      </c>
      <c r="X10" s="52">
        <v>214</v>
      </c>
      <c r="Y10" s="52"/>
    </row>
    <row r="11" spans="1:25" s="8" customFormat="1" x14ac:dyDescent="0.15">
      <c r="A11" s="8" t="s">
        <v>8</v>
      </c>
      <c r="B11" s="23">
        <v>392.74099999999999</v>
      </c>
      <c r="C11" s="23">
        <v>426.99799999999999</v>
      </c>
      <c r="D11" s="23">
        <v>422.03100000000001</v>
      </c>
      <c r="E11" s="23">
        <v>441.47199999999998</v>
      </c>
      <c r="F11" s="22">
        <v>474.89100000000002</v>
      </c>
      <c r="G11" s="23">
        <v>462.78899999999999</v>
      </c>
      <c r="H11" s="23">
        <v>477.47500000000002</v>
      </c>
      <c r="I11" s="23">
        <v>495.04199999999997</v>
      </c>
      <c r="J11" s="22">
        <v>520.29700000000003</v>
      </c>
      <c r="K11" s="23">
        <v>553.09799999999996</v>
      </c>
      <c r="L11" s="23">
        <v>550.09299999999996</v>
      </c>
      <c r="M11" s="23">
        <v>574.10400000000004</v>
      </c>
      <c r="N11" s="22">
        <v>580.95699999999999</v>
      </c>
      <c r="O11" s="23">
        <v>646.21500000000003</v>
      </c>
      <c r="P11" s="23">
        <v>670.08399999999995</v>
      </c>
      <c r="Q11" s="23">
        <v>723.57299999999998</v>
      </c>
      <c r="R11" s="22">
        <v>781.51800000000003</v>
      </c>
      <c r="S11" s="23">
        <v>848.92700000000002</v>
      </c>
      <c r="T11" s="52">
        <v>812.31399999999996</v>
      </c>
      <c r="U11" s="52">
        <v>801.58799999999997</v>
      </c>
      <c r="V11" s="22">
        <v>317</v>
      </c>
      <c r="W11" s="52">
        <v>115</v>
      </c>
      <c r="X11" s="52">
        <v>113</v>
      </c>
      <c r="Y11" s="52"/>
    </row>
    <row r="12" spans="1:25" s="8" customFormat="1" x14ac:dyDescent="0.15">
      <c r="A12" s="8" t="s">
        <v>9</v>
      </c>
      <c r="B12" s="23">
        <f>145.081+1.755+14.272</f>
        <v>161.10799999999998</v>
      </c>
      <c r="C12" s="23">
        <f>130.208+0.034+18.081</f>
        <v>148.32299999999998</v>
      </c>
      <c r="D12" s="23">
        <f>122.578-0.751+18.246</f>
        <v>140.07300000000001</v>
      </c>
      <c r="E12" s="23">
        <f>134.052+0.521+18.05</f>
        <v>152.62299999999999</v>
      </c>
      <c r="F12" s="22">
        <f>146.935-0.419+18.394</f>
        <v>164.91</v>
      </c>
      <c r="G12" s="23">
        <f>138.596-0.466+18.988</f>
        <v>157.11799999999999</v>
      </c>
      <c r="H12" s="23">
        <f>143.702-0.338+22.652</f>
        <v>166.01600000000002</v>
      </c>
      <c r="I12" s="23">
        <f>148.477-0.285+18.5</f>
        <v>166.69200000000001</v>
      </c>
      <c r="J12" s="22">
        <f>150.808+19.128</f>
        <v>169.93599999999998</v>
      </c>
      <c r="K12" s="23">
        <f>156.929+19.32</f>
        <v>176.249</v>
      </c>
      <c r="L12" s="23">
        <f>147.402+19.428</f>
        <v>166.82999999999998</v>
      </c>
      <c r="M12" s="23">
        <f>169.567+18.686</f>
        <v>188.25300000000001</v>
      </c>
      <c r="N12" s="22">
        <f>170.44+17.146</f>
        <v>187.58600000000001</v>
      </c>
      <c r="O12" s="23">
        <f>178.04+17.149</f>
        <v>195.18899999999999</v>
      </c>
      <c r="P12" s="23">
        <f>184.063+23.874</f>
        <v>207.93699999999998</v>
      </c>
      <c r="Q12" s="23">
        <f>212.355+32.932</f>
        <v>245.28699999999998</v>
      </c>
      <c r="R12" s="22">
        <f>216.109+46.566</f>
        <v>262.67500000000001</v>
      </c>
      <c r="S12" s="23">
        <f>219.334+43.026</f>
        <v>262.36</v>
      </c>
      <c r="T12" s="52">
        <f>219.256+42.954</f>
        <v>262.20999999999998</v>
      </c>
      <c r="U12" s="52">
        <f>225.938+42.698</f>
        <v>268.63599999999997</v>
      </c>
      <c r="V12" s="22">
        <v>92</v>
      </c>
      <c r="W12" s="52">
        <f>150+114</f>
        <v>264</v>
      </c>
      <c r="X12" s="52">
        <f>180+23</f>
        <v>203</v>
      </c>
      <c r="Y12" s="52"/>
    </row>
    <row r="13" spans="1:25" s="8" customFormat="1" x14ac:dyDescent="0.15">
      <c r="A13" s="8" t="s">
        <v>10</v>
      </c>
      <c r="B13" s="26">
        <f>SUM(B10:B12)</f>
        <v>769.35799999999995</v>
      </c>
      <c r="C13" s="26">
        <f>SUM(C10:C12)</f>
        <v>783.36799999999994</v>
      </c>
      <c r="D13" s="26">
        <f>SUM(D10:D12)</f>
        <v>780.76400000000001</v>
      </c>
      <c r="E13" s="26">
        <f>SUM(E10:E12)</f>
        <v>814.60899999999992</v>
      </c>
      <c r="F13" s="27">
        <f>SUM(F10:F12)</f>
        <v>877.005</v>
      </c>
      <c r="G13" s="26">
        <f t="shared" ref="G13:L13" si="6">SUM(G10:G12)</f>
        <v>852.39100000000008</v>
      </c>
      <c r="H13" s="26">
        <f t="shared" si="6"/>
        <v>891.94100000000003</v>
      </c>
      <c r="I13" s="26">
        <f t="shared" si="6"/>
        <v>919.58299999999997</v>
      </c>
      <c r="J13" s="27">
        <f t="shared" si="6"/>
        <v>975.31</v>
      </c>
      <c r="K13" s="26">
        <f t="shared" si="6"/>
        <v>1028.748</v>
      </c>
      <c r="L13" s="26">
        <f t="shared" si="6"/>
        <v>1032.4779999999998</v>
      </c>
      <c r="M13" s="26">
        <f t="shared" ref="M13:N13" si="7">SUM(M10:M12)</f>
        <v>1086.383</v>
      </c>
      <c r="N13" s="27">
        <f t="shared" si="7"/>
        <v>1117.3119999999999</v>
      </c>
      <c r="O13" s="26">
        <f t="shared" ref="O13:P13" si="8">SUM(O10:O12)</f>
        <v>1215.5320000000002</v>
      </c>
      <c r="P13" s="26">
        <f t="shared" si="8"/>
        <v>1276.9779999999998</v>
      </c>
      <c r="Q13" s="26">
        <f t="shared" ref="Q13:S13" si="9">SUM(Q10:Q12)</f>
        <v>1384.818</v>
      </c>
      <c r="R13" s="27">
        <f t="shared" si="9"/>
        <v>1508.83</v>
      </c>
      <c r="S13" s="26">
        <f t="shared" si="9"/>
        <v>1587.2449999999999</v>
      </c>
      <c r="T13" s="26">
        <f t="shared" ref="T13:U13" si="10">SUM(T10:T12)</f>
        <v>1564.3510000000001</v>
      </c>
      <c r="U13" s="26">
        <f t="shared" si="10"/>
        <v>1570.03</v>
      </c>
      <c r="V13" s="27">
        <f t="shared" ref="V13:X13" si="11">SUM(V10:V12)</f>
        <v>668</v>
      </c>
      <c r="W13" s="26">
        <f t="shared" si="11"/>
        <v>597</v>
      </c>
      <c r="X13" s="26">
        <f t="shared" si="11"/>
        <v>530</v>
      </c>
      <c r="Y13" s="52"/>
    </row>
    <row r="14" spans="1:25" s="8" customFormat="1" x14ac:dyDescent="0.15">
      <c r="A14" s="8" t="s">
        <v>11</v>
      </c>
      <c r="B14" s="26">
        <f>B9-B13</f>
        <v>-936.15599999999995</v>
      </c>
      <c r="C14" s="26">
        <f>C9-C13</f>
        <v>-968.54099999999994</v>
      </c>
      <c r="D14" s="26">
        <f>D9-D13</f>
        <v>-971.74900000000002</v>
      </c>
      <c r="E14" s="26">
        <f>E9-E13</f>
        <v>-1015.9699999999999</v>
      </c>
      <c r="F14" s="27">
        <f>F9-F13</f>
        <v>-1075.577</v>
      </c>
      <c r="G14" s="26">
        <f t="shared" ref="G14:H14" si="12">G9-G13</f>
        <v>-1054.47</v>
      </c>
      <c r="H14" s="26">
        <f t="shared" si="12"/>
        <v>-1094.6420000000001</v>
      </c>
      <c r="I14" s="26">
        <f t="shared" ref="I14:P14" si="13">I9-I13</f>
        <v>-1136.1389999999999</v>
      </c>
      <c r="J14" s="27">
        <f t="shared" si="13"/>
        <v>-1212.6469999999999</v>
      </c>
      <c r="K14" s="26">
        <f t="shared" si="13"/>
        <v>-1268.1080000000002</v>
      </c>
      <c r="L14" s="26">
        <f t="shared" si="13"/>
        <v>-1295.3999999999999</v>
      </c>
      <c r="M14" s="26">
        <f t="shared" si="13"/>
        <v>-1357.2550000000001</v>
      </c>
      <c r="N14" s="27">
        <f t="shared" si="13"/>
        <v>-1376.2139999999999</v>
      </c>
      <c r="O14" s="26">
        <f t="shared" si="13"/>
        <v>-1496.8760000000002</v>
      </c>
      <c r="P14" s="26">
        <f t="shared" si="13"/>
        <v>-1572.4699999999998</v>
      </c>
      <c r="Q14" s="26">
        <f t="shared" ref="Q14:S14" si="14">Q9-Q13</f>
        <v>-1744.079</v>
      </c>
      <c r="R14" s="27">
        <f t="shared" si="14"/>
        <v>-1906.116</v>
      </c>
      <c r="S14" s="26">
        <f t="shared" si="14"/>
        <v>-1994.7329999999999</v>
      </c>
      <c r="T14" s="26">
        <f t="shared" ref="T14:U14" si="15">T9-T13</f>
        <v>-1980.3140000000001</v>
      </c>
      <c r="U14" s="26">
        <f t="shared" si="15"/>
        <v>-2022.0129999999999</v>
      </c>
      <c r="V14" s="27">
        <f t="shared" ref="V14:X14" si="16">V9-V13</f>
        <v>-326.16999999999996</v>
      </c>
      <c r="W14" s="26">
        <f t="shared" si="16"/>
        <v>-583.226</v>
      </c>
      <c r="X14" s="26">
        <f t="shared" si="16"/>
        <v>419.3309999999999</v>
      </c>
      <c r="Y14" s="52"/>
    </row>
    <row r="15" spans="1:25" s="8" customFormat="1" x14ac:dyDescent="0.15">
      <c r="A15" s="8" t="s">
        <v>12</v>
      </c>
      <c r="B15" s="23">
        <v>-9.7769999999999992</v>
      </c>
      <c r="C15" s="23">
        <v>-12.643000000000001</v>
      </c>
      <c r="D15" s="23">
        <v>-13.4</v>
      </c>
      <c r="E15" s="23">
        <v>6.5060000000000002</v>
      </c>
      <c r="F15" s="22">
        <v>-15.451000000000001</v>
      </c>
      <c r="G15" s="23">
        <v>-14.409000000000001</v>
      </c>
      <c r="H15" s="23">
        <v>-13.023999999999999</v>
      </c>
      <c r="I15" s="23">
        <v>-15.58</v>
      </c>
      <c r="J15" s="22">
        <v>-8.3670000000000009</v>
      </c>
      <c r="K15" s="23">
        <v>-11.464</v>
      </c>
      <c r="L15" s="23">
        <v>-4.2949999999999999</v>
      </c>
      <c r="M15" s="23">
        <v>-6.3280000000000003</v>
      </c>
      <c r="N15" s="22">
        <v>-0.23100000000000001</v>
      </c>
      <c r="O15" s="23">
        <v>-7.6849999999999996</v>
      </c>
      <c r="P15" s="23">
        <v>-17.248000000000001</v>
      </c>
      <c r="Q15" s="23">
        <v>-21.329000000000001</v>
      </c>
      <c r="R15" s="22">
        <v>7.5039999999999996</v>
      </c>
      <c r="S15" s="23">
        <v>-38.774999999999999</v>
      </c>
      <c r="T15" s="52">
        <v>-19.324000000000002</v>
      </c>
      <c r="U15" s="52">
        <v>-12.784000000000001</v>
      </c>
      <c r="V15" s="22">
        <f>17+2-47</f>
        <v>-28</v>
      </c>
      <c r="W15" s="52">
        <f>6-49-13</f>
        <v>-56</v>
      </c>
      <c r="X15" s="52">
        <f>4-60-56</f>
        <v>-112</v>
      </c>
      <c r="Y15" s="52"/>
    </row>
    <row r="16" spans="1:25" s="8" customFormat="1" x14ac:dyDescent="0.15">
      <c r="A16" s="8" t="s">
        <v>13</v>
      </c>
      <c r="B16" s="26">
        <f>B14+B15</f>
        <v>-945.93299999999999</v>
      </c>
      <c r="C16" s="26">
        <f>C14+C15</f>
        <v>-981.18399999999997</v>
      </c>
      <c r="D16" s="26">
        <f>D14+D15</f>
        <v>-985.149</v>
      </c>
      <c r="E16" s="26">
        <f>E14+E15</f>
        <v>-1009.4639999999999</v>
      </c>
      <c r="F16" s="27">
        <f>F14+F15</f>
        <v>-1091.028</v>
      </c>
      <c r="G16" s="26">
        <f t="shared" ref="G16:I16" si="17">G14+G15</f>
        <v>-1068.8790000000001</v>
      </c>
      <c r="H16" s="26">
        <f t="shared" si="17"/>
        <v>-1107.6659999999999</v>
      </c>
      <c r="I16" s="26">
        <f t="shared" si="17"/>
        <v>-1151.7189999999998</v>
      </c>
      <c r="J16" s="27">
        <f t="shared" ref="J16:K16" si="18">J14+J15</f>
        <v>-1221.0139999999999</v>
      </c>
      <c r="K16" s="26">
        <f t="shared" si="18"/>
        <v>-1279.5720000000001</v>
      </c>
      <c r="L16" s="26">
        <f t="shared" ref="L16:N16" si="19">L14+L15</f>
        <v>-1299.6949999999999</v>
      </c>
      <c r="M16" s="26">
        <f>M14+M15</f>
        <v>-1363.5830000000001</v>
      </c>
      <c r="N16" s="27">
        <f t="shared" si="19"/>
        <v>-1376.4449999999999</v>
      </c>
      <c r="O16" s="26">
        <f t="shared" ref="O16" si="20">O14+O15</f>
        <v>-1504.5610000000001</v>
      </c>
      <c r="P16" s="26">
        <f t="shared" ref="P16:T16" si="21">P14+P15</f>
        <v>-1589.7179999999998</v>
      </c>
      <c r="Q16" s="26">
        <f t="shared" si="21"/>
        <v>-1765.4079999999999</v>
      </c>
      <c r="R16" s="27">
        <f t="shared" si="21"/>
        <v>-1898.6120000000001</v>
      </c>
      <c r="S16" s="26">
        <f t="shared" si="21"/>
        <v>-2033.508</v>
      </c>
      <c r="T16" s="26">
        <f t="shared" si="21"/>
        <v>-1999.6380000000001</v>
      </c>
      <c r="U16" s="26">
        <f t="shared" ref="U16" si="22">U14+U15</f>
        <v>-2034.797</v>
      </c>
      <c r="V16" s="27">
        <f t="shared" ref="V16:X16" si="23">V14+V15</f>
        <v>-354.16999999999996</v>
      </c>
      <c r="W16" s="26">
        <f t="shared" si="23"/>
        <v>-639.226</v>
      </c>
      <c r="X16" s="26">
        <f t="shared" si="23"/>
        <v>307.3309999999999</v>
      </c>
      <c r="Y16" s="52"/>
    </row>
    <row r="17" spans="1:25" s="8" customFormat="1" x14ac:dyDescent="0.15">
      <c r="A17" s="8" t="s">
        <v>14</v>
      </c>
      <c r="B17" s="23">
        <v>78.36</v>
      </c>
      <c r="C17" s="23">
        <v>33.481000000000002</v>
      </c>
      <c r="D17" s="23">
        <v>58.154000000000003</v>
      </c>
      <c r="E17" s="23">
        <v>74.234999999999999</v>
      </c>
      <c r="F17" s="22">
        <v>38</v>
      </c>
      <c r="G17" s="23">
        <v>85.756</v>
      </c>
      <c r="H17" s="23">
        <v>85.513000000000005</v>
      </c>
      <c r="I17" s="23">
        <v>57.087000000000003</v>
      </c>
      <c r="J17" s="22">
        <v>62.186</v>
      </c>
      <c r="K17" s="23">
        <v>118.22799999999999</v>
      </c>
      <c r="L17" s="23">
        <v>121.81</v>
      </c>
      <c r="M17" s="23">
        <v>141.46299999999999</v>
      </c>
      <c r="N17" s="22">
        <v>119.426</v>
      </c>
      <c r="O17" s="23">
        <v>27.632000000000001</v>
      </c>
      <c r="P17" s="23">
        <v>35.067</v>
      </c>
      <c r="Q17" s="23">
        <v>20.977</v>
      </c>
      <c r="R17" s="22">
        <v>28.093</v>
      </c>
      <c r="S17" s="23">
        <v>78.179000000000002</v>
      </c>
      <c r="T17" s="23">
        <v>41.725000000000001</v>
      </c>
      <c r="U17" s="23">
        <v>105.286</v>
      </c>
      <c r="V17" s="22">
        <v>-16</v>
      </c>
      <c r="W17" s="23">
        <v>-64</v>
      </c>
      <c r="X17" s="23">
        <v>88</v>
      </c>
      <c r="Y17" s="23"/>
    </row>
    <row r="18" spans="1:25" s="47" customFormat="1" x14ac:dyDescent="0.15">
      <c r="A18" s="47" t="s">
        <v>68</v>
      </c>
      <c r="B18" s="39"/>
      <c r="C18" s="39"/>
      <c r="D18" s="39"/>
      <c r="E18" s="39"/>
      <c r="F18" s="40"/>
      <c r="G18" s="39"/>
      <c r="H18" s="39"/>
      <c r="I18" s="39"/>
      <c r="J18" s="40"/>
      <c r="K18" s="39"/>
      <c r="L18" s="39"/>
      <c r="M18" s="39"/>
      <c r="N18" s="40"/>
      <c r="O18" s="39"/>
      <c r="P18" s="39"/>
      <c r="Q18" s="39"/>
      <c r="R18" s="40"/>
      <c r="S18" s="39"/>
      <c r="T18" s="39"/>
      <c r="U18" s="39"/>
      <c r="V18" s="40"/>
      <c r="W18" s="39"/>
      <c r="X18" s="39"/>
      <c r="Y18" s="39"/>
    </row>
    <row r="19" spans="1:25" s="17" customFormat="1" x14ac:dyDescent="0.15">
      <c r="A19" s="17" t="s">
        <v>15</v>
      </c>
      <c r="B19" s="24">
        <f>B16-B17</f>
        <v>-1024.2929999999999</v>
      </c>
      <c r="C19" s="24">
        <f>C16-C17</f>
        <v>-1014.665</v>
      </c>
      <c r="D19" s="24">
        <f>D16-D17</f>
        <v>-1043.3030000000001</v>
      </c>
      <c r="E19" s="24">
        <f>E16-E17</f>
        <v>-1083.6989999999998</v>
      </c>
      <c r="F19" s="25">
        <f>F16-F17</f>
        <v>-1129.028</v>
      </c>
      <c r="G19" s="24">
        <f t="shared" ref="G19:H19" si="24">G16-G17</f>
        <v>-1154.6350000000002</v>
      </c>
      <c r="H19" s="24">
        <f t="shared" si="24"/>
        <v>-1193.1789999999999</v>
      </c>
      <c r="I19" s="24">
        <f t="shared" ref="I19:O19" si="25">I16-I17</f>
        <v>-1208.8059999999998</v>
      </c>
      <c r="J19" s="25">
        <f t="shared" si="25"/>
        <v>-1283.1999999999998</v>
      </c>
      <c r="K19" s="24">
        <f t="shared" si="25"/>
        <v>-1397.8000000000002</v>
      </c>
      <c r="L19" s="24">
        <f t="shared" si="25"/>
        <v>-1421.5049999999999</v>
      </c>
      <c r="M19" s="24">
        <f t="shared" si="25"/>
        <v>-1505.046</v>
      </c>
      <c r="N19" s="25">
        <f t="shared" si="25"/>
        <v>-1495.8709999999999</v>
      </c>
      <c r="O19" s="24">
        <f t="shared" si="25"/>
        <v>-1532.1930000000002</v>
      </c>
      <c r="P19" s="24">
        <f t="shared" ref="P19:S19" si="26">P16-P17</f>
        <v>-1624.7849999999999</v>
      </c>
      <c r="Q19" s="24">
        <f t="shared" si="26"/>
        <v>-1786.385</v>
      </c>
      <c r="R19" s="25">
        <f t="shared" si="26"/>
        <v>-1926.7050000000002</v>
      </c>
      <c r="S19" s="24">
        <f t="shared" si="26"/>
        <v>-2111.6869999999999</v>
      </c>
      <c r="T19" s="24">
        <f t="shared" ref="T19:U19" si="27">T16-T17</f>
        <v>-2041.3630000000001</v>
      </c>
      <c r="U19" s="24">
        <f t="shared" si="27"/>
        <v>-2140.0830000000001</v>
      </c>
      <c r="V19" s="25">
        <f t="shared" ref="V19:X19" si="28">V16-V17</f>
        <v>-338.16999999999996</v>
      </c>
      <c r="W19" s="24">
        <f t="shared" si="28"/>
        <v>-575.226</v>
      </c>
      <c r="X19" s="24">
        <f t="shared" si="28"/>
        <v>219.3309999999999</v>
      </c>
      <c r="Y19" s="51"/>
    </row>
    <row r="20" spans="1:25" s="4" customFormat="1" x14ac:dyDescent="0.15">
      <c r="A20" s="4" t="s">
        <v>16</v>
      </c>
      <c r="B20" s="62">
        <f t="shared" ref="B20:H20" si="29">IFERROR(B19/B21,0)</f>
        <v>-2.0182079341748005</v>
      </c>
      <c r="C20" s="62">
        <f t="shared" si="29"/>
        <v>-2.0069246927303581</v>
      </c>
      <c r="D20" s="62">
        <f t="shared" si="29"/>
        <v>-2.062642222657169</v>
      </c>
      <c r="E20" s="62">
        <f>IFERROR(E19/E21,0)</f>
        <v>-2.141646838414899</v>
      </c>
      <c r="F20" s="63">
        <f t="shared" si="29"/>
        <v>-2.2327102729811186</v>
      </c>
      <c r="G20" s="62">
        <f t="shared" si="29"/>
        <v>-2.2876516915151819</v>
      </c>
      <c r="H20" s="62">
        <f t="shared" si="29"/>
        <v>-2.3689744653730922</v>
      </c>
      <c r="I20" s="62">
        <f t="shared" ref="I20:L20" si="30">IFERROR(I19/I21,0)</f>
        <v>-2.4119391191916608</v>
      </c>
      <c r="J20" s="63">
        <f t="shared" si="30"/>
        <v>-2.5619882562227843</v>
      </c>
      <c r="K20" s="62">
        <f t="shared" si="30"/>
        <v>-2.7936388655164079</v>
      </c>
      <c r="L20" s="62">
        <f t="shared" si="30"/>
        <v>-2.8407487639838687</v>
      </c>
      <c r="M20" s="62">
        <f t="shared" ref="M20" si="31">IFERROR(M19/M21,0)</f>
        <v>-3.0097308323001242</v>
      </c>
      <c r="N20" s="63">
        <f t="shared" ref="N20:S20" si="32">IFERROR(N19/N21,0)</f>
        <v>-2.9951384870443079</v>
      </c>
      <c r="O20" s="62">
        <f t="shared" si="32"/>
        <v>-3.0751366778256788</v>
      </c>
      <c r="P20" s="62">
        <f t="shared" si="32"/>
        <v>-3.2700667785680646</v>
      </c>
      <c r="Q20" s="62">
        <f t="shared" si="32"/>
        <v>-3.6074884690259053</v>
      </c>
      <c r="R20" s="63">
        <f t="shared" si="32"/>
        <v>-3.8987288238484146</v>
      </c>
      <c r="S20" s="62">
        <f t="shared" si="32"/>
        <v>-4.2901981260107434</v>
      </c>
      <c r="T20" s="62">
        <f t="shared" ref="T20:U20" si="33">IFERROR(T19/T21,0)</f>
        <v>-4.157206511866602</v>
      </c>
      <c r="U20" s="62">
        <f t="shared" si="33"/>
        <v>-4.3777817780878019</v>
      </c>
      <c r="V20" s="63">
        <f t="shared" ref="V20:X20" si="34">IFERROR(V19/V21,0)</f>
        <v>0</v>
      </c>
      <c r="W20" s="62">
        <f t="shared" si="34"/>
        <v>0</v>
      </c>
      <c r="X20" s="62">
        <f t="shared" si="34"/>
        <v>0</v>
      </c>
      <c r="Y20" s="64"/>
    </row>
    <row r="21" spans="1:25" s="8" customFormat="1" x14ac:dyDescent="0.15">
      <c r="A21" s="8" t="s">
        <v>17</v>
      </c>
      <c r="B21" s="23">
        <v>507.52600000000001</v>
      </c>
      <c r="C21" s="23">
        <v>505.58199999999999</v>
      </c>
      <c r="D21" s="23">
        <v>505.80900000000003</v>
      </c>
      <c r="E21" s="23">
        <v>506.012</v>
      </c>
      <c r="F21" s="22">
        <v>505.67599999999999</v>
      </c>
      <c r="G21" s="23">
        <v>504.72500000000002</v>
      </c>
      <c r="H21" s="23">
        <v>503.66899999999998</v>
      </c>
      <c r="I21" s="23">
        <v>501.17599999999999</v>
      </c>
      <c r="J21" s="22">
        <v>500.86099999999999</v>
      </c>
      <c r="K21" s="23">
        <v>500.351</v>
      </c>
      <c r="L21" s="23">
        <v>500.39800000000002</v>
      </c>
      <c r="M21" s="23">
        <v>500.06</v>
      </c>
      <c r="N21" s="22">
        <v>499.43299999999999</v>
      </c>
      <c r="O21" s="23">
        <v>498.25200000000001</v>
      </c>
      <c r="P21" s="23">
        <v>496.86599999999999</v>
      </c>
      <c r="Q21" s="23">
        <v>495.18799999999999</v>
      </c>
      <c r="R21" s="22">
        <v>494.18799999999999</v>
      </c>
      <c r="S21" s="23">
        <v>492.21199999999999</v>
      </c>
      <c r="T21" s="52">
        <v>491.04199999999997</v>
      </c>
      <c r="U21" s="52">
        <v>488.851</v>
      </c>
      <c r="V21" s="22"/>
      <c r="W21" s="52"/>
      <c r="X21" s="52"/>
      <c r="Y21" s="52"/>
    </row>
    <row r="22" spans="1:25" s="41" customFormat="1" x14ac:dyDescent="0.15">
      <c r="B22" s="39"/>
      <c r="C22" s="39"/>
      <c r="D22" s="39"/>
      <c r="E22" s="39"/>
      <c r="F22" s="40"/>
      <c r="G22" s="39"/>
      <c r="H22" s="39"/>
      <c r="I22" s="39"/>
      <c r="J22" s="40"/>
      <c r="K22" s="39"/>
      <c r="L22" s="39"/>
      <c r="M22" s="39"/>
      <c r="N22" s="58"/>
      <c r="Q22" s="39"/>
      <c r="R22" s="58"/>
      <c r="V22" s="58"/>
    </row>
    <row r="23" spans="1:25" x14ac:dyDescent="0.15">
      <c r="A23" s="6" t="s">
        <v>19</v>
      </c>
      <c r="B23" s="33">
        <f t="shared" ref="B23:Q23" si="35">IFERROR(B9/B7,0)</f>
        <v>0</v>
      </c>
      <c r="C23" s="33">
        <f t="shared" si="35"/>
        <v>0</v>
      </c>
      <c r="D23" s="33">
        <f t="shared" si="35"/>
        <v>0</v>
      </c>
      <c r="E23" s="33">
        <f t="shared" si="35"/>
        <v>0</v>
      </c>
      <c r="F23" s="34">
        <f t="shared" si="35"/>
        <v>0</v>
      </c>
      <c r="G23" s="33">
        <f t="shared" si="35"/>
        <v>0</v>
      </c>
      <c r="H23" s="33">
        <f t="shared" si="35"/>
        <v>0</v>
      </c>
      <c r="I23" s="33">
        <f t="shared" si="35"/>
        <v>0</v>
      </c>
      <c r="J23" s="34">
        <f t="shared" si="35"/>
        <v>0</v>
      </c>
      <c r="K23" s="33">
        <f t="shared" si="35"/>
        <v>0</v>
      </c>
      <c r="L23" s="33">
        <f t="shared" si="35"/>
        <v>0</v>
      </c>
      <c r="M23" s="33">
        <f t="shared" si="35"/>
        <v>0</v>
      </c>
      <c r="N23" s="34">
        <f t="shared" si="35"/>
        <v>0</v>
      </c>
      <c r="O23" s="33">
        <f t="shared" si="35"/>
        <v>0</v>
      </c>
      <c r="P23" s="33">
        <f t="shared" si="35"/>
        <v>0</v>
      </c>
      <c r="Q23" s="33">
        <f t="shared" si="35"/>
        <v>0</v>
      </c>
      <c r="R23" s="34">
        <f t="shared" ref="R23:S23" si="36">IFERROR(R9/R7,0)</f>
        <v>0</v>
      </c>
      <c r="S23" s="33">
        <f t="shared" si="36"/>
        <v>0</v>
      </c>
      <c r="T23" s="33">
        <f t="shared" ref="T23:V23" si="37">IFERROR(T9/T7,0)</f>
        <v>0</v>
      </c>
      <c r="U23" s="33">
        <f t="shared" ref="U23" si="38">IFERROR(U9/U7,0)</f>
        <v>0</v>
      </c>
      <c r="V23" s="34">
        <f t="shared" si="37"/>
        <v>0.40605585450744214</v>
      </c>
      <c r="W23" s="33">
        <f t="shared" ref="W23:X23" si="39">IFERROR(W9/W7,0)</f>
        <v>4.114417487618513E-2</v>
      </c>
      <c r="X23" s="33">
        <f t="shared" si="39"/>
        <v>0.70722571407499335</v>
      </c>
      <c r="Y23" s="33"/>
    </row>
    <row r="24" spans="1:25" x14ac:dyDescent="0.15">
      <c r="A24" s="6" t="s">
        <v>20</v>
      </c>
      <c r="B24" s="35">
        <f t="shared" ref="B24:Q24" si="40">IFERROR(B14/B7,0)</f>
        <v>0</v>
      </c>
      <c r="C24" s="35">
        <f t="shared" si="40"/>
        <v>0</v>
      </c>
      <c r="D24" s="35">
        <f t="shared" si="40"/>
        <v>0</v>
      </c>
      <c r="E24" s="35">
        <f t="shared" si="40"/>
        <v>0</v>
      </c>
      <c r="F24" s="36">
        <f t="shared" si="40"/>
        <v>0</v>
      </c>
      <c r="G24" s="35">
        <f t="shared" si="40"/>
        <v>0</v>
      </c>
      <c r="H24" s="35">
        <f t="shared" si="40"/>
        <v>0</v>
      </c>
      <c r="I24" s="35">
        <f t="shared" si="40"/>
        <v>0</v>
      </c>
      <c r="J24" s="36">
        <f t="shared" si="40"/>
        <v>0</v>
      </c>
      <c r="K24" s="35">
        <f t="shared" si="40"/>
        <v>0</v>
      </c>
      <c r="L24" s="35">
        <f t="shared" si="40"/>
        <v>0</v>
      </c>
      <c r="M24" s="35">
        <f t="shared" si="40"/>
        <v>0</v>
      </c>
      <c r="N24" s="36">
        <f t="shared" si="40"/>
        <v>0</v>
      </c>
      <c r="O24" s="35">
        <f t="shared" si="40"/>
        <v>0</v>
      </c>
      <c r="P24" s="35">
        <f t="shared" si="40"/>
        <v>0</v>
      </c>
      <c r="Q24" s="35">
        <f t="shared" si="40"/>
        <v>0</v>
      </c>
      <c r="R24" s="36">
        <f t="shared" ref="R24:S24" si="41">IFERROR(R14/R7,0)</f>
        <v>0</v>
      </c>
      <c r="S24" s="35">
        <f t="shared" si="41"/>
        <v>0</v>
      </c>
      <c r="T24" s="35">
        <f t="shared" ref="T24:V24" si="42">IFERROR(T14/T7,0)</f>
        <v>0</v>
      </c>
      <c r="U24" s="35">
        <f t="shared" ref="U24" si="43">IFERROR(U14/U7,0)</f>
        <v>0</v>
      </c>
      <c r="V24" s="36">
        <f t="shared" si="42"/>
        <v>-0.38745352387061516</v>
      </c>
      <c r="W24" s="35">
        <f t="shared" ref="W24:X24" si="44">IFERROR(W14/W7,0)</f>
        <v>-1.742148434466237</v>
      </c>
      <c r="X24" s="35">
        <f t="shared" si="44"/>
        <v>0.31239016308198198</v>
      </c>
      <c r="Y24" s="35"/>
    </row>
    <row r="25" spans="1:25" x14ac:dyDescent="0.15">
      <c r="A25" s="6" t="s">
        <v>21</v>
      </c>
      <c r="B25" s="35">
        <f t="shared" ref="B25:Q25" si="45">IFERROR(B17/B16,0)</f>
        <v>-8.2838847994519696E-2</v>
      </c>
      <c r="C25" s="35">
        <f t="shared" si="45"/>
        <v>-3.4123059487313291E-2</v>
      </c>
      <c r="D25" s="35">
        <f t="shared" si="45"/>
        <v>-5.9030664396959247E-2</v>
      </c>
      <c r="E25" s="35">
        <f t="shared" si="45"/>
        <v>-7.3539026651767675E-2</v>
      </c>
      <c r="F25" s="36">
        <f t="shared" si="45"/>
        <v>-3.482953691380973E-2</v>
      </c>
      <c r="G25" s="35">
        <f t="shared" si="45"/>
        <v>-8.0229848280301122E-2</v>
      </c>
      <c r="H25" s="35">
        <f t="shared" si="45"/>
        <v>-7.7201069636514991E-2</v>
      </c>
      <c r="I25" s="35">
        <f t="shared" si="45"/>
        <v>-4.9566778007482735E-2</v>
      </c>
      <c r="J25" s="36">
        <f t="shared" si="45"/>
        <v>-5.0929800968703066E-2</v>
      </c>
      <c r="K25" s="35">
        <f t="shared" si="45"/>
        <v>-9.239652008640388E-2</v>
      </c>
      <c r="L25" s="35">
        <f t="shared" si="45"/>
        <v>-9.3721988620407107E-2</v>
      </c>
      <c r="M25" s="35">
        <f t="shared" si="45"/>
        <v>-0.10374359316594588</v>
      </c>
      <c r="N25" s="36">
        <f t="shared" si="45"/>
        <v>-8.6764091554693432E-2</v>
      </c>
      <c r="O25" s="35">
        <f t="shared" si="45"/>
        <v>-1.836549000007311E-2</v>
      </c>
      <c r="P25" s="35">
        <f t="shared" si="45"/>
        <v>-2.205862926632271E-2</v>
      </c>
      <c r="Q25" s="35">
        <f t="shared" si="45"/>
        <v>-1.1882239119795537E-2</v>
      </c>
      <c r="R25" s="36">
        <f t="shared" ref="R25:S25" si="46">IFERROR(R17/R16,0)</f>
        <v>-1.4796598778476064E-2</v>
      </c>
      <c r="S25" s="35">
        <f t="shared" si="46"/>
        <v>-3.8445386002907291E-2</v>
      </c>
      <c r="T25" s="35">
        <f t="shared" ref="T25:V25" si="47">IFERROR(T17/T16,0)</f>
        <v>-2.0866276796100092E-2</v>
      </c>
      <c r="U25" s="35">
        <f t="shared" ref="U25" si="48">IFERROR(U17/U16,0)</f>
        <v>-5.1742753699754819E-2</v>
      </c>
      <c r="V25" s="36">
        <f t="shared" si="47"/>
        <v>4.5176045401925637E-2</v>
      </c>
      <c r="W25" s="35">
        <f t="shared" ref="W25:X25" si="49">IFERROR(W17/W16,0)</f>
        <v>0.10012108393588497</v>
      </c>
      <c r="X25" s="35">
        <f t="shared" si="49"/>
        <v>0.28633623031845151</v>
      </c>
      <c r="Y25" s="35"/>
    </row>
    <row r="26" spans="1:25" s="41" customFormat="1" x14ac:dyDescent="0.15">
      <c r="B26" s="39"/>
      <c r="C26" s="39"/>
      <c r="D26" s="39"/>
      <c r="E26" s="39"/>
      <c r="F26" s="40"/>
      <c r="G26" s="39"/>
      <c r="H26" s="39"/>
      <c r="I26" s="39"/>
      <c r="J26" s="40"/>
      <c r="K26" s="39"/>
      <c r="L26" s="39"/>
      <c r="M26" s="39"/>
      <c r="N26" s="58"/>
      <c r="Q26" s="39"/>
      <c r="R26" s="58"/>
      <c r="V26" s="58"/>
    </row>
    <row r="27" spans="1:25" s="12" customFormat="1" x14ac:dyDescent="0.15">
      <c r="A27" s="12" t="s">
        <v>18</v>
      </c>
      <c r="B27" s="29"/>
      <c r="C27" s="29"/>
      <c r="D27" s="29"/>
      <c r="E27" s="29"/>
      <c r="F27" s="30">
        <f t="shared" ref="F27:X27" si="50">IFERROR((F7/B7)-1,0)</f>
        <v>0</v>
      </c>
      <c r="G27" s="29">
        <f t="shared" si="50"/>
        <v>0</v>
      </c>
      <c r="H27" s="29">
        <f t="shared" si="50"/>
        <v>0</v>
      </c>
      <c r="I27" s="29">
        <f t="shared" si="50"/>
        <v>0</v>
      </c>
      <c r="J27" s="30">
        <f t="shared" si="50"/>
        <v>0</v>
      </c>
      <c r="K27" s="29">
        <f t="shared" si="50"/>
        <v>0</v>
      </c>
      <c r="L27" s="29">
        <f t="shared" si="50"/>
        <v>0</v>
      </c>
      <c r="M27" s="29">
        <f t="shared" si="50"/>
        <v>0</v>
      </c>
      <c r="N27" s="30">
        <f t="shared" si="50"/>
        <v>0</v>
      </c>
      <c r="O27" s="29">
        <f t="shared" si="50"/>
        <v>0</v>
      </c>
      <c r="P27" s="29">
        <f t="shared" si="50"/>
        <v>0</v>
      </c>
      <c r="Q27" s="29">
        <f t="shared" si="50"/>
        <v>0</v>
      </c>
      <c r="R27" s="30">
        <f t="shared" si="50"/>
        <v>0</v>
      </c>
      <c r="S27" s="29">
        <f t="shared" si="50"/>
        <v>0</v>
      </c>
      <c r="T27" s="29">
        <f t="shared" si="50"/>
        <v>0</v>
      </c>
      <c r="U27" s="29">
        <f t="shared" si="50"/>
        <v>0</v>
      </c>
      <c r="V27" s="30">
        <f t="shared" ref="V27" si="51">IFERROR((V7/R7)-1,0)</f>
        <v>0</v>
      </c>
      <c r="W27" s="29">
        <f t="shared" si="50"/>
        <v>0</v>
      </c>
      <c r="X27" s="29">
        <f t="shared" si="50"/>
        <v>0</v>
      </c>
      <c r="Y27" s="29"/>
    </row>
    <row r="28" spans="1:25" s="12" customFormat="1" x14ac:dyDescent="0.15">
      <c r="A28" s="6" t="s">
        <v>42</v>
      </c>
      <c r="B28" s="31"/>
      <c r="C28" s="31"/>
      <c r="D28" s="31"/>
      <c r="E28" s="31"/>
      <c r="F28" s="32">
        <f t="shared" ref="F28:X31" si="52">F10/B10-1</f>
        <v>0.10066864956915955</v>
      </c>
      <c r="G28" s="31">
        <f t="shared" si="52"/>
        <v>0.11745903569866423</v>
      </c>
      <c r="H28" s="31">
        <f t="shared" si="52"/>
        <v>0.13623890972285735</v>
      </c>
      <c r="I28" s="31">
        <f t="shared" si="52"/>
        <v>0.16930897811476808</v>
      </c>
      <c r="J28" s="32">
        <f t="shared" si="52"/>
        <v>0.20182206033625061</v>
      </c>
      <c r="K28" s="31">
        <f t="shared" si="52"/>
        <v>0.28783486175392725</v>
      </c>
      <c r="L28" s="31">
        <f t="shared" si="52"/>
        <v>0.27009458643590278</v>
      </c>
      <c r="M28" s="31">
        <f t="shared" si="52"/>
        <v>0.25665021000663191</v>
      </c>
      <c r="N28" s="32">
        <f t="shared" si="52"/>
        <v>0.22342033906628744</v>
      </c>
      <c r="O28" s="31">
        <f t="shared" si="52"/>
        <v>0.24958834472830738</v>
      </c>
      <c r="P28" s="31">
        <f t="shared" si="52"/>
        <v>0.26430257799749635</v>
      </c>
      <c r="Q28" s="31">
        <f t="shared" si="52"/>
        <v>0.28371797324906023</v>
      </c>
      <c r="R28" s="32">
        <f t="shared" si="52"/>
        <v>0.33221989339648883</v>
      </c>
      <c r="S28" s="31">
        <f t="shared" si="52"/>
        <v>0.27217957490484546</v>
      </c>
      <c r="T28" s="31">
        <f t="shared" si="52"/>
        <v>0.22776890742611355</v>
      </c>
      <c r="U28" s="31">
        <f t="shared" si="52"/>
        <v>0.20157804393712819</v>
      </c>
      <c r="V28" s="32">
        <f t="shared" ref="V28:V30" si="53">V10/R10-1</f>
        <v>-0.44257560202911095</v>
      </c>
      <c r="W28" s="31">
        <f t="shared" si="52"/>
        <v>-0.54197639287500166</v>
      </c>
      <c r="X28" s="31">
        <f t="shared" si="52"/>
        <v>-0.56311105757747115</v>
      </c>
      <c r="Y28" s="31"/>
    </row>
    <row r="29" spans="1:25" s="12" customFormat="1" x14ac:dyDescent="0.15">
      <c r="A29" s="6" t="s">
        <v>43</v>
      </c>
      <c r="B29" s="31"/>
      <c r="C29" s="31"/>
      <c r="D29" s="31"/>
      <c r="E29" s="31"/>
      <c r="F29" s="32">
        <f t="shared" si="52"/>
        <v>0.20917092944204962</v>
      </c>
      <c r="G29" s="31">
        <f t="shared" si="52"/>
        <v>8.3820064730982358E-2</v>
      </c>
      <c r="H29" s="31">
        <f t="shared" si="52"/>
        <v>0.13137423554193894</v>
      </c>
      <c r="I29" s="31">
        <f t="shared" si="52"/>
        <v>0.12134404899970996</v>
      </c>
      <c r="J29" s="32">
        <f t="shared" si="52"/>
        <v>9.5613519734002228E-2</v>
      </c>
      <c r="K29" s="31">
        <f t="shared" si="52"/>
        <v>0.19514076609426745</v>
      </c>
      <c r="L29" s="31">
        <f t="shared" si="52"/>
        <v>0.15208754385046319</v>
      </c>
      <c r="M29" s="31">
        <f t="shared" si="52"/>
        <v>0.15970766116814339</v>
      </c>
      <c r="N29" s="32">
        <f t="shared" si="52"/>
        <v>0.11658725689365879</v>
      </c>
      <c r="O29" s="31">
        <f t="shared" si="52"/>
        <v>0.16835533666728164</v>
      </c>
      <c r="P29" s="31">
        <f t="shared" si="52"/>
        <v>0.21812857098708771</v>
      </c>
      <c r="Q29" s="31">
        <f t="shared" si="52"/>
        <v>0.2603517829522175</v>
      </c>
      <c r="R29" s="32">
        <f t="shared" si="52"/>
        <v>0.34522520599631301</v>
      </c>
      <c r="S29" s="31">
        <f t="shared" si="52"/>
        <v>0.31369126374349099</v>
      </c>
      <c r="T29" s="31">
        <f t="shared" si="52"/>
        <v>0.21225697076784411</v>
      </c>
      <c r="U29" s="31">
        <f t="shared" si="52"/>
        <v>0.10781911431189384</v>
      </c>
      <c r="V29" s="32">
        <f t="shared" si="53"/>
        <v>-0.594379144178381</v>
      </c>
      <c r="W29" s="31">
        <f t="shared" si="52"/>
        <v>-0.86453487755719871</v>
      </c>
      <c r="X29" s="31">
        <f t="shared" si="52"/>
        <v>-0.86089123171581439</v>
      </c>
      <c r="Y29" s="31"/>
    </row>
    <row r="30" spans="1:25" s="12" customFormat="1" x14ac:dyDescent="0.15">
      <c r="A30" s="6" t="s">
        <v>44</v>
      </c>
      <c r="B30" s="31"/>
      <c r="C30" s="31"/>
      <c r="D30" s="31"/>
      <c r="E30" s="31"/>
      <c r="F30" s="32">
        <f t="shared" si="52"/>
        <v>2.3599076395958152E-2</v>
      </c>
      <c r="G30" s="31">
        <f t="shared" si="52"/>
        <v>5.9296265582546415E-2</v>
      </c>
      <c r="H30" s="31">
        <f t="shared" si="52"/>
        <v>0.18521056877485309</v>
      </c>
      <c r="I30" s="31">
        <f t="shared" si="52"/>
        <v>9.218138812629828E-2</v>
      </c>
      <c r="J30" s="32">
        <f t="shared" si="52"/>
        <v>3.0477230004244626E-2</v>
      </c>
      <c r="K30" s="31">
        <f t="shared" si="52"/>
        <v>0.12176198780534375</v>
      </c>
      <c r="L30" s="31">
        <f t="shared" si="52"/>
        <v>4.9031418658440629E-3</v>
      </c>
      <c r="M30" s="31">
        <f t="shared" si="52"/>
        <v>0.12934633935641782</v>
      </c>
      <c r="N30" s="32">
        <f t="shared" si="52"/>
        <v>0.10386263063741663</v>
      </c>
      <c r="O30" s="31">
        <f t="shared" si="52"/>
        <v>0.10746160261902205</v>
      </c>
      <c r="P30" s="31">
        <f t="shared" si="52"/>
        <v>0.24640052748306651</v>
      </c>
      <c r="Q30" s="31">
        <f t="shared" si="52"/>
        <v>0.30296462738973595</v>
      </c>
      <c r="R30" s="32">
        <f t="shared" si="52"/>
        <v>0.40029106649749968</v>
      </c>
      <c r="S30" s="31">
        <f t="shared" si="52"/>
        <v>0.34413312225586501</v>
      </c>
      <c r="T30" s="31">
        <f t="shared" si="52"/>
        <v>0.26100693960189858</v>
      </c>
      <c r="U30" s="31">
        <f t="shared" si="52"/>
        <v>9.5190531907520581E-2</v>
      </c>
      <c r="V30" s="32">
        <f t="shared" si="53"/>
        <v>-0.64975730465404014</v>
      </c>
      <c r="W30" s="31">
        <f t="shared" si="52"/>
        <v>6.2509528891598887E-3</v>
      </c>
      <c r="X30" s="31">
        <f t="shared" si="52"/>
        <v>-0.22581137256397543</v>
      </c>
      <c r="Y30" s="31"/>
    </row>
    <row r="31" spans="1:25" x14ac:dyDescent="0.15">
      <c r="A31" s="6" t="s">
        <v>69</v>
      </c>
      <c r="J31" s="34">
        <f t="shared" ref="J31:P31" si="54">J13/F13-1</f>
        <v>0.11209172125586497</v>
      </c>
      <c r="K31" s="33">
        <f t="shared" si="54"/>
        <v>0.20689683490323096</v>
      </c>
      <c r="L31" s="33">
        <f t="shared" si="54"/>
        <v>0.15756311235832832</v>
      </c>
      <c r="M31" s="33">
        <f t="shared" si="54"/>
        <v>0.18138656325747649</v>
      </c>
      <c r="N31" s="34">
        <f t="shared" si="54"/>
        <v>0.14559678461207204</v>
      </c>
      <c r="O31" s="33">
        <f t="shared" si="54"/>
        <v>0.18156438700245348</v>
      </c>
      <c r="P31" s="33">
        <f t="shared" si="54"/>
        <v>0.23680891989950403</v>
      </c>
      <c r="Q31" s="33">
        <f>Q13/M13-1</f>
        <v>0.27470514542293079</v>
      </c>
      <c r="R31" s="34">
        <f>R13/N13-1</f>
        <v>0.35041062836521952</v>
      </c>
      <c r="S31" s="33">
        <f t="shared" si="52"/>
        <v>0.30580272670731801</v>
      </c>
      <c r="T31" s="33">
        <f t="shared" si="52"/>
        <v>0.22504146508397183</v>
      </c>
      <c r="U31" s="33">
        <f t="shared" si="52"/>
        <v>0.13374465092163734</v>
      </c>
      <c r="V31" s="34">
        <f>V13/R13-1</f>
        <v>-0.55727285380062697</v>
      </c>
      <c r="W31" s="33">
        <f t="shared" si="52"/>
        <v>-0.62387659120047623</v>
      </c>
      <c r="X31" s="33">
        <f t="shared" si="52"/>
        <v>-0.66120135442749106</v>
      </c>
      <c r="Y31" s="33"/>
    </row>
    <row r="32" spans="1:25" x14ac:dyDescent="0.15">
      <c r="J32" s="45"/>
      <c r="K32" s="44"/>
      <c r="L32" s="44"/>
      <c r="M32" s="44"/>
      <c r="N32" s="45"/>
      <c r="O32" s="44"/>
      <c r="P32" s="44"/>
      <c r="Q32" s="44"/>
      <c r="S32" s="44"/>
    </row>
    <row r="33" spans="1:25" s="17" customFormat="1" x14ac:dyDescent="0.15">
      <c r="A33" s="17" t="s">
        <v>26</v>
      </c>
      <c r="B33" s="23"/>
      <c r="C33" s="23"/>
      <c r="D33" s="23"/>
      <c r="E33" s="24">
        <f>E34-E35</f>
        <v>2080.8530000000001</v>
      </c>
      <c r="F33" s="22"/>
      <c r="G33" s="23"/>
      <c r="H33" s="23"/>
      <c r="I33" s="24">
        <f t="shared" ref="I33" si="55">I34-I35</f>
        <v>2859.232</v>
      </c>
      <c r="J33" s="22"/>
      <c r="K33" s="23"/>
      <c r="L33" s="23"/>
      <c r="M33" s="24">
        <f t="shared" ref="M33:P33" si="56">M34-M35</f>
        <v>0</v>
      </c>
      <c r="N33" s="25">
        <f t="shared" si="56"/>
        <v>0</v>
      </c>
      <c r="O33" s="24">
        <f t="shared" si="56"/>
        <v>0</v>
      </c>
      <c r="P33" s="24">
        <f t="shared" si="56"/>
        <v>0</v>
      </c>
      <c r="Q33" s="24">
        <f t="shared" ref="Q33:S33" si="57">Q34-Q35</f>
        <v>0</v>
      </c>
      <c r="R33" s="25">
        <f t="shared" si="57"/>
        <v>0</v>
      </c>
      <c r="S33" s="24">
        <f t="shared" si="57"/>
        <v>0</v>
      </c>
      <c r="T33" s="24">
        <f t="shared" ref="T33" si="58">T34-T35</f>
        <v>0</v>
      </c>
      <c r="U33" s="24">
        <f t="shared" ref="U33" si="59">U34-U35</f>
        <v>0</v>
      </c>
      <c r="V33" s="25">
        <f t="shared" ref="V33:X33" si="60">V34-V35</f>
        <v>0</v>
      </c>
      <c r="W33" s="24">
        <f t="shared" si="60"/>
        <v>0</v>
      </c>
      <c r="X33" s="24">
        <f t="shared" si="60"/>
        <v>0</v>
      </c>
      <c r="Y33" s="46"/>
    </row>
    <row r="34" spans="1:25" s="8" customFormat="1" x14ac:dyDescent="0.15">
      <c r="A34" s="8" t="s">
        <v>27</v>
      </c>
      <c r="B34" s="23"/>
      <c r="C34" s="23"/>
      <c r="D34" s="23"/>
      <c r="E34" s="23">
        <f>876.56+3111.524</f>
        <v>3988.0839999999998</v>
      </c>
      <c r="F34" s="22"/>
      <c r="G34" s="23"/>
      <c r="H34" s="23"/>
      <c r="I34" s="23">
        <f>1011.315+3749.985</f>
        <v>4761.3</v>
      </c>
      <c r="J34" s="22"/>
      <c r="K34" s="23"/>
      <c r="L34" s="23"/>
      <c r="M34" s="23"/>
      <c r="N34" s="22"/>
      <c r="O34" s="23"/>
      <c r="P34" s="23"/>
      <c r="Q34" s="23"/>
      <c r="R34" s="22"/>
      <c r="S34" s="23"/>
      <c r="T34" s="23"/>
      <c r="U34" s="23"/>
      <c r="V34" s="22"/>
      <c r="W34" s="23"/>
      <c r="X34" s="23"/>
      <c r="Y34" s="23"/>
    </row>
    <row r="35" spans="1:25" s="8" customFormat="1" x14ac:dyDescent="0.15">
      <c r="A35" s="8" t="s">
        <v>28</v>
      </c>
      <c r="B35" s="23"/>
      <c r="C35" s="23"/>
      <c r="D35" s="23"/>
      <c r="E35" s="23">
        <v>1907.231</v>
      </c>
      <c r="F35" s="22"/>
      <c r="G35" s="23"/>
      <c r="H35" s="23"/>
      <c r="I35" s="23">
        <v>1902.068</v>
      </c>
      <c r="J35" s="22"/>
      <c r="K35" s="23"/>
      <c r="L35" s="23"/>
      <c r="M35" s="23"/>
      <c r="N35" s="22"/>
      <c r="O35" s="23"/>
      <c r="P35" s="23"/>
      <c r="Q35" s="23"/>
      <c r="R35" s="22"/>
      <c r="S35" s="23"/>
      <c r="T35" s="23"/>
      <c r="U35" s="23"/>
      <c r="V35" s="22"/>
      <c r="W35" s="23"/>
      <c r="X35" s="23"/>
      <c r="Y35" s="23"/>
    </row>
    <row r="36" spans="1:25" s="8" customFormat="1" x14ac:dyDescent="0.15">
      <c r="B36" s="23"/>
      <c r="C36" s="23"/>
      <c r="D36" s="23"/>
      <c r="E36" s="23"/>
      <c r="F36" s="22"/>
      <c r="G36" s="23"/>
      <c r="H36" s="23"/>
      <c r="I36" s="23"/>
      <c r="J36" s="22"/>
      <c r="K36" s="23"/>
      <c r="L36" s="23"/>
      <c r="M36" s="23"/>
      <c r="N36" s="22"/>
      <c r="O36" s="23"/>
      <c r="P36" s="23"/>
      <c r="Q36" s="23"/>
      <c r="R36" s="22"/>
      <c r="S36" s="23"/>
      <c r="T36" s="23"/>
      <c r="U36" s="23"/>
      <c r="V36" s="22"/>
      <c r="W36" s="23"/>
      <c r="X36" s="23"/>
      <c r="Y36" s="23"/>
    </row>
    <row r="37" spans="1:25" s="8" customFormat="1" x14ac:dyDescent="0.15">
      <c r="A37" s="65" t="s">
        <v>56</v>
      </c>
      <c r="B37" s="23"/>
      <c r="C37" s="23"/>
      <c r="D37" s="23"/>
      <c r="E37" s="37">
        <f>5366.881+510.007</f>
        <v>5876.8879999999999</v>
      </c>
      <c r="F37" s="22"/>
      <c r="G37" s="23"/>
      <c r="H37" s="23"/>
      <c r="I37" s="37">
        <f>5406.474+414.405</f>
        <v>5820.8789999999999</v>
      </c>
      <c r="J37" s="22"/>
      <c r="K37" s="23"/>
      <c r="L37" s="23"/>
      <c r="M37" s="37"/>
      <c r="N37" s="22"/>
      <c r="O37" s="23"/>
      <c r="P37" s="23"/>
      <c r="Q37" s="23"/>
      <c r="R37" s="22"/>
      <c r="S37" s="23"/>
      <c r="T37" s="23"/>
      <c r="U37" s="23"/>
      <c r="V37" s="22"/>
      <c r="W37" s="23"/>
      <c r="X37" s="23"/>
      <c r="Y37" s="23"/>
    </row>
    <row r="38" spans="1:25" s="8" customFormat="1" x14ac:dyDescent="0.15">
      <c r="A38" s="65" t="s">
        <v>57</v>
      </c>
      <c r="B38" s="23"/>
      <c r="C38" s="23"/>
      <c r="D38" s="23"/>
      <c r="E38" s="37">
        <v>11726.472</v>
      </c>
      <c r="F38" s="22"/>
      <c r="G38" s="23"/>
      <c r="H38" s="23"/>
      <c r="I38" s="37">
        <v>12707.114</v>
      </c>
      <c r="J38" s="22"/>
      <c r="K38" s="23"/>
      <c r="L38" s="23"/>
      <c r="M38" s="37"/>
      <c r="N38" s="22"/>
      <c r="O38" s="23"/>
      <c r="P38" s="23"/>
      <c r="Q38" s="23"/>
      <c r="R38" s="22"/>
      <c r="S38" s="23"/>
      <c r="T38" s="23"/>
      <c r="U38" s="23"/>
      <c r="V38" s="22"/>
      <c r="W38" s="23"/>
      <c r="X38" s="23"/>
      <c r="Y38" s="23"/>
    </row>
    <row r="39" spans="1:25" s="8" customFormat="1" x14ac:dyDescent="0.15">
      <c r="A39" s="65" t="s">
        <v>58</v>
      </c>
      <c r="B39" s="23"/>
      <c r="C39" s="23"/>
      <c r="D39" s="23"/>
      <c r="E39" s="37">
        <v>4724.8919999999998</v>
      </c>
      <c r="F39" s="22"/>
      <c r="G39" s="23"/>
      <c r="H39" s="23"/>
      <c r="I39" s="37">
        <v>5282.2790000000005</v>
      </c>
      <c r="J39" s="22"/>
      <c r="K39" s="23"/>
      <c r="L39" s="23"/>
      <c r="M39" s="37"/>
      <c r="N39" s="22"/>
      <c r="O39" s="23"/>
      <c r="P39" s="23"/>
      <c r="Q39" s="23"/>
      <c r="R39" s="22"/>
      <c r="S39" s="23"/>
      <c r="T39" s="23"/>
      <c r="U39" s="23"/>
      <c r="V39" s="22"/>
      <c r="W39" s="23"/>
      <c r="X39" s="23"/>
      <c r="Y39" s="23"/>
    </row>
    <row r="40" spans="1:25" s="8" customFormat="1" x14ac:dyDescent="0.15">
      <c r="B40" s="23"/>
      <c r="C40" s="23"/>
      <c r="D40" s="23"/>
      <c r="E40" s="37"/>
      <c r="F40" s="22"/>
      <c r="G40" s="23"/>
      <c r="H40" s="23"/>
      <c r="I40" s="37"/>
      <c r="J40" s="22"/>
      <c r="K40" s="23"/>
      <c r="L40" s="23"/>
      <c r="M40" s="37"/>
      <c r="N40" s="22"/>
      <c r="O40" s="23"/>
      <c r="P40" s="23"/>
      <c r="Q40" s="23"/>
      <c r="R40" s="22"/>
      <c r="S40" s="23"/>
      <c r="T40" s="23"/>
      <c r="U40" s="23"/>
      <c r="V40" s="22"/>
      <c r="W40" s="23"/>
      <c r="X40" s="23"/>
      <c r="Y40" s="23"/>
    </row>
    <row r="41" spans="1:25" s="8" customFormat="1" x14ac:dyDescent="0.15">
      <c r="A41" s="65" t="s">
        <v>59</v>
      </c>
      <c r="B41" s="23"/>
      <c r="C41" s="23"/>
      <c r="D41" s="23"/>
      <c r="E41" s="26">
        <f>E38-E34-E37</f>
        <v>1861.5</v>
      </c>
      <c r="F41" s="22"/>
      <c r="G41" s="23"/>
      <c r="H41" s="23"/>
      <c r="I41" s="26">
        <f t="shared" ref="I41:O41" si="61">I38-I34-I37</f>
        <v>2124.9349999999995</v>
      </c>
      <c r="J41" s="22"/>
      <c r="K41" s="23"/>
      <c r="L41" s="23"/>
      <c r="M41" s="26">
        <f t="shared" si="61"/>
        <v>0</v>
      </c>
      <c r="N41" s="27">
        <f t="shared" si="61"/>
        <v>0</v>
      </c>
      <c r="O41" s="26">
        <f t="shared" si="61"/>
        <v>0</v>
      </c>
      <c r="P41" s="26">
        <f t="shared" ref="P41:V41" si="62">P38-P34-P37</f>
        <v>0</v>
      </c>
      <c r="Q41" s="26">
        <f t="shared" si="62"/>
        <v>0</v>
      </c>
      <c r="R41" s="27">
        <f t="shared" si="62"/>
        <v>0</v>
      </c>
      <c r="S41" s="26">
        <f t="shared" si="62"/>
        <v>0</v>
      </c>
      <c r="T41" s="26">
        <f t="shared" si="62"/>
        <v>0</v>
      </c>
      <c r="U41" s="26">
        <f t="shared" si="62"/>
        <v>0</v>
      </c>
      <c r="V41" s="27">
        <f t="shared" si="62"/>
        <v>0</v>
      </c>
      <c r="W41" s="26">
        <f t="shared" ref="W41:X41" si="63">W38-W34-W37</f>
        <v>0</v>
      </c>
      <c r="X41" s="26">
        <f t="shared" si="63"/>
        <v>0</v>
      </c>
      <c r="Y41" s="23"/>
    </row>
    <row r="42" spans="1:25" s="8" customFormat="1" x14ac:dyDescent="0.15">
      <c r="A42" s="65" t="s">
        <v>60</v>
      </c>
      <c r="B42" s="23"/>
      <c r="C42" s="23"/>
      <c r="D42" s="23"/>
      <c r="E42" s="26">
        <f>E38-E39</f>
        <v>7001.58</v>
      </c>
      <c r="F42" s="22"/>
      <c r="G42" s="23"/>
      <c r="H42" s="23"/>
      <c r="I42" s="26">
        <f>I38-I39</f>
        <v>7424.8349999999991</v>
      </c>
      <c r="J42" s="22"/>
      <c r="K42" s="23"/>
      <c r="L42" s="23"/>
      <c r="M42" s="26">
        <f t="shared" ref="M42:P42" si="64">M38-M39</f>
        <v>0</v>
      </c>
      <c r="N42" s="27">
        <f t="shared" si="64"/>
        <v>0</v>
      </c>
      <c r="O42" s="26">
        <f t="shared" si="64"/>
        <v>0</v>
      </c>
      <c r="P42" s="26">
        <f t="shared" si="64"/>
        <v>0</v>
      </c>
      <c r="Q42" s="26">
        <f t="shared" ref="Q42:S42" si="65">Q38-Q39</f>
        <v>0</v>
      </c>
      <c r="R42" s="27">
        <f t="shared" si="65"/>
        <v>0</v>
      </c>
      <c r="S42" s="26">
        <f t="shared" si="65"/>
        <v>0</v>
      </c>
      <c r="T42" s="26">
        <f>T38-T39</f>
        <v>0</v>
      </c>
      <c r="U42" s="26">
        <f>U38-U39</f>
        <v>0</v>
      </c>
      <c r="V42" s="27">
        <f t="shared" ref="V42" si="66">V38-V39</f>
        <v>0</v>
      </c>
      <c r="W42" s="26">
        <f>W38-W39</f>
        <v>0</v>
      </c>
      <c r="X42" s="26">
        <f>X38-X39</f>
        <v>0</v>
      </c>
      <c r="Y42" s="23"/>
    </row>
    <row r="43" spans="1:25" s="8" customFormat="1" x14ac:dyDescent="0.15">
      <c r="B43" s="23"/>
      <c r="C43" s="23"/>
      <c r="D43" s="23"/>
      <c r="E43" s="37"/>
      <c r="F43" s="22"/>
      <c r="G43" s="23"/>
      <c r="H43" s="23"/>
      <c r="I43" s="37"/>
      <c r="J43" s="22"/>
      <c r="K43" s="23"/>
      <c r="L43" s="23"/>
      <c r="M43" s="37"/>
      <c r="N43" s="22"/>
      <c r="O43" s="23"/>
      <c r="P43" s="23"/>
      <c r="Q43" s="23"/>
      <c r="R43" s="22"/>
      <c r="S43" s="23"/>
      <c r="T43" s="23"/>
      <c r="U43" s="23"/>
      <c r="V43" s="22"/>
      <c r="W43" s="23"/>
      <c r="X43" s="23"/>
      <c r="Y43" s="23"/>
    </row>
    <row r="44" spans="1:25" s="17" customFormat="1" x14ac:dyDescent="0.15">
      <c r="A44" s="66" t="s">
        <v>61</v>
      </c>
      <c r="B44" s="46"/>
      <c r="C44" s="46"/>
      <c r="D44" s="46"/>
      <c r="E44" s="24">
        <f>SUM(B19:E19)</f>
        <v>-4165.96</v>
      </c>
      <c r="F44" s="22"/>
      <c r="G44" s="23"/>
      <c r="H44" s="23"/>
      <c r="I44" s="24">
        <f>SUM(F19:I19)</f>
        <v>-4685.6480000000001</v>
      </c>
      <c r="J44" s="22"/>
      <c r="K44" s="23"/>
      <c r="L44" s="23"/>
      <c r="M44" s="24">
        <f t="shared" ref="M44:U44" si="67">SUM(J19:M19)</f>
        <v>-5607.5510000000004</v>
      </c>
      <c r="N44" s="25">
        <f t="shared" si="67"/>
        <v>-5820.2220000000007</v>
      </c>
      <c r="O44" s="24">
        <f t="shared" si="67"/>
        <v>-5954.6149999999998</v>
      </c>
      <c r="P44" s="24">
        <f t="shared" si="67"/>
        <v>-6157.8950000000004</v>
      </c>
      <c r="Q44" s="24">
        <f t="shared" si="67"/>
        <v>-6439.2340000000004</v>
      </c>
      <c r="R44" s="25">
        <f t="shared" si="67"/>
        <v>-6870.0680000000002</v>
      </c>
      <c r="S44" s="24">
        <f t="shared" si="67"/>
        <v>-7449.5619999999999</v>
      </c>
      <c r="T44" s="24">
        <f t="shared" si="67"/>
        <v>-7866.14</v>
      </c>
      <c r="U44" s="24">
        <f t="shared" si="67"/>
        <v>-8219.8379999999997</v>
      </c>
      <c r="V44" s="25">
        <f t="shared" ref="V44" si="68">SUM(S19:V19)</f>
        <v>-6631.3029999999999</v>
      </c>
      <c r="W44" s="24">
        <f>SUM(T19:W19)</f>
        <v>-5094.8419999999996</v>
      </c>
      <c r="X44" s="24">
        <f>SUM(U19:X19)</f>
        <v>-2834.1480000000001</v>
      </c>
      <c r="Y44" s="46"/>
    </row>
    <row r="45" spans="1:25" x14ac:dyDescent="0.15">
      <c r="A45" s="18" t="s">
        <v>62</v>
      </c>
      <c r="E45" s="33">
        <f>E19/E42</f>
        <v>-0.15477920697899614</v>
      </c>
      <c r="I45" s="33">
        <f t="shared" ref="I45:O45" si="69">I44/I42</f>
        <v>-0.63107772765320724</v>
      </c>
      <c r="J45" s="22"/>
      <c r="K45" s="23"/>
      <c r="L45" s="23"/>
      <c r="M45" s="33" t="e">
        <f t="shared" si="69"/>
        <v>#DIV/0!</v>
      </c>
      <c r="N45" s="34" t="e">
        <f t="shared" si="69"/>
        <v>#DIV/0!</v>
      </c>
      <c r="O45" s="33" t="e">
        <f t="shared" si="69"/>
        <v>#DIV/0!</v>
      </c>
      <c r="P45" s="33" t="e">
        <f t="shared" ref="P45:V45" si="70">P44/P42</f>
        <v>#DIV/0!</v>
      </c>
      <c r="Q45" s="33" t="e">
        <f t="shared" si="70"/>
        <v>#DIV/0!</v>
      </c>
      <c r="R45" s="34" t="e">
        <f t="shared" si="70"/>
        <v>#DIV/0!</v>
      </c>
      <c r="S45" s="33" t="e">
        <f t="shared" si="70"/>
        <v>#DIV/0!</v>
      </c>
      <c r="T45" s="33" t="e">
        <f t="shared" si="70"/>
        <v>#DIV/0!</v>
      </c>
      <c r="U45" s="33" t="e">
        <f t="shared" si="70"/>
        <v>#DIV/0!</v>
      </c>
      <c r="V45" s="34" t="e">
        <f t="shared" si="70"/>
        <v>#DIV/0!</v>
      </c>
      <c r="W45" s="33" t="e">
        <f t="shared" ref="W45:X45" si="71">W44/W42</f>
        <v>#DIV/0!</v>
      </c>
      <c r="X45" s="33" t="e">
        <f t="shared" si="71"/>
        <v>#DIV/0!</v>
      </c>
    </row>
    <row r="46" spans="1:25" x14ac:dyDescent="0.15">
      <c r="A46" s="18" t="s">
        <v>63</v>
      </c>
      <c r="E46" s="33">
        <f>E19/E38</f>
        <v>-9.2414751853754473E-2</v>
      </c>
      <c r="I46" s="33">
        <f t="shared" ref="I46:O46" si="72">I44/I38</f>
        <v>-0.36874210776734989</v>
      </c>
      <c r="J46" s="22"/>
      <c r="K46" s="23"/>
      <c r="L46" s="23"/>
      <c r="M46" s="33" t="e">
        <f t="shared" si="72"/>
        <v>#DIV/0!</v>
      </c>
      <c r="N46" s="34" t="e">
        <f t="shared" si="72"/>
        <v>#DIV/0!</v>
      </c>
      <c r="O46" s="33" t="e">
        <f t="shared" si="72"/>
        <v>#DIV/0!</v>
      </c>
      <c r="P46" s="33" t="e">
        <f t="shared" ref="P46:V46" si="73">P44/P38</f>
        <v>#DIV/0!</v>
      </c>
      <c r="Q46" s="33" t="e">
        <f t="shared" si="73"/>
        <v>#DIV/0!</v>
      </c>
      <c r="R46" s="34" t="e">
        <f t="shared" si="73"/>
        <v>#DIV/0!</v>
      </c>
      <c r="S46" s="33" t="e">
        <f t="shared" si="73"/>
        <v>#DIV/0!</v>
      </c>
      <c r="T46" s="33" t="e">
        <f t="shared" si="73"/>
        <v>#DIV/0!</v>
      </c>
      <c r="U46" s="33" t="e">
        <f t="shared" si="73"/>
        <v>#DIV/0!</v>
      </c>
      <c r="V46" s="34" t="e">
        <f t="shared" si="73"/>
        <v>#DIV/0!</v>
      </c>
      <c r="W46" s="33" t="e">
        <f t="shared" ref="W46:X46" si="74">W44/W38</f>
        <v>#DIV/0!</v>
      </c>
      <c r="X46" s="33" t="e">
        <f t="shared" si="74"/>
        <v>#DIV/0!</v>
      </c>
    </row>
    <row r="47" spans="1:25" x14ac:dyDescent="0.15">
      <c r="A47" s="18" t="s">
        <v>64</v>
      </c>
      <c r="E47" s="33">
        <f>E19/(E42-E37)</f>
        <v>-0.96355179907032307</v>
      </c>
      <c r="I47" s="33">
        <f t="shared" ref="I47:O47" si="75">I44/(I42-I37)</f>
        <v>-2.9213070682736948</v>
      </c>
      <c r="J47" s="22"/>
      <c r="K47" s="23"/>
      <c r="L47" s="23"/>
      <c r="M47" s="33" t="e">
        <f t="shared" si="75"/>
        <v>#DIV/0!</v>
      </c>
      <c r="N47" s="34" t="e">
        <f t="shared" si="75"/>
        <v>#DIV/0!</v>
      </c>
      <c r="O47" s="33" t="e">
        <f t="shared" si="75"/>
        <v>#DIV/0!</v>
      </c>
      <c r="P47" s="33" t="e">
        <f t="shared" ref="P47:V47" si="76">P44/(P42-P37)</f>
        <v>#DIV/0!</v>
      </c>
      <c r="Q47" s="33" t="e">
        <f t="shared" si="76"/>
        <v>#DIV/0!</v>
      </c>
      <c r="R47" s="34" t="e">
        <f t="shared" si="76"/>
        <v>#DIV/0!</v>
      </c>
      <c r="S47" s="33" t="e">
        <f t="shared" si="76"/>
        <v>#DIV/0!</v>
      </c>
      <c r="T47" s="33" t="e">
        <f t="shared" si="76"/>
        <v>#DIV/0!</v>
      </c>
      <c r="U47" s="33" t="e">
        <f t="shared" si="76"/>
        <v>#DIV/0!</v>
      </c>
      <c r="V47" s="34" t="e">
        <f t="shared" si="76"/>
        <v>#DIV/0!</v>
      </c>
      <c r="W47" s="33" t="e">
        <f t="shared" ref="W47:X47" si="77">W44/(W42-W37)</f>
        <v>#DIV/0!</v>
      </c>
      <c r="X47" s="33" t="e">
        <f t="shared" si="77"/>
        <v>#DIV/0!</v>
      </c>
    </row>
    <row r="48" spans="1:25" x14ac:dyDescent="0.15">
      <c r="A48" s="18" t="s">
        <v>65</v>
      </c>
      <c r="E48" s="33">
        <f>E19/E41</f>
        <v>-0.58216438356164379</v>
      </c>
      <c r="I48" s="33">
        <f t="shared" ref="I48:O48" si="78">I44/I41</f>
        <v>-2.2050782729824685</v>
      </c>
      <c r="J48" s="22"/>
      <c r="K48" s="23"/>
      <c r="L48" s="23"/>
      <c r="M48" s="33" t="e">
        <f t="shared" si="78"/>
        <v>#DIV/0!</v>
      </c>
      <c r="N48" s="34" t="e">
        <f t="shared" si="78"/>
        <v>#DIV/0!</v>
      </c>
      <c r="O48" s="33" t="e">
        <f t="shared" si="78"/>
        <v>#DIV/0!</v>
      </c>
      <c r="P48" s="33" t="e">
        <f t="shared" ref="P48:V48" si="79">P44/P41</f>
        <v>#DIV/0!</v>
      </c>
      <c r="Q48" s="33" t="e">
        <f t="shared" si="79"/>
        <v>#DIV/0!</v>
      </c>
      <c r="R48" s="34" t="e">
        <f t="shared" si="79"/>
        <v>#DIV/0!</v>
      </c>
      <c r="S48" s="33" t="e">
        <f t="shared" si="79"/>
        <v>#DIV/0!</v>
      </c>
      <c r="T48" s="33" t="e">
        <f t="shared" si="79"/>
        <v>#DIV/0!</v>
      </c>
      <c r="U48" s="33" t="e">
        <f t="shared" si="79"/>
        <v>#DIV/0!</v>
      </c>
      <c r="V48" s="34" t="e">
        <f t="shared" si="79"/>
        <v>#DIV/0!</v>
      </c>
      <c r="W48" s="33" t="e">
        <f t="shared" ref="W48:X48" si="80">W44/W41</f>
        <v>#DIV/0!</v>
      </c>
      <c r="X48" s="33" t="e">
        <f t="shared" si="80"/>
        <v>#DIV/0!</v>
      </c>
    </row>
    <row r="50" spans="6:25" x14ac:dyDescent="0.15">
      <c r="F50" s="34"/>
      <c r="G50" s="33"/>
      <c r="H50" s="33"/>
      <c r="I50" s="33"/>
      <c r="J50" s="34"/>
      <c r="K50" s="33"/>
      <c r="L50" s="33"/>
      <c r="M50" s="33"/>
      <c r="N50" s="34"/>
      <c r="O50" s="33"/>
      <c r="P50" s="33"/>
      <c r="Q50" s="33"/>
      <c r="R50" s="34"/>
      <c r="S50" s="33"/>
      <c r="T50" s="33"/>
      <c r="U50" s="33"/>
      <c r="V50" s="34"/>
      <c r="W50" s="33"/>
      <c r="X50" s="33"/>
      <c r="Y50" s="33"/>
    </row>
    <row r="51" spans="6:25" x14ac:dyDescent="0.15">
      <c r="F51" s="34"/>
      <c r="G51" s="33"/>
      <c r="H51" s="33"/>
      <c r="I51" s="33"/>
      <c r="J51" s="34"/>
      <c r="K51" s="33"/>
      <c r="L51" s="33"/>
      <c r="M51" s="33"/>
      <c r="N51" s="34"/>
      <c r="O51" s="33"/>
      <c r="P51" s="33"/>
      <c r="Q51" s="33"/>
      <c r="R51" s="34"/>
      <c r="S51" s="33"/>
      <c r="T51" s="33"/>
      <c r="U51" s="33"/>
      <c r="V51" s="34"/>
      <c r="W51" s="33"/>
      <c r="X51" s="33"/>
      <c r="Y51" s="33"/>
    </row>
    <row r="52" spans="6:25" x14ac:dyDescent="0.15">
      <c r="F52" s="34"/>
      <c r="G52" s="33"/>
      <c r="H52" s="33"/>
      <c r="I52" s="33"/>
      <c r="J52" s="34"/>
      <c r="K52" s="33"/>
      <c r="L52" s="33"/>
      <c r="M52" s="33"/>
      <c r="N52" s="34"/>
      <c r="O52" s="33"/>
      <c r="P52" s="33"/>
      <c r="Q52" s="33"/>
      <c r="R52" s="34"/>
      <c r="S52" s="33"/>
      <c r="T52" s="33"/>
      <c r="U52" s="33"/>
      <c r="V52" s="34"/>
      <c r="W52" s="33"/>
      <c r="X52" s="33"/>
      <c r="Y52" s="33"/>
    </row>
  </sheetData>
  <hyperlinks>
    <hyperlink ref="A1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"/>
  <sheetViews>
    <sheetView zoomScale="120" zoomScaleNormal="120" workbookViewId="0">
      <selection activeCell="B6" sqref="B6"/>
    </sheetView>
  </sheetViews>
  <sheetFormatPr baseColWidth="10" defaultRowHeight="13" x14ac:dyDescent="0.15"/>
  <cols>
    <col min="1" max="1" width="10.83203125" style="3"/>
    <col min="2" max="2" width="12.5" style="3" bestFit="1" customWidth="1"/>
    <col min="3" max="16384" width="10.83203125" style="3"/>
  </cols>
  <sheetData>
    <row r="4" spans="2:2" x14ac:dyDescent="0.15">
      <c r="B4" s="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Reports</vt:lpstr>
      <vt:lpstr>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Sjoeberg</cp:lastModifiedBy>
  <dcterms:created xsi:type="dcterms:W3CDTF">2018-01-04T19:16:18Z</dcterms:created>
  <dcterms:modified xsi:type="dcterms:W3CDTF">2020-12-11T14:00:15Z</dcterms:modified>
</cp:coreProperties>
</file>