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A8804608-C315-0548-B80D-2E55B55750B2}" xr6:coauthVersionLast="46" xr6:coauthVersionMax="46" xr10:uidLastSave="{00000000-0000-0000-0000-000000000000}"/>
  <bookViews>
    <workbookView xWindow="-67820" yWindow="-5940" windowWidth="28240" windowHeight="2674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2" l="1"/>
  <c r="I13" i="2" s="1"/>
  <c r="G13" i="2"/>
  <c r="F13" i="2"/>
  <c r="H12" i="2"/>
  <c r="I12" i="2" s="1"/>
  <c r="G12" i="2"/>
  <c r="F12" i="2"/>
  <c r="P18" i="2"/>
  <c r="Q18" i="2" s="1"/>
  <c r="R18" i="2" s="1"/>
  <c r="S18" i="2" s="1"/>
  <c r="O18" i="2"/>
  <c r="F20" i="2"/>
  <c r="G20" i="2" s="1"/>
  <c r="H20" i="2" s="1"/>
  <c r="I20" i="2" s="1"/>
  <c r="E20" i="2"/>
  <c r="F19" i="2"/>
  <c r="G19" i="2" s="1"/>
  <c r="H19" i="2" s="1"/>
  <c r="I19" i="2" s="1"/>
  <c r="E19" i="2"/>
  <c r="F18" i="2"/>
  <c r="G18" i="2" s="1"/>
  <c r="H18" i="2" s="1"/>
  <c r="I18" i="2" s="1"/>
  <c r="E18" i="2"/>
  <c r="C5" i="2"/>
  <c r="C3" i="2"/>
  <c r="F15" i="2"/>
  <c r="E15" i="2"/>
  <c r="C12" i="2"/>
  <c r="D12" i="2"/>
  <c r="E12" i="2"/>
  <c r="E13" i="2"/>
  <c r="E10" i="2"/>
  <c r="F56" i="2"/>
  <c r="D60" i="2"/>
  <c r="D59" i="2"/>
  <c r="D13" i="2"/>
  <c r="D15" i="2" s="1"/>
  <c r="D20" i="2"/>
  <c r="D19" i="2"/>
  <c r="D18" i="2"/>
  <c r="D16" i="2"/>
  <c r="D10" i="2"/>
  <c r="C59" i="2"/>
  <c r="C60" i="2" s="1"/>
  <c r="B59" i="2"/>
  <c r="C56" i="2"/>
  <c r="C20" i="2"/>
  <c r="C19" i="2"/>
  <c r="C18" i="2"/>
  <c r="C16" i="2"/>
  <c r="C10" i="2"/>
  <c r="B25" i="2"/>
  <c r="B23" i="2"/>
  <c r="B20" i="2"/>
  <c r="B19" i="2"/>
  <c r="B18" i="2"/>
  <c r="B16" i="2"/>
  <c r="B12" i="2"/>
  <c r="B10" i="2"/>
  <c r="B13" i="2" s="1"/>
  <c r="B15" i="2" s="1"/>
  <c r="Q8" i="1"/>
  <c r="Q6" i="1"/>
  <c r="Q5" i="1"/>
  <c r="Q50" i="1"/>
  <c r="Q52" i="1"/>
  <c r="E39" i="1"/>
  <c r="E37" i="1"/>
  <c r="E35" i="1"/>
  <c r="E34" i="1"/>
  <c r="N52" i="1"/>
  <c r="O52" i="1"/>
  <c r="P52" i="1"/>
  <c r="F52" i="1"/>
  <c r="G56" i="1"/>
  <c r="F56" i="1"/>
  <c r="I56" i="1"/>
  <c r="H56" i="1"/>
  <c r="L56" i="1"/>
  <c r="K56" i="1"/>
  <c r="J56" i="1"/>
  <c r="I52" i="1"/>
  <c r="H52" i="1"/>
  <c r="G52" i="1"/>
  <c r="J52" i="1"/>
  <c r="M52" i="1"/>
  <c r="L52" i="1"/>
  <c r="E5" i="1"/>
  <c r="D5" i="1"/>
  <c r="C5" i="1"/>
  <c r="B5" i="1"/>
  <c r="B6" i="1" s="1"/>
  <c r="F5" i="1"/>
  <c r="F6" i="1" s="1"/>
  <c r="F8" i="1" s="1"/>
  <c r="H5" i="1"/>
  <c r="I5" i="1"/>
  <c r="J5" i="1"/>
  <c r="B16" i="1"/>
  <c r="C16" i="1"/>
  <c r="D16" i="1"/>
  <c r="E16" i="1"/>
  <c r="F16" i="1"/>
  <c r="K52" i="1"/>
  <c r="G5" i="1"/>
  <c r="G6" i="1" s="1"/>
  <c r="G16" i="1"/>
  <c r="K5" i="1"/>
  <c r="K6" i="1" s="1"/>
  <c r="H16" i="1"/>
  <c r="L5" i="1"/>
  <c r="L6" i="1" s="1"/>
  <c r="I39" i="1"/>
  <c r="I37" i="1"/>
  <c r="I35" i="1"/>
  <c r="I34" i="1"/>
  <c r="I16" i="1"/>
  <c r="M16" i="1"/>
  <c r="M5" i="1"/>
  <c r="M6" i="1" s="1"/>
  <c r="M56" i="1"/>
  <c r="N37" i="1"/>
  <c r="N35" i="1"/>
  <c r="N34" i="1"/>
  <c r="J16" i="1"/>
  <c r="N16" i="1"/>
  <c r="N5" i="1"/>
  <c r="N56" i="1"/>
  <c r="O37" i="1"/>
  <c r="O35" i="1"/>
  <c r="O34" i="1"/>
  <c r="K16" i="1"/>
  <c r="O16" i="1"/>
  <c r="O5" i="1"/>
  <c r="O56" i="1"/>
  <c r="M37" i="1"/>
  <c r="M35" i="1"/>
  <c r="M34" i="1"/>
  <c r="P37" i="1"/>
  <c r="P35" i="1"/>
  <c r="P34" i="1"/>
  <c r="L16" i="1"/>
  <c r="P16" i="1"/>
  <c r="P5" i="1"/>
  <c r="P56" i="1"/>
  <c r="G57" i="2" l="1"/>
  <c r="F57" i="2"/>
  <c r="H56" i="2"/>
  <c r="H15" i="2"/>
  <c r="G15" i="2"/>
  <c r="G56" i="2"/>
  <c r="I57" i="2"/>
  <c r="H57" i="2"/>
  <c r="E57" i="2"/>
  <c r="D56" i="2"/>
  <c r="E56" i="2"/>
  <c r="C13" i="2"/>
  <c r="Q53" i="1"/>
  <c r="I6" i="1"/>
  <c r="I8" i="1" s="1"/>
  <c r="K8" i="1"/>
  <c r="M53" i="1"/>
  <c r="H6" i="1"/>
  <c r="L8" i="1"/>
  <c r="M8" i="1"/>
  <c r="J6" i="1"/>
  <c r="J53" i="1" s="1"/>
  <c r="G8" i="1"/>
  <c r="K53" i="1"/>
  <c r="F53" i="1"/>
  <c r="B8" i="1"/>
  <c r="C6" i="1"/>
  <c r="C8" i="1" s="1"/>
  <c r="E6" i="1"/>
  <c r="D6" i="1"/>
  <c r="D8" i="1" s="1"/>
  <c r="N6" i="1"/>
  <c r="N53" i="1" s="1"/>
  <c r="O6" i="1"/>
  <c r="P6" i="1"/>
  <c r="P42" i="1"/>
  <c r="P33" i="1"/>
  <c r="P29" i="1"/>
  <c r="P28" i="1"/>
  <c r="P14" i="1"/>
  <c r="I56" i="2" l="1"/>
  <c r="I15" i="2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C57" i="2"/>
  <c r="C15" i="2"/>
  <c r="D57" i="2"/>
  <c r="O8" i="1"/>
  <c r="O10" i="1" s="1"/>
  <c r="O23" i="1" s="1"/>
  <c r="O53" i="1"/>
  <c r="E8" i="1"/>
  <c r="I53" i="1"/>
  <c r="H53" i="1"/>
  <c r="L53" i="1"/>
  <c r="J8" i="1"/>
  <c r="N8" i="1"/>
  <c r="G53" i="1"/>
  <c r="P8" i="1"/>
  <c r="P10" i="1" s="1"/>
  <c r="P53" i="1"/>
  <c r="H8" i="1"/>
  <c r="P15" i="1"/>
  <c r="P23" i="1"/>
  <c r="P41" i="1"/>
  <c r="O42" i="1"/>
  <c r="O33" i="1"/>
  <c r="O29" i="1"/>
  <c r="O28" i="1"/>
  <c r="O41" i="1" l="1"/>
  <c r="O14" i="1"/>
  <c r="P17" i="1"/>
  <c r="P24" i="1"/>
  <c r="D46" i="2"/>
  <c r="D45" i="2"/>
  <c r="D28" i="2"/>
  <c r="D25" i="2"/>
  <c r="D23" i="2"/>
  <c r="J19" i="2"/>
  <c r="K19" i="2" s="1"/>
  <c r="L19" i="2" s="1"/>
  <c r="M19" i="2" s="1"/>
  <c r="N19" i="2" s="1"/>
  <c r="O19" i="2" s="1"/>
  <c r="J18" i="2"/>
  <c r="K18" i="2" s="1"/>
  <c r="L18" i="2" s="1"/>
  <c r="M18" i="2" s="1"/>
  <c r="N18" i="2" s="1"/>
  <c r="D41" i="2"/>
  <c r="M14" i="1"/>
  <c r="M42" i="1"/>
  <c r="M29" i="1"/>
  <c r="M28" i="1"/>
  <c r="Q27" i="1"/>
  <c r="D49" i="2" l="1"/>
  <c r="O36" i="2"/>
  <c r="P19" i="2"/>
  <c r="O35" i="2"/>
  <c r="M33" i="1"/>
  <c r="N41" i="1"/>
  <c r="P19" i="1"/>
  <c r="P20" i="1" s="1"/>
  <c r="P25" i="1"/>
  <c r="M41" i="1"/>
  <c r="D42" i="2"/>
  <c r="D40" i="2" s="1"/>
  <c r="E23" i="2" s="1"/>
  <c r="O15" i="1"/>
  <c r="M10" i="1"/>
  <c r="M23" i="1" s="1"/>
  <c r="D44" i="2"/>
  <c r="E35" i="2"/>
  <c r="P35" i="2" l="1"/>
  <c r="P36" i="2"/>
  <c r="Q19" i="2"/>
  <c r="O24" i="1"/>
  <c r="O17" i="1"/>
  <c r="M15" i="1"/>
  <c r="D48" i="2"/>
  <c r="D17" i="2"/>
  <c r="Q36" i="2" l="1"/>
  <c r="R19" i="2"/>
  <c r="Q35" i="2"/>
  <c r="M24" i="1"/>
  <c r="M17" i="1"/>
  <c r="O25" i="1"/>
  <c r="O19" i="1"/>
  <c r="O20" i="1" s="1"/>
  <c r="R36" i="2" l="1"/>
  <c r="S19" i="2"/>
  <c r="S36" i="2" s="1"/>
  <c r="R35" i="2"/>
  <c r="M19" i="1"/>
  <c r="M25" i="1"/>
  <c r="S35" i="2" l="1"/>
  <c r="M20" i="1"/>
  <c r="P30" i="1"/>
  <c r="P27" i="1"/>
  <c r="N42" i="1"/>
  <c r="N29" i="1"/>
  <c r="N28" i="1"/>
  <c r="N14" i="1"/>
  <c r="L10" i="1" l="1"/>
  <c r="L14" i="1"/>
  <c r="N10" i="1"/>
  <c r="N33" i="1"/>
  <c r="C4" i="2"/>
  <c r="L28" i="1"/>
  <c r="L29" i="1"/>
  <c r="O30" i="1"/>
  <c r="K29" i="1"/>
  <c r="K28" i="1"/>
  <c r="G14" i="1"/>
  <c r="D14" i="1"/>
  <c r="H14" i="1"/>
  <c r="B44" i="2"/>
  <c r="B41" i="2"/>
  <c r="E14" i="1"/>
  <c r="M30" i="1"/>
  <c r="C41" i="2"/>
  <c r="H10" i="1"/>
  <c r="H23" i="1" s="1"/>
  <c r="G10" i="1"/>
  <c r="F14" i="1"/>
  <c r="J29" i="1"/>
  <c r="J28" i="1"/>
  <c r="F10" i="1"/>
  <c r="F23" i="1" s="1"/>
  <c r="J10" i="1"/>
  <c r="N30" i="1"/>
  <c r="B14" i="1"/>
  <c r="C45" i="2"/>
  <c r="C44" i="2"/>
  <c r="C23" i="2"/>
  <c r="C25" i="2"/>
  <c r="I42" i="1"/>
  <c r="C42" i="2"/>
  <c r="C46" i="2"/>
  <c r="C28" i="2"/>
  <c r="E10" i="1"/>
  <c r="E23" i="1" s="1"/>
  <c r="B42" i="2"/>
  <c r="B45" i="2"/>
  <c r="B46" i="2"/>
  <c r="B10" i="1"/>
  <c r="E42" i="1"/>
  <c r="I29" i="1"/>
  <c r="I28" i="1"/>
  <c r="F29" i="1"/>
  <c r="F28" i="1"/>
  <c r="G29" i="1"/>
  <c r="G28" i="1"/>
  <c r="H29" i="1"/>
  <c r="H28" i="1"/>
  <c r="E28" i="2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C9" i="2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J27" i="1" l="1"/>
  <c r="I41" i="1"/>
  <c r="K10" i="1"/>
  <c r="K23" i="1" s="1"/>
  <c r="O27" i="1"/>
  <c r="I10" i="1"/>
  <c r="I23" i="1" s="1"/>
  <c r="M27" i="1"/>
  <c r="B17" i="2"/>
  <c r="B30" i="2" s="1"/>
  <c r="B21" i="2"/>
  <c r="J14" i="1"/>
  <c r="N31" i="1" s="1"/>
  <c r="H30" i="1"/>
  <c r="F30" i="1"/>
  <c r="I14" i="1"/>
  <c r="B15" i="1"/>
  <c r="B24" i="1" s="1"/>
  <c r="N27" i="1"/>
  <c r="H27" i="1"/>
  <c r="I30" i="1"/>
  <c r="L15" i="1"/>
  <c r="L17" i="1" s="1"/>
  <c r="L19" i="1" s="1"/>
  <c r="P31" i="1"/>
  <c r="C35" i="2"/>
  <c r="C40" i="2"/>
  <c r="B49" i="2"/>
  <c r="C36" i="2"/>
  <c r="N15" i="1"/>
  <c r="N23" i="1"/>
  <c r="G15" i="1"/>
  <c r="G17" i="1" s="1"/>
  <c r="G23" i="1"/>
  <c r="G30" i="1"/>
  <c r="C49" i="2"/>
  <c r="C48" i="2"/>
  <c r="E15" i="1"/>
  <c r="E24" i="1" s="1"/>
  <c r="E41" i="1"/>
  <c r="B40" i="2"/>
  <c r="B23" i="1"/>
  <c r="F27" i="1"/>
  <c r="I33" i="1"/>
  <c r="H31" i="1"/>
  <c r="F31" i="1"/>
  <c r="L30" i="1"/>
  <c r="B48" i="2"/>
  <c r="H15" i="1"/>
  <c r="I27" i="1"/>
  <c r="D10" i="1"/>
  <c r="F15" i="1"/>
  <c r="C14" i="1"/>
  <c r="E33" i="1"/>
  <c r="K27" i="1"/>
  <c r="K14" i="1"/>
  <c r="J30" i="1"/>
  <c r="C6" i="2"/>
  <c r="C7" i="2" s="1"/>
  <c r="C10" i="1"/>
  <c r="J23" i="1"/>
  <c r="K30" i="1"/>
  <c r="G27" i="1"/>
  <c r="L31" i="1"/>
  <c r="C37" i="2" l="1"/>
  <c r="B17" i="1"/>
  <c r="B19" i="1" s="1"/>
  <c r="I15" i="1"/>
  <c r="I24" i="1" s="1"/>
  <c r="G24" i="1"/>
  <c r="J20" i="2"/>
  <c r="K20" i="2" s="1"/>
  <c r="L20" i="2" s="1"/>
  <c r="M20" i="2" s="1"/>
  <c r="N20" i="2" s="1"/>
  <c r="O20" i="2" s="1"/>
  <c r="D21" i="2"/>
  <c r="D22" i="2" s="1"/>
  <c r="D24" i="2" s="1"/>
  <c r="L20" i="1"/>
  <c r="J15" i="1"/>
  <c r="J17" i="1" s="1"/>
  <c r="J25" i="1" s="1"/>
  <c r="M31" i="1"/>
  <c r="I31" i="1"/>
  <c r="J31" i="1"/>
  <c r="K31" i="1"/>
  <c r="O31" i="1"/>
  <c r="N24" i="1"/>
  <c r="N17" i="1"/>
  <c r="G31" i="1"/>
  <c r="E17" i="1"/>
  <c r="E19" i="1" s="1"/>
  <c r="G19" i="1"/>
  <c r="G25" i="1"/>
  <c r="L27" i="1"/>
  <c r="C15" i="1"/>
  <c r="C23" i="1"/>
  <c r="B22" i="2"/>
  <c r="F24" i="1"/>
  <c r="F17" i="1"/>
  <c r="D23" i="1"/>
  <c r="D15" i="1"/>
  <c r="D36" i="2"/>
  <c r="H17" i="1"/>
  <c r="H24" i="1"/>
  <c r="C34" i="2"/>
  <c r="C17" i="2"/>
  <c r="K15" i="1"/>
  <c r="C21" i="2"/>
  <c r="C38" i="2" s="1"/>
  <c r="I17" i="1" l="1"/>
  <c r="I25" i="1" s="1"/>
  <c r="B25" i="1"/>
  <c r="E25" i="1"/>
  <c r="J19" i="1"/>
  <c r="J20" i="1" s="1"/>
  <c r="O37" i="2"/>
  <c r="P20" i="2"/>
  <c r="O21" i="2"/>
  <c r="J24" i="1"/>
  <c r="N19" i="1"/>
  <c r="N25" i="1"/>
  <c r="D35" i="2"/>
  <c r="K17" i="1"/>
  <c r="K24" i="1"/>
  <c r="E36" i="2"/>
  <c r="B31" i="2"/>
  <c r="B24" i="2"/>
  <c r="H19" i="1"/>
  <c r="H25" i="1"/>
  <c r="L23" i="1"/>
  <c r="D24" i="1"/>
  <c r="D17" i="1"/>
  <c r="E20" i="1"/>
  <c r="B20" i="1"/>
  <c r="D37" i="2"/>
  <c r="C22" i="2"/>
  <c r="C30" i="2"/>
  <c r="F25" i="1"/>
  <c r="F19" i="1"/>
  <c r="C24" i="1"/>
  <c r="C17" i="1"/>
  <c r="G20" i="1"/>
  <c r="D38" i="2"/>
  <c r="I19" i="1" l="1"/>
  <c r="I20" i="1" s="1"/>
  <c r="P37" i="2"/>
  <c r="Q20" i="2"/>
  <c r="P21" i="2"/>
  <c r="P38" i="2" s="1"/>
  <c r="P44" i="1"/>
  <c r="O44" i="1"/>
  <c r="N20" i="1"/>
  <c r="L24" i="1"/>
  <c r="E37" i="2"/>
  <c r="F21" i="2"/>
  <c r="K25" i="1"/>
  <c r="K19" i="1"/>
  <c r="B26" i="2"/>
  <c r="B32" i="2"/>
  <c r="F36" i="2"/>
  <c r="D34" i="2"/>
  <c r="H20" i="1"/>
  <c r="C19" i="1"/>
  <c r="C25" i="1"/>
  <c r="D25" i="1"/>
  <c r="D19" i="1"/>
  <c r="F20" i="1"/>
  <c r="I44" i="1"/>
  <c r="C31" i="2"/>
  <c r="C24" i="2"/>
  <c r="E21" i="2"/>
  <c r="E38" i="2" s="1"/>
  <c r="Q37" i="2" l="1"/>
  <c r="R20" i="2"/>
  <c r="Q21" i="2"/>
  <c r="Q38" i="2" s="1"/>
  <c r="K20" i="1"/>
  <c r="M44" i="1"/>
  <c r="O48" i="1"/>
  <c r="O45" i="1"/>
  <c r="O47" i="1"/>
  <c r="O46" i="1"/>
  <c r="P48" i="1"/>
  <c r="P46" i="1"/>
  <c r="P47" i="1"/>
  <c r="P45" i="1"/>
  <c r="F38" i="2"/>
  <c r="F35" i="2"/>
  <c r="D30" i="2"/>
  <c r="B54" i="2"/>
  <c r="B51" i="2"/>
  <c r="B53" i="2"/>
  <c r="B27" i="2"/>
  <c r="B52" i="2"/>
  <c r="F37" i="2"/>
  <c r="G36" i="2"/>
  <c r="E34" i="2"/>
  <c r="C32" i="2"/>
  <c r="C26" i="2"/>
  <c r="I48" i="1"/>
  <c r="I47" i="1"/>
  <c r="I46" i="1"/>
  <c r="I45" i="1"/>
  <c r="D20" i="1"/>
  <c r="C20" i="1"/>
  <c r="E44" i="1"/>
  <c r="R37" i="2" l="1"/>
  <c r="S20" i="2"/>
  <c r="R21" i="2"/>
  <c r="R38" i="2" s="1"/>
  <c r="M48" i="1"/>
  <c r="M46" i="1"/>
  <c r="M47" i="1"/>
  <c r="M45" i="1"/>
  <c r="E17" i="2"/>
  <c r="E16" i="2" s="1"/>
  <c r="G21" i="2"/>
  <c r="G38" i="2" s="1"/>
  <c r="C54" i="2"/>
  <c r="C53" i="2"/>
  <c r="C51" i="2"/>
  <c r="G35" i="2"/>
  <c r="E48" i="1"/>
  <c r="E47" i="1"/>
  <c r="E46" i="1"/>
  <c r="E45" i="1"/>
  <c r="F34" i="2"/>
  <c r="L25" i="1"/>
  <c r="C27" i="2"/>
  <c r="C52" i="2"/>
  <c r="H36" i="2"/>
  <c r="D31" i="2"/>
  <c r="G37" i="2"/>
  <c r="S37" i="2" l="1"/>
  <c r="S21" i="2"/>
  <c r="S38" i="2" s="1"/>
  <c r="E22" i="2"/>
  <c r="E31" i="2" s="1"/>
  <c r="E30" i="2"/>
  <c r="F17" i="2" s="1"/>
  <c r="F22" i="2" s="1"/>
  <c r="H21" i="2"/>
  <c r="H38" i="2" s="1"/>
  <c r="H35" i="2"/>
  <c r="D32" i="2"/>
  <c r="G34" i="2"/>
  <c r="I36" i="2"/>
  <c r="H37" i="2"/>
  <c r="F16" i="2" l="1"/>
  <c r="F30" i="2"/>
  <c r="G17" i="2" s="1"/>
  <c r="G16" i="2" s="1"/>
  <c r="D26" i="2"/>
  <c r="N44" i="1"/>
  <c r="I35" i="2"/>
  <c r="H34" i="2"/>
  <c r="I37" i="2"/>
  <c r="I21" i="2"/>
  <c r="I38" i="2" s="1"/>
  <c r="J36" i="2"/>
  <c r="F31" i="2"/>
  <c r="G22" i="2" l="1"/>
  <c r="G31" i="2" s="1"/>
  <c r="G30" i="2"/>
  <c r="H17" i="2" s="1"/>
  <c r="H30" i="2" s="1"/>
  <c r="I17" i="2" s="1"/>
  <c r="I16" i="2" s="1"/>
  <c r="N47" i="1"/>
  <c r="N48" i="1"/>
  <c r="D27" i="2"/>
  <c r="D51" i="2"/>
  <c r="D53" i="2"/>
  <c r="D52" i="2"/>
  <c r="D54" i="2"/>
  <c r="E24" i="2"/>
  <c r="N46" i="1"/>
  <c r="N45" i="1"/>
  <c r="J35" i="2"/>
  <c r="K21" i="2"/>
  <c r="J37" i="2"/>
  <c r="I34" i="2"/>
  <c r="J21" i="2"/>
  <c r="J38" i="2" s="1"/>
  <c r="K36" i="2"/>
  <c r="H22" i="2" l="1"/>
  <c r="H16" i="2"/>
  <c r="K35" i="2"/>
  <c r="H31" i="2"/>
  <c r="E32" i="2"/>
  <c r="I22" i="2"/>
  <c r="I30" i="2"/>
  <c r="J17" i="2" s="1"/>
  <c r="J34" i="2"/>
  <c r="K38" i="2"/>
  <c r="L36" i="2"/>
  <c r="K37" i="2"/>
  <c r="E26" i="2" l="1"/>
  <c r="L35" i="2"/>
  <c r="K34" i="2"/>
  <c r="M36" i="2"/>
  <c r="J22" i="2"/>
  <c r="J30" i="2"/>
  <c r="K17" i="2" s="1"/>
  <c r="I31" i="2"/>
  <c r="J16" i="2"/>
  <c r="L37" i="2"/>
  <c r="L21" i="2"/>
  <c r="L38" i="2" s="1"/>
  <c r="E27" i="2" l="1"/>
  <c r="E40" i="2"/>
  <c r="M35" i="2"/>
  <c r="K22" i="2"/>
  <c r="K30" i="2"/>
  <c r="L17" i="2" s="1"/>
  <c r="K16" i="2"/>
  <c r="M37" i="2"/>
  <c r="J31" i="2"/>
  <c r="M21" i="2"/>
  <c r="M38" i="2" s="1"/>
  <c r="N36" i="2"/>
  <c r="N21" i="2"/>
  <c r="O38" i="2" s="1"/>
  <c r="L34" i="2"/>
  <c r="N35" i="2" l="1"/>
  <c r="L30" i="2"/>
  <c r="M17" i="2" s="1"/>
  <c r="M16" i="2" s="1"/>
  <c r="L22" i="2"/>
  <c r="L16" i="2"/>
  <c r="M34" i="2"/>
  <c r="N38" i="2"/>
  <c r="F23" i="2"/>
  <c r="F24" i="2" s="1"/>
  <c r="N37" i="2"/>
  <c r="K31" i="2"/>
  <c r="O34" i="2" l="1"/>
  <c r="F32" i="2"/>
  <c r="L31" i="2"/>
  <c r="N34" i="2"/>
  <c r="M22" i="2"/>
  <c r="M30" i="2"/>
  <c r="N17" i="2" s="1"/>
  <c r="P34" i="2" l="1"/>
  <c r="F26" i="2"/>
  <c r="N22" i="2"/>
  <c r="N30" i="2"/>
  <c r="O17" i="2" s="1"/>
  <c r="N16" i="2"/>
  <c r="M31" i="2"/>
  <c r="O22" i="2" l="1"/>
  <c r="O30" i="2"/>
  <c r="P17" i="2" s="1"/>
  <c r="O16" i="2"/>
  <c r="Q34" i="2"/>
  <c r="F27" i="2"/>
  <c r="F40" i="2"/>
  <c r="G23" i="2" s="1"/>
  <c r="G24" i="2" s="1"/>
  <c r="N31" i="2"/>
  <c r="R34" i="2" l="1"/>
  <c r="P30" i="2"/>
  <c r="Q17" i="2" s="1"/>
  <c r="P22" i="2"/>
  <c r="P16" i="2"/>
  <c r="O31" i="2"/>
  <c r="G32" i="2"/>
  <c r="P31" i="2" l="1"/>
  <c r="Q30" i="2"/>
  <c r="R17" i="2" s="1"/>
  <c r="Q22" i="2"/>
  <c r="Q16" i="2"/>
  <c r="S34" i="2"/>
  <c r="G26" i="2"/>
  <c r="G40" i="2" l="1"/>
  <c r="Q31" i="2"/>
  <c r="R16" i="2"/>
  <c r="R30" i="2"/>
  <c r="S17" i="2" s="1"/>
  <c r="R22" i="2"/>
  <c r="G27" i="2"/>
  <c r="H23" i="2"/>
  <c r="H24" i="2" s="1"/>
  <c r="R31" i="2" l="1"/>
  <c r="S30" i="2"/>
  <c r="S22" i="2"/>
  <c r="S16" i="2"/>
  <c r="H25" i="2"/>
  <c r="H32" i="2" s="1"/>
  <c r="S31" i="2" l="1"/>
  <c r="H26" i="2"/>
  <c r="H27" i="2" l="1"/>
  <c r="H40" i="2"/>
  <c r="I23" i="2" s="1"/>
  <c r="I24" i="2" s="1"/>
  <c r="I25" i="2" l="1"/>
  <c r="I32" i="2" s="1"/>
  <c r="I26" i="2"/>
  <c r="I27" i="2" l="1"/>
  <c r="I40" i="2"/>
  <c r="J23" i="2" l="1"/>
  <c r="J24" i="2" s="1"/>
  <c r="J25" i="2" l="1"/>
  <c r="J32" i="2" s="1"/>
  <c r="J26" i="2" l="1"/>
  <c r="J27" i="2"/>
  <c r="J40" i="2"/>
  <c r="K23" i="2" l="1"/>
  <c r="K24" i="2" s="1"/>
  <c r="K25" i="2" l="1"/>
  <c r="K32" i="2" s="1"/>
  <c r="K26" i="2" l="1"/>
  <c r="K27" i="2" l="1"/>
  <c r="K40" i="2"/>
  <c r="L23" i="2" l="1"/>
  <c r="L24" i="2" s="1"/>
  <c r="L25" i="2" l="1"/>
  <c r="L32" i="2" s="1"/>
  <c r="L26" i="2" l="1"/>
  <c r="L27" i="2" s="1"/>
  <c r="L40" i="2"/>
  <c r="M23" i="2" l="1"/>
  <c r="M24" i="2" s="1"/>
  <c r="M25" i="2" l="1"/>
  <c r="M32" i="2" s="1"/>
  <c r="M26" i="2" l="1"/>
  <c r="M40" i="2" s="1"/>
  <c r="M27" i="2" l="1"/>
  <c r="N23" i="2"/>
  <c r="N24" i="2" s="1"/>
  <c r="N25" i="2" l="1"/>
  <c r="N32" i="2" s="1"/>
  <c r="N26" i="2" l="1"/>
  <c r="N27" i="2" l="1"/>
  <c r="N40" i="2"/>
  <c r="O23" i="2" l="1"/>
  <c r="O24" i="2" s="1"/>
  <c r="O25" i="2" l="1"/>
  <c r="O32" i="2" s="1"/>
  <c r="O26" i="2"/>
  <c r="O27" i="2" l="1"/>
  <c r="O40" i="2"/>
  <c r="P23" i="2" l="1"/>
  <c r="P24" i="2" s="1"/>
  <c r="P25" i="2" l="1"/>
  <c r="P32" i="2" s="1"/>
  <c r="P26" i="2" l="1"/>
  <c r="P27" i="2" s="1"/>
  <c r="P40" i="2"/>
  <c r="Q23" i="2" l="1"/>
  <c r="Q24" i="2" s="1"/>
  <c r="Q25" i="2" l="1"/>
  <c r="Q32" i="2" s="1"/>
  <c r="Q26" i="2" l="1"/>
  <c r="Q27" i="2" l="1"/>
  <c r="Q40" i="2"/>
  <c r="R23" i="2" l="1"/>
  <c r="R24" i="2" s="1"/>
  <c r="R25" i="2" l="1"/>
  <c r="R32" i="2" s="1"/>
  <c r="R26" i="2" l="1"/>
  <c r="R27" i="2" s="1"/>
  <c r="R40" i="2" l="1"/>
  <c r="S23" i="2" s="1"/>
  <c r="S24" i="2" s="1"/>
  <c r="S25" i="2" l="1"/>
  <c r="S32" i="2" s="1"/>
  <c r="S26" i="2" l="1"/>
  <c r="S27" i="2" l="1"/>
  <c r="T26" i="2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EF26" i="2" s="1"/>
  <c r="EG26" i="2" s="1"/>
  <c r="EH26" i="2" s="1"/>
  <c r="EI26" i="2" s="1"/>
  <c r="EJ26" i="2" s="1"/>
  <c r="EK26" i="2" s="1"/>
  <c r="EL26" i="2" s="1"/>
  <c r="EM26" i="2" s="1"/>
  <c r="EN26" i="2" s="1"/>
  <c r="EO26" i="2" s="1"/>
  <c r="EP26" i="2" s="1"/>
  <c r="EQ26" i="2" s="1"/>
  <c r="ER26" i="2" s="1"/>
  <c r="ES26" i="2" s="1"/>
  <c r="ET26" i="2" s="1"/>
  <c r="EU26" i="2" s="1"/>
  <c r="EV26" i="2" s="1"/>
  <c r="EW26" i="2" s="1"/>
  <c r="EX26" i="2" s="1"/>
  <c r="EY26" i="2" s="1"/>
  <c r="EZ26" i="2" s="1"/>
  <c r="FA26" i="2" s="1"/>
  <c r="FB26" i="2" s="1"/>
  <c r="FC26" i="2" s="1"/>
  <c r="FD26" i="2" s="1"/>
  <c r="FE26" i="2" s="1"/>
  <c r="FF26" i="2" s="1"/>
  <c r="FG26" i="2" s="1"/>
  <c r="FH26" i="2" s="1"/>
  <c r="FI26" i="2" s="1"/>
  <c r="FJ26" i="2" s="1"/>
  <c r="FK26" i="2" s="1"/>
  <c r="FL26" i="2" s="1"/>
  <c r="FM26" i="2" s="1"/>
  <c r="FN26" i="2" s="1"/>
  <c r="FO26" i="2" s="1"/>
  <c r="FP26" i="2" s="1"/>
  <c r="FQ26" i="2" s="1"/>
  <c r="FR26" i="2" s="1"/>
  <c r="FS26" i="2" s="1"/>
  <c r="FT26" i="2" s="1"/>
  <c r="FU26" i="2" s="1"/>
  <c r="FV26" i="2" s="1"/>
  <c r="FW26" i="2" s="1"/>
  <c r="FX26" i="2" s="1"/>
  <c r="FY26" i="2" s="1"/>
  <c r="FZ26" i="2" s="1"/>
  <c r="GA26" i="2" s="1"/>
  <c r="GB26" i="2" s="1"/>
  <c r="GC26" i="2" s="1"/>
  <c r="GD26" i="2" s="1"/>
  <c r="GE26" i="2" s="1"/>
  <c r="GF26" i="2" s="1"/>
  <c r="GG26" i="2" s="1"/>
  <c r="GH26" i="2" s="1"/>
  <c r="GI26" i="2" s="1"/>
  <c r="GJ26" i="2" s="1"/>
  <c r="GK26" i="2" s="1"/>
  <c r="GL26" i="2" s="1"/>
  <c r="GM26" i="2" s="1"/>
  <c r="GN26" i="2" s="1"/>
  <c r="GO26" i="2" s="1"/>
  <c r="GP26" i="2" s="1"/>
  <c r="GQ26" i="2" s="1"/>
  <c r="GR26" i="2" s="1"/>
  <c r="GS26" i="2" s="1"/>
  <c r="GT26" i="2" s="1"/>
  <c r="GU26" i="2" s="1"/>
  <c r="GV26" i="2" s="1"/>
  <c r="GW26" i="2" s="1"/>
  <c r="GX26" i="2" s="1"/>
  <c r="GY26" i="2" s="1"/>
  <c r="GZ26" i="2" s="1"/>
  <c r="HA26" i="2" s="1"/>
  <c r="HB26" i="2" s="1"/>
  <c r="HC26" i="2" s="1"/>
  <c r="HD26" i="2" s="1"/>
  <c r="HE26" i="2" s="1"/>
  <c r="HF26" i="2" s="1"/>
  <c r="HG26" i="2" s="1"/>
  <c r="HH26" i="2" s="1"/>
  <c r="HI26" i="2" s="1"/>
  <c r="HJ26" i="2" s="1"/>
  <c r="HK26" i="2" s="1"/>
  <c r="HL26" i="2" s="1"/>
  <c r="HM26" i="2" s="1"/>
  <c r="HN26" i="2" s="1"/>
  <c r="HO26" i="2" s="1"/>
  <c r="HP26" i="2" s="1"/>
  <c r="HQ26" i="2" s="1"/>
  <c r="HR26" i="2" s="1"/>
  <c r="HS26" i="2" s="1"/>
  <c r="HT26" i="2" s="1"/>
  <c r="HU26" i="2" s="1"/>
  <c r="HV26" i="2" s="1"/>
  <c r="F5" i="2" s="1"/>
  <c r="S40" i="2"/>
  <c r="F6" i="2" l="1"/>
  <c r="F7" i="2" s="1"/>
  <c r="G7" i="2" s="1"/>
</calcChain>
</file>

<file path=xl/sharedStrings.xml><?xml version="1.0" encoding="utf-8"?>
<sst xmlns="http://schemas.openxmlformats.org/spreadsheetml/2006/main" count="156" uniqueCount="110">
  <si>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</si>
  <si>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</si>
  <si>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</si>
  <si>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</si>
  <si>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</si>
  <si>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</si>
  <si>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</si>
  <si>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</si>
  <si>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</si>
  <si>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</si>
  <si>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</si>
  <si>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</si>
  <si>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</si>
  <si>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</si>
  <si>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</si>
  <si>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</si>
  <si>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</si>
  <si>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</si>
  <si>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</si>
  <si>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</si>
  <si>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</si>
  <si>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</si>
  <si>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</si>
  <si>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</si>
  <si>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</si>
  <si>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</si>
  <si>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</si>
  <si>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</si>
  <si>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</si>
  <si>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</si>
  <si>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</si>
  <si>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</si>
  <si>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</si>
  <si>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</si>
  <si>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</si>
  <si>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</si>
  <si>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</si>
  <si>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</si>
  <si>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</si>
  <si>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</si>
  <si>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</si>
  <si>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</si>
  <si>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</si>
  <si>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</si>
  <si>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Q119</t>
  </si>
  <si>
    <t>Q219</t>
  </si>
  <si>
    <t>Q319</t>
  </si>
  <si>
    <t>Q419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</si>
  <si>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</si>
  <si>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</si>
  <si>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</si>
  <si>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</si>
  <si>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</si>
  <si>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</si>
  <si>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</si>
  <si>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</si>
  <si>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</si>
  <si>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</si>
  <si>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</si>
  <si>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Expected return on invested capital (innovation grade)</t>
  </si>
  <si>
    <t>Operating Expenses y/y</t>
  </si>
  <si>
    <t>Q120</t>
  </si>
  <si>
    <t>Q420</t>
  </si>
  <si>
    <t>Risk-free rate + market premium (opportunity cost)</t>
  </si>
  <si>
    <t>http://www.worldgovernmentbonds.com/country/united-states/</t>
  </si>
  <si>
    <t>Net present value on future net income (terminal value)</t>
  </si>
  <si>
    <t>Q220</t>
  </si>
  <si>
    <t>Q320</t>
  </si>
  <si>
    <t>Fastly Inc (FSLY)</t>
  </si>
  <si>
    <t>Customers</t>
  </si>
  <si>
    <t>Customers y/y</t>
  </si>
  <si>
    <t>PRODUCTS</t>
  </si>
  <si>
    <t>Compute Edge</t>
  </si>
  <si>
    <t>Aquired</t>
  </si>
  <si>
    <t>Signal Sciences</t>
  </si>
  <si>
    <t>Web and API security</t>
  </si>
  <si>
    <t>Enterprise y/y</t>
  </si>
  <si>
    <t>Enterprise</t>
  </si>
  <si>
    <t>Platform</t>
  </si>
  <si>
    <t>ARPC</t>
  </si>
  <si>
    <t>ARPC y/y</t>
  </si>
  <si>
    <t>Customers M</t>
  </si>
  <si>
    <t>OE y/y</t>
  </si>
  <si>
    <t>Artur Bergman</t>
  </si>
  <si>
    <t>Joshua Bixby</t>
  </si>
  <si>
    <t>Microsoft</t>
  </si>
  <si>
    <t>Google</t>
  </si>
  <si>
    <t>Shopify</t>
  </si>
  <si>
    <t>Slack</t>
  </si>
  <si>
    <t>NYT</t>
  </si>
  <si>
    <t>New Relic</t>
  </si>
  <si>
    <t>GitHub</t>
  </si>
  <si>
    <t>Pinterest</t>
  </si>
  <si>
    <t>Vimeo</t>
  </si>
  <si>
    <t>Reddit</t>
  </si>
  <si>
    <t>Wealthfront</t>
  </si>
  <si>
    <t>Wayfair</t>
  </si>
  <si>
    <t>Etsy</t>
  </si>
  <si>
    <t>Wepay</t>
  </si>
  <si>
    <t>Affirm</t>
  </si>
  <si>
    <t>Consensys</t>
  </si>
  <si>
    <t>Firebase</t>
  </si>
  <si>
    <t>Stripe</t>
  </si>
  <si>
    <t>Khan Academy</t>
  </si>
  <si>
    <t>TED</t>
  </si>
  <si>
    <t>Wikia</t>
  </si>
  <si>
    <t>Serverless compute environment</t>
  </si>
  <si>
    <t>CDN</t>
  </si>
  <si>
    <t>Image optimization</t>
  </si>
  <si>
    <t>CDN for content and live broadcasting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</si>
</sst>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 ;[Red]\-#,##0\ "/>
    <numFmt numFmtId="165" formatCode="0.0%"/>
    <numFmt numFmtId="168" formatCode="#,##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5">
    <xf numFmtId="0" fontId="0" fillId="0" borderId="0" xfId="0"/>
    <xf numFmtId="0" fontId="4" fillId="0" borderId="0" xfId="4" applyFont="1" applyBorder="1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7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5" fillId="0" borderId="0" xfId="0" applyFont="1" applyBorder="1"/>
    <xf numFmtId="164" fontId="5" fillId="2" borderId="0" xfId="0" applyNumberFormat="1" applyFont="1" applyFill="1"/>
    <xf numFmtId="0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0" borderId="0" xfId="0" applyNumberFormat="1" applyFont="1" applyBorder="1"/>
    <xf numFmtId="0" fontId="6" fillId="0" borderId="0" xfId="0" applyFont="1" applyFill="1" applyBorder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7" fillId="0" borderId="0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4" fontId="6" fillId="2" borderId="0" xfId="0" applyNumberFormat="1" applyFont="1" applyFill="1"/>
    <xf numFmtId="4" fontId="6" fillId="2" borderId="0" xfId="0" applyNumberFormat="1" applyFont="1" applyFill="1" applyBorder="1"/>
    <xf numFmtId="9" fontId="7" fillId="0" borderId="0" xfId="0" applyNumberFormat="1" applyFont="1" applyBorder="1" applyAlignment="1">
      <alignment horizontal="right"/>
    </xf>
    <xf numFmtId="9" fontId="7" fillId="0" borderId="1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2" fontId="6" fillId="0" borderId="0" xfId="0" applyNumberFormat="1" applyFont="1" applyBorder="1" applyAlignment="1">
      <alignment horizontal="right"/>
    </xf>
    <xf numFmtId="9" fontId="5" fillId="0" borderId="0" xfId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Alignment="1">
      <alignment horizontal="right"/>
    </xf>
    <xf numFmtId="165" fontId="6" fillId="0" borderId="0" xfId="0" applyNumberFormat="1" applyFont="1" applyAlignment="1">
      <alignment horizontal="right"/>
    </xf>
    <xf numFmtId="3" fontId="6" fillId="0" borderId="0" xfId="0" applyNumberFormat="1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9" fontId="6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right"/>
    </xf>
    <xf numFmtId="14" fontId="6" fillId="0" borderId="0" xfId="0" applyNumberFormat="1" applyFont="1" applyBorder="1" applyAlignment="1">
      <alignment horizontal="right"/>
    </xf>
    <xf numFmtId="14" fontId="6" fillId="0" borderId="1" xfId="0" applyNumberFormat="1" applyFont="1" applyBorder="1" applyAlignment="1">
      <alignment horizontal="right"/>
    </xf>
    <xf numFmtId="4" fontId="6" fillId="2" borderId="0" xfId="0" applyNumberFormat="1" applyFont="1" applyFill="1" applyBorder="1" applyAlignment="1">
      <alignment horizontal="right"/>
    </xf>
    <xf numFmtId="4" fontId="6" fillId="2" borderId="1" xfId="0" applyNumberFormat="1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/>
    <xf numFmtId="3" fontId="5" fillId="0" borderId="0" xfId="0" applyNumberFormat="1" applyFont="1" applyFill="1" applyBorder="1"/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4" applyBorder="1"/>
    <xf numFmtId="0" fontId="8" fillId="0" borderId="0" xfId="0" applyFont="1"/>
    <xf numFmtId="9" fontId="6" fillId="0" borderId="0" xfId="0" applyNumberFormat="1" applyFont="1" applyBorder="1"/>
    <xf numFmtId="168" fontId="6" fillId="0" borderId="0" xfId="0" applyNumberFormat="1" applyFont="1" applyBorder="1"/>
    <xf numFmtId="168" fontId="6" fillId="0" borderId="0" xfId="0" applyNumberFormat="1" applyFont="1" applyBorder="1" applyAlignment="1">
      <alignment horizontal="right"/>
    </xf>
    <xf numFmtId="168" fontId="6" fillId="0" borderId="1" xfId="0" applyNumberFormat="1" applyFont="1" applyBorder="1" applyAlignment="1">
      <alignment horizontal="right"/>
    </xf>
    <xf numFmtId="168" fontId="6" fillId="0" borderId="0" xfId="0" applyNumberFormat="1" applyFont="1" applyAlignment="1">
      <alignment horizontal="right"/>
    </xf>
    <xf numFmtId="168" fontId="6" fillId="0" borderId="0" xfId="0" applyNumberFormat="1" applyFont="1"/>
    <xf numFmtId="0" fontId="4" fillId="0" borderId="0" xfId="4"/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7</xdr:row>
      <xdr:rowOff>152400</xdr:rowOff>
    </xdr:from>
    <xdr:to>
      <xdr:col>4</xdr:col>
      <xdr:colOff>165100</xdr:colOff>
      <xdr:row>61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188460" y="1290320"/>
          <a:ext cx="0" cy="895096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165100</xdr:colOff>
      <xdr:row>0</xdr:row>
      <xdr:rowOff>152400</xdr:rowOff>
    </xdr:from>
    <xdr:to>
      <xdr:col>16</xdr:col>
      <xdr:colOff>165100</xdr:colOff>
      <xdr:row>57</xdr:row>
      <xdr:rowOff>10160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20647660" y="152400"/>
          <a:ext cx="0" cy="94488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crucially" TargetMode="External"/><Relationship Id="rId2" Type="http://schemas.openxmlformats.org/officeDocument/2006/relationships/hyperlink" Target="http://www.worldgovernmentbonds.com/country/united-states/" TargetMode="External"/><Relationship Id="rId1" Type="http://schemas.openxmlformats.org/officeDocument/2006/relationships/hyperlink" Target="https://investors.fastly.com/news/default.aspx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bloomberg.com/profile/person/2104541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action=getcompany&amp;CIK=0001517413&amp;type=&amp;dateb=&amp;owner=exclude&amp;start=0&amp;count=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V60"/>
  <sheetViews>
    <sheetView tabSelected="1" zoomScale="125" zoomScaleNormal="125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H44" sqref="H44"/>
    </sheetView>
  </sheetViews>
  <sheetFormatPr baseColWidth="10" defaultRowHeight="13" x14ac:dyDescent="0.15"/>
  <cols>
    <col min="1" max="1" width="20.33203125" style="3" bestFit="1" customWidth="1"/>
    <col min="2" max="16384" width="10.83203125" style="3"/>
  </cols>
  <sheetData>
    <row r="1" spans="1:115" x14ac:dyDescent="0.15">
      <c r="A1" s="66" t="s">
        <v>58</v>
      </c>
      <c r="B1" s="2" t="s">
        <v>68</v>
      </c>
    </row>
    <row r="2" spans="1:115" x14ac:dyDescent="0.15">
      <c r="B2" s="3" t="s">
        <v>40</v>
      </c>
      <c r="C2" s="4">
        <v>102.4</v>
      </c>
      <c r="D2" s="64">
        <v>44239</v>
      </c>
      <c r="E2" s="6" t="s">
        <v>25</v>
      </c>
      <c r="F2" s="7">
        <v>5.0000000000000001E-3</v>
      </c>
      <c r="I2" s="16"/>
      <c r="L2" s="2"/>
    </row>
    <row r="3" spans="1:115" x14ac:dyDescent="0.15">
      <c r="A3" s="2" t="s">
        <v>38</v>
      </c>
      <c r="B3" s="3" t="s">
        <v>17</v>
      </c>
      <c r="C3" s="8">
        <f>Reports!P21</f>
        <v>105.94199999999999</v>
      </c>
      <c r="D3" s="65" t="s">
        <v>67</v>
      </c>
      <c r="E3" s="6" t="s">
        <v>26</v>
      </c>
      <c r="F3" s="7">
        <v>0.02</v>
      </c>
      <c r="G3" s="5" t="s">
        <v>59</v>
      </c>
      <c r="I3" s="16"/>
    </row>
    <row r="4" spans="1:115" x14ac:dyDescent="0.15">
      <c r="A4" s="74" t="s">
        <v>84</v>
      </c>
      <c r="B4" s="3" t="s">
        <v>41</v>
      </c>
      <c r="C4" s="10">
        <f>C2*C3</f>
        <v>10848.460800000001</v>
      </c>
      <c r="D4" s="65"/>
      <c r="E4" s="6" t="s">
        <v>27</v>
      </c>
      <c r="F4" s="7">
        <v>7.0000000000000007E-2</v>
      </c>
      <c r="G4" s="5" t="s">
        <v>63</v>
      </c>
      <c r="I4" s="19"/>
      <c r="L4" s="9" t="s">
        <v>64</v>
      </c>
    </row>
    <row r="5" spans="1:115" x14ac:dyDescent="0.15">
      <c r="B5" s="3" t="s">
        <v>22</v>
      </c>
      <c r="C5" s="8">
        <f>Reports!P33</f>
        <v>370</v>
      </c>
      <c r="D5" s="65" t="s">
        <v>67</v>
      </c>
      <c r="E5" s="6" t="s">
        <v>28</v>
      </c>
      <c r="F5" s="11">
        <f>NPV(F4,E26:HV26)</f>
        <v>12421.175042466406</v>
      </c>
      <c r="G5" s="5" t="s">
        <v>65</v>
      </c>
      <c r="I5" s="19"/>
    </row>
    <row r="6" spans="1:115" x14ac:dyDescent="0.15">
      <c r="A6" s="2" t="s">
        <v>39</v>
      </c>
      <c r="B6" s="3" t="s">
        <v>42</v>
      </c>
      <c r="C6" s="10">
        <f>C4-C5</f>
        <v>10478.460800000001</v>
      </c>
      <c r="D6" s="65"/>
      <c r="E6" s="12" t="s">
        <v>29</v>
      </c>
      <c r="F6" s="13">
        <f>F5+C5</f>
        <v>12791.175042466406</v>
      </c>
      <c r="I6" s="19"/>
    </row>
    <row r="7" spans="1:115" x14ac:dyDescent="0.15">
      <c r="A7" s="74" t="s">
        <v>83</v>
      </c>
      <c r="B7" s="5" t="s">
        <v>43</v>
      </c>
      <c r="C7" s="43">
        <f>C6/C3</f>
        <v>98.907522984274422</v>
      </c>
      <c r="D7" s="65"/>
      <c r="E7" s="14" t="s">
        <v>43</v>
      </c>
      <c r="F7" s="42">
        <f>F6/C3</f>
        <v>120.73752659442343</v>
      </c>
      <c r="G7" s="19">
        <f>F7/C2-1</f>
        <v>0.17907740814866613</v>
      </c>
    </row>
    <row r="8" spans="1:115" x14ac:dyDescent="0.15">
      <c r="A8" s="9"/>
      <c r="C8" s="6"/>
      <c r="D8" s="15"/>
    </row>
    <row r="9" spans="1:115" x14ac:dyDescent="0.15">
      <c r="B9" s="38">
        <v>2017</v>
      </c>
      <c r="C9" s="38">
        <f>B9+1</f>
        <v>2018</v>
      </c>
      <c r="D9" s="38">
        <f t="shared" ref="D9:S9" si="0">C9+1</f>
        <v>2019</v>
      </c>
      <c r="E9" s="38">
        <f t="shared" si="0"/>
        <v>2020</v>
      </c>
      <c r="F9" s="38">
        <f t="shared" si="0"/>
        <v>2021</v>
      </c>
      <c r="G9" s="38">
        <f t="shared" si="0"/>
        <v>2022</v>
      </c>
      <c r="H9" s="38">
        <f t="shared" si="0"/>
        <v>2023</v>
      </c>
      <c r="I9" s="38">
        <f t="shared" si="0"/>
        <v>2024</v>
      </c>
      <c r="J9" s="38">
        <f t="shared" si="0"/>
        <v>2025</v>
      </c>
      <c r="K9" s="38">
        <f t="shared" si="0"/>
        <v>2026</v>
      </c>
      <c r="L9" s="38">
        <f t="shared" si="0"/>
        <v>2027</v>
      </c>
      <c r="M9" s="38">
        <f t="shared" si="0"/>
        <v>2028</v>
      </c>
      <c r="N9" s="38">
        <f t="shared" si="0"/>
        <v>2029</v>
      </c>
      <c r="O9" s="38">
        <f t="shared" si="0"/>
        <v>2030</v>
      </c>
      <c r="P9" s="38">
        <f t="shared" si="0"/>
        <v>2031</v>
      </c>
      <c r="Q9" s="38">
        <f t="shared" si="0"/>
        <v>2032</v>
      </c>
      <c r="R9" s="38">
        <f t="shared" si="0"/>
        <v>2033</v>
      </c>
      <c r="S9" s="38">
        <f t="shared" si="0"/>
        <v>2034</v>
      </c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</row>
    <row r="10" spans="1:115" x14ac:dyDescent="0.15">
      <c r="A10" s="8" t="s">
        <v>78</v>
      </c>
      <c r="B10" s="37">
        <f>SUM(Reports!B3:E3)</f>
        <v>104.9</v>
      </c>
      <c r="C10" s="37">
        <f>SUM(Reports!F3:I3)</f>
        <v>144.56299999999999</v>
      </c>
      <c r="D10" s="37">
        <f>SUM(Reports!J3:M3)</f>
        <v>200.46200000000002</v>
      </c>
      <c r="E10" s="37">
        <f>SUM(Reports!N3:Q3)</f>
        <v>288.22500000000002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</row>
    <row r="11" spans="1:115" x14ac:dyDescent="0.15">
      <c r="A11" s="8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</row>
    <row r="12" spans="1:115" s="73" customFormat="1" x14ac:dyDescent="0.15">
      <c r="A12" s="69" t="s">
        <v>69</v>
      </c>
      <c r="B12" s="72">
        <f>Reports!E5</f>
        <v>1.439E-3</v>
      </c>
      <c r="C12" s="72">
        <f>Reports!I5</f>
        <v>1.5820000000000001E-3</v>
      </c>
      <c r="D12" s="72">
        <f>Reports!M5</f>
        <v>1.743E-3</v>
      </c>
      <c r="E12" s="72">
        <f>Reports!Q5</f>
        <v>2.0915999999999999E-3</v>
      </c>
      <c r="F12" s="72">
        <f>E12*1.2</f>
        <v>2.5099199999999997E-3</v>
      </c>
      <c r="G12" s="72">
        <f t="shared" ref="G12:I12" si="1">F12*1.2</f>
        <v>3.0119039999999997E-3</v>
      </c>
      <c r="H12" s="72">
        <f t="shared" si="1"/>
        <v>3.6142847999999996E-3</v>
      </c>
      <c r="I12" s="72">
        <f t="shared" si="1"/>
        <v>4.3371417599999997E-3</v>
      </c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72"/>
      <c r="BY12" s="72"/>
      <c r="BZ12" s="72"/>
      <c r="CA12" s="72"/>
      <c r="CB12" s="72"/>
      <c r="CC12" s="72"/>
      <c r="CD12" s="72"/>
      <c r="CE12" s="72"/>
      <c r="CF12" s="72"/>
      <c r="CG12" s="72"/>
      <c r="CH12" s="72"/>
      <c r="CI12" s="72"/>
      <c r="CJ12" s="72"/>
      <c r="CK12" s="72"/>
      <c r="CL12" s="72"/>
      <c r="CM12" s="72"/>
      <c r="CN12" s="72"/>
      <c r="CO12" s="72"/>
      <c r="CP12" s="72"/>
      <c r="CQ12" s="72"/>
      <c r="CR12" s="72"/>
      <c r="CS12" s="72"/>
      <c r="CT12" s="72"/>
      <c r="CU12" s="72"/>
      <c r="CV12" s="72"/>
      <c r="CW12" s="72"/>
      <c r="CX12" s="72"/>
      <c r="CY12" s="72"/>
      <c r="CZ12" s="72"/>
      <c r="DA12" s="72"/>
      <c r="DB12" s="72"/>
      <c r="DC12" s="72"/>
      <c r="DD12" s="72"/>
      <c r="DE12" s="72"/>
      <c r="DF12" s="72"/>
      <c r="DG12" s="72"/>
      <c r="DH12" s="72"/>
      <c r="DI12" s="72"/>
      <c r="DJ12" s="72"/>
      <c r="DK12" s="72"/>
    </row>
    <row r="13" spans="1:115" x14ac:dyDescent="0.15">
      <c r="A13" s="8" t="s">
        <v>79</v>
      </c>
      <c r="B13" s="54">
        <f>SUM(B10)/B12</f>
        <v>72897.84572619875</v>
      </c>
      <c r="C13" s="54">
        <f>SUM(C10)/C12</f>
        <v>91379.898862199741</v>
      </c>
      <c r="D13" s="54">
        <f>SUM(D10)/D12</f>
        <v>115009.75329890994</v>
      </c>
      <c r="E13" s="54">
        <f>SUM(E10)/E12</f>
        <v>137801.20481927713</v>
      </c>
      <c r="F13" s="37">
        <f>E13*1.15</f>
        <v>158471.38554216869</v>
      </c>
      <c r="G13" s="37">
        <f t="shared" ref="G13:I13" si="2">F13*1.15</f>
        <v>182242.09337349399</v>
      </c>
      <c r="H13" s="37">
        <f t="shared" si="2"/>
        <v>209578.40737951806</v>
      </c>
      <c r="I13" s="37">
        <f t="shared" si="2"/>
        <v>241015.16848644576</v>
      </c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</row>
    <row r="14" spans="1:115" s="38" customFormat="1" x14ac:dyDescent="0.15">
      <c r="D14" s="37">
        <v>194</v>
      </c>
      <c r="E14" s="37">
        <v>288</v>
      </c>
      <c r="F14" s="37"/>
      <c r="G14" s="37"/>
    </row>
    <row r="15" spans="1:115" x14ac:dyDescent="0.15">
      <c r="A15" s="2" t="s">
        <v>4</v>
      </c>
      <c r="B15" s="24">
        <f>B13*B12</f>
        <v>104.89999999999999</v>
      </c>
      <c r="C15" s="24">
        <f>C13*C12</f>
        <v>144.56299999999999</v>
      </c>
      <c r="D15" s="24">
        <f>D13*D12</f>
        <v>200.46200000000002</v>
      </c>
      <c r="E15" s="46">
        <f>E13*E12</f>
        <v>288.22500000000002</v>
      </c>
      <c r="F15" s="46">
        <f>F13*F12</f>
        <v>397.75049999999999</v>
      </c>
      <c r="G15" s="46">
        <f>G13*G12</f>
        <v>548.89568999999995</v>
      </c>
      <c r="H15" s="46">
        <f>H13*H12</f>
        <v>757.47605219999991</v>
      </c>
      <c r="I15" s="46">
        <f>I13*I12</f>
        <v>1045.3169520359997</v>
      </c>
      <c r="J15" s="46">
        <f>I15*1.2</f>
        <v>1254.3803424431997</v>
      </c>
      <c r="K15" s="46">
        <f t="shared" ref="K15:N15" si="3">J15*1.2</f>
        <v>1505.2564109318396</v>
      </c>
      <c r="L15" s="46">
        <f t="shared" si="3"/>
        <v>1806.3076931182075</v>
      </c>
      <c r="M15" s="46">
        <f t="shared" si="3"/>
        <v>2167.5692317418489</v>
      </c>
      <c r="N15" s="46">
        <f t="shared" si="3"/>
        <v>2601.0830780902184</v>
      </c>
      <c r="O15" s="46">
        <f>N15*1.1</f>
        <v>2861.1913858992402</v>
      </c>
      <c r="P15" s="46">
        <f t="shared" ref="P15:S15" si="4">O15*1.1</f>
        <v>3147.3105244891644</v>
      </c>
      <c r="Q15" s="46">
        <f t="shared" si="4"/>
        <v>3462.0415769380811</v>
      </c>
      <c r="R15" s="46">
        <f t="shared" si="4"/>
        <v>3808.2457346318897</v>
      </c>
      <c r="S15" s="46">
        <f t="shared" si="4"/>
        <v>4189.0703080950789</v>
      </c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</row>
    <row r="16" spans="1:115" x14ac:dyDescent="0.15">
      <c r="A16" s="3" t="s">
        <v>5</v>
      </c>
      <c r="B16" s="37">
        <f>SUM(Reports!B9:E9)</f>
        <v>48.671999999999997</v>
      </c>
      <c r="C16" s="37">
        <f>SUM(Reports!F9:I9)</f>
        <v>65.498999999999995</v>
      </c>
      <c r="D16" s="37">
        <f>SUM(Reports!J9:M9)</f>
        <v>88.322000000000003</v>
      </c>
      <c r="E16" s="23">
        <f>E15-E17</f>
        <v>126.9896960521196</v>
      </c>
      <c r="F16" s="23">
        <f t="shared" ref="F16" si="5">F15-F17</f>
        <v>175.24578055192504</v>
      </c>
      <c r="G16" s="23">
        <f t="shared" ref="G16:N16" si="6">G15-G17</f>
        <v>241.83917716165649</v>
      </c>
      <c r="H16" s="23">
        <f t="shared" si="6"/>
        <v>333.73806448308596</v>
      </c>
      <c r="I16" s="23">
        <f>I15-I17</f>
        <v>460.55852898665864</v>
      </c>
      <c r="J16" s="23">
        <f t="shared" si="6"/>
        <v>552.67023478399028</v>
      </c>
      <c r="K16" s="23">
        <f t="shared" si="6"/>
        <v>663.20428174078836</v>
      </c>
      <c r="L16" s="23">
        <f t="shared" si="6"/>
        <v>795.84513808894599</v>
      </c>
      <c r="M16" s="23">
        <f t="shared" si="6"/>
        <v>955.01416570673518</v>
      </c>
      <c r="N16" s="23">
        <f t="shared" si="6"/>
        <v>1146.016998848082</v>
      </c>
      <c r="O16" s="23">
        <f t="shared" ref="O16:S16" si="7">O15-O17</f>
        <v>1260.6186987328904</v>
      </c>
      <c r="P16" s="23">
        <f t="shared" si="7"/>
        <v>1386.6805686061793</v>
      </c>
      <c r="Q16" s="23">
        <f t="shared" si="7"/>
        <v>1525.3486254667976</v>
      </c>
      <c r="R16" s="23">
        <f t="shared" si="7"/>
        <v>1677.8834880134773</v>
      </c>
      <c r="S16" s="23">
        <f t="shared" si="7"/>
        <v>1845.6718368148254</v>
      </c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</row>
    <row r="17" spans="1:230" x14ac:dyDescent="0.15">
      <c r="A17" s="3" t="s">
        <v>6</v>
      </c>
      <c r="B17" s="26">
        <f>B15-B16</f>
        <v>56.227999999999994</v>
      </c>
      <c r="C17" s="26">
        <f>C15-C16</f>
        <v>79.063999999999993</v>
      </c>
      <c r="D17" s="26">
        <f>D15-D16</f>
        <v>112.14000000000001</v>
      </c>
      <c r="E17" s="23">
        <f>E15*D30</f>
        <v>161.23530394788042</v>
      </c>
      <c r="F17" s="23">
        <f t="shared" ref="F17:S17" si="8">F15*E30</f>
        <v>222.50471944807495</v>
      </c>
      <c r="G17" s="23">
        <f t="shared" si="8"/>
        <v>307.05651283834345</v>
      </c>
      <c r="H17" s="23">
        <f t="shared" si="8"/>
        <v>423.73798771691395</v>
      </c>
      <c r="I17" s="23">
        <f>I15*H30</f>
        <v>584.7584230493411</v>
      </c>
      <c r="J17" s="23">
        <f t="shared" si="8"/>
        <v>701.71010765920937</v>
      </c>
      <c r="K17" s="23">
        <f t="shared" si="8"/>
        <v>842.05212919105122</v>
      </c>
      <c r="L17" s="23">
        <f t="shared" si="8"/>
        <v>1010.4625550292615</v>
      </c>
      <c r="M17" s="23">
        <f t="shared" si="8"/>
        <v>1212.5550660351137</v>
      </c>
      <c r="N17" s="23">
        <f t="shared" si="8"/>
        <v>1455.0660792421363</v>
      </c>
      <c r="O17" s="23">
        <f t="shared" si="8"/>
        <v>1600.5726871663499</v>
      </c>
      <c r="P17" s="23">
        <f t="shared" si="8"/>
        <v>1760.6299558829851</v>
      </c>
      <c r="Q17" s="23">
        <f t="shared" si="8"/>
        <v>1936.6929514712835</v>
      </c>
      <c r="R17" s="23">
        <f t="shared" si="8"/>
        <v>2130.3622466184124</v>
      </c>
      <c r="S17" s="23">
        <f t="shared" si="8"/>
        <v>2343.3984712802535</v>
      </c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</row>
    <row r="18" spans="1:230" x14ac:dyDescent="0.15">
      <c r="A18" s="3" t="s">
        <v>7</v>
      </c>
      <c r="B18" s="37">
        <f>SUM(Reports!B11:E11)</f>
        <v>29</v>
      </c>
      <c r="C18" s="37">
        <f>SUM(Reports!F11:I11)</f>
        <v>34</v>
      </c>
      <c r="D18" s="37">
        <f>SUM(Reports!J11:M11)</f>
        <v>46</v>
      </c>
      <c r="E18" s="23">
        <f>D18*1.3</f>
        <v>59.800000000000004</v>
      </c>
      <c r="F18" s="23">
        <f t="shared" ref="F18:I18" si="9">E18*1.3</f>
        <v>77.740000000000009</v>
      </c>
      <c r="G18" s="23">
        <f t="shared" si="9"/>
        <v>101.06200000000001</v>
      </c>
      <c r="H18" s="23">
        <f t="shared" si="9"/>
        <v>131.38060000000002</v>
      </c>
      <c r="I18" s="23">
        <f t="shared" si="9"/>
        <v>170.79478000000003</v>
      </c>
      <c r="J18" s="23">
        <f>I18*1.1</f>
        <v>187.87425800000005</v>
      </c>
      <c r="K18" s="23">
        <f t="shared" ref="K18:N18" si="10">J18*1.1</f>
        <v>206.66168380000008</v>
      </c>
      <c r="L18" s="23">
        <f t="shared" si="10"/>
        <v>227.32785218000009</v>
      </c>
      <c r="M18" s="23">
        <f t="shared" si="10"/>
        <v>250.06063739800013</v>
      </c>
      <c r="N18" s="23">
        <f t="shared" si="10"/>
        <v>275.06670113780018</v>
      </c>
      <c r="O18" s="23">
        <f>N18*1.05</f>
        <v>288.8200361946902</v>
      </c>
      <c r="P18" s="23">
        <f t="shared" ref="P18:S18" si="11">O18*1.05</f>
        <v>303.26103800442473</v>
      </c>
      <c r="Q18" s="23">
        <f t="shared" si="11"/>
        <v>318.424089904646</v>
      </c>
      <c r="R18" s="23">
        <f t="shared" si="11"/>
        <v>334.3452943998783</v>
      </c>
      <c r="S18" s="23">
        <f t="shared" si="11"/>
        <v>351.06255911987222</v>
      </c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</row>
    <row r="19" spans="1:230" x14ac:dyDescent="0.15">
      <c r="A19" s="3" t="s">
        <v>8</v>
      </c>
      <c r="B19" s="37">
        <f>SUM(Reports!B12:E12)</f>
        <v>41</v>
      </c>
      <c r="C19" s="37">
        <f>SUM(Reports!F12:I12)</f>
        <v>49</v>
      </c>
      <c r="D19" s="37">
        <f>SUM(Reports!J12:M12)</f>
        <v>72</v>
      </c>
      <c r="E19" s="23">
        <f>D19*1.25</f>
        <v>90</v>
      </c>
      <c r="F19" s="23">
        <f t="shared" ref="F19:I19" si="12">E19*1.25</f>
        <v>112.5</v>
      </c>
      <c r="G19" s="23">
        <f t="shared" si="12"/>
        <v>140.625</v>
      </c>
      <c r="H19" s="23">
        <f t="shared" si="12"/>
        <v>175.78125</v>
      </c>
      <c r="I19" s="23">
        <f t="shared" si="12"/>
        <v>219.7265625</v>
      </c>
      <c r="J19" s="23">
        <f>I19*1.05</f>
        <v>230.712890625</v>
      </c>
      <c r="K19" s="23">
        <f t="shared" ref="K19:N19" si="13">J19*1.05</f>
        <v>242.24853515625</v>
      </c>
      <c r="L19" s="23">
        <f t="shared" si="13"/>
        <v>254.3609619140625</v>
      </c>
      <c r="M19" s="23">
        <f t="shared" si="13"/>
        <v>267.07901000976562</v>
      </c>
      <c r="N19" s="23">
        <f t="shared" si="13"/>
        <v>280.43296051025391</v>
      </c>
      <c r="O19" s="23">
        <f t="shared" ref="O19:S19" si="14">N19*0.98</f>
        <v>274.82430130004883</v>
      </c>
      <c r="P19" s="23">
        <f t="shared" si="14"/>
        <v>269.32781527404785</v>
      </c>
      <c r="Q19" s="23">
        <f t="shared" si="14"/>
        <v>263.9412589685669</v>
      </c>
      <c r="R19" s="23">
        <f t="shared" si="14"/>
        <v>258.66243378919557</v>
      </c>
      <c r="S19" s="23">
        <f t="shared" si="14"/>
        <v>253.48918511341165</v>
      </c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</row>
    <row r="20" spans="1:230" x14ac:dyDescent="0.15">
      <c r="A20" s="3" t="s">
        <v>9</v>
      </c>
      <c r="B20" s="37">
        <f>SUM(Reports!B13:E13)</f>
        <v>17</v>
      </c>
      <c r="C20" s="37">
        <f>SUM(Reports!F13:I13)</f>
        <v>23</v>
      </c>
      <c r="D20" s="37">
        <f>SUM(Reports!J13:M13)</f>
        <v>42</v>
      </c>
      <c r="E20" s="23">
        <f>D20*1.2</f>
        <v>50.4</v>
      </c>
      <c r="F20" s="23">
        <f t="shared" ref="F20:I20" si="15">E20*1.2</f>
        <v>60.48</v>
      </c>
      <c r="G20" s="23">
        <f t="shared" si="15"/>
        <v>72.575999999999993</v>
      </c>
      <c r="H20" s="23">
        <f t="shared" si="15"/>
        <v>87.091199999999986</v>
      </c>
      <c r="I20" s="23">
        <f t="shared" si="15"/>
        <v>104.50943999999998</v>
      </c>
      <c r="J20" s="23">
        <f>I20*1.05</f>
        <v>109.73491199999999</v>
      </c>
      <c r="K20" s="23">
        <f t="shared" ref="K20:N20" si="16">J20*1.05</f>
        <v>115.2216576</v>
      </c>
      <c r="L20" s="23">
        <f t="shared" si="16"/>
        <v>120.98274048</v>
      </c>
      <c r="M20" s="23">
        <f t="shared" si="16"/>
        <v>127.03187750400001</v>
      </c>
      <c r="N20" s="23">
        <f t="shared" si="16"/>
        <v>133.38347137920002</v>
      </c>
      <c r="O20" s="23">
        <f t="shared" ref="O20:S20" si="17">N20*0.98</f>
        <v>130.71580195161602</v>
      </c>
      <c r="P20" s="23">
        <f t="shared" si="17"/>
        <v>128.10148591258368</v>
      </c>
      <c r="Q20" s="23">
        <f t="shared" si="17"/>
        <v>125.539456194332</v>
      </c>
      <c r="R20" s="23">
        <f t="shared" si="17"/>
        <v>123.02866707044537</v>
      </c>
      <c r="S20" s="23">
        <f t="shared" si="17"/>
        <v>120.56809372903646</v>
      </c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</row>
    <row r="21" spans="1:230" x14ac:dyDescent="0.15">
      <c r="A21" s="3" t="s">
        <v>10</v>
      </c>
      <c r="B21" s="26">
        <f>SUM(B18:B20)</f>
        <v>87</v>
      </c>
      <c r="C21" s="26">
        <f>SUM(C18:C20)</f>
        <v>106</v>
      </c>
      <c r="D21" s="26">
        <f>SUM(D18:D20)</f>
        <v>160</v>
      </c>
      <c r="E21" s="23">
        <f t="shared" ref="E21:F21" si="18">SUM(E18:E20)</f>
        <v>200.20000000000002</v>
      </c>
      <c r="F21" s="23">
        <f t="shared" si="18"/>
        <v>250.72</v>
      </c>
      <c r="G21" s="23">
        <f t="shared" ref="G21:N21" si="19">SUM(G18:G20)</f>
        <v>314.26300000000003</v>
      </c>
      <c r="H21" s="23">
        <f t="shared" si="19"/>
        <v>394.25305000000003</v>
      </c>
      <c r="I21" s="23">
        <f t="shared" si="19"/>
        <v>495.03078250000004</v>
      </c>
      <c r="J21" s="23">
        <f t="shared" si="19"/>
        <v>528.32206062500006</v>
      </c>
      <c r="K21" s="23">
        <f t="shared" si="19"/>
        <v>564.13187655625006</v>
      </c>
      <c r="L21" s="23">
        <f t="shared" si="19"/>
        <v>602.67155457406261</v>
      </c>
      <c r="M21" s="23">
        <f t="shared" si="19"/>
        <v>644.1715249117658</v>
      </c>
      <c r="N21" s="23">
        <f t="shared" si="19"/>
        <v>688.88313302725419</v>
      </c>
      <c r="O21" s="23">
        <f t="shared" ref="O21:S21" si="20">SUM(O18:O20)</f>
        <v>694.36013944635511</v>
      </c>
      <c r="P21" s="23">
        <f t="shared" si="20"/>
        <v>700.6903391910563</v>
      </c>
      <c r="Q21" s="23">
        <f t="shared" si="20"/>
        <v>707.904805067545</v>
      </c>
      <c r="R21" s="23">
        <f t="shared" si="20"/>
        <v>716.03639525951928</v>
      </c>
      <c r="S21" s="23">
        <f t="shared" si="20"/>
        <v>725.11983796232039</v>
      </c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</row>
    <row r="22" spans="1:230" x14ac:dyDescent="0.15">
      <c r="A22" s="3" t="s">
        <v>11</v>
      </c>
      <c r="B22" s="26">
        <f>B17-B21</f>
        <v>-30.772000000000006</v>
      </c>
      <c r="C22" s="26">
        <f>C17-C21</f>
        <v>-26.936000000000007</v>
      </c>
      <c r="D22" s="26">
        <f>D17-D21</f>
        <v>-47.859999999999985</v>
      </c>
      <c r="E22" s="23">
        <f t="shared" ref="E22:F22" si="21">E17-E21</f>
        <v>-38.964696052119592</v>
      </c>
      <c r="F22" s="23">
        <f t="shared" si="21"/>
        <v>-28.215280551925048</v>
      </c>
      <c r="G22" s="23">
        <f t="shared" ref="G22:N22" si="22">G17-G21</f>
        <v>-7.2064871616565824</v>
      </c>
      <c r="H22" s="23">
        <f t="shared" si="22"/>
        <v>29.484937716913919</v>
      </c>
      <c r="I22" s="23">
        <f t="shared" si="22"/>
        <v>89.727640549341061</v>
      </c>
      <c r="J22" s="23">
        <f t="shared" si="22"/>
        <v>173.38804703420931</v>
      </c>
      <c r="K22" s="23">
        <f t="shared" si="22"/>
        <v>277.92025263480116</v>
      </c>
      <c r="L22" s="23">
        <f t="shared" si="22"/>
        <v>407.79100045519885</v>
      </c>
      <c r="M22" s="23">
        <f t="shared" si="22"/>
        <v>568.38354112334787</v>
      </c>
      <c r="N22" s="23">
        <f t="shared" si="22"/>
        <v>766.18294621488212</v>
      </c>
      <c r="O22" s="23">
        <f t="shared" ref="O22:S22" si="23">O17-O21</f>
        <v>906.21254771999475</v>
      </c>
      <c r="P22" s="23">
        <f t="shared" si="23"/>
        <v>1059.9396166919287</v>
      </c>
      <c r="Q22" s="23">
        <f t="shared" si="23"/>
        <v>1228.7881464037387</v>
      </c>
      <c r="R22" s="23">
        <f t="shared" si="23"/>
        <v>1414.325851358893</v>
      </c>
      <c r="S22" s="23">
        <f t="shared" si="23"/>
        <v>1618.2786333179331</v>
      </c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</row>
    <row r="23" spans="1:230" x14ac:dyDescent="0.15">
      <c r="A23" s="3" t="s">
        <v>12</v>
      </c>
      <c r="B23" s="37">
        <f>SUM(Reports!B16:E16)</f>
        <v>0</v>
      </c>
      <c r="C23" s="23">
        <f>SUM(Reports!F16:I16)</f>
        <v>-2</v>
      </c>
      <c r="D23" s="37">
        <f>SUM(Reports!J16:M16)</f>
        <v>-5</v>
      </c>
      <c r="E23" s="23">
        <f>D40*$F$3</f>
        <v>2.04</v>
      </c>
      <c r="F23" s="23">
        <f>E40*$F$3</f>
        <v>1.3015060789576081</v>
      </c>
      <c r="G23" s="23">
        <f>F40*$F$3</f>
        <v>0.76323058949825917</v>
      </c>
      <c r="H23" s="23">
        <f>G40*$F$3</f>
        <v>0.63436545805509281</v>
      </c>
      <c r="I23" s="23">
        <f>H40*$F$3</f>
        <v>1.176512915204535</v>
      </c>
      <c r="J23" s="23">
        <f>I40*$F$3</f>
        <v>2.8127876775663561</v>
      </c>
      <c r="K23" s="23">
        <f>J40*$F$3</f>
        <v>5.9844027023783184</v>
      </c>
      <c r="L23" s="23">
        <f>K40*$F$3</f>
        <v>11.094686498447548</v>
      </c>
      <c r="M23" s="23">
        <f>L40*$F$3</f>
        <v>18.634628863613184</v>
      </c>
      <c r="N23" s="23">
        <f>M40*$F$3</f>
        <v>29.200955923378483</v>
      </c>
      <c r="O23" s="23">
        <f>N40*$F$3</f>
        <v>43.517866161867168</v>
      </c>
      <c r="P23" s="23">
        <f>O40*$F$3</f>
        <v>60.613013611740683</v>
      </c>
      <c r="Q23" s="23">
        <f>P40*$F$3</f>
        <v>80.782960957206726</v>
      </c>
      <c r="R23" s="23">
        <f>Q40*$F$3</f>
        <v>104.35524088970375</v>
      </c>
      <c r="S23" s="23">
        <f>R40*$F$3</f>
        <v>131.69150055017849</v>
      </c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</row>
    <row r="24" spans="1:230" x14ac:dyDescent="0.15">
      <c r="A24" s="3" t="s">
        <v>13</v>
      </c>
      <c r="B24" s="26">
        <f>B22+B23</f>
        <v>-30.772000000000006</v>
      </c>
      <c r="C24" s="26">
        <f>C22+C23</f>
        <v>-28.936000000000007</v>
      </c>
      <c r="D24" s="26">
        <f>D22+D23</f>
        <v>-52.859999999999985</v>
      </c>
      <c r="E24" s="23">
        <f t="shared" ref="E24:F24" si="24">E22+E23</f>
        <v>-36.924696052119593</v>
      </c>
      <c r="F24" s="23">
        <f t="shared" si="24"/>
        <v>-26.91377447296744</v>
      </c>
      <c r="G24" s="23">
        <f t="shared" ref="G24" si="25">G22+G23</f>
        <v>-6.4432565721583233</v>
      </c>
      <c r="H24" s="23">
        <f t="shared" ref="H24" si="26">H22+H23</f>
        <v>30.119303174969012</v>
      </c>
      <c r="I24" s="23">
        <f t="shared" ref="I24" si="27">I22+I23</f>
        <v>90.904153464545601</v>
      </c>
      <c r="J24" s="23">
        <f t="shared" ref="J24" si="28">J22+J23</f>
        <v>176.20083471177566</v>
      </c>
      <c r="K24" s="23">
        <f t="shared" ref="K24" si="29">K22+K23</f>
        <v>283.90465533717946</v>
      </c>
      <c r="L24" s="23">
        <f t="shared" ref="L24" si="30">L22+L23</f>
        <v>418.88568695364643</v>
      </c>
      <c r="M24" s="23">
        <f t="shared" ref="M24" si="31">M22+M23</f>
        <v>587.01816998696108</v>
      </c>
      <c r="N24" s="23">
        <f t="shared" ref="N24:O24" si="32">N22+N23</f>
        <v>795.38390213826062</v>
      </c>
      <c r="O24" s="23">
        <f t="shared" si="32"/>
        <v>949.73041388186186</v>
      </c>
      <c r="P24" s="23">
        <f t="shared" ref="P24:S24" si="33">P22+P23</f>
        <v>1120.5526303036693</v>
      </c>
      <c r="Q24" s="23">
        <f t="shared" si="33"/>
        <v>1309.5711073609455</v>
      </c>
      <c r="R24" s="23">
        <f t="shared" si="33"/>
        <v>1518.6810922485968</v>
      </c>
      <c r="S24" s="23">
        <f t="shared" si="33"/>
        <v>1749.9701338681116</v>
      </c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</row>
    <row r="25" spans="1:230" x14ac:dyDescent="0.15">
      <c r="A25" s="3" t="s">
        <v>14</v>
      </c>
      <c r="B25" s="37">
        <f>SUM(Reports!B18:E18)</f>
        <v>0</v>
      </c>
      <c r="C25" s="23">
        <f>SUM(Reports!F18:I18)</f>
        <v>0</v>
      </c>
      <c r="D25" s="37">
        <f>SUM(Reports!J18:M18)</f>
        <v>0</v>
      </c>
      <c r="E25" s="23">
        <v>0</v>
      </c>
      <c r="F25" s="23">
        <v>0</v>
      </c>
      <c r="G25" s="23">
        <v>0</v>
      </c>
      <c r="H25" s="23">
        <f t="shared" ref="F25:N25" si="34">H24*0.1</f>
        <v>3.0119303174969012</v>
      </c>
      <c r="I25" s="23">
        <f t="shared" si="34"/>
        <v>9.0904153464545612</v>
      </c>
      <c r="J25" s="23">
        <f t="shared" si="34"/>
        <v>17.620083471177566</v>
      </c>
      <c r="K25" s="23">
        <f t="shared" si="34"/>
        <v>28.390465533717947</v>
      </c>
      <c r="L25" s="23">
        <f t="shared" si="34"/>
        <v>41.888568695364647</v>
      </c>
      <c r="M25" s="23">
        <f t="shared" si="34"/>
        <v>58.70181699869611</v>
      </c>
      <c r="N25" s="23">
        <f t="shared" si="34"/>
        <v>79.538390213826062</v>
      </c>
      <c r="O25" s="23">
        <f t="shared" ref="O25:S25" si="35">O24*0.1</f>
        <v>94.973041388186189</v>
      </c>
      <c r="P25" s="23">
        <f t="shared" si="35"/>
        <v>112.05526303036693</v>
      </c>
      <c r="Q25" s="23">
        <f t="shared" si="35"/>
        <v>130.95711073609456</v>
      </c>
      <c r="R25" s="23">
        <f t="shared" si="35"/>
        <v>151.86810922485969</v>
      </c>
      <c r="S25" s="23">
        <f t="shared" si="35"/>
        <v>174.99701338681118</v>
      </c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</row>
    <row r="26" spans="1:230" s="2" customFormat="1" x14ac:dyDescent="0.15">
      <c r="A26" s="2" t="s">
        <v>15</v>
      </c>
      <c r="B26" s="24">
        <f>B24-B25</f>
        <v>-30.772000000000006</v>
      </c>
      <c r="C26" s="24">
        <f>C24-C25</f>
        <v>-28.936000000000007</v>
      </c>
      <c r="D26" s="24">
        <f t="shared" ref="D26:F26" si="36">D24-D25</f>
        <v>-52.859999999999985</v>
      </c>
      <c r="E26" s="24">
        <f>E24-E25</f>
        <v>-36.924696052119593</v>
      </c>
      <c r="F26" s="24">
        <f t="shared" si="36"/>
        <v>-26.91377447296744</v>
      </c>
      <c r="G26" s="24">
        <f t="shared" ref="G26:N26" si="37">G24-G25</f>
        <v>-6.4432565721583233</v>
      </c>
      <c r="H26" s="24">
        <f t="shared" si="37"/>
        <v>27.107372857472111</v>
      </c>
      <c r="I26" s="24">
        <f t="shared" si="37"/>
        <v>81.813738118091038</v>
      </c>
      <c r="J26" s="24">
        <f t="shared" si="37"/>
        <v>158.58075124059809</v>
      </c>
      <c r="K26" s="24">
        <f t="shared" si="37"/>
        <v>255.51418980346151</v>
      </c>
      <c r="L26" s="24">
        <f t="shared" si="37"/>
        <v>376.99711825828177</v>
      </c>
      <c r="M26" s="24">
        <f t="shared" si="37"/>
        <v>528.31635298826495</v>
      </c>
      <c r="N26" s="24">
        <f t="shared" si="37"/>
        <v>715.8455119244345</v>
      </c>
      <c r="O26" s="24">
        <f t="shared" ref="O26:S26" si="38">O24-O25</f>
        <v>854.75737249367569</v>
      </c>
      <c r="P26" s="24">
        <f t="shared" si="38"/>
        <v>1008.4973672733023</v>
      </c>
      <c r="Q26" s="24">
        <f t="shared" si="38"/>
        <v>1178.6139966248509</v>
      </c>
      <c r="R26" s="24">
        <f t="shared" si="38"/>
        <v>1366.8129830237372</v>
      </c>
      <c r="S26" s="24">
        <f t="shared" si="38"/>
        <v>1574.9731204813004</v>
      </c>
      <c r="T26" s="24">
        <f>S26*($F$2+1)</f>
        <v>1582.8479860837067</v>
      </c>
      <c r="U26" s="24">
        <f>T26*($F$2+1)</f>
        <v>1590.762226014125</v>
      </c>
      <c r="V26" s="24">
        <f>U26*($F$2+1)</f>
        <v>1598.7160371441955</v>
      </c>
      <c r="W26" s="24">
        <f>V26*($F$2+1)</f>
        <v>1606.7096173299162</v>
      </c>
      <c r="X26" s="24">
        <f>W26*($F$2+1)</f>
        <v>1614.7431654165657</v>
      </c>
      <c r="Y26" s="24">
        <f>X26*($F$2+1)</f>
        <v>1622.8168812436484</v>
      </c>
      <c r="Z26" s="24">
        <f>Y26*($F$2+1)</f>
        <v>1630.9309656498665</v>
      </c>
      <c r="AA26" s="24">
        <f>Z26*($F$2+1)</f>
        <v>1639.0856204781157</v>
      </c>
      <c r="AB26" s="24">
        <f>AA26*($F$2+1)</f>
        <v>1647.2810485805062</v>
      </c>
      <c r="AC26" s="24">
        <f>AB26*($F$2+1)</f>
        <v>1655.5174538234085</v>
      </c>
      <c r="AD26" s="24">
        <f>AC26*($F$2+1)</f>
        <v>1663.7950410925253</v>
      </c>
      <c r="AE26" s="24">
        <f>AD26*($F$2+1)</f>
        <v>1672.1140162979877</v>
      </c>
      <c r="AF26" s="24">
        <f>AE26*($F$2+1)</f>
        <v>1680.4745863794776</v>
      </c>
      <c r="AG26" s="24">
        <f>AF26*($F$2+1)</f>
        <v>1688.8769593113748</v>
      </c>
      <c r="AH26" s="24">
        <f>AG26*($F$2+1)</f>
        <v>1697.3213441079315</v>
      </c>
      <c r="AI26" s="24">
        <f>AH26*($F$2+1)</f>
        <v>1705.8079508284709</v>
      </c>
      <c r="AJ26" s="24">
        <f>AI26*($F$2+1)</f>
        <v>1714.336990582613</v>
      </c>
      <c r="AK26" s="24">
        <f>AJ26*($F$2+1)</f>
        <v>1722.9086755355258</v>
      </c>
      <c r="AL26" s="24">
        <f>AK26*($F$2+1)</f>
        <v>1731.5232189132032</v>
      </c>
      <c r="AM26" s="24">
        <f>AL26*($F$2+1)</f>
        <v>1740.180835007769</v>
      </c>
      <c r="AN26" s="24">
        <f>AM26*($F$2+1)</f>
        <v>1748.8817391828077</v>
      </c>
      <c r="AO26" s="24">
        <f>AN26*($F$2+1)</f>
        <v>1757.6261478787214</v>
      </c>
      <c r="AP26" s="24">
        <f>AO26*($F$2+1)</f>
        <v>1766.4142786181148</v>
      </c>
      <c r="AQ26" s="24">
        <f>AP26*($F$2+1)</f>
        <v>1775.2463500112053</v>
      </c>
      <c r="AR26" s="24">
        <f>AQ26*($F$2+1)</f>
        <v>1784.1225817612612</v>
      </c>
      <c r="AS26" s="24">
        <f>AR26*($F$2+1)</f>
        <v>1793.0431946700674</v>
      </c>
      <c r="AT26" s="24">
        <f>AS26*($F$2+1)</f>
        <v>1802.0084106434174</v>
      </c>
      <c r="AU26" s="24">
        <f>AT26*($F$2+1)</f>
        <v>1811.0184526966343</v>
      </c>
      <c r="AV26" s="24">
        <f>AU26*($F$2+1)</f>
        <v>1820.0735449601173</v>
      </c>
      <c r="AW26" s="24">
        <f>AV26*($F$2+1)</f>
        <v>1829.1739126849177</v>
      </c>
      <c r="AX26" s="24">
        <f>AW26*($F$2+1)</f>
        <v>1838.3197822483421</v>
      </c>
      <c r="AY26" s="24">
        <f>AX26*($F$2+1)</f>
        <v>1847.5113811595836</v>
      </c>
      <c r="AZ26" s="24">
        <f>AY26*($F$2+1)</f>
        <v>1856.7489380653813</v>
      </c>
      <c r="BA26" s="24">
        <f>AZ26*($F$2+1)</f>
        <v>1866.032682755708</v>
      </c>
      <c r="BB26" s="24">
        <f>BA26*($F$2+1)</f>
        <v>1875.3628461694864</v>
      </c>
      <c r="BC26" s="24">
        <f>BB26*($F$2+1)</f>
        <v>1884.7396604003336</v>
      </c>
      <c r="BD26" s="24">
        <f>BC26*($F$2+1)</f>
        <v>1894.163358702335</v>
      </c>
      <c r="BE26" s="24">
        <f>BD26*($F$2+1)</f>
        <v>1903.6341754958464</v>
      </c>
      <c r="BF26" s="24">
        <f>BE26*($F$2+1)</f>
        <v>1913.1523463733254</v>
      </c>
      <c r="BG26" s="24">
        <f>BF26*($F$2+1)</f>
        <v>1922.7181081051917</v>
      </c>
      <c r="BH26" s="24">
        <f>BG26*($F$2+1)</f>
        <v>1932.3316986457176</v>
      </c>
      <c r="BI26" s="24">
        <f>BH26*($F$2+1)</f>
        <v>1941.9933571389458</v>
      </c>
      <c r="BJ26" s="24">
        <f>BI26*($F$2+1)</f>
        <v>1951.7033239246405</v>
      </c>
      <c r="BK26" s="24">
        <f>BJ26*($F$2+1)</f>
        <v>1961.4618405442634</v>
      </c>
      <c r="BL26" s="24">
        <f>BK26*($F$2+1)</f>
        <v>1971.2691497469846</v>
      </c>
      <c r="BM26" s="24">
        <f>BL26*($F$2+1)</f>
        <v>1981.1254954957192</v>
      </c>
      <c r="BN26" s="24">
        <f>BM26*($F$2+1)</f>
        <v>1991.0311229731976</v>
      </c>
      <c r="BO26" s="24">
        <f>BN26*($F$2+1)</f>
        <v>2000.9862785880634</v>
      </c>
      <c r="BP26" s="24">
        <f>BO26*($F$2+1)</f>
        <v>2010.9912099810035</v>
      </c>
      <c r="BQ26" s="24">
        <f>BP26*($F$2+1)</f>
        <v>2021.0461660309084</v>
      </c>
      <c r="BR26" s="24">
        <f>BQ26*($F$2+1)</f>
        <v>2031.1513968610627</v>
      </c>
      <c r="BS26" s="24">
        <f>BR26*($F$2+1)</f>
        <v>2041.3071538453678</v>
      </c>
      <c r="BT26" s="24">
        <f>BS26*($F$2+1)</f>
        <v>2051.5136896145946</v>
      </c>
      <c r="BU26" s="24">
        <f>BT26*($F$2+1)</f>
        <v>2061.7712580626671</v>
      </c>
      <c r="BV26" s="24">
        <f>BU26*($F$2+1)</f>
        <v>2072.0801143529802</v>
      </c>
      <c r="BW26" s="24">
        <f>BV26*($F$2+1)</f>
        <v>2082.440514924745</v>
      </c>
      <c r="BX26" s="24">
        <f>BW26*($F$2+1)</f>
        <v>2092.8527174993683</v>
      </c>
      <c r="BY26" s="24">
        <f>BX26*($F$2+1)</f>
        <v>2103.3169810868649</v>
      </c>
      <c r="BZ26" s="24">
        <f>BY26*($F$2+1)</f>
        <v>2113.8335659922991</v>
      </c>
      <c r="CA26" s="24">
        <f>BZ26*($F$2+1)</f>
        <v>2124.4027338222604</v>
      </c>
      <c r="CB26" s="24">
        <f>CA26*($F$2+1)</f>
        <v>2135.0247474913713</v>
      </c>
      <c r="CC26" s="24">
        <f>CB26*($F$2+1)</f>
        <v>2145.6998712288278</v>
      </c>
      <c r="CD26" s="24">
        <f>CC26*($F$2+1)</f>
        <v>2156.4283705849716</v>
      </c>
      <c r="CE26" s="24">
        <f>CD26*($F$2+1)</f>
        <v>2167.2105124378963</v>
      </c>
      <c r="CF26" s="24">
        <f>CE26*($F$2+1)</f>
        <v>2178.0465650000856</v>
      </c>
      <c r="CG26" s="24">
        <f>CF26*($F$2+1)</f>
        <v>2188.9367978250857</v>
      </c>
      <c r="CH26" s="24">
        <f>CG26*($F$2+1)</f>
        <v>2199.8814818142109</v>
      </c>
      <c r="CI26" s="24">
        <f>CH26*($F$2+1)</f>
        <v>2210.8808892232819</v>
      </c>
      <c r="CJ26" s="24">
        <f>CI26*($F$2+1)</f>
        <v>2221.9352936693981</v>
      </c>
      <c r="CK26" s="24">
        <f>CJ26*($F$2+1)</f>
        <v>2233.0449701377447</v>
      </c>
      <c r="CL26" s="24">
        <f>CK26*($F$2+1)</f>
        <v>2244.2101949884332</v>
      </c>
      <c r="CM26" s="24">
        <f>CL26*($F$2+1)</f>
        <v>2255.4312459633752</v>
      </c>
      <c r="CN26" s="24">
        <f>CM26*($F$2+1)</f>
        <v>2266.7084021931919</v>
      </c>
      <c r="CO26" s="24">
        <f>CN26*($F$2+1)</f>
        <v>2278.0419442041575</v>
      </c>
      <c r="CP26" s="24">
        <f>CO26*($F$2+1)</f>
        <v>2289.4321539251782</v>
      </c>
      <c r="CQ26" s="24">
        <f>CP26*($F$2+1)</f>
        <v>2300.8793146948037</v>
      </c>
      <c r="CR26" s="24">
        <f>CQ26*($F$2+1)</f>
        <v>2312.3837112682777</v>
      </c>
      <c r="CS26" s="24">
        <f>CR26*($F$2+1)</f>
        <v>2323.9456298246187</v>
      </c>
      <c r="CT26" s="24">
        <f>CS26*($F$2+1)</f>
        <v>2335.5653579737414</v>
      </c>
      <c r="CU26" s="24">
        <f>CT26*($F$2+1)</f>
        <v>2347.2431847636099</v>
      </c>
      <c r="CV26" s="24">
        <f>CU26*($F$2+1)</f>
        <v>2358.9794006874276</v>
      </c>
      <c r="CW26" s="24">
        <f>CV26*($F$2+1)</f>
        <v>2370.7742976908644</v>
      </c>
      <c r="CX26" s="24">
        <f>CW26*($F$2+1)</f>
        <v>2382.6281691793183</v>
      </c>
      <c r="CY26" s="24">
        <f>CX26*($F$2+1)</f>
        <v>2394.5413100252144</v>
      </c>
      <c r="CZ26" s="24">
        <f>CY26*($F$2+1)</f>
        <v>2406.5140165753401</v>
      </c>
      <c r="DA26" s="24">
        <f>CZ26*($F$2+1)</f>
        <v>2418.5465866582167</v>
      </c>
      <c r="DB26" s="24">
        <f>DA26*($F$2+1)</f>
        <v>2430.6393195915075</v>
      </c>
      <c r="DC26" s="24">
        <f>DB26*($F$2+1)</f>
        <v>2442.792516189465</v>
      </c>
      <c r="DD26" s="24">
        <f>DC26*($F$2+1)</f>
        <v>2455.0064787704123</v>
      </c>
      <c r="DE26" s="24">
        <f>DD26*($F$2+1)</f>
        <v>2467.281511164264</v>
      </c>
      <c r="DF26" s="24">
        <f>DE26*($F$2+1)</f>
        <v>2479.6179187200851</v>
      </c>
      <c r="DG26" s="24">
        <f>DF26*($F$2+1)</f>
        <v>2492.0160083136852</v>
      </c>
      <c r="DH26" s="24">
        <f>DG26*($F$2+1)</f>
        <v>2504.4760883552535</v>
      </c>
      <c r="DI26" s="24">
        <f>DH26*($F$2+1)</f>
        <v>2516.9984687970295</v>
      </c>
      <c r="DJ26" s="24">
        <f>DI26*($F$2+1)</f>
        <v>2529.5834611410146</v>
      </c>
      <c r="DK26" s="24">
        <f>DJ26*($F$2+1)</f>
        <v>2542.2313784467192</v>
      </c>
      <c r="DL26" s="24">
        <f>DK26*($F$2+1)</f>
        <v>2554.9425353389524</v>
      </c>
      <c r="DM26" s="24">
        <f>DL26*($F$2+1)</f>
        <v>2567.7172480156469</v>
      </c>
      <c r="DN26" s="24">
        <f>DM26*($F$2+1)</f>
        <v>2580.5558342557247</v>
      </c>
      <c r="DO26" s="24">
        <f>DN26*($F$2+1)</f>
        <v>2593.458613427003</v>
      </c>
      <c r="DP26" s="24">
        <f>DO26*($F$2+1)</f>
        <v>2606.425906494138</v>
      </c>
      <c r="DQ26" s="24">
        <f>DP26*($F$2+1)</f>
        <v>2619.4580360266082</v>
      </c>
      <c r="DR26" s="24">
        <f>DQ26*($F$2+1)</f>
        <v>2632.555326206741</v>
      </c>
      <c r="DS26" s="24">
        <f>DR26*($F$2+1)</f>
        <v>2645.7181028377745</v>
      </c>
      <c r="DT26" s="24">
        <f>DS26*($F$2+1)</f>
        <v>2658.9466933519629</v>
      </c>
      <c r="DU26" s="24">
        <f>DT26*($F$2+1)</f>
        <v>2672.2414268187226</v>
      </c>
      <c r="DV26" s="24">
        <f>DU26*($F$2+1)</f>
        <v>2685.6026339528162</v>
      </c>
      <c r="DW26" s="24">
        <f>DV26*($F$2+1)</f>
        <v>2699.0306471225799</v>
      </c>
      <c r="DX26" s="24">
        <f>DW26*($F$2+1)</f>
        <v>2712.5258003581926</v>
      </c>
      <c r="DY26" s="24">
        <f>DX26*($F$2+1)</f>
        <v>2726.0884293599834</v>
      </c>
      <c r="DZ26" s="24">
        <f>DY26*($F$2+1)</f>
        <v>2739.7188715067832</v>
      </c>
      <c r="EA26" s="24">
        <f>DZ26*($F$2+1)</f>
        <v>2753.4174658643169</v>
      </c>
      <c r="EB26" s="24">
        <f>EA26*($F$2+1)</f>
        <v>2767.1845531936383</v>
      </c>
      <c r="EC26" s="24">
        <f>EB26*($F$2+1)</f>
        <v>2781.0204759596063</v>
      </c>
      <c r="ED26" s="24">
        <f>EC26*($F$2+1)</f>
        <v>2794.9255783394042</v>
      </c>
      <c r="EE26" s="24">
        <f>ED26*($F$2+1)</f>
        <v>2808.900206231101</v>
      </c>
      <c r="EF26" s="24">
        <f>EE26*($F$2+1)</f>
        <v>2822.9447072622561</v>
      </c>
      <c r="EG26" s="24">
        <f>EF26*($F$2+1)</f>
        <v>2837.0594307985671</v>
      </c>
      <c r="EH26" s="24">
        <f>EG26*($F$2+1)</f>
        <v>2851.2447279525595</v>
      </c>
      <c r="EI26" s="24">
        <f>EH26*($F$2+1)</f>
        <v>2865.5009515923221</v>
      </c>
      <c r="EJ26" s="24">
        <f>EI26*($F$2+1)</f>
        <v>2879.8284563502834</v>
      </c>
      <c r="EK26" s="24">
        <f>EJ26*($F$2+1)</f>
        <v>2894.2275986320346</v>
      </c>
      <c r="EL26" s="24">
        <f>EK26*($F$2+1)</f>
        <v>2908.6987366251947</v>
      </c>
      <c r="EM26" s="24">
        <f>EL26*($F$2+1)</f>
        <v>2923.2422303083204</v>
      </c>
      <c r="EN26" s="24">
        <f>EM26*($F$2+1)</f>
        <v>2937.8584414598618</v>
      </c>
      <c r="EO26" s="24">
        <f>EN26*($F$2+1)</f>
        <v>2952.5477336671606</v>
      </c>
      <c r="EP26" s="24">
        <f>EO26*($F$2+1)</f>
        <v>2967.3104723354963</v>
      </c>
      <c r="EQ26" s="24">
        <f>EP26*($F$2+1)</f>
        <v>2982.1470246971735</v>
      </c>
      <c r="ER26" s="24">
        <f>EQ26*($F$2+1)</f>
        <v>2997.0577598206592</v>
      </c>
      <c r="ES26" s="24">
        <f>ER26*($F$2+1)</f>
        <v>3012.043048619762</v>
      </c>
      <c r="ET26" s="24">
        <f>ES26*($F$2+1)</f>
        <v>3027.1032638628603</v>
      </c>
      <c r="EU26" s="24">
        <f>ET26*($F$2+1)</f>
        <v>3042.2387801821742</v>
      </c>
      <c r="EV26" s="24">
        <f>EU26*($F$2+1)</f>
        <v>3057.4499740830847</v>
      </c>
      <c r="EW26" s="24">
        <f>EV26*($F$2+1)</f>
        <v>3072.7372239534998</v>
      </c>
      <c r="EX26" s="24">
        <f>EW26*($F$2+1)</f>
        <v>3088.1009100732667</v>
      </c>
      <c r="EY26" s="24">
        <f>EX26*($F$2+1)</f>
        <v>3103.5414146236326</v>
      </c>
      <c r="EZ26" s="24">
        <f>EY26*($F$2+1)</f>
        <v>3119.0591216967505</v>
      </c>
      <c r="FA26" s="24">
        <f>EZ26*($F$2+1)</f>
        <v>3134.6544173052339</v>
      </c>
      <c r="FB26" s="24">
        <f>FA26*($F$2+1)</f>
        <v>3150.3276893917596</v>
      </c>
      <c r="FC26" s="24">
        <f>FB26*($F$2+1)</f>
        <v>3166.0793278387182</v>
      </c>
      <c r="FD26" s="24">
        <f>FC26*($F$2+1)</f>
        <v>3181.9097244779114</v>
      </c>
      <c r="FE26" s="24">
        <f>FD26*($F$2+1)</f>
        <v>3197.8192731003005</v>
      </c>
      <c r="FF26" s="24">
        <f>FE26*($F$2+1)</f>
        <v>3213.8083694658017</v>
      </c>
      <c r="FG26" s="24">
        <f>FF26*($F$2+1)</f>
        <v>3229.8774113131303</v>
      </c>
      <c r="FH26" s="24">
        <f>FG26*($F$2+1)</f>
        <v>3246.0267983696958</v>
      </c>
      <c r="FI26" s="24">
        <f>FH26*($F$2+1)</f>
        <v>3262.2569323615439</v>
      </c>
      <c r="FJ26" s="24">
        <f>FI26*($F$2+1)</f>
        <v>3278.5682170233513</v>
      </c>
      <c r="FK26" s="24">
        <f>FJ26*($F$2+1)</f>
        <v>3294.9610581084676</v>
      </c>
      <c r="FL26" s="24">
        <f>FK26*($F$2+1)</f>
        <v>3311.4358633990096</v>
      </c>
      <c r="FM26" s="24">
        <f>FL26*($F$2+1)</f>
        <v>3327.9930427160043</v>
      </c>
      <c r="FN26" s="24">
        <f>FM26*($F$2+1)</f>
        <v>3344.633007929584</v>
      </c>
      <c r="FO26" s="24">
        <f>FN26*($F$2+1)</f>
        <v>3361.3561729692315</v>
      </c>
      <c r="FP26" s="24">
        <f>FO26*($F$2+1)</f>
        <v>3378.1629538340771</v>
      </c>
      <c r="FQ26" s="24">
        <f>FP26*($F$2+1)</f>
        <v>3395.0537686032471</v>
      </c>
      <c r="FR26" s="24">
        <f>FQ26*($F$2+1)</f>
        <v>3412.0290374462629</v>
      </c>
      <c r="FS26" s="24">
        <f>FR26*($F$2+1)</f>
        <v>3429.0891826334937</v>
      </c>
      <c r="FT26" s="24">
        <f>FS26*($F$2+1)</f>
        <v>3446.2346285466606</v>
      </c>
      <c r="FU26" s="24">
        <f>FT26*($F$2+1)</f>
        <v>3463.4658016893936</v>
      </c>
      <c r="FV26" s="24">
        <f>FU26*($F$2+1)</f>
        <v>3480.7831306978401</v>
      </c>
      <c r="FW26" s="24">
        <f>FV26*($F$2+1)</f>
        <v>3498.1870463513287</v>
      </c>
      <c r="FX26" s="24">
        <f>FW26*($F$2+1)</f>
        <v>3515.6779815830851</v>
      </c>
      <c r="FY26" s="24">
        <f>FX26*($F$2+1)</f>
        <v>3533.2563714910002</v>
      </c>
      <c r="FZ26" s="24">
        <f>FY26*($F$2+1)</f>
        <v>3550.9226533484548</v>
      </c>
      <c r="GA26" s="24">
        <f>FZ26*($F$2+1)</f>
        <v>3568.6772666151965</v>
      </c>
      <c r="GB26" s="24">
        <f>GA26*($F$2+1)</f>
        <v>3586.5206529482721</v>
      </c>
      <c r="GC26" s="24">
        <f>GB26*($F$2+1)</f>
        <v>3604.453256213013</v>
      </c>
      <c r="GD26" s="24">
        <f>GC26*($F$2+1)</f>
        <v>3622.4755224940777</v>
      </c>
      <c r="GE26" s="24">
        <f>GD26*($F$2+1)</f>
        <v>3640.5879001065477</v>
      </c>
      <c r="GF26" s="24">
        <f>GE26*($F$2+1)</f>
        <v>3658.7908396070802</v>
      </c>
      <c r="GG26" s="24">
        <f>GF26*($F$2+1)</f>
        <v>3677.0847938051152</v>
      </c>
      <c r="GH26" s="24">
        <f>GG26*($F$2+1)</f>
        <v>3695.4702177741406</v>
      </c>
      <c r="GI26" s="24">
        <f>GH26*($F$2+1)</f>
        <v>3713.9475688630109</v>
      </c>
      <c r="GJ26" s="24">
        <f>GI26*($F$2+1)</f>
        <v>3732.5173067073256</v>
      </c>
      <c r="GK26" s="24">
        <f>GJ26*($F$2+1)</f>
        <v>3751.1798932408619</v>
      </c>
      <c r="GL26" s="24">
        <f>GK26*($F$2+1)</f>
        <v>3769.935792707066</v>
      </c>
      <c r="GM26" s="24">
        <f>GL26*($F$2+1)</f>
        <v>3788.7854716706011</v>
      </c>
      <c r="GN26" s="24">
        <f>GM26*($F$2+1)</f>
        <v>3807.7293990289536</v>
      </c>
      <c r="GO26" s="24">
        <f>GN26*($F$2+1)</f>
        <v>3826.7680460240981</v>
      </c>
      <c r="GP26" s="24">
        <f>GO26*($F$2+1)</f>
        <v>3845.901886254218</v>
      </c>
      <c r="GQ26" s="24">
        <f t="shared" ref="GQ26:HV26" si="39">GP26*($F$2+1)</f>
        <v>3865.1313956854888</v>
      </c>
      <c r="GR26" s="24">
        <f t="shared" si="39"/>
        <v>3884.4570526639159</v>
      </c>
      <c r="GS26" s="24">
        <f t="shared" si="39"/>
        <v>3903.8793379272352</v>
      </c>
      <c r="GT26" s="24">
        <f t="shared" si="39"/>
        <v>3923.398734616871</v>
      </c>
      <c r="GU26" s="24">
        <f t="shared" si="39"/>
        <v>3943.015728289955</v>
      </c>
      <c r="GV26" s="24">
        <f t="shared" si="39"/>
        <v>3962.7308069314045</v>
      </c>
      <c r="GW26" s="24">
        <f t="shared" si="39"/>
        <v>3982.5444609660613</v>
      </c>
      <c r="GX26" s="24">
        <f t="shared" si="39"/>
        <v>4002.4571832708912</v>
      </c>
      <c r="GY26" s="24">
        <f t="shared" si="39"/>
        <v>4022.4694691872451</v>
      </c>
      <c r="GZ26" s="24">
        <f t="shared" si="39"/>
        <v>4042.5818165331807</v>
      </c>
      <c r="HA26" s="24">
        <f t="shared" si="39"/>
        <v>4062.7947256158463</v>
      </c>
      <c r="HB26" s="24">
        <f t="shared" si="39"/>
        <v>4083.108699243925</v>
      </c>
      <c r="HC26" s="24">
        <f t="shared" si="39"/>
        <v>4103.5242427401445</v>
      </c>
      <c r="HD26" s="24">
        <f t="shared" si="39"/>
        <v>4124.0418639538448</v>
      </c>
      <c r="HE26" s="24">
        <f t="shared" si="39"/>
        <v>4144.6620732736137</v>
      </c>
      <c r="HF26" s="24">
        <f t="shared" si="39"/>
        <v>4165.3853836399812</v>
      </c>
      <c r="HG26" s="24">
        <f t="shared" si="39"/>
        <v>4186.2123105581804</v>
      </c>
      <c r="HH26" s="24">
        <f t="shared" si="39"/>
        <v>4207.1433721109706</v>
      </c>
      <c r="HI26" s="24">
        <f t="shared" si="39"/>
        <v>4228.1790889715248</v>
      </c>
      <c r="HJ26" s="24">
        <f t="shared" si="39"/>
        <v>4249.3199844163819</v>
      </c>
      <c r="HK26" s="24">
        <f t="shared" si="39"/>
        <v>4270.5665843384631</v>
      </c>
      <c r="HL26" s="24">
        <f t="shared" si="39"/>
        <v>4291.9194172601547</v>
      </c>
      <c r="HM26" s="24">
        <f t="shared" si="39"/>
        <v>4313.3790143464548</v>
      </c>
      <c r="HN26" s="24">
        <f t="shared" si="39"/>
        <v>4334.9459094181866</v>
      </c>
      <c r="HO26" s="24">
        <f t="shared" si="39"/>
        <v>4356.6206389652771</v>
      </c>
      <c r="HP26" s="24">
        <f t="shared" si="39"/>
        <v>4378.4037421601033</v>
      </c>
      <c r="HQ26" s="24">
        <f t="shared" si="39"/>
        <v>4400.295760870903</v>
      </c>
      <c r="HR26" s="24">
        <f t="shared" si="39"/>
        <v>4422.2972396752566</v>
      </c>
      <c r="HS26" s="24">
        <f t="shared" si="39"/>
        <v>4444.4087258736326</v>
      </c>
      <c r="HT26" s="24">
        <f t="shared" si="39"/>
        <v>4466.630769503</v>
      </c>
      <c r="HU26" s="24">
        <f t="shared" si="39"/>
        <v>4488.963923350515</v>
      </c>
      <c r="HV26" s="24">
        <f t="shared" si="39"/>
        <v>4511.4087429672672</v>
      </c>
    </row>
    <row r="27" spans="1:230" x14ac:dyDescent="0.15">
      <c r="A27" s="3" t="s">
        <v>16</v>
      </c>
      <c r="B27" s="28" t="e">
        <f t="shared" ref="B27:E27" si="40">B26/B28</f>
        <v>#DIV/0!</v>
      </c>
      <c r="C27" s="28">
        <f t="shared" si="40"/>
        <v>-1.1675274370561657</v>
      </c>
      <c r="D27" s="28">
        <f t="shared" si="40"/>
        <v>-0.56207134882237209</v>
      </c>
      <c r="E27" s="47">
        <f>E26/E28</f>
        <v>-0.39262795525673444</v>
      </c>
      <c r="F27" s="47">
        <f t="shared" ref="F27" si="41">F26/F28</f>
        <v>-0.28617974876885999</v>
      </c>
      <c r="G27" s="47">
        <f t="shared" ref="G27:N27" si="42">G26/G28</f>
        <v>-6.8512484152887687E-2</v>
      </c>
      <c r="H27" s="47">
        <f t="shared" si="42"/>
        <v>0.28823832056432674</v>
      </c>
      <c r="I27" s="47">
        <f t="shared" si="42"/>
        <v>0.8699424543366584</v>
      </c>
      <c r="J27" s="47">
        <f t="shared" si="42"/>
        <v>1.686222034564284</v>
      </c>
      <c r="K27" s="47">
        <f t="shared" si="42"/>
        <v>2.7169354011745601</v>
      </c>
      <c r="L27" s="47">
        <f t="shared" si="42"/>
        <v>4.0086885879981047</v>
      </c>
      <c r="M27" s="47">
        <f t="shared" si="42"/>
        <v>5.6176974106891908</v>
      </c>
      <c r="N27" s="47">
        <f t="shared" si="42"/>
        <v>7.6117338712790099</v>
      </c>
      <c r="O27" s="47">
        <f t="shared" ref="O27:S27" si="43">O26/O28</f>
        <v>9.0888125099013841</v>
      </c>
      <c r="P27" s="47">
        <f t="shared" si="43"/>
        <v>10.723561776525091</v>
      </c>
      <c r="Q27" s="47">
        <f t="shared" si="43"/>
        <v>12.532447196819085</v>
      </c>
      <c r="R27" s="47">
        <f t="shared" si="43"/>
        <v>14.533606071813889</v>
      </c>
      <c r="S27" s="47">
        <f t="shared" si="43"/>
        <v>16.747016008095066</v>
      </c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</row>
    <row r="28" spans="1:230" s="16" customFormat="1" x14ac:dyDescent="0.15">
      <c r="A28" s="16" t="s">
        <v>17</v>
      </c>
      <c r="B28" s="23"/>
      <c r="C28" s="23">
        <f>Reports!I21</f>
        <v>24.783999999999999</v>
      </c>
      <c r="D28" s="23">
        <f>Reports!M21</f>
        <v>94.045000000000002</v>
      </c>
      <c r="E28" s="23">
        <f t="shared" ref="E28" si="44">D28</f>
        <v>94.045000000000002</v>
      </c>
      <c r="F28" s="23">
        <f t="shared" ref="F28" si="45">E28</f>
        <v>94.045000000000002</v>
      </c>
      <c r="G28" s="23">
        <f t="shared" ref="G28" si="46">F28</f>
        <v>94.045000000000002</v>
      </c>
      <c r="H28" s="23">
        <f t="shared" ref="H28" si="47">G28</f>
        <v>94.045000000000002</v>
      </c>
      <c r="I28" s="23">
        <f t="shared" ref="I28" si="48">H28</f>
        <v>94.045000000000002</v>
      </c>
      <c r="J28" s="23">
        <f t="shared" ref="J28" si="49">I28</f>
        <v>94.045000000000002</v>
      </c>
      <c r="K28" s="23">
        <f t="shared" ref="K28" si="50">J28</f>
        <v>94.045000000000002</v>
      </c>
      <c r="L28" s="23">
        <f t="shared" ref="L28" si="51">K28</f>
        <v>94.045000000000002</v>
      </c>
      <c r="M28" s="23">
        <f t="shared" ref="M28" si="52">L28</f>
        <v>94.045000000000002</v>
      </c>
      <c r="N28" s="23">
        <f t="shared" ref="N28:S28" si="53">M28</f>
        <v>94.045000000000002</v>
      </c>
      <c r="O28" s="23">
        <f t="shared" si="53"/>
        <v>94.045000000000002</v>
      </c>
      <c r="P28" s="23">
        <f t="shared" si="53"/>
        <v>94.045000000000002</v>
      </c>
      <c r="Q28" s="23">
        <f t="shared" si="53"/>
        <v>94.045000000000002</v>
      </c>
      <c r="R28" s="23">
        <f t="shared" si="53"/>
        <v>94.045000000000002</v>
      </c>
      <c r="S28" s="23">
        <f t="shared" si="53"/>
        <v>94.045000000000002</v>
      </c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</row>
    <row r="29" spans="1:230" x14ac:dyDescent="0.15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</row>
    <row r="30" spans="1:230" x14ac:dyDescent="0.15">
      <c r="A30" s="3" t="s">
        <v>19</v>
      </c>
      <c r="B30" s="33">
        <f t="shared" ref="B30:N30" si="54">IFERROR(B17/B15,0)</f>
        <v>0.53601525262154437</v>
      </c>
      <c r="C30" s="33">
        <f>IFERROR(C17/C15,0)</f>
        <v>0.54691726098655946</v>
      </c>
      <c r="D30" s="33">
        <f t="shared" si="54"/>
        <v>0.55940776805579118</v>
      </c>
      <c r="E30" s="33">
        <f t="shared" si="54"/>
        <v>0.55940776805579118</v>
      </c>
      <c r="F30" s="33">
        <f>IFERROR(F17/F15,0)</f>
        <v>0.55940776805579118</v>
      </c>
      <c r="G30" s="33">
        <f t="shared" si="54"/>
        <v>0.55940776805579118</v>
      </c>
      <c r="H30" s="33">
        <f t="shared" si="54"/>
        <v>0.55940776805579118</v>
      </c>
      <c r="I30" s="33">
        <f t="shared" si="54"/>
        <v>0.55940776805579118</v>
      </c>
      <c r="J30" s="33">
        <f t="shared" si="54"/>
        <v>0.55940776805579118</v>
      </c>
      <c r="K30" s="33">
        <f t="shared" si="54"/>
        <v>0.55940776805579118</v>
      </c>
      <c r="L30" s="33">
        <f t="shared" si="54"/>
        <v>0.55940776805579118</v>
      </c>
      <c r="M30" s="33">
        <f t="shared" si="54"/>
        <v>0.55940776805579118</v>
      </c>
      <c r="N30" s="33">
        <f t="shared" si="54"/>
        <v>0.55940776805579118</v>
      </c>
      <c r="O30" s="33">
        <f t="shared" ref="O30:S30" si="55">IFERROR(O17/O15,0)</f>
        <v>0.55940776805579118</v>
      </c>
      <c r="P30" s="33">
        <f t="shared" si="55"/>
        <v>0.55940776805579118</v>
      </c>
      <c r="Q30" s="33">
        <f t="shared" si="55"/>
        <v>0.55940776805579118</v>
      </c>
      <c r="R30" s="33">
        <f t="shared" si="55"/>
        <v>0.55940776805579118</v>
      </c>
      <c r="S30" s="33">
        <f t="shared" si="55"/>
        <v>0.55940776805579118</v>
      </c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</row>
    <row r="31" spans="1:230" x14ac:dyDescent="0.15">
      <c r="A31" s="3" t="s">
        <v>20</v>
      </c>
      <c r="B31" s="35">
        <f t="shared" ref="B31:N31" si="56">IFERROR(B22/B15,0)</f>
        <v>-0.29334604385128704</v>
      </c>
      <c r="C31" s="35">
        <f>IFERROR(C22/C15,0)</f>
        <v>-0.18632706847533609</v>
      </c>
      <c r="D31" s="35">
        <f t="shared" si="56"/>
        <v>-0.23874849098582265</v>
      </c>
      <c r="E31" s="35">
        <f>IFERROR(E22/E15,0)</f>
        <v>-0.13518846752405098</v>
      </c>
      <c r="F31" s="35">
        <f t="shared" si="56"/>
        <v>-7.0937134087637979E-2</v>
      </c>
      <c r="G31" s="35">
        <f t="shared" si="56"/>
        <v>-1.3129064944300406E-2</v>
      </c>
      <c r="H31" s="35">
        <f t="shared" si="56"/>
        <v>3.892524077992749E-2</v>
      </c>
      <c r="I31" s="35">
        <f t="shared" si="56"/>
        <v>8.5837735984837377E-2</v>
      </c>
      <c r="J31" s="35">
        <f t="shared" si="56"/>
        <v>0.13822605566067422</v>
      </c>
      <c r="K31" s="35">
        <f t="shared" si="56"/>
        <v>0.18463316323811746</v>
      </c>
      <c r="L31" s="35">
        <f t="shared" si="56"/>
        <v>0.22575943290770917</v>
      </c>
      <c r="M31" s="35">
        <f t="shared" si="56"/>
        <v>0.26222163186298664</v>
      </c>
      <c r="N31" s="35">
        <f t="shared" si="56"/>
        <v>0.29456304286037382</v>
      </c>
      <c r="O31" s="35">
        <f t="shared" ref="O31:S31" si="57">IFERROR(O22/O15,0)</f>
        <v>0.31672559626247526</v>
      </c>
      <c r="P31" s="35">
        <f t="shared" si="57"/>
        <v>0.3367763074042292</v>
      </c>
      <c r="Q31" s="35">
        <f t="shared" si="57"/>
        <v>0.35493165494867068</v>
      </c>
      <c r="R31" s="35">
        <f t="shared" si="57"/>
        <v>0.37138513371054921</v>
      </c>
      <c r="S31" s="35">
        <f t="shared" si="57"/>
        <v>0.3863097332576933</v>
      </c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</row>
    <row r="32" spans="1:230" x14ac:dyDescent="0.15">
      <c r="A32" s="3" t="s">
        <v>21</v>
      </c>
      <c r="B32" s="35">
        <f t="shared" ref="B32:N32" si="58">IFERROR(B25/B24,0)</f>
        <v>0</v>
      </c>
      <c r="C32" s="35">
        <f>IFERROR(C25/C24,0)</f>
        <v>0</v>
      </c>
      <c r="D32" s="35">
        <f t="shared" si="58"/>
        <v>0</v>
      </c>
      <c r="E32" s="35">
        <f t="shared" si="58"/>
        <v>0</v>
      </c>
      <c r="F32" s="35">
        <f t="shared" si="58"/>
        <v>0</v>
      </c>
      <c r="G32" s="35">
        <f t="shared" si="58"/>
        <v>0</v>
      </c>
      <c r="H32" s="35">
        <f t="shared" si="58"/>
        <v>0.1</v>
      </c>
      <c r="I32" s="35">
        <f t="shared" si="58"/>
        <v>0.1</v>
      </c>
      <c r="J32" s="35">
        <f t="shared" si="58"/>
        <v>0.1</v>
      </c>
      <c r="K32" s="35">
        <f t="shared" si="58"/>
        <v>0.1</v>
      </c>
      <c r="L32" s="35">
        <f t="shared" si="58"/>
        <v>0.1</v>
      </c>
      <c r="M32" s="35">
        <f t="shared" si="58"/>
        <v>0.1</v>
      </c>
      <c r="N32" s="35">
        <f t="shared" si="58"/>
        <v>0.1</v>
      </c>
      <c r="O32" s="35">
        <f t="shared" ref="O32:S32" si="59">IFERROR(O25/O24,0)</f>
        <v>0.1</v>
      </c>
      <c r="P32" s="35">
        <f t="shared" si="59"/>
        <v>0.1</v>
      </c>
      <c r="Q32" s="35">
        <f t="shared" si="59"/>
        <v>0.10000000000000002</v>
      </c>
      <c r="R32" s="35">
        <f t="shared" si="59"/>
        <v>0.1</v>
      </c>
      <c r="S32" s="35">
        <f t="shared" si="59"/>
        <v>0.1</v>
      </c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</row>
    <row r="33" spans="1:115" x14ac:dyDescent="0.15"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</row>
    <row r="34" spans="1:115" x14ac:dyDescent="0.15">
      <c r="A34" s="2" t="s">
        <v>18</v>
      </c>
      <c r="B34" s="48"/>
      <c r="C34" s="48">
        <f t="shared" ref="C34:S34" si="60">C15/B15-1</f>
        <v>0.37810295519542425</v>
      </c>
      <c r="D34" s="48">
        <f>D15/C15-1</f>
        <v>0.3866757054017973</v>
      </c>
      <c r="E34" s="48">
        <f t="shared" si="60"/>
        <v>0.43780367351418215</v>
      </c>
      <c r="F34" s="48">
        <f t="shared" si="60"/>
        <v>0.37999999999999989</v>
      </c>
      <c r="G34" s="48">
        <f t="shared" si="60"/>
        <v>0.37999999999999989</v>
      </c>
      <c r="H34" s="48">
        <f t="shared" si="60"/>
        <v>0.37999999999999989</v>
      </c>
      <c r="I34" s="48">
        <f t="shared" si="60"/>
        <v>0.37999999999999989</v>
      </c>
      <c r="J34" s="48">
        <f t="shared" si="60"/>
        <v>0.19999999999999996</v>
      </c>
      <c r="K34" s="48">
        <f t="shared" si="60"/>
        <v>0.19999999999999996</v>
      </c>
      <c r="L34" s="48">
        <f t="shared" si="60"/>
        <v>0.19999999999999996</v>
      </c>
      <c r="M34" s="48">
        <f t="shared" si="60"/>
        <v>0.19999999999999996</v>
      </c>
      <c r="N34" s="48">
        <f t="shared" si="60"/>
        <v>0.19999999999999996</v>
      </c>
      <c r="O34" s="48">
        <f t="shared" si="60"/>
        <v>0.10000000000000009</v>
      </c>
      <c r="P34" s="48">
        <f t="shared" si="60"/>
        <v>0.10000000000000009</v>
      </c>
      <c r="Q34" s="48">
        <f t="shared" si="60"/>
        <v>0.10000000000000009</v>
      </c>
      <c r="R34" s="48">
        <f t="shared" si="60"/>
        <v>0.10000000000000009</v>
      </c>
      <c r="S34" s="48">
        <f t="shared" si="60"/>
        <v>0.10000000000000009</v>
      </c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</row>
    <row r="35" spans="1:115" x14ac:dyDescent="0.15">
      <c r="A35" s="3" t="s">
        <v>34</v>
      </c>
      <c r="B35" s="35"/>
      <c r="C35" s="35">
        <f t="shared" ref="C35:S35" si="61">C18/B18-1</f>
        <v>0.17241379310344818</v>
      </c>
      <c r="D35" s="35">
        <f t="shared" si="61"/>
        <v>0.35294117647058831</v>
      </c>
      <c r="E35" s="35">
        <f t="shared" si="61"/>
        <v>0.30000000000000004</v>
      </c>
      <c r="F35" s="35">
        <f t="shared" si="61"/>
        <v>0.30000000000000004</v>
      </c>
      <c r="G35" s="35">
        <f t="shared" si="61"/>
        <v>0.30000000000000004</v>
      </c>
      <c r="H35" s="35">
        <f t="shared" si="61"/>
        <v>0.30000000000000004</v>
      </c>
      <c r="I35" s="35">
        <f t="shared" si="61"/>
        <v>0.30000000000000004</v>
      </c>
      <c r="J35" s="35">
        <f t="shared" si="61"/>
        <v>0.10000000000000009</v>
      </c>
      <c r="K35" s="35">
        <f t="shared" si="61"/>
        <v>0.10000000000000009</v>
      </c>
      <c r="L35" s="35">
        <f t="shared" si="61"/>
        <v>0.10000000000000009</v>
      </c>
      <c r="M35" s="35">
        <f t="shared" si="61"/>
        <v>0.10000000000000009</v>
      </c>
      <c r="N35" s="35">
        <f t="shared" si="61"/>
        <v>0.10000000000000009</v>
      </c>
      <c r="O35" s="35">
        <f t="shared" si="61"/>
        <v>5.0000000000000044E-2</v>
      </c>
      <c r="P35" s="35">
        <f t="shared" si="61"/>
        <v>5.0000000000000044E-2</v>
      </c>
      <c r="Q35" s="35">
        <f t="shared" si="61"/>
        <v>5.0000000000000044E-2</v>
      </c>
      <c r="R35" s="35">
        <f t="shared" si="61"/>
        <v>5.0000000000000044E-2</v>
      </c>
      <c r="S35" s="35">
        <f t="shared" si="61"/>
        <v>5.0000000000000044E-2</v>
      </c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</row>
    <row r="36" spans="1:115" x14ac:dyDescent="0.15">
      <c r="A36" s="3" t="s">
        <v>35</v>
      </c>
      <c r="B36" s="35"/>
      <c r="C36" s="35">
        <f t="shared" ref="C36:S36" si="62">C19/B19-1</f>
        <v>0.19512195121951215</v>
      </c>
      <c r="D36" s="35">
        <f t="shared" si="62"/>
        <v>0.46938775510204089</v>
      </c>
      <c r="E36" s="35">
        <f t="shared" si="62"/>
        <v>0.25</v>
      </c>
      <c r="F36" s="35">
        <f t="shared" si="62"/>
        <v>0.25</v>
      </c>
      <c r="G36" s="35">
        <f t="shared" si="62"/>
        <v>0.25</v>
      </c>
      <c r="H36" s="35">
        <f t="shared" si="62"/>
        <v>0.25</v>
      </c>
      <c r="I36" s="35">
        <f t="shared" si="62"/>
        <v>0.25</v>
      </c>
      <c r="J36" s="35">
        <f t="shared" si="62"/>
        <v>5.0000000000000044E-2</v>
      </c>
      <c r="K36" s="35">
        <f t="shared" si="62"/>
        <v>5.0000000000000044E-2</v>
      </c>
      <c r="L36" s="35">
        <f t="shared" si="62"/>
        <v>5.0000000000000044E-2</v>
      </c>
      <c r="M36" s="35">
        <f t="shared" si="62"/>
        <v>5.0000000000000044E-2</v>
      </c>
      <c r="N36" s="35">
        <f t="shared" si="62"/>
        <v>5.0000000000000044E-2</v>
      </c>
      <c r="O36" s="35">
        <f t="shared" si="62"/>
        <v>-2.0000000000000018E-2</v>
      </c>
      <c r="P36" s="35">
        <f t="shared" si="62"/>
        <v>-2.0000000000000018E-2</v>
      </c>
      <c r="Q36" s="35">
        <f t="shared" si="62"/>
        <v>-2.0000000000000018E-2</v>
      </c>
      <c r="R36" s="35">
        <f t="shared" si="62"/>
        <v>-1.9999999999999907E-2</v>
      </c>
      <c r="S36" s="35">
        <f t="shared" si="62"/>
        <v>-2.0000000000000018E-2</v>
      </c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</row>
    <row r="37" spans="1:115" x14ac:dyDescent="0.15">
      <c r="A37" s="3" t="s">
        <v>36</v>
      </c>
      <c r="B37" s="35"/>
      <c r="C37" s="35">
        <f t="shared" ref="C37:S37" si="63">C20/B20-1</f>
        <v>0.35294117647058831</v>
      </c>
      <c r="D37" s="35">
        <f t="shared" si="63"/>
        <v>0.82608695652173902</v>
      </c>
      <c r="E37" s="35">
        <f t="shared" si="63"/>
        <v>0.19999999999999996</v>
      </c>
      <c r="F37" s="35">
        <f t="shared" si="63"/>
        <v>0.19999999999999996</v>
      </c>
      <c r="G37" s="35">
        <f t="shared" si="63"/>
        <v>0.19999999999999996</v>
      </c>
      <c r="H37" s="35">
        <f t="shared" si="63"/>
        <v>0.19999999999999996</v>
      </c>
      <c r="I37" s="35">
        <f t="shared" si="63"/>
        <v>0.19999999999999996</v>
      </c>
      <c r="J37" s="35">
        <f t="shared" si="63"/>
        <v>5.0000000000000044E-2</v>
      </c>
      <c r="K37" s="35">
        <f t="shared" si="63"/>
        <v>5.0000000000000044E-2</v>
      </c>
      <c r="L37" s="35">
        <f t="shared" si="63"/>
        <v>5.0000000000000044E-2</v>
      </c>
      <c r="M37" s="35">
        <f t="shared" si="63"/>
        <v>5.0000000000000044E-2</v>
      </c>
      <c r="N37" s="35">
        <f t="shared" si="63"/>
        <v>5.0000000000000044E-2</v>
      </c>
      <c r="O37" s="35">
        <f t="shared" si="63"/>
        <v>-2.0000000000000018E-2</v>
      </c>
      <c r="P37" s="35">
        <f t="shared" si="63"/>
        <v>-2.0000000000000129E-2</v>
      </c>
      <c r="Q37" s="35">
        <f t="shared" si="63"/>
        <v>-2.0000000000000018E-2</v>
      </c>
      <c r="R37" s="35">
        <f t="shared" si="63"/>
        <v>-2.0000000000000018E-2</v>
      </c>
      <c r="S37" s="35">
        <f t="shared" si="63"/>
        <v>-2.0000000000000018E-2</v>
      </c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</row>
    <row r="38" spans="1:115" x14ac:dyDescent="0.15">
      <c r="A38" s="6" t="s">
        <v>82</v>
      </c>
      <c r="B38" s="33"/>
      <c r="C38" s="33">
        <f>C21/B21-1</f>
        <v>0.21839080459770122</v>
      </c>
      <c r="D38" s="33">
        <f t="shared" ref="D38:S38" si="64">D21/C21-1</f>
        <v>0.50943396226415105</v>
      </c>
      <c r="E38" s="33">
        <f t="shared" si="64"/>
        <v>0.2512500000000002</v>
      </c>
      <c r="F38" s="33">
        <f t="shared" si="64"/>
        <v>0.25234765234765222</v>
      </c>
      <c r="G38" s="33">
        <f t="shared" si="64"/>
        <v>0.25344208679004487</v>
      </c>
      <c r="H38" s="33">
        <f t="shared" si="64"/>
        <v>0.25453219119018144</v>
      </c>
      <c r="I38" s="33">
        <f t="shared" si="64"/>
        <v>0.25561687474580097</v>
      </c>
      <c r="J38" s="33">
        <f>J21/I21-1</f>
        <v>6.7250925198777844E-2</v>
      </c>
      <c r="K38" s="33">
        <f t="shared" si="64"/>
        <v>6.7780277599779337E-2</v>
      </c>
      <c r="L38" s="33">
        <f t="shared" si="64"/>
        <v>6.8316788359981562E-2</v>
      </c>
      <c r="M38" s="33">
        <f t="shared" si="64"/>
        <v>6.8860011763842488E-2</v>
      </c>
      <c r="N38" s="33">
        <f t="shared" si="64"/>
        <v>6.9409476182003882E-2</v>
      </c>
      <c r="O38" s="33">
        <f t="shared" si="64"/>
        <v>7.9505596181932425E-3</v>
      </c>
      <c r="P38" s="33">
        <f t="shared" si="64"/>
        <v>9.1165943796089888E-3</v>
      </c>
      <c r="Q38" s="33">
        <f t="shared" si="64"/>
        <v>1.0296225697670858E-2</v>
      </c>
      <c r="R38" s="33">
        <f t="shared" si="64"/>
        <v>1.1486841357431388E-2</v>
      </c>
      <c r="S38" s="33">
        <f t="shared" si="64"/>
        <v>1.2685727657054224E-2</v>
      </c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</row>
    <row r="39" spans="1:115" x14ac:dyDescent="0.15"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</row>
    <row r="40" spans="1:115" x14ac:dyDescent="0.15">
      <c r="A40" s="2" t="s">
        <v>22</v>
      </c>
      <c r="B40" s="24">
        <f>B41-B42</f>
        <v>24</v>
      </c>
      <c r="C40" s="24">
        <f>C41-C42</f>
        <v>31</v>
      </c>
      <c r="D40" s="24">
        <f>D41-D42</f>
        <v>102</v>
      </c>
      <c r="E40" s="49">
        <f>D40+E26</f>
        <v>65.0753039478804</v>
      </c>
      <c r="F40" s="49">
        <f>E40+F26</f>
        <v>38.16152947491296</v>
      </c>
      <c r="G40" s="49">
        <f t="shared" ref="G40:S40" si="65">F40+G26</f>
        <v>31.718272902754638</v>
      </c>
      <c r="H40" s="49">
        <f t="shared" si="65"/>
        <v>58.825645760226749</v>
      </c>
      <c r="I40" s="49">
        <f t="shared" si="65"/>
        <v>140.6393838783178</v>
      </c>
      <c r="J40" s="49">
        <f t="shared" si="65"/>
        <v>299.22013511891589</v>
      </c>
      <c r="K40" s="49">
        <f t="shared" si="65"/>
        <v>554.73432492237737</v>
      </c>
      <c r="L40" s="49">
        <f t="shared" si="65"/>
        <v>931.7314431806592</v>
      </c>
      <c r="M40" s="49">
        <f t="shared" si="65"/>
        <v>1460.0477961689242</v>
      </c>
      <c r="N40" s="49">
        <f t="shared" si="65"/>
        <v>2175.8933080933584</v>
      </c>
      <c r="O40" s="49">
        <f t="shared" si="65"/>
        <v>3030.650680587034</v>
      </c>
      <c r="P40" s="49">
        <f t="shared" si="65"/>
        <v>4039.1480478603362</v>
      </c>
      <c r="Q40" s="49">
        <f t="shared" si="65"/>
        <v>5217.7620444851873</v>
      </c>
      <c r="R40" s="49">
        <f t="shared" si="65"/>
        <v>6584.5750275089249</v>
      </c>
      <c r="S40" s="49">
        <f t="shared" si="65"/>
        <v>8159.5481479902255</v>
      </c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</row>
    <row r="41" spans="1:115" x14ac:dyDescent="0.15">
      <c r="A41" s="3" t="s">
        <v>23</v>
      </c>
      <c r="B41" s="50">
        <f>Reports!E34</f>
        <v>50</v>
      </c>
      <c r="C41" s="50">
        <f>Reports!I34</f>
        <v>84</v>
      </c>
      <c r="D41" s="50">
        <f>Reports!M34</f>
        <v>131</v>
      </c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23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</row>
    <row r="42" spans="1:115" x14ac:dyDescent="0.15">
      <c r="A42" s="3" t="s">
        <v>24</v>
      </c>
      <c r="B42" s="50">
        <f>Reports!E35</f>
        <v>26</v>
      </c>
      <c r="C42" s="50">
        <f>Reports!I35</f>
        <v>53</v>
      </c>
      <c r="D42" s="50">
        <f>Reports!M35</f>
        <v>29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23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</row>
    <row r="43" spans="1:115" x14ac:dyDescent="0.15"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2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</row>
    <row r="44" spans="1:115" x14ac:dyDescent="0.15">
      <c r="A44" s="3" t="s">
        <v>48</v>
      </c>
      <c r="B44" s="53">
        <f>Reports!E37</f>
        <v>1</v>
      </c>
      <c r="C44" s="50">
        <f>Reports!I37</f>
        <v>1</v>
      </c>
      <c r="D44" s="50">
        <f>Reports!M37</f>
        <v>1</v>
      </c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  <c r="CT44" s="37"/>
      <c r="CU44" s="37"/>
      <c r="CV44" s="37"/>
      <c r="CW44" s="37"/>
      <c r="CX44" s="37"/>
      <c r="CY44" s="37"/>
      <c r="CZ44" s="37"/>
      <c r="DA44" s="37"/>
      <c r="DB44" s="37"/>
      <c r="DC44" s="37"/>
      <c r="DD44" s="37"/>
      <c r="DE44" s="37"/>
      <c r="DF44" s="37"/>
      <c r="DG44" s="37"/>
      <c r="DH44" s="37"/>
      <c r="DI44" s="37"/>
      <c r="DJ44" s="37"/>
      <c r="DK44" s="37"/>
    </row>
    <row r="45" spans="1:115" x14ac:dyDescent="0.15">
      <c r="A45" s="3" t="s">
        <v>49</v>
      </c>
      <c r="B45" s="53">
        <f>Reports!E38</f>
        <v>116</v>
      </c>
      <c r="C45" s="50">
        <f>Reports!I38</f>
        <v>163</v>
      </c>
      <c r="D45" s="50">
        <f>Reports!M38</f>
        <v>321</v>
      </c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</row>
    <row r="46" spans="1:115" x14ac:dyDescent="0.15">
      <c r="A46" s="3" t="s">
        <v>50</v>
      </c>
      <c r="B46" s="53">
        <f>Reports!E39</f>
        <v>223</v>
      </c>
      <c r="C46" s="50">
        <f>Reports!I39</f>
        <v>295</v>
      </c>
      <c r="D46" s="50">
        <f>Reports!M39</f>
        <v>63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37"/>
      <c r="CV46" s="37"/>
      <c r="CW46" s="37"/>
      <c r="CX46" s="37"/>
      <c r="CY46" s="37"/>
      <c r="CZ46" s="37"/>
      <c r="DA46" s="37"/>
      <c r="DB46" s="37"/>
      <c r="DC46" s="37"/>
      <c r="DD46" s="37"/>
      <c r="DE46" s="37"/>
      <c r="DF46" s="37"/>
      <c r="DG46" s="37"/>
      <c r="DH46" s="37"/>
      <c r="DI46" s="37"/>
      <c r="DJ46" s="37"/>
      <c r="DK46" s="37"/>
    </row>
    <row r="47" spans="1:115" x14ac:dyDescent="0.15"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</row>
    <row r="48" spans="1:115" x14ac:dyDescent="0.15">
      <c r="A48" s="3" t="s">
        <v>51</v>
      </c>
      <c r="B48" s="54">
        <f>B45-B44-B41</f>
        <v>65</v>
      </c>
      <c r="C48" s="54">
        <f>C45-C44-C41</f>
        <v>78</v>
      </c>
      <c r="D48" s="54">
        <f>D45-D44-D41</f>
        <v>189</v>
      </c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37"/>
      <c r="CD48" s="37"/>
      <c r="CE48" s="37"/>
      <c r="CF48" s="37"/>
      <c r="CG48" s="37"/>
      <c r="CH48" s="37"/>
      <c r="CI48" s="37"/>
      <c r="CJ48" s="37"/>
      <c r="CK48" s="37"/>
      <c r="CL48" s="37"/>
      <c r="CM48" s="37"/>
      <c r="CN48" s="37"/>
      <c r="CO48" s="37"/>
      <c r="CP48" s="37"/>
      <c r="CQ48" s="37"/>
      <c r="CR48" s="37"/>
      <c r="CS48" s="37"/>
      <c r="CT48" s="37"/>
      <c r="CU48" s="37"/>
      <c r="CV48" s="37"/>
      <c r="CW48" s="37"/>
      <c r="CX48" s="37"/>
      <c r="CY48" s="37"/>
      <c r="CZ48" s="37"/>
      <c r="DA48" s="37"/>
      <c r="DB48" s="37"/>
      <c r="DC48" s="37"/>
      <c r="DD48" s="37"/>
      <c r="DE48" s="37"/>
      <c r="DF48" s="37"/>
      <c r="DG48" s="37"/>
      <c r="DH48" s="37"/>
      <c r="DI48" s="37"/>
      <c r="DJ48" s="37"/>
      <c r="DK48" s="37"/>
    </row>
    <row r="49" spans="1:115" x14ac:dyDescent="0.15">
      <c r="A49" s="3" t="s">
        <v>52</v>
      </c>
      <c r="B49" s="54">
        <f>B45-B46</f>
        <v>-107</v>
      </c>
      <c r="C49" s="54">
        <f>C45-C46</f>
        <v>-132</v>
      </c>
      <c r="D49" s="54">
        <f>D45-D46</f>
        <v>258</v>
      </c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</row>
    <row r="50" spans="1:115" x14ac:dyDescent="0.15"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</row>
    <row r="51" spans="1:115" x14ac:dyDescent="0.15">
      <c r="A51" s="18" t="s">
        <v>54</v>
      </c>
      <c r="B51" s="55">
        <f>B26/B49</f>
        <v>0.28758878504672902</v>
      </c>
      <c r="C51" s="55">
        <f>C26/C49</f>
        <v>0.21921212121212127</v>
      </c>
      <c r="D51" s="55">
        <f>D26/D49</f>
        <v>-0.20488372093023249</v>
      </c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</row>
    <row r="52" spans="1:115" x14ac:dyDescent="0.15">
      <c r="A52" s="18" t="s">
        <v>55</v>
      </c>
      <c r="B52" s="55">
        <f>B26/B45</f>
        <v>-0.26527586206896558</v>
      </c>
      <c r="C52" s="55">
        <f>C26/C45</f>
        <v>-0.17752147239263807</v>
      </c>
      <c r="D52" s="55">
        <f>D26/D45</f>
        <v>-0.16467289719626163</v>
      </c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</row>
    <row r="53" spans="1:115" x14ac:dyDescent="0.15">
      <c r="A53" s="18" t="s">
        <v>56</v>
      </c>
      <c r="B53" s="55">
        <f>B26/(B49-B44)</f>
        <v>0.28492592592592597</v>
      </c>
      <c r="C53" s="55">
        <f>C26/(C49-C44)</f>
        <v>0.21756390977443615</v>
      </c>
      <c r="D53" s="55">
        <f>D26/(D49-D44)</f>
        <v>-0.20568093385214001</v>
      </c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</row>
    <row r="54" spans="1:115" x14ac:dyDescent="0.15">
      <c r="A54" s="18" t="s">
        <v>57</v>
      </c>
      <c r="B54" s="55">
        <f>B26/B48</f>
        <v>-0.47341538461538468</v>
      </c>
      <c r="C54" s="55">
        <f>C26/C48</f>
        <v>-0.37097435897435904</v>
      </c>
      <c r="D54" s="55">
        <f>D26/D48</f>
        <v>-0.27968253968253959</v>
      </c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</row>
    <row r="56" spans="1:115" x14ac:dyDescent="0.15">
      <c r="A56" s="3" t="s">
        <v>70</v>
      </c>
      <c r="C56" s="55">
        <f>C12/B12-1</f>
        <v>9.9374565670604653E-2</v>
      </c>
      <c r="D56" s="55">
        <f>D12/C12-1</f>
        <v>0.1017699115044246</v>
      </c>
      <c r="E56" s="55">
        <f t="shared" ref="E56:I56" si="66">E12/D12-1</f>
        <v>0.19999999999999996</v>
      </c>
      <c r="F56" s="55">
        <f t="shared" si="66"/>
        <v>0.19999999999999996</v>
      </c>
      <c r="G56" s="55">
        <f t="shared" si="66"/>
        <v>0.19999999999999996</v>
      </c>
      <c r="H56" s="55">
        <f t="shared" si="66"/>
        <v>0.19999999999999996</v>
      </c>
      <c r="I56" s="55">
        <f t="shared" si="66"/>
        <v>0.19999999999999996</v>
      </c>
    </row>
    <row r="57" spans="1:115" x14ac:dyDescent="0.15">
      <c r="A57" s="3" t="s">
        <v>80</v>
      </c>
      <c r="C57" s="55">
        <f>C13/B13-1</f>
        <v>0.25353359830987054</v>
      </c>
      <c r="D57" s="55">
        <f>D13/C13-1</f>
        <v>0.25858919446106921</v>
      </c>
      <c r="E57" s="55">
        <f t="shared" ref="E57:I57" si="67">E13/D13-1</f>
        <v>0.19816972792848531</v>
      </c>
      <c r="F57" s="55">
        <f t="shared" si="67"/>
        <v>0.14999999999999991</v>
      </c>
      <c r="G57" s="55">
        <f t="shared" si="67"/>
        <v>0.14999999999999991</v>
      </c>
      <c r="H57" s="55">
        <f t="shared" si="67"/>
        <v>0.14999999999999991</v>
      </c>
      <c r="I57" s="55">
        <f t="shared" si="67"/>
        <v>0.14999999999999991</v>
      </c>
    </row>
    <row r="59" spans="1:115" s="16" customFormat="1" x14ac:dyDescent="0.15">
      <c r="A59" s="16" t="s">
        <v>77</v>
      </c>
      <c r="B59" s="16">
        <f>Reports!E55</f>
        <v>170</v>
      </c>
      <c r="C59" s="37">
        <f>Reports!I55</f>
        <v>227</v>
      </c>
      <c r="D59" s="16">
        <f>Reports!M55</f>
        <v>288</v>
      </c>
    </row>
    <row r="60" spans="1:115" s="19" customFormat="1" x14ac:dyDescent="0.15">
      <c r="A60" s="19" t="s">
        <v>76</v>
      </c>
      <c r="C60" s="55">
        <f>C59/B59-1</f>
        <v>0.33529411764705874</v>
      </c>
      <c r="D60" s="55">
        <f>D59/C59-1</f>
        <v>0.26872246696035251</v>
      </c>
    </row>
  </sheetData>
  <hyperlinks>
    <hyperlink ref="A1" r:id="rId1" xr:uid="{00000000-0004-0000-0000-000000000000}"/>
    <hyperlink ref="L4" r:id="rId2" xr:uid="{CBCA994A-BC74-CB48-8009-AD2DE8254A02}"/>
    <hyperlink ref="A7" r:id="rId3" xr:uid="{3494FB13-BE12-7A48-89B6-63CD9310EDD5}"/>
    <hyperlink ref="A4" r:id="rId4" xr:uid="{169C0310-CE78-7946-8AA5-590F6CAC438B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6"/>
  <sheetViews>
    <sheetView zoomScale="125" zoomScaleNormal="125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R50" sqref="R50"/>
    </sheetView>
  </sheetViews>
  <sheetFormatPr baseColWidth="10" defaultRowHeight="13" x14ac:dyDescent="0.15"/>
  <cols>
    <col min="1" max="1" width="20.33203125" style="6" bestFit="1" customWidth="1"/>
    <col min="2" max="2" width="10.83203125" style="21"/>
    <col min="3" max="5" width="10.83203125" style="20"/>
    <col min="6" max="6" width="10.83203125" style="21"/>
    <col min="7" max="9" width="10.83203125" style="20"/>
    <col min="10" max="10" width="10.83203125" style="21"/>
    <col min="11" max="13" width="10.83203125" style="20"/>
    <col min="14" max="14" width="10.83203125" style="21"/>
    <col min="15" max="17" width="10.83203125" style="20"/>
    <col min="18" max="16384" width="10.83203125" style="6"/>
  </cols>
  <sheetData>
    <row r="1" spans="1:17" x14ac:dyDescent="0.15">
      <c r="A1" s="66" t="s">
        <v>37</v>
      </c>
      <c r="B1" s="22" t="s">
        <v>0</v>
      </c>
      <c r="C1" s="23" t="s">
        <v>1</v>
      </c>
      <c r="D1" s="23" t="s">
        <v>2</v>
      </c>
      <c r="E1" s="23" t="s">
        <v>3</v>
      </c>
      <c r="F1" s="22" t="s">
        <v>30</v>
      </c>
      <c r="G1" s="23" t="s">
        <v>31</v>
      </c>
      <c r="H1" s="23" t="s">
        <v>32</v>
      </c>
      <c r="I1" s="23" t="s">
        <v>33</v>
      </c>
      <c r="J1" s="22" t="s">
        <v>44</v>
      </c>
      <c r="K1" s="23" t="s">
        <v>45</v>
      </c>
      <c r="L1" s="23" t="s">
        <v>46</v>
      </c>
      <c r="M1" s="23" t="s">
        <v>47</v>
      </c>
      <c r="N1" s="22" t="s">
        <v>61</v>
      </c>
      <c r="O1" s="23" t="s">
        <v>66</v>
      </c>
      <c r="P1" s="23" t="s">
        <v>67</v>
      </c>
      <c r="Q1" s="23" t="s">
        <v>62</v>
      </c>
    </row>
    <row r="2" spans="1:17" s="20" customFormat="1" x14ac:dyDescent="0.15">
      <c r="A2" s="1"/>
      <c r="B2" s="58">
        <v>42825</v>
      </c>
      <c r="C2" s="57">
        <v>42916</v>
      </c>
      <c r="D2" s="57">
        <v>43008</v>
      </c>
      <c r="E2" s="57">
        <v>43100</v>
      </c>
      <c r="F2" s="58">
        <v>43190</v>
      </c>
      <c r="G2" s="57">
        <v>43281</v>
      </c>
      <c r="H2" s="57">
        <v>43373</v>
      </c>
      <c r="I2" s="57">
        <v>43465</v>
      </c>
      <c r="J2" s="58">
        <v>43555</v>
      </c>
      <c r="K2" s="57">
        <v>43646</v>
      </c>
      <c r="L2" s="57">
        <v>43738</v>
      </c>
      <c r="M2" s="57">
        <v>43830</v>
      </c>
      <c r="N2" s="58">
        <v>43921</v>
      </c>
      <c r="O2" s="57">
        <v>44012</v>
      </c>
      <c r="P2" s="57">
        <v>44104</v>
      </c>
    </row>
    <row r="3" spans="1:17" s="8" customFormat="1" x14ac:dyDescent="0.15">
      <c r="A3" s="8" t="s">
        <v>78</v>
      </c>
      <c r="B3" s="22">
        <v>24.401</v>
      </c>
      <c r="C3" s="23">
        <v>24.271000000000001</v>
      </c>
      <c r="D3" s="23">
        <v>26.190999999999999</v>
      </c>
      <c r="E3" s="23">
        <v>30.036999999999999</v>
      </c>
      <c r="F3" s="22">
        <v>32.497999999999998</v>
      </c>
      <c r="G3" s="23">
        <v>34.448</v>
      </c>
      <c r="H3" s="23">
        <v>36.82</v>
      </c>
      <c r="I3" s="23">
        <v>40.796999999999997</v>
      </c>
      <c r="J3" s="22">
        <v>45.555999999999997</v>
      </c>
      <c r="K3" s="23">
        <v>46.173000000000002</v>
      </c>
      <c r="L3" s="23">
        <v>49.796999999999997</v>
      </c>
      <c r="M3" s="23">
        <v>58.936</v>
      </c>
      <c r="N3" s="22">
        <v>62.923999999999999</v>
      </c>
      <c r="O3" s="23">
        <v>74.662999999999997</v>
      </c>
      <c r="P3" s="23">
        <v>70.638000000000005</v>
      </c>
      <c r="Q3" s="23">
        <v>80</v>
      </c>
    </row>
    <row r="4" spans="1:17" s="8" customFormat="1" x14ac:dyDescent="0.15">
      <c r="B4" s="22"/>
      <c r="C4" s="23"/>
      <c r="D4" s="23"/>
      <c r="E4" s="23"/>
      <c r="F4" s="22"/>
      <c r="G4" s="23"/>
      <c r="H4" s="23"/>
      <c r="I4" s="23"/>
      <c r="J4" s="22"/>
      <c r="K4" s="23"/>
      <c r="L4" s="23"/>
      <c r="M4" s="23"/>
      <c r="N4" s="22"/>
      <c r="O4" s="23"/>
      <c r="P4" s="23"/>
      <c r="Q4" s="23"/>
    </row>
    <row r="5" spans="1:17" s="69" customFormat="1" x14ac:dyDescent="0.15">
      <c r="A5" s="69" t="s">
        <v>81</v>
      </c>
      <c r="B5" s="71">
        <f>B50/1000000</f>
        <v>1.261E-3</v>
      </c>
      <c r="C5" s="70">
        <f>C50/1000000</f>
        <v>1.284E-3</v>
      </c>
      <c r="D5" s="70">
        <f>D50/1000000</f>
        <v>1.3649999999999999E-3</v>
      </c>
      <c r="E5" s="70">
        <f>E50/1000000</f>
        <v>1.439E-3</v>
      </c>
      <c r="F5" s="71">
        <f>F50/1000000</f>
        <v>1.444E-3</v>
      </c>
      <c r="G5" s="70">
        <f>G50/1000000</f>
        <v>1.529E-3</v>
      </c>
      <c r="H5" s="70">
        <f>H50/1000000</f>
        <v>1.516E-3</v>
      </c>
      <c r="I5" s="70">
        <f>I50/1000000</f>
        <v>1.5820000000000001E-3</v>
      </c>
      <c r="J5" s="71">
        <f>J50/1000000</f>
        <v>1.621E-3</v>
      </c>
      <c r="K5" s="70">
        <f>K50/1000000</f>
        <v>1.627E-3</v>
      </c>
      <c r="L5" s="70">
        <f>L50/1000000</f>
        <v>1.684E-3</v>
      </c>
      <c r="M5" s="70">
        <f>M50/1000000</f>
        <v>1.743E-3</v>
      </c>
      <c r="N5" s="71">
        <f>N50/1000000</f>
        <v>1.8370000000000001E-3</v>
      </c>
      <c r="O5" s="70">
        <f>O50/1000000</f>
        <v>1.951E-3</v>
      </c>
      <c r="P5" s="70">
        <f>P50/1000000</f>
        <v>2.0470000000000002E-3</v>
      </c>
      <c r="Q5" s="70">
        <f>Q50/1000000</f>
        <v>2.0915999999999999E-3</v>
      </c>
    </row>
    <row r="6" spans="1:17" s="8" customFormat="1" x14ac:dyDescent="0.15">
      <c r="A6" s="8" t="s">
        <v>79</v>
      </c>
      <c r="B6" s="27">
        <f>B3/B5</f>
        <v>19350.515463917527</v>
      </c>
      <c r="C6" s="26">
        <f>C3/C5</f>
        <v>18902.647975077882</v>
      </c>
      <c r="D6" s="26">
        <f>D3/D5</f>
        <v>19187.545787545787</v>
      </c>
      <c r="E6" s="26">
        <f>E3/E5</f>
        <v>20873.523280055593</v>
      </c>
      <c r="F6" s="27">
        <f>F3/F5</f>
        <v>22505.540166204984</v>
      </c>
      <c r="G6" s="26">
        <f>G3/G5</f>
        <v>22529.758011772399</v>
      </c>
      <c r="H6" s="26">
        <f>H3/H5</f>
        <v>24287.598944591031</v>
      </c>
      <c r="I6" s="26">
        <f>I3/I5</f>
        <v>25788.242730720605</v>
      </c>
      <c r="J6" s="27">
        <f>J3/J5</f>
        <v>28103.639728562612</v>
      </c>
      <c r="K6" s="26">
        <f>K3/K5</f>
        <v>28379.225568531041</v>
      </c>
      <c r="L6" s="26">
        <f>L3/L5</f>
        <v>29570.665083135391</v>
      </c>
      <c r="M6" s="26">
        <f>M3/M5</f>
        <v>33812.966150315551</v>
      </c>
      <c r="N6" s="27">
        <f>N3/N5</f>
        <v>34253.674469243328</v>
      </c>
      <c r="O6" s="26">
        <f>O3/O5</f>
        <v>38269.09277293695</v>
      </c>
      <c r="P6" s="26">
        <f>P3/P5</f>
        <v>34508.060576453347</v>
      </c>
      <c r="Q6" s="26">
        <f>Q3/Q5</f>
        <v>38248.231019315361</v>
      </c>
    </row>
    <row r="7" spans="1:17" s="23" customFormat="1" x14ac:dyDescent="0.15">
      <c r="B7" s="22"/>
      <c r="F7" s="22"/>
      <c r="J7" s="22"/>
      <c r="L7" s="23">
        <v>47</v>
      </c>
      <c r="M7" s="23">
        <v>53</v>
      </c>
      <c r="N7" s="22">
        <v>58</v>
      </c>
      <c r="O7" s="23">
        <v>70</v>
      </c>
      <c r="P7" s="23">
        <v>74</v>
      </c>
      <c r="Q7" s="23">
        <v>80</v>
      </c>
    </row>
    <row r="8" spans="1:17" s="17" customFormat="1" x14ac:dyDescent="0.15">
      <c r="A8" s="17" t="s">
        <v>4</v>
      </c>
      <c r="B8" s="25">
        <f>B5*B6</f>
        <v>24.401</v>
      </c>
      <c r="C8" s="24">
        <f>C5*C6</f>
        <v>24.271000000000001</v>
      </c>
      <c r="D8" s="24">
        <f>D5*D6</f>
        <v>26.190999999999995</v>
      </c>
      <c r="E8" s="24">
        <f>E5*E6</f>
        <v>30.036999999999999</v>
      </c>
      <c r="F8" s="25">
        <f>F5*F6</f>
        <v>32.497999999999998</v>
      </c>
      <c r="G8" s="24">
        <f>G5*G6</f>
        <v>34.448</v>
      </c>
      <c r="H8" s="24">
        <f>H5*H6</f>
        <v>36.82</v>
      </c>
      <c r="I8" s="24">
        <f>I5*I6</f>
        <v>40.796999999999997</v>
      </c>
      <c r="J8" s="25">
        <f>J5*J6</f>
        <v>45.555999999999997</v>
      </c>
      <c r="K8" s="24">
        <f>K5*K6</f>
        <v>46.173000000000002</v>
      </c>
      <c r="L8" s="24">
        <f>L5*L6</f>
        <v>49.796999999999997</v>
      </c>
      <c r="M8" s="24">
        <f>M5*M6</f>
        <v>58.936000000000007</v>
      </c>
      <c r="N8" s="25">
        <f>N5*N6</f>
        <v>62.923999999999999</v>
      </c>
      <c r="O8" s="24">
        <f>O5*O6</f>
        <v>74.662999999999997</v>
      </c>
      <c r="P8" s="24">
        <f>P5*P6</f>
        <v>70.638000000000005</v>
      </c>
      <c r="Q8" s="24">
        <f>Q5*Q6</f>
        <v>80</v>
      </c>
    </row>
    <row r="9" spans="1:17" s="8" customFormat="1" x14ac:dyDescent="0.15">
      <c r="A9" s="8" t="s">
        <v>5</v>
      </c>
      <c r="B9" s="22">
        <v>10.468999999999999</v>
      </c>
      <c r="C9" s="23">
        <v>10.914999999999999</v>
      </c>
      <c r="D9" s="23">
        <v>12.794</v>
      </c>
      <c r="E9" s="23">
        <v>14.494</v>
      </c>
      <c r="F9" s="22">
        <v>15.384</v>
      </c>
      <c r="G9" s="23">
        <v>15.695</v>
      </c>
      <c r="H9" s="23">
        <v>16.710999999999999</v>
      </c>
      <c r="I9" s="23">
        <v>17.709</v>
      </c>
      <c r="J9" s="22">
        <v>19.718</v>
      </c>
      <c r="K9" s="23">
        <v>20.783999999999999</v>
      </c>
      <c r="L9" s="50">
        <v>22.292000000000002</v>
      </c>
      <c r="M9" s="50">
        <v>25.527999999999999</v>
      </c>
      <c r="N9" s="22">
        <v>27.265000000000001</v>
      </c>
      <c r="O9" s="50">
        <v>29.696999999999999</v>
      </c>
      <c r="P9" s="50">
        <v>29.292000000000002</v>
      </c>
      <c r="Q9" s="50"/>
    </row>
    <row r="10" spans="1:17" s="8" customFormat="1" x14ac:dyDescent="0.15">
      <c r="A10" s="8" t="s">
        <v>6</v>
      </c>
      <c r="B10" s="27">
        <f t="shared" ref="B10:D10" si="0">B8-B9</f>
        <v>13.932</v>
      </c>
      <c r="C10" s="26">
        <f t="shared" si="0"/>
        <v>13.356000000000002</v>
      </c>
      <c r="D10" s="26">
        <f t="shared" si="0"/>
        <v>13.396999999999995</v>
      </c>
      <c r="E10" s="26">
        <f t="shared" ref="E10" si="1">E8-E9</f>
        <v>15.542999999999999</v>
      </c>
      <c r="F10" s="27">
        <f>F8-F9</f>
        <v>17.113999999999997</v>
      </c>
      <c r="G10" s="26">
        <f>G8-G9</f>
        <v>18.753</v>
      </c>
      <c r="H10" s="26">
        <f t="shared" ref="H10:J10" si="2">H8-H9</f>
        <v>20.109000000000002</v>
      </c>
      <c r="I10" s="26">
        <f t="shared" si="2"/>
        <v>23.087999999999997</v>
      </c>
      <c r="J10" s="27">
        <f t="shared" si="2"/>
        <v>25.837999999999997</v>
      </c>
      <c r="K10" s="26">
        <f t="shared" ref="K10:P10" si="3">K8-K9</f>
        <v>25.389000000000003</v>
      </c>
      <c r="L10" s="26">
        <f t="shared" si="3"/>
        <v>27.504999999999995</v>
      </c>
      <c r="M10" s="26">
        <f t="shared" si="3"/>
        <v>33.408000000000008</v>
      </c>
      <c r="N10" s="27">
        <f t="shared" ref="N10" si="4">N8-N9</f>
        <v>35.658999999999999</v>
      </c>
      <c r="O10" s="26">
        <f t="shared" si="3"/>
        <v>44.965999999999994</v>
      </c>
      <c r="P10" s="26">
        <f t="shared" si="3"/>
        <v>41.346000000000004</v>
      </c>
      <c r="Q10" s="50"/>
    </row>
    <row r="11" spans="1:17" s="8" customFormat="1" x14ac:dyDescent="0.15">
      <c r="A11" s="8" t="s">
        <v>7</v>
      </c>
      <c r="B11" s="22">
        <v>6</v>
      </c>
      <c r="C11" s="23">
        <v>7</v>
      </c>
      <c r="D11" s="23">
        <v>8</v>
      </c>
      <c r="E11" s="23">
        <v>8</v>
      </c>
      <c r="F11" s="22">
        <v>8</v>
      </c>
      <c r="G11" s="23">
        <v>8</v>
      </c>
      <c r="H11" s="23">
        <v>9</v>
      </c>
      <c r="I11" s="23">
        <v>9</v>
      </c>
      <c r="J11" s="22">
        <v>10</v>
      </c>
      <c r="K11" s="23">
        <v>11</v>
      </c>
      <c r="L11" s="50">
        <v>12</v>
      </c>
      <c r="M11" s="50">
        <v>13</v>
      </c>
      <c r="N11" s="22">
        <v>14</v>
      </c>
      <c r="O11" s="50">
        <v>17</v>
      </c>
      <c r="P11" s="50">
        <v>18</v>
      </c>
      <c r="Q11" s="50"/>
    </row>
    <row r="12" spans="1:17" s="8" customFormat="1" x14ac:dyDescent="0.15">
      <c r="A12" s="8" t="s">
        <v>8</v>
      </c>
      <c r="B12" s="22">
        <v>9</v>
      </c>
      <c r="C12" s="23">
        <v>10</v>
      </c>
      <c r="D12" s="23">
        <v>11</v>
      </c>
      <c r="E12" s="23">
        <v>11</v>
      </c>
      <c r="F12" s="22">
        <v>12</v>
      </c>
      <c r="G12" s="23">
        <v>12</v>
      </c>
      <c r="H12" s="23">
        <v>12</v>
      </c>
      <c r="I12" s="23">
        <v>13</v>
      </c>
      <c r="J12" s="22">
        <v>15</v>
      </c>
      <c r="K12" s="23">
        <v>17</v>
      </c>
      <c r="L12" s="50">
        <v>18</v>
      </c>
      <c r="M12" s="50">
        <v>22</v>
      </c>
      <c r="N12" s="22">
        <v>19</v>
      </c>
      <c r="O12" s="50">
        <v>25</v>
      </c>
      <c r="P12" s="50">
        <v>23</v>
      </c>
      <c r="Q12" s="50"/>
    </row>
    <row r="13" spans="1:17" s="8" customFormat="1" x14ac:dyDescent="0.15">
      <c r="A13" s="8" t="s">
        <v>9</v>
      </c>
      <c r="B13" s="22">
        <v>3</v>
      </c>
      <c r="C13" s="23">
        <v>4</v>
      </c>
      <c r="D13" s="23">
        <v>5</v>
      </c>
      <c r="E13" s="23">
        <v>5</v>
      </c>
      <c r="F13" s="22">
        <v>6</v>
      </c>
      <c r="G13" s="23">
        <v>4</v>
      </c>
      <c r="H13" s="23">
        <v>6</v>
      </c>
      <c r="I13" s="23">
        <v>7</v>
      </c>
      <c r="J13" s="22">
        <v>9</v>
      </c>
      <c r="K13" s="23">
        <v>9</v>
      </c>
      <c r="L13" s="50">
        <v>11</v>
      </c>
      <c r="M13" s="50">
        <v>13</v>
      </c>
      <c r="N13" s="22">
        <v>14</v>
      </c>
      <c r="O13" s="50">
        <v>18</v>
      </c>
      <c r="P13" s="50">
        <v>24</v>
      </c>
      <c r="Q13" s="50"/>
    </row>
    <row r="14" spans="1:17" s="8" customFormat="1" x14ac:dyDescent="0.15">
      <c r="A14" s="8" t="s">
        <v>10</v>
      </c>
      <c r="B14" s="27">
        <f t="shared" ref="B14:D14" si="5">SUM(B11:B13)</f>
        <v>18</v>
      </c>
      <c r="C14" s="26">
        <f t="shared" si="5"/>
        <v>21</v>
      </c>
      <c r="D14" s="26">
        <f t="shared" si="5"/>
        <v>24</v>
      </c>
      <c r="E14" s="26">
        <f t="shared" ref="E14:F14" si="6">SUM(E11:E13)</f>
        <v>24</v>
      </c>
      <c r="F14" s="27">
        <f t="shared" si="6"/>
        <v>26</v>
      </c>
      <c r="G14" s="26">
        <f t="shared" ref="G14:H14" si="7">SUM(G11:G13)</f>
        <v>24</v>
      </c>
      <c r="H14" s="26">
        <f t="shared" si="7"/>
        <v>27</v>
      </c>
      <c r="I14" s="26">
        <f t="shared" ref="I14:K14" si="8">SUM(I11:I13)</f>
        <v>29</v>
      </c>
      <c r="J14" s="27">
        <f t="shared" si="8"/>
        <v>34</v>
      </c>
      <c r="K14" s="26">
        <f t="shared" si="8"/>
        <v>37</v>
      </c>
      <c r="L14" s="26">
        <f t="shared" ref="L14:M14" si="9">SUM(L11:L13)</f>
        <v>41</v>
      </c>
      <c r="M14" s="26">
        <f t="shared" si="9"/>
        <v>48</v>
      </c>
      <c r="N14" s="27">
        <f t="shared" ref="N14:P14" si="10">SUM(N11:N13)</f>
        <v>47</v>
      </c>
      <c r="O14" s="26">
        <f t="shared" si="10"/>
        <v>60</v>
      </c>
      <c r="P14" s="26">
        <f t="shared" si="10"/>
        <v>65</v>
      </c>
      <c r="Q14" s="50"/>
    </row>
    <row r="15" spans="1:17" s="8" customFormat="1" x14ac:dyDescent="0.15">
      <c r="A15" s="8" t="s">
        <v>11</v>
      </c>
      <c r="B15" s="27">
        <f t="shared" ref="B15:H15" si="11">B10-B14</f>
        <v>-4.0679999999999996</v>
      </c>
      <c r="C15" s="26">
        <f t="shared" si="11"/>
        <v>-7.6439999999999984</v>
      </c>
      <c r="D15" s="26">
        <f t="shared" si="11"/>
        <v>-10.603000000000005</v>
      </c>
      <c r="E15" s="26">
        <f t="shared" si="11"/>
        <v>-8.4570000000000007</v>
      </c>
      <c r="F15" s="27">
        <f t="shared" si="11"/>
        <v>-8.8860000000000028</v>
      </c>
      <c r="G15" s="26">
        <f t="shared" si="11"/>
        <v>-5.2469999999999999</v>
      </c>
      <c r="H15" s="26">
        <f t="shared" si="11"/>
        <v>-6.8909999999999982</v>
      </c>
      <c r="I15" s="26">
        <f t="shared" ref="I15:K15" si="12">I10-I14</f>
        <v>-5.9120000000000026</v>
      </c>
      <c r="J15" s="27">
        <f t="shared" si="12"/>
        <v>-8.1620000000000026</v>
      </c>
      <c r="K15" s="26">
        <f t="shared" si="12"/>
        <v>-11.610999999999997</v>
      </c>
      <c r="L15" s="26">
        <f t="shared" ref="L15:M15" si="13">L10-L14</f>
        <v>-13.495000000000005</v>
      </c>
      <c r="M15" s="26">
        <f t="shared" si="13"/>
        <v>-14.591999999999992</v>
      </c>
      <c r="N15" s="27">
        <f t="shared" ref="N15:P15" si="14">N10-N14</f>
        <v>-11.341000000000001</v>
      </c>
      <c r="O15" s="26">
        <f t="shared" si="14"/>
        <v>-15.034000000000006</v>
      </c>
      <c r="P15" s="26">
        <f t="shared" si="14"/>
        <v>-23.653999999999996</v>
      </c>
      <c r="Q15" s="50"/>
    </row>
    <row r="16" spans="1:17" s="8" customFormat="1" x14ac:dyDescent="0.15">
      <c r="A16" s="8" t="s">
        <v>12</v>
      </c>
      <c r="B16" s="22">
        <f>0-0-0</f>
        <v>0</v>
      </c>
      <c r="C16" s="23">
        <f>0-0-0</f>
        <v>0</v>
      </c>
      <c r="D16" s="23">
        <f>0-0-0</f>
        <v>0</v>
      </c>
      <c r="E16" s="23">
        <f>0-0-0</f>
        <v>0</v>
      </c>
      <c r="F16" s="22">
        <f>0-0-0</f>
        <v>0</v>
      </c>
      <c r="G16" s="23">
        <f>0-0-0</f>
        <v>0</v>
      </c>
      <c r="H16" s="23">
        <f>0-0-1</f>
        <v>-1</v>
      </c>
      <c r="I16" s="23">
        <f>0-1+0</f>
        <v>-1</v>
      </c>
      <c r="J16" s="22">
        <f>0-1-1</f>
        <v>-2</v>
      </c>
      <c r="K16" s="23">
        <f>1-3-2</f>
        <v>-4</v>
      </c>
      <c r="L16" s="50">
        <f>1-1+0</f>
        <v>0</v>
      </c>
      <c r="M16" s="50">
        <f>1-0-0</f>
        <v>1</v>
      </c>
      <c r="N16" s="22">
        <f>1-0+0</f>
        <v>1</v>
      </c>
      <c r="O16" s="50">
        <f>0-0-0</f>
        <v>0</v>
      </c>
      <c r="P16" s="50">
        <f>0-0+0</f>
        <v>0</v>
      </c>
      <c r="Q16" s="50"/>
    </row>
    <row r="17" spans="1:17" s="8" customFormat="1" x14ac:dyDescent="0.15">
      <c r="A17" s="8" t="s">
        <v>13</v>
      </c>
      <c r="B17" s="27">
        <f t="shared" ref="B17:C17" si="15">B15+B16</f>
        <v>-4.0679999999999996</v>
      </c>
      <c r="C17" s="26">
        <f t="shared" si="15"/>
        <v>-7.6439999999999984</v>
      </c>
      <c r="D17" s="26">
        <f t="shared" ref="D17:F17" si="16">D15+D16</f>
        <v>-10.603000000000005</v>
      </c>
      <c r="E17" s="26">
        <f>E15+E16</f>
        <v>-8.4570000000000007</v>
      </c>
      <c r="F17" s="27">
        <f t="shared" si="16"/>
        <v>-8.8860000000000028</v>
      </c>
      <c r="G17" s="26">
        <f t="shared" ref="G17" si="17">G15+G16</f>
        <v>-5.2469999999999999</v>
      </c>
      <c r="H17" s="26">
        <f t="shared" ref="H17:L17" si="18">H15+H16</f>
        <v>-7.8909999999999982</v>
      </c>
      <c r="I17" s="26">
        <f t="shared" si="18"/>
        <v>-6.9120000000000026</v>
      </c>
      <c r="J17" s="27">
        <f t="shared" si="18"/>
        <v>-10.162000000000003</v>
      </c>
      <c r="K17" s="26">
        <f t="shared" si="18"/>
        <v>-15.610999999999997</v>
      </c>
      <c r="L17" s="26">
        <f t="shared" si="18"/>
        <v>-13.495000000000005</v>
      </c>
      <c r="M17" s="26">
        <f t="shared" ref="M17" si="19">M15+M16</f>
        <v>-13.591999999999992</v>
      </c>
      <c r="N17" s="27">
        <f t="shared" ref="N17:P17" si="20">N15+N16</f>
        <v>-10.341000000000001</v>
      </c>
      <c r="O17" s="26">
        <f t="shared" si="20"/>
        <v>-15.034000000000006</v>
      </c>
      <c r="P17" s="26">
        <f t="shared" si="20"/>
        <v>-23.653999999999996</v>
      </c>
      <c r="Q17" s="50"/>
    </row>
    <row r="18" spans="1:17" s="8" customFormat="1" x14ac:dyDescent="0.15">
      <c r="A18" s="8" t="s">
        <v>14</v>
      </c>
      <c r="B18" s="22">
        <v>0</v>
      </c>
      <c r="C18" s="23">
        <v>0</v>
      </c>
      <c r="D18" s="23">
        <v>0</v>
      </c>
      <c r="E18" s="23">
        <v>0</v>
      </c>
      <c r="F18" s="22">
        <v>0</v>
      </c>
      <c r="G18" s="23">
        <v>0</v>
      </c>
      <c r="H18" s="23">
        <v>0</v>
      </c>
      <c r="I18" s="23">
        <v>0</v>
      </c>
      <c r="J18" s="22">
        <v>0</v>
      </c>
      <c r="K18" s="23">
        <v>0</v>
      </c>
      <c r="L18" s="23">
        <v>0</v>
      </c>
      <c r="M18" s="23">
        <v>0</v>
      </c>
      <c r="N18" s="22">
        <v>1</v>
      </c>
      <c r="O18" s="23">
        <v>0</v>
      </c>
      <c r="P18" s="23">
        <v>0</v>
      </c>
      <c r="Q18" s="23"/>
    </row>
    <row r="19" spans="1:17" s="17" customFormat="1" x14ac:dyDescent="0.15">
      <c r="A19" s="17" t="s">
        <v>15</v>
      </c>
      <c r="B19" s="25">
        <f>B17-B18</f>
        <v>-4.0679999999999996</v>
      </c>
      <c r="C19" s="24">
        <f>C17-C18</f>
        <v>-7.6439999999999984</v>
      </c>
      <c r="D19" s="24">
        <f>D17-D18</f>
        <v>-10.603000000000005</v>
      </c>
      <c r="E19" s="24">
        <f>E17-E18</f>
        <v>-8.4570000000000007</v>
      </c>
      <c r="F19" s="25">
        <f>F17-F18</f>
        <v>-8.8860000000000028</v>
      </c>
      <c r="G19" s="24">
        <f>G17-G18</f>
        <v>-5.2469999999999999</v>
      </c>
      <c r="H19" s="24">
        <f>H17-H18</f>
        <v>-7.8909999999999982</v>
      </c>
      <c r="I19" s="24">
        <f>I17-I18</f>
        <v>-6.9120000000000026</v>
      </c>
      <c r="J19" s="25">
        <f>J17-J18</f>
        <v>-10.162000000000003</v>
      </c>
      <c r="K19" s="24">
        <f>K17-K18</f>
        <v>-15.610999999999997</v>
      </c>
      <c r="L19" s="24">
        <f>L17-L18</f>
        <v>-13.495000000000005</v>
      </c>
      <c r="M19" s="24">
        <f>M17-M18</f>
        <v>-13.591999999999992</v>
      </c>
      <c r="N19" s="25">
        <f>N17-N18</f>
        <v>-11.341000000000001</v>
      </c>
      <c r="O19" s="24">
        <f>O17-O18</f>
        <v>-15.034000000000006</v>
      </c>
      <c r="P19" s="24">
        <f>P17-P18</f>
        <v>-23.653999999999996</v>
      </c>
      <c r="Q19" s="49"/>
    </row>
    <row r="20" spans="1:17" s="4" customFormat="1" x14ac:dyDescent="0.15">
      <c r="A20" s="4" t="s">
        <v>16</v>
      </c>
      <c r="B20" s="60">
        <f t="shared" ref="B20:D20" si="21">IFERROR(B19/B21,0)</f>
        <v>0</v>
      </c>
      <c r="C20" s="59">
        <f t="shared" si="21"/>
        <v>0</v>
      </c>
      <c r="D20" s="59">
        <f t="shared" si="21"/>
        <v>0</v>
      </c>
      <c r="E20" s="59">
        <f t="shared" ref="E20" si="22">IFERROR(E19/E21,0)</f>
        <v>0</v>
      </c>
      <c r="F20" s="60">
        <f t="shared" ref="F20:K20" si="23">IFERROR(F19/F21,0)</f>
        <v>0</v>
      </c>
      <c r="G20" s="59">
        <f t="shared" si="23"/>
        <v>-0.21747419903013221</v>
      </c>
      <c r="H20" s="59">
        <f t="shared" si="23"/>
        <v>-0.32170084389905818</v>
      </c>
      <c r="I20" s="59">
        <f t="shared" si="23"/>
        <v>-0.27888960619754694</v>
      </c>
      <c r="J20" s="60">
        <f t="shared" si="23"/>
        <v>-0.40181890075128524</v>
      </c>
      <c r="K20" s="59">
        <f t="shared" si="23"/>
        <v>-0.26113648149077462</v>
      </c>
      <c r="L20" s="59">
        <f t="shared" ref="L20:M20" si="24">IFERROR(L19/L21,0)</f>
        <v>-0.14473401973401978</v>
      </c>
      <c r="M20" s="59">
        <f t="shared" si="24"/>
        <v>-0.14452655643574874</v>
      </c>
      <c r="N20" s="60">
        <f t="shared" ref="N20:P20" si="25">IFERROR(N19/N21,0)</f>
        <v>-0.11887716061676504</v>
      </c>
      <c r="O20" s="59">
        <f t="shared" si="25"/>
        <v>-0.15058847097711231</v>
      </c>
      <c r="P20" s="59">
        <f t="shared" si="25"/>
        <v>-0.22327311170262973</v>
      </c>
      <c r="Q20" s="61"/>
    </row>
    <row r="21" spans="1:17" s="8" customFormat="1" x14ac:dyDescent="0.15">
      <c r="A21" s="8" t="s">
        <v>17</v>
      </c>
      <c r="B21" s="22"/>
      <c r="C21" s="23"/>
      <c r="D21" s="23"/>
      <c r="E21" s="23"/>
      <c r="F21" s="22"/>
      <c r="G21" s="23">
        <v>24.126999999999999</v>
      </c>
      <c r="H21" s="23">
        <v>24.529</v>
      </c>
      <c r="I21" s="23">
        <v>24.783999999999999</v>
      </c>
      <c r="J21" s="22">
        <v>25.29</v>
      </c>
      <c r="K21" s="23">
        <v>59.780999999999999</v>
      </c>
      <c r="L21" s="50">
        <v>93.24</v>
      </c>
      <c r="M21" s="50">
        <v>94.045000000000002</v>
      </c>
      <c r="N21" s="22">
        <v>95.400999999999996</v>
      </c>
      <c r="O21" s="50">
        <v>99.834999999999994</v>
      </c>
      <c r="P21" s="50">
        <v>105.94199999999999</v>
      </c>
      <c r="Q21" s="50"/>
    </row>
    <row r="22" spans="1:17" s="41" customFormat="1" x14ac:dyDescent="0.15">
      <c r="B22" s="40"/>
      <c r="C22" s="39"/>
      <c r="D22" s="39"/>
      <c r="E22" s="39"/>
      <c r="F22" s="56"/>
      <c r="I22" s="39"/>
      <c r="J22" s="56"/>
      <c r="N22" s="56"/>
    </row>
    <row r="23" spans="1:17" x14ac:dyDescent="0.15">
      <c r="A23" s="6" t="s">
        <v>19</v>
      </c>
      <c r="B23" s="34">
        <f>IFERROR(B10/B8,0)</f>
        <v>0.570960206548912</v>
      </c>
      <c r="C23" s="33">
        <f>IFERROR(C10/C8,0)</f>
        <v>0.55028634996497883</v>
      </c>
      <c r="D23" s="33">
        <f>IFERROR(D10/D8,0)</f>
        <v>0.51151158795005902</v>
      </c>
      <c r="E23" s="33">
        <f>IFERROR(E10/E8,0)</f>
        <v>0.51746179711688911</v>
      </c>
      <c r="F23" s="34">
        <f>IFERROR(F10/F8,0)</f>
        <v>0.52661702258600529</v>
      </c>
      <c r="G23" s="33">
        <f>IFERROR(G10/G8,0)</f>
        <v>0.54438574082675339</v>
      </c>
      <c r="H23" s="33">
        <f>IFERROR(H10/H8,0)</f>
        <v>0.54614340032590991</v>
      </c>
      <c r="I23" s="33">
        <f>IFERROR(I10/I8,0)</f>
        <v>0.56592396499742625</v>
      </c>
      <c r="J23" s="34">
        <f>IFERROR(J10/J8,0)</f>
        <v>0.56717007638949857</v>
      </c>
      <c r="K23" s="33">
        <f>IFERROR(K10/K8,0)</f>
        <v>0.54986680527581056</v>
      </c>
      <c r="L23" s="33">
        <f>IFERROR(L10/L8,0)</f>
        <v>0.55234251059300754</v>
      </c>
      <c r="M23" s="33">
        <f>IFERROR(M10/M8,0)</f>
        <v>0.56685217863445103</v>
      </c>
      <c r="N23" s="34">
        <f>IFERROR(N10/N8,0)</f>
        <v>0.56669951052062806</v>
      </c>
      <c r="O23" s="33">
        <f>IFERROR(O10/O8,0)</f>
        <v>0.60225278919946956</v>
      </c>
      <c r="P23" s="33">
        <f>IFERROR(P10/P8,0)</f>
        <v>0.58532234774483993</v>
      </c>
      <c r="Q23" s="33"/>
    </row>
    <row r="24" spans="1:17" x14ac:dyDescent="0.15">
      <c r="A24" s="6" t="s">
        <v>20</v>
      </c>
      <c r="B24" s="36">
        <f>IFERROR(B15/B8,0)</f>
        <v>-0.16671447891479857</v>
      </c>
      <c r="C24" s="35">
        <f>IFERROR(C15/C8,0)</f>
        <v>-0.31494376004284941</v>
      </c>
      <c r="D24" s="35">
        <f>IFERROR(D15/D8,0)</f>
        <v>-0.40483372150738828</v>
      </c>
      <c r="E24" s="35">
        <f>IFERROR(E15/E8,0)</f>
        <v>-0.28155275160635218</v>
      </c>
      <c r="F24" s="36">
        <f>IFERROR(F15/F8,0)</f>
        <v>-0.27343221121299782</v>
      </c>
      <c r="G24" s="35">
        <f>IFERROR(G15/G8,0)</f>
        <v>-0.15231653506734788</v>
      </c>
      <c r="H24" s="35">
        <f>IFERROR(H15/H8,0)</f>
        <v>-0.18715372080391088</v>
      </c>
      <c r="I24" s="35">
        <f>IFERROR(I15/I8,0)</f>
        <v>-0.14491261612373466</v>
      </c>
      <c r="J24" s="36">
        <f>IFERROR(J15/J8,0)</f>
        <v>-0.17916410571604185</v>
      </c>
      <c r="K24" s="35">
        <f>IFERROR(K15/K8,0)</f>
        <v>-0.25146730773395698</v>
      </c>
      <c r="L24" s="35">
        <f>IFERROR(L15/L8,0)</f>
        <v>-0.27100026105990332</v>
      </c>
      <c r="M24" s="35">
        <f>IFERROR(M15/M8,0)</f>
        <v>-0.24759060675987496</v>
      </c>
      <c r="N24" s="36">
        <f>IFERROR(N15/N8,0)</f>
        <v>-0.1802332973110419</v>
      </c>
      <c r="O24" s="35">
        <f>IFERROR(O15/O8,0)</f>
        <v>-0.2013581024068147</v>
      </c>
      <c r="P24" s="35">
        <f>IFERROR(P15/P8,0)</f>
        <v>-0.33486225544324577</v>
      </c>
      <c r="Q24" s="35"/>
    </row>
    <row r="25" spans="1:17" x14ac:dyDescent="0.15">
      <c r="A25" s="6" t="s">
        <v>21</v>
      </c>
      <c r="B25" s="36">
        <f>IFERROR(B18/B17,0)</f>
        <v>0</v>
      </c>
      <c r="C25" s="35">
        <f>IFERROR(C18/C17,0)</f>
        <v>0</v>
      </c>
      <c r="D25" s="35">
        <f>IFERROR(D18/D17,0)</f>
        <v>0</v>
      </c>
      <c r="E25" s="35">
        <f>IFERROR(E18/E17,0)</f>
        <v>0</v>
      </c>
      <c r="F25" s="36">
        <f>IFERROR(F18/F17,0)</f>
        <v>0</v>
      </c>
      <c r="G25" s="35">
        <f>IFERROR(G18/G17,0)</f>
        <v>0</v>
      </c>
      <c r="H25" s="35">
        <f>IFERROR(H18/H17,0)</f>
        <v>0</v>
      </c>
      <c r="I25" s="35">
        <f>IFERROR(I18/I17,0)</f>
        <v>0</v>
      </c>
      <c r="J25" s="36">
        <f>IFERROR(J18/J17,0)</f>
        <v>0</v>
      </c>
      <c r="K25" s="35">
        <f>IFERROR(K18/K17,0)</f>
        <v>0</v>
      </c>
      <c r="L25" s="35">
        <f>IFERROR(L18/L17,0)</f>
        <v>0</v>
      </c>
      <c r="M25" s="35">
        <f>IFERROR(M18/M17,0)</f>
        <v>0</v>
      </c>
      <c r="N25" s="36">
        <f>IFERROR(N18/N17,0)</f>
        <v>-9.6702446571898262E-2</v>
      </c>
      <c r="O25" s="35">
        <f>IFERROR(O18/O17,0)</f>
        <v>0</v>
      </c>
      <c r="P25" s="35">
        <f>IFERROR(P18/P17,0)</f>
        <v>0</v>
      </c>
      <c r="Q25" s="35"/>
    </row>
    <row r="26" spans="1:17" s="41" customFormat="1" x14ac:dyDescent="0.15">
      <c r="B26" s="40"/>
      <c r="C26" s="39"/>
      <c r="D26" s="39"/>
      <c r="E26" s="39"/>
      <c r="F26" s="56"/>
      <c r="I26" s="39"/>
      <c r="J26" s="56"/>
      <c r="N26" s="56"/>
    </row>
    <row r="27" spans="1:17" s="12" customFormat="1" x14ac:dyDescent="0.15">
      <c r="A27" s="12" t="s">
        <v>18</v>
      </c>
      <c r="B27" s="30"/>
      <c r="C27" s="29"/>
      <c r="D27" s="29"/>
      <c r="E27" s="29"/>
      <c r="F27" s="30">
        <f>IFERROR((F8/B8)-1,0)</f>
        <v>0.33183066267775896</v>
      </c>
      <c r="G27" s="29">
        <f>IFERROR((G8/C8)-1,0)</f>
        <v>0.41930699188331744</v>
      </c>
      <c r="H27" s="29">
        <f>IFERROR((H8/D8)-1,0)</f>
        <v>0.40582642892596721</v>
      </c>
      <c r="I27" s="29">
        <f>IFERROR((I8/E8)-1,0)</f>
        <v>0.3582248560109198</v>
      </c>
      <c r="J27" s="30">
        <f>IFERROR((J8/F8)-1,0)</f>
        <v>0.40180934211336083</v>
      </c>
      <c r="K27" s="29">
        <f>IFERROR((K8/G8)-1,0)</f>
        <v>0.34036809103576404</v>
      </c>
      <c r="L27" s="29">
        <f>IFERROR((L8/H8)-1,0)</f>
        <v>0.35244432373709933</v>
      </c>
      <c r="M27" s="29">
        <f>IFERROR((M8/I8)-1,0)</f>
        <v>0.44461602568816372</v>
      </c>
      <c r="N27" s="30">
        <f>IFERROR((N8/J8)-1,0)</f>
        <v>0.38124506102379496</v>
      </c>
      <c r="O27" s="29">
        <f>IFERROR((O8/K8)-1,0)</f>
        <v>0.61702726701752098</v>
      </c>
      <c r="P27" s="29">
        <f>IFERROR((P8/L8)-1,0)</f>
        <v>0.418519187902886</v>
      </c>
      <c r="Q27" s="29">
        <f>IFERROR((Q8/M8)-1,0)</f>
        <v>0.35740464232387659</v>
      </c>
    </row>
    <row r="28" spans="1:17" s="12" customFormat="1" x14ac:dyDescent="0.15">
      <c r="A28" s="6" t="s">
        <v>34</v>
      </c>
      <c r="B28" s="32"/>
      <c r="C28" s="31"/>
      <c r="D28" s="31"/>
      <c r="E28" s="31"/>
      <c r="F28" s="32">
        <f>F11/B11-1</f>
        <v>0.33333333333333326</v>
      </c>
      <c r="G28" s="31">
        <f>G11/C11-1</f>
        <v>0.14285714285714279</v>
      </c>
      <c r="H28" s="31">
        <f>H11/D11-1</f>
        <v>0.125</v>
      </c>
      <c r="I28" s="31">
        <f>I11/E11-1</f>
        <v>0.125</v>
      </c>
      <c r="J28" s="32">
        <f>J11/F11-1</f>
        <v>0.25</v>
      </c>
      <c r="K28" s="31">
        <f>K11/G11-1</f>
        <v>0.375</v>
      </c>
      <c r="L28" s="31">
        <f>L11/H11-1</f>
        <v>0.33333333333333326</v>
      </c>
      <c r="M28" s="31">
        <f>M11/I11-1</f>
        <v>0.44444444444444442</v>
      </c>
      <c r="N28" s="32">
        <f>N11/J11-1</f>
        <v>0.39999999999999991</v>
      </c>
      <c r="O28" s="31">
        <f>O11/K11-1</f>
        <v>0.54545454545454541</v>
      </c>
      <c r="P28" s="31">
        <f>P11/L11-1</f>
        <v>0.5</v>
      </c>
      <c r="Q28" s="31"/>
    </row>
    <row r="29" spans="1:17" s="12" customFormat="1" x14ac:dyDescent="0.15">
      <c r="A29" s="6" t="s">
        <v>35</v>
      </c>
      <c r="B29" s="32"/>
      <c r="C29" s="31"/>
      <c r="D29" s="31"/>
      <c r="E29" s="31"/>
      <c r="F29" s="32">
        <f>F12/B12-1</f>
        <v>0.33333333333333326</v>
      </c>
      <c r="G29" s="31">
        <f>G12/C12-1</f>
        <v>0.19999999999999996</v>
      </c>
      <c r="H29" s="31">
        <f>H12/D12-1</f>
        <v>9.0909090909090828E-2</v>
      </c>
      <c r="I29" s="31">
        <f>I12/E12-1</f>
        <v>0.18181818181818188</v>
      </c>
      <c r="J29" s="32">
        <f>J12/F12-1</f>
        <v>0.25</v>
      </c>
      <c r="K29" s="31">
        <f>K12/G12-1</f>
        <v>0.41666666666666674</v>
      </c>
      <c r="L29" s="31">
        <f>L12/H12-1</f>
        <v>0.5</v>
      </c>
      <c r="M29" s="31">
        <f>M12/I12-1</f>
        <v>0.69230769230769229</v>
      </c>
      <c r="N29" s="32">
        <f>N12/J12-1</f>
        <v>0.26666666666666661</v>
      </c>
      <c r="O29" s="31">
        <f>O12/K12-1</f>
        <v>0.47058823529411775</v>
      </c>
      <c r="P29" s="31">
        <f>P12/L12-1</f>
        <v>0.27777777777777768</v>
      </c>
      <c r="Q29" s="31"/>
    </row>
    <row r="30" spans="1:17" s="12" customFormat="1" x14ac:dyDescent="0.15">
      <c r="A30" s="6" t="s">
        <v>36</v>
      </c>
      <c r="B30" s="32"/>
      <c r="C30" s="31"/>
      <c r="D30" s="31"/>
      <c r="E30" s="31"/>
      <c r="F30" s="32">
        <f>F13/B13-1</f>
        <v>1</v>
      </c>
      <c r="G30" s="31">
        <f>G13/C13-1</f>
        <v>0</v>
      </c>
      <c r="H30" s="31">
        <f>H13/D13-1</f>
        <v>0.19999999999999996</v>
      </c>
      <c r="I30" s="31">
        <f>I13/E13-1</f>
        <v>0.39999999999999991</v>
      </c>
      <c r="J30" s="32">
        <f>J13/F13-1</f>
        <v>0.5</v>
      </c>
      <c r="K30" s="31">
        <f>K13/G13-1</f>
        <v>1.25</v>
      </c>
      <c r="L30" s="31">
        <f>L13/H13-1</f>
        <v>0.83333333333333326</v>
      </c>
      <c r="M30" s="31">
        <f>M13/I13-1</f>
        <v>0.85714285714285721</v>
      </c>
      <c r="N30" s="32">
        <f>N13/J13-1</f>
        <v>0.55555555555555558</v>
      </c>
      <c r="O30" s="31">
        <f>O13/K13-1</f>
        <v>1</v>
      </c>
      <c r="P30" s="31">
        <f>P13/L13-1</f>
        <v>1.1818181818181817</v>
      </c>
      <c r="Q30" s="31"/>
    </row>
    <row r="31" spans="1:17" x14ac:dyDescent="0.15">
      <c r="A31" s="6" t="s">
        <v>60</v>
      </c>
      <c r="B31" s="34"/>
      <c r="C31" s="33"/>
      <c r="D31" s="33"/>
      <c r="E31" s="33"/>
      <c r="F31" s="34">
        <f>F14/B14-1</f>
        <v>0.44444444444444442</v>
      </c>
      <c r="G31" s="33">
        <f>G14/C14-1</f>
        <v>0.14285714285714279</v>
      </c>
      <c r="H31" s="33">
        <f>H14/D14-1</f>
        <v>0.125</v>
      </c>
      <c r="I31" s="33">
        <f>I14/E14-1</f>
        <v>0.20833333333333326</v>
      </c>
      <c r="J31" s="34">
        <f>J14/F14-1</f>
        <v>0.30769230769230771</v>
      </c>
      <c r="K31" s="33">
        <f>K14/G14-1</f>
        <v>0.54166666666666674</v>
      </c>
      <c r="L31" s="33">
        <f>L14/H14-1</f>
        <v>0.5185185185185186</v>
      </c>
      <c r="M31" s="33">
        <f>M14/I14-1</f>
        <v>0.65517241379310343</v>
      </c>
      <c r="N31" s="34">
        <f>N14/J14-1</f>
        <v>0.38235294117647056</v>
      </c>
      <c r="O31" s="33">
        <f>O14/K14-1</f>
        <v>0.62162162162162171</v>
      </c>
      <c r="P31" s="33">
        <f>P14/L14-1</f>
        <v>0.58536585365853666</v>
      </c>
      <c r="Q31" s="33"/>
    </row>
    <row r="32" spans="1:17" x14ac:dyDescent="0.15">
      <c r="B32" s="45"/>
      <c r="C32" s="44"/>
      <c r="D32" s="44"/>
      <c r="E32" s="44"/>
      <c r="F32" s="45"/>
      <c r="G32" s="44"/>
      <c r="H32" s="44"/>
      <c r="I32" s="44"/>
      <c r="K32" s="44"/>
    </row>
    <row r="33" spans="1:17" s="17" customFormat="1" x14ac:dyDescent="0.15">
      <c r="A33" s="17" t="s">
        <v>22</v>
      </c>
      <c r="B33" s="22"/>
      <c r="C33" s="23"/>
      <c r="D33" s="23"/>
      <c r="E33" s="24">
        <f t="shared" ref="E33:H33" si="26">E34-E35</f>
        <v>24</v>
      </c>
      <c r="F33" s="21"/>
      <c r="G33" s="44"/>
      <c r="H33" s="20"/>
      <c r="I33" s="24">
        <f t="shared" ref="I33:K33" si="27">I34-I35</f>
        <v>31</v>
      </c>
      <c r="J33" s="21"/>
      <c r="K33" s="44"/>
      <c r="L33" s="20"/>
      <c r="M33" s="24">
        <f t="shared" ref="M33" si="28">M34-M35</f>
        <v>102</v>
      </c>
      <c r="N33" s="25">
        <f t="shared" ref="N33:P33" si="29">N34-N35</f>
        <v>86</v>
      </c>
      <c r="O33" s="24">
        <f t="shared" si="29"/>
        <v>354</v>
      </c>
      <c r="P33" s="24">
        <f t="shared" si="29"/>
        <v>370</v>
      </c>
      <c r="Q33" s="46"/>
    </row>
    <row r="34" spans="1:17" s="8" customFormat="1" x14ac:dyDescent="0.15">
      <c r="A34" s="8" t="s">
        <v>23</v>
      </c>
      <c r="B34" s="22"/>
      <c r="C34" s="23"/>
      <c r="D34" s="23"/>
      <c r="E34" s="23">
        <f>31+19</f>
        <v>50</v>
      </c>
      <c r="F34" s="22"/>
      <c r="G34" s="23"/>
      <c r="H34" s="23"/>
      <c r="I34" s="23">
        <f>37+47</f>
        <v>84</v>
      </c>
      <c r="J34" s="22"/>
      <c r="K34" s="23"/>
      <c r="L34" s="23"/>
      <c r="M34" s="23">
        <f>16+115</f>
        <v>131</v>
      </c>
      <c r="N34" s="22">
        <f>23+94</f>
        <v>117</v>
      </c>
      <c r="O34" s="23">
        <f>257+127</f>
        <v>384</v>
      </c>
      <c r="P34" s="23">
        <f>310+92</f>
        <v>402</v>
      </c>
      <c r="Q34" s="23"/>
    </row>
    <row r="35" spans="1:17" s="8" customFormat="1" x14ac:dyDescent="0.15">
      <c r="A35" s="8" t="s">
        <v>24</v>
      </c>
      <c r="B35" s="22"/>
      <c r="C35" s="23"/>
      <c r="D35" s="23"/>
      <c r="E35" s="23">
        <f>2+23+1</f>
        <v>26</v>
      </c>
      <c r="F35" s="22"/>
      <c r="G35" s="23"/>
      <c r="H35" s="23"/>
      <c r="I35" s="23">
        <f>11+39+3</f>
        <v>53</v>
      </c>
      <c r="J35" s="22"/>
      <c r="K35" s="23"/>
      <c r="L35" s="23"/>
      <c r="M35" s="23">
        <f>4+25</f>
        <v>29</v>
      </c>
      <c r="N35" s="22">
        <f>5+26</f>
        <v>31</v>
      </c>
      <c r="O35" s="23">
        <f>5+25</f>
        <v>30</v>
      </c>
      <c r="P35" s="23">
        <f>6+26</f>
        <v>32</v>
      </c>
      <c r="Q35" s="23"/>
    </row>
    <row r="36" spans="1:17" s="8" customFormat="1" x14ac:dyDescent="0.15">
      <c r="B36" s="22"/>
      <c r="C36" s="23"/>
      <c r="D36" s="23"/>
      <c r="E36" s="23"/>
      <c r="F36" s="22"/>
      <c r="G36" s="23"/>
      <c r="H36" s="23"/>
      <c r="I36" s="23"/>
      <c r="J36" s="22"/>
      <c r="K36" s="23"/>
      <c r="L36" s="23"/>
      <c r="M36" s="23"/>
      <c r="N36" s="22"/>
      <c r="O36" s="23"/>
      <c r="P36" s="23"/>
      <c r="Q36" s="23"/>
    </row>
    <row r="37" spans="1:17" s="8" customFormat="1" x14ac:dyDescent="0.15">
      <c r="A37" s="62" t="s">
        <v>48</v>
      </c>
      <c r="B37" s="22"/>
      <c r="C37" s="23"/>
      <c r="D37" s="23"/>
      <c r="E37" s="37">
        <f>0+1</f>
        <v>1</v>
      </c>
      <c r="F37" s="22"/>
      <c r="G37" s="23"/>
      <c r="H37" s="23"/>
      <c r="I37" s="23">
        <f>0+1</f>
        <v>1</v>
      </c>
      <c r="J37" s="22"/>
      <c r="K37" s="23"/>
      <c r="L37" s="23"/>
      <c r="M37" s="23">
        <f>0+1</f>
        <v>1</v>
      </c>
      <c r="N37" s="22">
        <f>0+1</f>
        <v>1</v>
      </c>
      <c r="O37" s="23">
        <f>0+3</f>
        <v>3</v>
      </c>
      <c r="P37" s="23">
        <f>0+3</f>
        <v>3</v>
      </c>
      <c r="Q37" s="23"/>
    </row>
    <row r="38" spans="1:17" s="8" customFormat="1" x14ac:dyDescent="0.15">
      <c r="A38" s="62" t="s">
        <v>49</v>
      </c>
      <c r="B38" s="22"/>
      <c r="C38" s="23"/>
      <c r="D38" s="23"/>
      <c r="E38" s="37">
        <v>116</v>
      </c>
      <c r="F38" s="22"/>
      <c r="G38" s="23"/>
      <c r="H38" s="23"/>
      <c r="I38" s="23">
        <v>163</v>
      </c>
      <c r="J38" s="22"/>
      <c r="K38" s="23"/>
      <c r="L38" s="23"/>
      <c r="M38" s="23">
        <v>321</v>
      </c>
      <c r="N38" s="22">
        <v>324</v>
      </c>
      <c r="O38" s="23">
        <v>608</v>
      </c>
      <c r="P38" s="23">
        <v>632</v>
      </c>
      <c r="Q38" s="23"/>
    </row>
    <row r="39" spans="1:17" s="8" customFormat="1" x14ac:dyDescent="0.15">
      <c r="A39" s="62" t="s">
        <v>50</v>
      </c>
      <c r="B39" s="22"/>
      <c r="C39" s="23"/>
      <c r="D39" s="23"/>
      <c r="E39" s="37">
        <f>43+180</f>
        <v>223</v>
      </c>
      <c r="F39" s="22"/>
      <c r="G39" s="23"/>
      <c r="H39" s="23"/>
      <c r="I39" s="23">
        <f>75+220</f>
        <v>295</v>
      </c>
      <c r="J39" s="22"/>
      <c r="K39" s="23"/>
      <c r="L39" s="23"/>
      <c r="M39" s="23">
        <v>63</v>
      </c>
      <c r="N39" s="22">
        <v>68</v>
      </c>
      <c r="O39" s="23">
        <v>66</v>
      </c>
      <c r="P39" s="23">
        <v>96</v>
      </c>
      <c r="Q39" s="23"/>
    </row>
    <row r="40" spans="1:17" s="8" customFormat="1" x14ac:dyDescent="0.15">
      <c r="B40" s="22"/>
      <c r="C40" s="23"/>
      <c r="D40" s="23"/>
      <c r="E40" s="37"/>
      <c r="F40" s="22"/>
      <c r="G40" s="23"/>
      <c r="H40" s="23"/>
      <c r="I40" s="23"/>
      <c r="J40" s="22"/>
      <c r="K40" s="23"/>
      <c r="L40" s="23"/>
      <c r="M40" s="23"/>
      <c r="N40" s="22"/>
      <c r="O40" s="23"/>
      <c r="P40" s="23"/>
      <c r="Q40" s="23"/>
    </row>
    <row r="41" spans="1:17" s="8" customFormat="1" x14ac:dyDescent="0.15">
      <c r="A41" s="62" t="s">
        <v>51</v>
      </c>
      <c r="B41" s="22"/>
      <c r="C41" s="23"/>
      <c r="D41" s="23"/>
      <c r="E41" s="26">
        <f t="shared" ref="E41" si="30">E38-E34-E37</f>
        <v>65</v>
      </c>
      <c r="F41" s="21"/>
      <c r="G41" s="44"/>
      <c r="H41" s="20"/>
      <c r="I41" s="26">
        <f t="shared" ref="H41:N41" si="31">I38-I34-I37</f>
        <v>78</v>
      </c>
      <c r="J41" s="21"/>
      <c r="K41" s="44"/>
      <c r="L41" s="20"/>
      <c r="M41" s="26">
        <f t="shared" si="31"/>
        <v>189</v>
      </c>
      <c r="N41" s="27">
        <f t="shared" si="31"/>
        <v>206</v>
      </c>
      <c r="O41" s="26">
        <f t="shared" ref="O41:P41" si="32">O38-O34-O37</f>
        <v>221</v>
      </c>
      <c r="P41" s="26">
        <f t="shared" si="32"/>
        <v>227</v>
      </c>
      <c r="Q41" s="23"/>
    </row>
    <row r="42" spans="1:17" s="8" customFormat="1" x14ac:dyDescent="0.15">
      <c r="A42" s="62" t="s">
        <v>52</v>
      </c>
      <c r="B42" s="22"/>
      <c r="C42" s="23"/>
      <c r="D42" s="23"/>
      <c r="E42" s="26">
        <f t="shared" ref="E42:H42" si="33">E38-E39</f>
        <v>-107</v>
      </c>
      <c r="F42" s="21"/>
      <c r="G42" s="44"/>
      <c r="H42" s="20"/>
      <c r="I42" s="26">
        <f t="shared" ref="I42:K42" si="34">I38-I39</f>
        <v>-132</v>
      </c>
      <c r="J42" s="21"/>
      <c r="K42" s="44"/>
      <c r="L42" s="20"/>
      <c r="M42" s="26">
        <f>M38-M39</f>
        <v>258</v>
      </c>
      <c r="N42" s="27">
        <f t="shared" ref="N42" si="35">N38-N39</f>
        <v>256</v>
      </c>
      <c r="O42" s="26">
        <f>O38-O39</f>
        <v>542</v>
      </c>
      <c r="P42" s="26">
        <f>P38-P39</f>
        <v>536</v>
      </c>
      <c r="Q42" s="23"/>
    </row>
    <row r="43" spans="1:17" s="8" customFormat="1" x14ac:dyDescent="0.15">
      <c r="B43" s="22"/>
      <c r="C43" s="23"/>
      <c r="D43" s="23"/>
      <c r="E43" s="37"/>
      <c r="F43" s="22"/>
      <c r="G43" s="23"/>
      <c r="H43" s="23"/>
      <c r="I43" s="23"/>
      <c r="J43" s="22"/>
      <c r="K43" s="23"/>
      <c r="L43" s="23"/>
      <c r="M43" s="23"/>
      <c r="N43" s="22"/>
      <c r="O43" s="23"/>
      <c r="P43" s="23"/>
      <c r="Q43" s="23"/>
    </row>
    <row r="44" spans="1:17" s="17" customFormat="1" x14ac:dyDescent="0.15">
      <c r="A44" s="63" t="s">
        <v>53</v>
      </c>
      <c r="B44" s="22"/>
      <c r="C44" s="23"/>
      <c r="D44" s="23"/>
      <c r="E44" s="24">
        <f t="shared" ref="E44:M44" si="36">SUM(B19:E19)</f>
        <v>-30.772000000000006</v>
      </c>
      <c r="F44" s="21"/>
      <c r="G44" s="44"/>
      <c r="H44" s="20"/>
      <c r="I44" s="24">
        <f t="shared" si="36"/>
        <v>-28.936000000000003</v>
      </c>
      <c r="J44" s="21"/>
      <c r="K44" s="44"/>
      <c r="L44" s="20"/>
      <c r="M44" s="24">
        <f t="shared" si="36"/>
        <v>-52.859999999999992</v>
      </c>
      <c r="N44" s="25">
        <f t="shared" ref="N44" si="37">SUM(K19:N19)</f>
        <v>-54.038999999999994</v>
      </c>
      <c r="O44" s="24">
        <f>SUM(L19:O19)</f>
        <v>-53.462000000000003</v>
      </c>
      <c r="P44" s="24">
        <f>SUM(M19:P19)</f>
        <v>-63.620999999999995</v>
      </c>
      <c r="Q44" s="46"/>
    </row>
    <row r="45" spans="1:17" x14ac:dyDescent="0.15">
      <c r="A45" s="18" t="s">
        <v>54</v>
      </c>
      <c r="B45" s="22"/>
      <c r="C45" s="23"/>
      <c r="D45" s="23"/>
      <c r="E45" s="33">
        <f t="shared" ref="E45" si="38">E44/E42</f>
        <v>0.28758878504672902</v>
      </c>
      <c r="G45" s="44"/>
      <c r="I45" s="33">
        <f t="shared" ref="H45:N45" si="39">I44/I42</f>
        <v>0.21921212121212125</v>
      </c>
      <c r="K45" s="44"/>
      <c r="M45" s="33">
        <f t="shared" si="39"/>
        <v>-0.20488372093023252</v>
      </c>
      <c r="N45" s="34">
        <f t="shared" si="39"/>
        <v>-0.21108984374999998</v>
      </c>
      <c r="O45" s="33">
        <f t="shared" ref="O45:P45" si="40">O44/O42</f>
        <v>-9.863837638376384E-2</v>
      </c>
      <c r="P45" s="33">
        <f t="shared" si="40"/>
        <v>-0.11869589552238805</v>
      </c>
    </row>
    <row r="46" spans="1:17" x14ac:dyDescent="0.15">
      <c r="A46" s="18" t="s">
        <v>55</v>
      </c>
      <c r="B46" s="22"/>
      <c r="C46" s="23"/>
      <c r="D46" s="23"/>
      <c r="E46" s="33">
        <f t="shared" ref="E46" si="41">E44/E38</f>
        <v>-0.26527586206896558</v>
      </c>
      <c r="G46" s="44"/>
      <c r="I46" s="33">
        <f t="shared" ref="H46:N46" si="42">I44/I38</f>
        <v>-0.17752147239263805</v>
      </c>
      <c r="K46" s="44"/>
      <c r="M46" s="33">
        <f t="shared" si="42"/>
        <v>-0.16467289719626166</v>
      </c>
      <c r="N46" s="34">
        <f t="shared" si="42"/>
        <v>-0.16678703703703701</v>
      </c>
      <c r="O46" s="33">
        <f t="shared" ref="O46:P46" si="43">O44/O38</f>
        <v>-8.7930921052631589E-2</v>
      </c>
      <c r="P46" s="33">
        <f t="shared" si="43"/>
        <v>-0.10066613924050632</v>
      </c>
    </row>
    <row r="47" spans="1:17" x14ac:dyDescent="0.15">
      <c r="A47" s="18" t="s">
        <v>56</v>
      </c>
      <c r="B47" s="22"/>
      <c r="C47" s="23"/>
      <c r="D47" s="23"/>
      <c r="E47" s="33">
        <f t="shared" ref="E47" si="44">E44/(E42-E37)</f>
        <v>0.28492592592592597</v>
      </c>
      <c r="G47" s="44"/>
      <c r="I47" s="33">
        <f t="shared" ref="H47:N47" si="45">I44/(I42-I37)</f>
        <v>0.21756390977443613</v>
      </c>
      <c r="K47" s="44"/>
      <c r="M47" s="33">
        <f t="shared" si="45"/>
        <v>-0.20568093385214004</v>
      </c>
      <c r="N47" s="34">
        <f t="shared" si="45"/>
        <v>-0.21191764705882352</v>
      </c>
      <c r="O47" s="33">
        <f t="shared" ref="O47:P47" si="46">O44/(O42-O37)</f>
        <v>-9.9187384044526913E-2</v>
      </c>
      <c r="P47" s="33">
        <f t="shared" si="46"/>
        <v>-0.1193639774859287</v>
      </c>
    </row>
    <row r="48" spans="1:17" x14ac:dyDescent="0.15">
      <c r="A48" s="18" t="s">
        <v>57</v>
      </c>
      <c r="B48" s="22"/>
      <c r="C48" s="23"/>
      <c r="D48" s="23"/>
      <c r="E48" s="33">
        <f t="shared" ref="E48" si="47">E44/E41</f>
        <v>-0.47341538461538468</v>
      </c>
      <c r="G48" s="44"/>
      <c r="I48" s="33">
        <f t="shared" ref="H48:N48" si="48">I44/I41</f>
        <v>-0.37097435897435904</v>
      </c>
      <c r="K48" s="44"/>
      <c r="M48" s="33">
        <f t="shared" si="48"/>
        <v>-0.27968253968253964</v>
      </c>
      <c r="N48" s="34">
        <f t="shared" si="48"/>
        <v>-0.26232524271844659</v>
      </c>
      <c r="O48" s="33">
        <f t="shared" ref="O48:P48" si="49">O44/O41</f>
        <v>-0.24190950226244345</v>
      </c>
      <c r="P48" s="33">
        <f t="shared" si="49"/>
        <v>-0.28026872246696033</v>
      </c>
    </row>
    <row r="50" spans="1:17" s="8" customFormat="1" x14ac:dyDescent="0.15">
      <c r="A50" s="8" t="s">
        <v>69</v>
      </c>
      <c r="B50" s="22">
        <v>1261</v>
      </c>
      <c r="C50" s="23">
        <v>1284</v>
      </c>
      <c r="D50" s="23">
        <v>1365</v>
      </c>
      <c r="E50" s="23">
        <v>1439</v>
      </c>
      <c r="F50" s="22">
        <v>1444</v>
      </c>
      <c r="G50" s="23">
        <v>1529</v>
      </c>
      <c r="H50" s="23">
        <v>1516</v>
      </c>
      <c r="I50" s="23">
        <v>1582</v>
      </c>
      <c r="J50" s="22">
        <v>1621</v>
      </c>
      <c r="K50" s="23">
        <v>1627</v>
      </c>
      <c r="L50" s="23">
        <v>1684</v>
      </c>
      <c r="M50" s="23">
        <v>1743</v>
      </c>
      <c r="N50" s="22">
        <v>1837</v>
      </c>
      <c r="O50" s="23">
        <v>1951</v>
      </c>
      <c r="P50" s="23">
        <v>2047</v>
      </c>
      <c r="Q50" s="23">
        <f>M50*1.2</f>
        <v>2091.6</v>
      </c>
    </row>
    <row r="51" spans="1:17" s="8" customFormat="1" x14ac:dyDescent="0.15">
      <c r="B51" s="22"/>
      <c r="C51" s="23"/>
      <c r="D51" s="23"/>
      <c r="E51" s="23"/>
      <c r="F51" s="22"/>
      <c r="G51" s="23"/>
      <c r="H51" s="23"/>
      <c r="I51" s="23"/>
      <c r="J51" s="22"/>
      <c r="K51" s="23"/>
      <c r="L51" s="23"/>
      <c r="M51" s="23"/>
      <c r="N51" s="22"/>
      <c r="O51" s="23"/>
      <c r="P51" s="23"/>
      <c r="Q51" s="23"/>
    </row>
    <row r="52" spans="1:17" s="68" customFormat="1" x14ac:dyDescent="0.15">
      <c r="A52" s="68" t="s">
        <v>70</v>
      </c>
      <c r="B52" s="34"/>
      <c r="C52" s="33"/>
      <c r="D52" s="33"/>
      <c r="E52" s="33"/>
      <c r="F52" s="34">
        <f>F50/B50-1</f>
        <v>0.14512291831879454</v>
      </c>
      <c r="G52" s="33">
        <f>G50/C50-1</f>
        <v>0.19080996884735213</v>
      </c>
      <c r="H52" s="33">
        <f>H50/D50-1</f>
        <v>0.11062271062271067</v>
      </c>
      <c r="I52" s="33">
        <f>I50/E50-1</f>
        <v>9.9374565670604653E-2</v>
      </c>
      <c r="J52" s="34">
        <f>J50/F50-1</f>
        <v>0.12257617728531867</v>
      </c>
      <c r="K52" s="33">
        <f>K50/G50-1</f>
        <v>6.4094179202092816E-2</v>
      </c>
      <c r="L52" s="33">
        <f>L50/H50-1</f>
        <v>0.1108179419525066</v>
      </c>
      <c r="M52" s="33">
        <f>M50/I50-1</f>
        <v>0.10176991150442483</v>
      </c>
      <c r="N52" s="34">
        <f>N50/J50-1</f>
        <v>0.13325107958050597</v>
      </c>
      <c r="O52" s="33">
        <f>O50/K50-1</f>
        <v>0.19913952059004303</v>
      </c>
      <c r="P52" s="33">
        <f>P50/L50-1</f>
        <v>0.21555819477434679</v>
      </c>
      <c r="Q52" s="33">
        <f>Q50/M50-1</f>
        <v>0.19999999999999996</v>
      </c>
    </row>
    <row r="53" spans="1:17" s="68" customFormat="1" x14ac:dyDescent="0.15">
      <c r="A53" s="68" t="s">
        <v>80</v>
      </c>
      <c r="B53" s="34"/>
      <c r="C53" s="33"/>
      <c r="D53" s="33"/>
      <c r="E53" s="33"/>
      <c r="F53" s="34">
        <f>F6/B6-1</f>
        <v>0.1630460288342479</v>
      </c>
      <c r="G53" s="33">
        <f>G6/C6-1</f>
        <v>0.19188370018193557</v>
      </c>
      <c r="H53" s="33">
        <f>H6/D6-1</f>
        <v>0.26580018171764186</v>
      </c>
      <c r="I53" s="33">
        <f>I6/E6-1</f>
        <v>0.2354523184574675</v>
      </c>
      <c r="J53" s="34">
        <f>J6/F6-1</f>
        <v>0.24874317705841631</v>
      </c>
      <c r="K53" s="33">
        <f>K6/G6-1</f>
        <v>0.25963295094879135</v>
      </c>
      <c r="L53" s="33">
        <f>L6/H6-1</f>
        <v>0.2175211370459873</v>
      </c>
      <c r="M53" s="33">
        <f>M6/I6-1</f>
        <v>0.31117759761255015</v>
      </c>
      <c r="N53" s="34">
        <f>N6/J6-1</f>
        <v>0.21883410120825886</v>
      </c>
      <c r="O53" s="33">
        <f>O6/K6-1</f>
        <v>0.34848967885059268</v>
      </c>
      <c r="P53" s="33">
        <f>P6/L6-1</f>
        <v>0.16696937588102578</v>
      </c>
      <c r="Q53" s="33">
        <f>Q6/M6-1</f>
        <v>0.1311705352698973</v>
      </c>
    </row>
    <row r="55" spans="1:17" x14ac:dyDescent="0.15">
      <c r="A55" s="6" t="s">
        <v>77</v>
      </c>
      <c r="B55" s="21">
        <v>132</v>
      </c>
      <c r="C55" s="20">
        <v>143</v>
      </c>
      <c r="D55" s="20">
        <v>157</v>
      </c>
      <c r="E55" s="20">
        <v>170</v>
      </c>
      <c r="F55" s="21">
        <v>183</v>
      </c>
      <c r="G55" s="20">
        <v>190</v>
      </c>
      <c r="H55" s="20">
        <v>213</v>
      </c>
      <c r="I55" s="20">
        <v>227</v>
      </c>
      <c r="J55" s="21">
        <v>243</v>
      </c>
      <c r="K55" s="20">
        <v>262</v>
      </c>
      <c r="L55" s="20">
        <v>274</v>
      </c>
      <c r="M55" s="20">
        <v>288</v>
      </c>
      <c r="N55" s="21">
        <v>297</v>
      </c>
      <c r="O55" s="20">
        <v>304</v>
      </c>
      <c r="P55" s="20">
        <v>313</v>
      </c>
    </row>
    <row r="56" spans="1:17" s="68" customFormat="1" x14ac:dyDescent="0.15">
      <c r="A56" s="68" t="s">
        <v>76</v>
      </c>
      <c r="B56" s="34"/>
      <c r="C56" s="33"/>
      <c r="D56" s="33"/>
      <c r="E56" s="33"/>
      <c r="F56" s="34">
        <f>F55/B55-1</f>
        <v>0.38636363636363646</v>
      </c>
      <c r="G56" s="33">
        <f>G55/C55-1</f>
        <v>0.32867132867132876</v>
      </c>
      <c r="H56" s="33">
        <f>H55/D55-1</f>
        <v>0.3566878980891719</v>
      </c>
      <c r="I56" s="33">
        <f>I55/E55-1</f>
        <v>0.33529411764705874</v>
      </c>
      <c r="J56" s="34">
        <f>J55/F55-1</f>
        <v>0.32786885245901631</v>
      </c>
      <c r="K56" s="33">
        <f>K55/G55-1</f>
        <v>0.3789473684210527</v>
      </c>
      <c r="L56" s="33">
        <f>L55/H55-1</f>
        <v>0.28638497652582151</v>
      </c>
      <c r="M56" s="33">
        <f>M55/I55-1</f>
        <v>0.26872246696035251</v>
      </c>
      <c r="N56" s="34">
        <f>N55/J55-1</f>
        <v>0.22222222222222232</v>
      </c>
      <c r="O56" s="33">
        <f>O55/K55-1</f>
        <v>0.16030534351145032</v>
      </c>
      <c r="P56" s="33">
        <f>P55/L55-1</f>
        <v>0.14233576642335777</v>
      </c>
      <c r="Q56" s="33"/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C43"/>
  <sheetViews>
    <sheetView zoomScale="130" zoomScaleNormal="130" workbookViewId="0">
      <selection activeCell="C19" sqref="C19"/>
    </sheetView>
  </sheetViews>
  <sheetFormatPr baseColWidth="10" defaultRowHeight="13" x14ac:dyDescent="0.15"/>
  <cols>
    <col min="1" max="1" width="10.83203125" style="3"/>
    <col min="2" max="2" width="15.6640625" style="3" bestFit="1" customWidth="1"/>
    <col min="3" max="3" width="31" style="3" bestFit="1" customWidth="1"/>
    <col min="4" max="16384" width="10.83203125" style="3"/>
  </cols>
  <sheetData>
    <row r="4" spans="2:3" x14ac:dyDescent="0.15">
      <c r="B4" s="67" t="s">
        <v>71</v>
      </c>
    </row>
    <row r="6" spans="2:3" x14ac:dyDescent="0.15">
      <c r="B6" s="3" t="s">
        <v>72</v>
      </c>
      <c r="C6" s="3" t="s">
        <v>106</v>
      </c>
    </row>
    <row r="7" spans="2:3" x14ac:dyDescent="0.15">
      <c r="B7" s="3" t="s">
        <v>107</v>
      </c>
      <c r="C7" s="3" t="s">
        <v>109</v>
      </c>
    </row>
    <row r="8" spans="2:3" x14ac:dyDescent="0.15">
      <c r="B8" s="3" t="s">
        <v>108</v>
      </c>
    </row>
    <row r="13" spans="2:3" x14ac:dyDescent="0.15">
      <c r="B13" s="67" t="s">
        <v>73</v>
      </c>
    </row>
    <row r="15" spans="2:3" x14ac:dyDescent="0.15">
      <c r="B15" s="3" t="s">
        <v>74</v>
      </c>
      <c r="C15" s="3" t="s">
        <v>75</v>
      </c>
    </row>
    <row r="21" spans="2:2" x14ac:dyDescent="0.15">
      <c r="B21" s="67" t="s">
        <v>69</v>
      </c>
    </row>
    <row r="23" spans="2:2" x14ac:dyDescent="0.15">
      <c r="B23" s="3" t="s">
        <v>85</v>
      </c>
    </row>
    <row r="24" spans="2:2" x14ac:dyDescent="0.15">
      <c r="B24" s="3" t="s">
        <v>86</v>
      </c>
    </row>
    <row r="25" spans="2:2" x14ac:dyDescent="0.15">
      <c r="B25" s="3" t="s">
        <v>87</v>
      </c>
    </row>
    <row r="26" spans="2:2" x14ac:dyDescent="0.15">
      <c r="B26" s="3" t="s">
        <v>88</v>
      </c>
    </row>
    <row r="27" spans="2:2" x14ac:dyDescent="0.15">
      <c r="B27" s="3" t="s">
        <v>89</v>
      </c>
    </row>
    <row r="28" spans="2:2" x14ac:dyDescent="0.15">
      <c r="B28" s="3" t="s">
        <v>90</v>
      </c>
    </row>
    <row r="29" spans="2:2" x14ac:dyDescent="0.15">
      <c r="B29" s="3" t="s">
        <v>91</v>
      </c>
    </row>
    <row r="30" spans="2:2" x14ac:dyDescent="0.15">
      <c r="B30" s="3" t="s">
        <v>92</v>
      </c>
    </row>
    <row r="31" spans="2:2" x14ac:dyDescent="0.15">
      <c r="B31" s="3" t="s">
        <v>93</v>
      </c>
    </row>
    <row r="32" spans="2:2" x14ac:dyDescent="0.15">
      <c r="B32" s="3" t="s">
        <v>94</v>
      </c>
    </row>
    <row r="33" spans="2:2" x14ac:dyDescent="0.15">
      <c r="B33" s="3" t="s">
        <v>95</v>
      </c>
    </row>
    <row r="34" spans="2:2" x14ac:dyDescent="0.15">
      <c r="B34" s="3" t="s">
        <v>96</v>
      </c>
    </row>
    <row r="35" spans="2:2" x14ac:dyDescent="0.15">
      <c r="B35" s="3" t="s">
        <v>97</v>
      </c>
    </row>
    <row r="36" spans="2:2" x14ac:dyDescent="0.15">
      <c r="B36" s="3" t="s">
        <v>98</v>
      </c>
    </row>
    <row r="37" spans="2:2" x14ac:dyDescent="0.15">
      <c r="B37" s="3" t="s">
        <v>99</v>
      </c>
    </row>
    <row r="38" spans="2:2" x14ac:dyDescent="0.15">
      <c r="B38" s="3" t="s">
        <v>100</v>
      </c>
    </row>
    <row r="39" spans="2:2" x14ac:dyDescent="0.15">
      <c r="B39" s="3" t="s">
        <v>101</v>
      </c>
    </row>
    <row r="40" spans="2:2" x14ac:dyDescent="0.15">
      <c r="B40" s="3" t="s">
        <v>102</v>
      </c>
    </row>
    <row r="41" spans="2:2" x14ac:dyDescent="0.15">
      <c r="B41" s="3" t="s">
        <v>103</v>
      </c>
    </row>
    <row r="42" spans="2:2" x14ac:dyDescent="0.15">
      <c r="B42" s="3" t="s">
        <v>104</v>
      </c>
    </row>
    <row r="43" spans="2:2" x14ac:dyDescent="0.15">
      <c r="B43" s="3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2021-02-12T16:36:31Z</dcterms:modified>
</cp:coreProperties>
</file>