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E66F83A-5953-884B-B6B0-6BB0C2EF985F}" xr6:coauthVersionLast="46" xr6:coauthVersionMax="46" xr10:uidLastSave="{00000000-0000-0000-0000-000000000000}"/>
  <bookViews>
    <workbookView xWindow="0" yWindow="460" windowWidth="35840" windowHeight="20340" tabRatio="500" activeTab="1" xr2:uid="{00000000-000D-0000-FFFF-FFFF00000000}"/>
  </bookViews>
  <sheets>
    <sheet name="Main" sheetId="2" r:id="rId1"/>
    <sheet name="Reports RUB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1" l="1"/>
  <c r="S28" i="1"/>
  <c r="S27" i="1"/>
  <c r="S25" i="1"/>
  <c r="S24" i="1"/>
  <c r="S23" i="1"/>
  <c r="S19" i="1"/>
  <c r="S20" i="1" s="1"/>
  <c r="S16" i="1"/>
  <c r="S15" i="1"/>
  <c r="S13" i="1"/>
  <c r="S12" i="1"/>
  <c r="S10" i="1"/>
  <c r="S14" i="1" s="1"/>
  <c r="W29" i="1"/>
  <c r="W28" i="1"/>
  <c r="W27" i="1"/>
  <c r="W25" i="1"/>
  <c r="W24" i="1"/>
  <c r="W23" i="1"/>
  <c r="W20" i="1"/>
  <c r="W19" i="1"/>
  <c r="W16" i="1"/>
  <c r="W15" i="1"/>
  <c r="W14" i="1"/>
  <c r="W13" i="1"/>
  <c r="W12" i="1"/>
  <c r="W10" i="1"/>
  <c r="S8" i="1"/>
  <c r="W8" i="1"/>
  <c r="U35" i="1"/>
  <c r="U39" i="1" s="1"/>
  <c r="U32" i="1"/>
  <c r="X32" i="1"/>
  <c r="U51" i="1"/>
  <c r="U50" i="1"/>
  <c r="U49" i="1"/>
  <c r="U48" i="1"/>
  <c r="U42" i="1"/>
  <c r="U44" i="1" s="1"/>
  <c r="U40" i="1"/>
  <c r="U31" i="1"/>
  <c r="X35" i="1"/>
  <c r="X42" i="1"/>
  <c r="X40" i="1"/>
  <c r="X39" i="1"/>
  <c r="X31" i="1"/>
  <c r="X50" i="1"/>
  <c r="T50" i="1"/>
  <c r="X51" i="1"/>
  <c r="X49" i="1"/>
  <c r="X48" i="1"/>
  <c r="T51" i="1"/>
  <c r="T49" i="1"/>
  <c r="T48" i="1"/>
  <c r="T29" i="1"/>
  <c r="T28" i="1"/>
  <c r="T27" i="1"/>
  <c r="T25" i="1"/>
  <c r="T24" i="1"/>
  <c r="T23" i="1"/>
  <c r="T19" i="1"/>
  <c r="T20" i="1" s="1"/>
  <c r="T16" i="1"/>
  <c r="T15" i="1"/>
  <c r="T14" i="1"/>
  <c r="T13" i="1"/>
  <c r="T12" i="1"/>
  <c r="T10" i="1"/>
  <c r="X29" i="1"/>
  <c r="X28" i="1"/>
  <c r="X27" i="1"/>
  <c r="X25" i="1"/>
  <c r="X24" i="1"/>
  <c r="X23" i="1"/>
  <c r="X19" i="1"/>
  <c r="X20" i="1" s="1"/>
  <c r="X16" i="1"/>
  <c r="X15" i="1"/>
  <c r="X12" i="1"/>
  <c r="X13" i="1"/>
  <c r="X14" i="1" s="1"/>
  <c r="X10" i="1"/>
  <c r="T8" i="1"/>
  <c r="X8" i="1"/>
  <c r="F4" i="2"/>
  <c r="C3" i="2"/>
  <c r="C4" i="2" s="1"/>
  <c r="E51" i="2"/>
  <c r="E48" i="2"/>
  <c r="D51" i="2"/>
  <c r="D48" i="2"/>
  <c r="E31" i="2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E22" i="2"/>
  <c r="E20" i="2"/>
  <c r="E14" i="2"/>
  <c r="F14" i="2" s="1"/>
  <c r="E13" i="2"/>
  <c r="F13" i="2" s="1"/>
  <c r="E12" i="2"/>
  <c r="F12" i="2" s="1"/>
  <c r="D31" i="2"/>
  <c r="D12" i="2"/>
  <c r="D13" i="2"/>
  <c r="D14" i="2"/>
  <c r="C12" i="2"/>
  <c r="C13" i="2"/>
  <c r="C14" i="2"/>
  <c r="B12" i="2"/>
  <c r="C62" i="2" s="1"/>
  <c r="B13" i="2"/>
  <c r="B14" i="2"/>
  <c r="B19" i="2" s="1"/>
  <c r="B35" i="2" s="1"/>
  <c r="D20" i="2"/>
  <c r="C31" i="2"/>
  <c r="C28" i="2"/>
  <c r="C22" i="2"/>
  <c r="C20" i="2"/>
  <c r="B31" i="2"/>
  <c r="B28" i="2"/>
  <c r="B22" i="2"/>
  <c r="B20" i="2"/>
  <c r="Q51" i="1"/>
  <c r="P51" i="1"/>
  <c r="O51" i="1"/>
  <c r="N51" i="1"/>
  <c r="M51" i="1"/>
  <c r="L51" i="1"/>
  <c r="K51" i="1"/>
  <c r="J51" i="1"/>
  <c r="I51" i="1"/>
  <c r="H51" i="1"/>
  <c r="G51" i="1"/>
  <c r="F51" i="1"/>
  <c r="E15" i="1"/>
  <c r="E12" i="1"/>
  <c r="E13" i="1" s="1"/>
  <c r="I15" i="1"/>
  <c r="I12" i="1"/>
  <c r="I13" i="1" s="1"/>
  <c r="I60" i="1"/>
  <c r="E8" i="1"/>
  <c r="E10" i="1" s="1"/>
  <c r="I8" i="1"/>
  <c r="I10" i="1" s="1"/>
  <c r="D15" i="1"/>
  <c r="D12" i="1"/>
  <c r="D8" i="1"/>
  <c r="H15" i="1"/>
  <c r="H12" i="1"/>
  <c r="H13" i="1" s="1"/>
  <c r="H60" i="1"/>
  <c r="H8" i="1"/>
  <c r="H10" i="1" s="1"/>
  <c r="C15" i="1"/>
  <c r="C12" i="1"/>
  <c r="C13" i="1" s="1"/>
  <c r="G15" i="1"/>
  <c r="G12" i="1"/>
  <c r="G13" i="1" s="1"/>
  <c r="G8" i="1"/>
  <c r="G60" i="1"/>
  <c r="C8" i="1"/>
  <c r="C10" i="1" s="1"/>
  <c r="B8" i="1"/>
  <c r="B15" i="1"/>
  <c r="B12" i="1"/>
  <c r="B13" i="1" s="1"/>
  <c r="F15" i="1"/>
  <c r="F12" i="1"/>
  <c r="F13" i="1" s="1"/>
  <c r="F8" i="1"/>
  <c r="J27" i="1" s="1"/>
  <c r="E60" i="1"/>
  <c r="D60" i="1"/>
  <c r="C60" i="1"/>
  <c r="B60" i="1"/>
  <c r="F60" i="1"/>
  <c r="J60" i="1"/>
  <c r="N37" i="1"/>
  <c r="N40" i="1" s="1"/>
  <c r="N35" i="1"/>
  <c r="N32" i="1"/>
  <c r="N31" i="1" s="1"/>
  <c r="J15" i="1"/>
  <c r="J12" i="1"/>
  <c r="K8" i="1"/>
  <c r="K27" i="1" s="1"/>
  <c r="J8" i="1"/>
  <c r="N15" i="1"/>
  <c r="N12" i="1"/>
  <c r="O60" i="1"/>
  <c r="N60" i="1"/>
  <c r="N8" i="1"/>
  <c r="N10" i="1" s="1"/>
  <c r="O37" i="1"/>
  <c r="O40" i="1" s="1"/>
  <c r="O35" i="1"/>
  <c r="O32" i="1"/>
  <c r="O39" i="1" s="1"/>
  <c r="K15" i="1"/>
  <c r="K12" i="1"/>
  <c r="K29" i="1" s="1"/>
  <c r="O15" i="1"/>
  <c r="O12" i="1"/>
  <c r="O13" i="1" s="1"/>
  <c r="O8" i="1"/>
  <c r="O10" i="1" s="1"/>
  <c r="K60" i="1"/>
  <c r="P37" i="1"/>
  <c r="P40" i="1" s="1"/>
  <c r="P35" i="1"/>
  <c r="P32" i="1"/>
  <c r="P39" i="1" s="1"/>
  <c r="L15" i="1"/>
  <c r="L12" i="1"/>
  <c r="P15" i="1"/>
  <c r="P12" i="1"/>
  <c r="P29" i="1" s="1"/>
  <c r="L60" i="1"/>
  <c r="P60" i="1"/>
  <c r="P8" i="1"/>
  <c r="L8" i="1"/>
  <c r="M35" i="1"/>
  <c r="D50" i="2" s="1"/>
  <c r="M37" i="1"/>
  <c r="D52" i="2" s="1"/>
  <c r="M32" i="1"/>
  <c r="M31" i="1" s="1"/>
  <c r="Q37" i="1"/>
  <c r="Q40" i="1" s="1"/>
  <c r="Q35" i="1"/>
  <c r="E50" i="2" s="1"/>
  <c r="Q32" i="1"/>
  <c r="E47" i="2" s="1"/>
  <c r="M15" i="1"/>
  <c r="M12" i="1"/>
  <c r="Q15" i="1"/>
  <c r="Q12" i="1"/>
  <c r="Q29" i="1" s="1"/>
  <c r="Q13" i="1"/>
  <c r="M8" i="1"/>
  <c r="M27" i="1" s="1"/>
  <c r="M60" i="1"/>
  <c r="Q60" i="1"/>
  <c r="Q8" i="1"/>
  <c r="Q27" i="1" s="1"/>
  <c r="E28" i="2"/>
  <c r="Q10" i="1"/>
  <c r="Q23" i="1" s="1"/>
  <c r="Q31" i="1"/>
  <c r="C5" i="2" s="1"/>
  <c r="M13" i="1"/>
  <c r="P31" i="1"/>
  <c r="Q49" i="1"/>
  <c r="P49" i="1"/>
  <c r="O49" i="1"/>
  <c r="N49" i="1"/>
  <c r="M49" i="1"/>
  <c r="L49" i="1"/>
  <c r="K49" i="1"/>
  <c r="J49" i="1"/>
  <c r="I49" i="1"/>
  <c r="H49" i="1"/>
  <c r="G49" i="1"/>
  <c r="Q48" i="1"/>
  <c r="P48" i="1"/>
  <c r="O48" i="1"/>
  <c r="N48" i="1"/>
  <c r="M48" i="1"/>
  <c r="L48" i="1"/>
  <c r="K48" i="1"/>
  <c r="J48" i="1"/>
  <c r="I48" i="1"/>
  <c r="H48" i="1"/>
  <c r="G48" i="1"/>
  <c r="F49" i="1"/>
  <c r="F48" i="1"/>
  <c r="D22" i="2"/>
  <c r="D28" i="2"/>
  <c r="J10" i="1"/>
  <c r="J23" i="1" s="1"/>
  <c r="K10" i="1"/>
  <c r="K23" i="1" s="1"/>
  <c r="K13" i="1"/>
  <c r="K14" i="1"/>
  <c r="K24" i="1" s="1"/>
  <c r="G10" i="1"/>
  <c r="Q28" i="1"/>
  <c r="N28" i="1"/>
  <c r="O28" i="1"/>
  <c r="P28" i="1"/>
  <c r="F28" i="1"/>
  <c r="I28" i="1"/>
  <c r="M28" i="1"/>
  <c r="K28" i="1"/>
  <c r="J28" i="1"/>
  <c r="H28" i="1"/>
  <c r="L28" i="1"/>
  <c r="J29" i="1"/>
  <c r="G29" i="1"/>
  <c r="G28" i="1"/>
  <c r="E11" i="2"/>
  <c r="F11" i="2"/>
  <c r="G11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N13" i="1"/>
  <c r="U46" i="1" l="1"/>
  <c r="U43" i="1"/>
  <c r="U45" i="1"/>
  <c r="X46" i="1"/>
  <c r="X43" i="1"/>
  <c r="X44" i="1"/>
  <c r="X45" i="1"/>
  <c r="I29" i="1"/>
  <c r="C63" i="2"/>
  <c r="Q14" i="1"/>
  <c r="M29" i="1"/>
  <c r="E26" i="2"/>
  <c r="L29" i="1"/>
  <c r="C19" i="2"/>
  <c r="C35" i="2" s="1"/>
  <c r="M40" i="1"/>
  <c r="Q16" i="1"/>
  <c r="Q25" i="1" s="1"/>
  <c r="Q24" i="1"/>
  <c r="H23" i="1"/>
  <c r="H14" i="1"/>
  <c r="H24" i="1" s="1"/>
  <c r="D23" i="2"/>
  <c r="D24" i="2" s="1"/>
  <c r="F10" i="1"/>
  <c r="D64" i="2"/>
  <c r="H29" i="1"/>
  <c r="D13" i="1"/>
  <c r="E46" i="2"/>
  <c r="F26" i="2" s="1"/>
  <c r="G27" i="1"/>
  <c r="D62" i="2"/>
  <c r="M10" i="1"/>
  <c r="H27" i="1"/>
  <c r="B26" i="2"/>
  <c r="D26" i="2"/>
  <c r="E19" i="2"/>
  <c r="E35" i="2" s="1"/>
  <c r="C26" i="2"/>
  <c r="Q39" i="1"/>
  <c r="P27" i="1"/>
  <c r="C23" i="2"/>
  <c r="N29" i="1"/>
  <c r="F27" i="1"/>
  <c r="P13" i="1"/>
  <c r="O27" i="1"/>
  <c r="D63" i="2"/>
  <c r="C43" i="2"/>
  <c r="L13" i="1"/>
  <c r="L27" i="1"/>
  <c r="L10" i="1"/>
  <c r="K16" i="1"/>
  <c r="K25" i="1" s="1"/>
  <c r="C6" i="2"/>
  <c r="C7" i="2" s="1"/>
  <c r="D43" i="2"/>
  <c r="E43" i="2"/>
  <c r="E63" i="2"/>
  <c r="C64" i="2"/>
  <c r="E64" i="2"/>
  <c r="D19" i="2"/>
  <c r="D35" i="2" s="1"/>
  <c r="D55" i="2"/>
  <c r="B21" i="2"/>
  <c r="G13" i="2"/>
  <c r="F63" i="2"/>
  <c r="F64" i="2"/>
  <c r="G14" i="2"/>
  <c r="O14" i="1"/>
  <c r="O23" i="1"/>
  <c r="E14" i="1"/>
  <c r="E23" i="1"/>
  <c r="F19" i="2"/>
  <c r="F35" i="2" s="1"/>
  <c r="G12" i="2"/>
  <c r="F62" i="2"/>
  <c r="N14" i="1"/>
  <c r="N23" i="1"/>
  <c r="C24" i="2"/>
  <c r="D44" i="2"/>
  <c r="Q19" i="1"/>
  <c r="Q20" i="1" s="1"/>
  <c r="I14" i="1"/>
  <c r="I23" i="1"/>
  <c r="C14" i="1"/>
  <c r="C23" i="1"/>
  <c r="G14" i="1"/>
  <c r="F22" i="2"/>
  <c r="E52" i="2"/>
  <c r="E55" i="2" s="1"/>
  <c r="D10" i="1"/>
  <c r="E23" i="2"/>
  <c r="E24" i="2" s="1"/>
  <c r="J13" i="1"/>
  <c r="J14" i="1" s="1"/>
  <c r="M39" i="1"/>
  <c r="E54" i="2"/>
  <c r="B10" i="1"/>
  <c r="D47" i="2"/>
  <c r="D46" i="2" s="1"/>
  <c r="O29" i="1"/>
  <c r="G23" i="1"/>
  <c r="O31" i="1"/>
  <c r="P10" i="1"/>
  <c r="B23" i="2"/>
  <c r="B24" i="2" s="1"/>
  <c r="N27" i="1"/>
  <c r="N39" i="1"/>
  <c r="I27" i="1"/>
  <c r="E62" i="2"/>
  <c r="F29" i="1"/>
  <c r="C21" i="2" l="1"/>
  <c r="C42" i="2"/>
  <c r="L14" i="1"/>
  <c r="L23" i="1"/>
  <c r="F23" i="1"/>
  <c r="F14" i="1"/>
  <c r="E21" i="2"/>
  <c r="E38" i="2" s="1"/>
  <c r="F21" i="2" s="1"/>
  <c r="F20" i="2" s="1"/>
  <c r="M23" i="1"/>
  <c r="M14" i="1"/>
  <c r="K19" i="1"/>
  <c r="H16" i="1"/>
  <c r="E42" i="2"/>
  <c r="D42" i="2"/>
  <c r="D21" i="2"/>
  <c r="E24" i="1"/>
  <c r="E16" i="1"/>
  <c r="O16" i="1"/>
  <c r="O24" i="1"/>
  <c r="H14" i="2"/>
  <c r="G64" i="2"/>
  <c r="H13" i="2"/>
  <c r="G63" i="2"/>
  <c r="B38" i="2"/>
  <c r="B25" i="2"/>
  <c r="B14" i="1"/>
  <c r="B23" i="1"/>
  <c r="F43" i="2"/>
  <c r="G22" i="2"/>
  <c r="K20" i="1"/>
  <c r="P14" i="1"/>
  <c r="P23" i="1"/>
  <c r="G16" i="1"/>
  <c r="G24" i="1"/>
  <c r="J24" i="1"/>
  <c r="J16" i="1"/>
  <c r="C16" i="1"/>
  <c r="C24" i="1"/>
  <c r="F42" i="2"/>
  <c r="N16" i="1"/>
  <c r="N24" i="1"/>
  <c r="H12" i="2"/>
  <c r="G62" i="2"/>
  <c r="G19" i="2"/>
  <c r="G35" i="2" s="1"/>
  <c r="E44" i="2"/>
  <c r="F23" i="2"/>
  <c r="F24" i="2" s="1"/>
  <c r="D54" i="2"/>
  <c r="C25" i="2"/>
  <c r="C38" i="2"/>
  <c r="C44" i="2"/>
  <c r="D23" i="1"/>
  <c r="D14" i="1"/>
  <c r="I16" i="1"/>
  <c r="I24" i="1"/>
  <c r="E25" i="2" l="1"/>
  <c r="E27" i="2" s="1"/>
  <c r="E29" i="2" s="1"/>
  <c r="F24" i="1"/>
  <c r="F16" i="1"/>
  <c r="M16" i="1"/>
  <c r="M24" i="1"/>
  <c r="H19" i="1"/>
  <c r="H20" i="1" s="1"/>
  <c r="H25" i="1"/>
  <c r="L16" i="1"/>
  <c r="L24" i="1"/>
  <c r="D38" i="2"/>
  <c r="D25" i="2"/>
  <c r="C27" i="2"/>
  <c r="C39" i="2"/>
  <c r="G23" i="2"/>
  <c r="G24" i="2" s="1"/>
  <c r="F44" i="2"/>
  <c r="B16" i="1"/>
  <c r="B24" i="1"/>
  <c r="E25" i="1"/>
  <c r="E19" i="1"/>
  <c r="E20" i="1" s="1"/>
  <c r="C25" i="1"/>
  <c r="C19" i="1"/>
  <c r="C20" i="1" s="1"/>
  <c r="B39" i="2"/>
  <c r="B27" i="2"/>
  <c r="I12" i="2"/>
  <c r="H19" i="2"/>
  <c r="H62" i="2"/>
  <c r="I25" i="1"/>
  <c r="I19" i="1"/>
  <c r="I20" i="1" s="1"/>
  <c r="O19" i="1"/>
  <c r="O20" i="1" s="1"/>
  <c r="O25" i="1"/>
  <c r="J19" i="1"/>
  <c r="J25" i="1"/>
  <c r="G19" i="1"/>
  <c r="G20" i="1" s="1"/>
  <c r="G25" i="1"/>
  <c r="F25" i="2"/>
  <c r="F38" i="2"/>
  <c r="G21" i="2" s="1"/>
  <c r="G42" i="2"/>
  <c r="I13" i="2"/>
  <c r="H63" i="2"/>
  <c r="N19" i="1"/>
  <c r="N25" i="1"/>
  <c r="H64" i="2"/>
  <c r="I14" i="2"/>
  <c r="D24" i="1"/>
  <c r="D16" i="1"/>
  <c r="P16" i="1"/>
  <c r="P24" i="1"/>
  <c r="G43" i="2"/>
  <c r="H22" i="2"/>
  <c r="E39" i="2" l="1"/>
  <c r="E40" i="2"/>
  <c r="L25" i="1"/>
  <c r="L19" i="1"/>
  <c r="M25" i="1"/>
  <c r="M19" i="1"/>
  <c r="M20" i="1" s="1"/>
  <c r="F25" i="1"/>
  <c r="F19" i="1"/>
  <c r="F20" i="1" s="1"/>
  <c r="D39" i="2"/>
  <c r="D27" i="2"/>
  <c r="H35" i="2"/>
  <c r="H42" i="2"/>
  <c r="E59" i="2"/>
  <c r="E60" i="2"/>
  <c r="E58" i="2"/>
  <c r="E36" i="2"/>
  <c r="E30" i="2"/>
  <c r="E57" i="2"/>
  <c r="P25" i="1"/>
  <c r="P19" i="1"/>
  <c r="P20" i="1" s="1"/>
  <c r="I64" i="2"/>
  <c r="J14" i="2"/>
  <c r="J64" i="2" s="1"/>
  <c r="G38" i="2"/>
  <c r="H21" i="2" s="1"/>
  <c r="G25" i="2"/>
  <c r="J12" i="2"/>
  <c r="I62" i="2"/>
  <c r="I19" i="2"/>
  <c r="G44" i="2"/>
  <c r="H23" i="2"/>
  <c r="B40" i="2"/>
  <c r="B29" i="2"/>
  <c r="B25" i="1"/>
  <c r="B19" i="1"/>
  <c r="B20" i="1" s="1"/>
  <c r="N20" i="1"/>
  <c r="F27" i="2"/>
  <c r="F39" i="2"/>
  <c r="D25" i="1"/>
  <c r="D19" i="1"/>
  <c r="D20" i="1" s="1"/>
  <c r="M42" i="1"/>
  <c r="J20" i="1"/>
  <c r="J13" i="2"/>
  <c r="J63" i="2" s="1"/>
  <c r="I63" i="2"/>
  <c r="H43" i="2"/>
  <c r="I22" i="2"/>
  <c r="G20" i="2"/>
  <c r="C29" i="2"/>
  <c r="C40" i="2"/>
  <c r="N42" i="1" l="1"/>
  <c r="O42" i="1"/>
  <c r="L20" i="1"/>
  <c r="D29" i="2"/>
  <c r="D40" i="2"/>
  <c r="H38" i="2"/>
  <c r="H20" i="2"/>
  <c r="B36" i="2"/>
  <c r="B30" i="2"/>
  <c r="M46" i="1"/>
  <c r="M45" i="1"/>
  <c r="M44" i="1"/>
  <c r="M43" i="1"/>
  <c r="I21" i="2"/>
  <c r="I20" i="2" s="1"/>
  <c r="I35" i="2"/>
  <c r="I42" i="2"/>
  <c r="I43" i="2"/>
  <c r="J22" i="2"/>
  <c r="I23" i="2"/>
  <c r="I24" i="2" s="1"/>
  <c r="H44" i="2"/>
  <c r="C36" i="2"/>
  <c r="C30" i="2"/>
  <c r="F28" i="2"/>
  <c r="F40" i="2" s="1"/>
  <c r="F29" i="2"/>
  <c r="P42" i="1"/>
  <c r="Q42" i="1"/>
  <c r="J19" i="2"/>
  <c r="J62" i="2"/>
  <c r="G39" i="2"/>
  <c r="H24" i="2"/>
  <c r="H25" i="2" s="1"/>
  <c r="O45" i="1" l="1"/>
  <c r="O44" i="1"/>
  <c r="O46" i="1"/>
  <c r="O43" i="1"/>
  <c r="N43" i="1"/>
  <c r="N46" i="1"/>
  <c r="N44" i="1"/>
  <c r="N45" i="1"/>
  <c r="D57" i="2"/>
  <c r="D30" i="2"/>
  <c r="D59" i="2"/>
  <c r="D36" i="2"/>
  <c r="D58" i="2"/>
  <c r="D60" i="2"/>
  <c r="H39" i="2"/>
  <c r="I25" i="2"/>
  <c r="I38" i="2"/>
  <c r="J35" i="2"/>
  <c r="K19" i="2"/>
  <c r="J42" i="2"/>
  <c r="J21" i="2"/>
  <c r="F30" i="2"/>
  <c r="F36" i="2"/>
  <c r="F46" i="2"/>
  <c r="K22" i="2"/>
  <c r="J43" i="2"/>
  <c r="Q44" i="1"/>
  <c r="Q46" i="1"/>
  <c r="Q43" i="1"/>
  <c r="Q45" i="1"/>
  <c r="P44" i="1"/>
  <c r="P45" i="1"/>
  <c r="P46" i="1"/>
  <c r="P43" i="1"/>
  <c r="J23" i="2"/>
  <c r="J24" i="2" s="1"/>
  <c r="I44" i="2"/>
  <c r="K42" i="2" l="1"/>
  <c r="L19" i="2"/>
  <c r="K35" i="2"/>
  <c r="G26" i="2"/>
  <c r="G27" i="2" s="1"/>
  <c r="J38" i="2"/>
  <c r="K21" i="2" s="1"/>
  <c r="J25" i="2"/>
  <c r="J20" i="2"/>
  <c r="K43" i="2"/>
  <c r="L22" i="2"/>
  <c r="K23" i="2"/>
  <c r="J44" i="2"/>
  <c r="I39" i="2"/>
  <c r="K38" i="2" l="1"/>
  <c r="K20" i="2"/>
  <c r="L43" i="2"/>
  <c r="M22" i="2"/>
  <c r="G28" i="2"/>
  <c r="G40" i="2" s="1"/>
  <c r="K44" i="2"/>
  <c r="L23" i="2"/>
  <c r="J39" i="2"/>
  <c r="L21" i="2"/>
  <c r="L42" i="2"/>
  <c r="M19" i="2"/>
  <c r="L35" i="2"/>
  <c r="K24" i="2"/>
  <c r="K25" i="2" s="1"/>
  <c r="K39" i="2" l="1"/>
  <c r="L38" i="2"/>
  <c r="M21" i="2" s="1"/>
  <c r="M20" i="2" s="1"/>
  <c r="M42" i="2"/>
  <c r="N19" i="2"/>
  <c r="M35" i="2"/>
  <c r="L20" i="2"/>
  <c r="L44" i="2"/>
  <c r="M23" i="2"/>
  <c r="L24" i="2"/>
  <c r="L25" i="2" s="1"/>
  <c r="G29" i="2"/>
  <c r="N22" i="2"/>
  <c r="M43" i="2"/>
  <c r="L39" i="2" l="1"/>
  <c r="G30" i="2"/>
  <c r="G36" i="2"/>
  <c r="G46" i="2"/>
  <c r="M44" i="2"/>
  <c r="N23" i="2"/>
  <c r="M38" i="2"/>
  <c r="N24" i="2"/>
  <c r="N43" i="2"/>
  <c r="O22" i="2"/>
  <c r="O19" i="2"/>
  <c r="N42" i="2"/>
  <c r="N21" i="2"/>
  <c r="N35" i="2"/>
  <c r="M24" i="2"/>
  <c r="M25" i="2" s="1"/>
  <c r="N25" i="2" l="1"/>
  <c r="N38" i="2"/>
  <c r="O43" i="2"/>
  <c r="P22" i="2"/>
  <c r="N20" i="2"/>
  <c r="O21" i="2"/>
  <c r="O42" i="2"/>
  <c r="O20" i="2"/>
  <c r="P19" i="2"/>
  <c r="O35" i="2"/>
  <c r="N44" i="2"/>
  <c r="O23" i="2"/>
  <c r="H26" i="2"/>
  <c r="H27" i="2" s="1"/>
  <c r="M39" i="2"/>
  <c r="O44" i="2" l="1"/>
  <c r="P23" i="2"/>
  <c r="H28" i="2"/>
  <c r="H40" i="2" s="1"/>
  <c r="H29" i="2"/>
  <c r="O38" i="2"/>
  <c r="P42" i="2"/>
  <c r="Q19" i="2"/>
  <c r="P35" i="2"/>
  <c r="P21" i="2"/>
  <c r="P20" i="2" s="1"/>
  <c r="O24" i="2"/>
  <c r="O25" i="2" s="1"/>
  <c r="P43" i="2"/>
  <c r="Q22" i="2"/>
  <c r="P24" i="2"/>
  <c r="N39" i="2"/>
  <c r="O39" i="2" l="1"/>
  <c r="Q42" i="2"/>
  <c r="Q35" i="2"/>
  <c r="Q23" i="2"/>
  <c r="Q44" i="2" s="1"/>
  <c r="P44" i="2"/>
  <c r="Q43" i="2"/>
  <c r="Q24" i="2"/>
  <c r="P38" i="2"/>
  <c r="Q21" i="2" s="1"/>
  <c r="P25" i="2"/>
  <c r="H30" i="2"/>
  <c r="H36" i="2"/>
  <c r="H46" i="2"/>
  <c r="Q38" i="2" l="1"/>
  <c r="Q25" i="2"/>
  <c r="Q20" i="2"/>
  <c r="I26" i="2"/>
  <c r="I27" i="2" s="1"/>
  <c r="P39" i="2"/>
  <c r="Q39" i="2" l="1"/>
  <c r="I28" i="2"/>
  <c r="I40" i="2" s="1"/>
  <c r="I29" i="2" l="1"/>
  <c r="I30" i="2"/>
  <c r="I36" i="2"/>
  <c r="I46" i="2"/>
  <c r="J26" i="2" l="1"/>
  <c r="J27" i="2" s="1"/>
  <c r="J28" i="2" l="1"/>
  <c r="J40" i="2" s="1"/>
  <c r="J29" i="2"/>
  <c r="J36" i="2" l="1"/>
  <c r="J30" i="2"/>
  <c r="J46" i="2"/>
  <c r="K26" i="2" l="1"/>
  <c r="K27" i="2" s="1"/>
  <c r="K28" i="2" l="1"/>
  <c r="K40" i="2" s="1"/>
  <c r="K29" i="2"/>
  <c r="K36" i="2" l="1"/>
  <c r="K30" i="2"/>
  <c r="K46" i="2"/>
  <c r="L26" i="2" l="1"/>
  <c r="L27" i="2" s="1"/>
  <c r="L28" i="2" l="1"/>
  <c r="L40" i="2" s="1"/>
  <c r="L29" i="2"/>
  <c r="L36" i="2" l="1"/>
  <c r="L30" i="2"/>
  <c r="L46" i="2"/>
  <c r="M26" i="2" l="1"/>
  <c r="M27" i="2" s="1"/>
  <c r="M28" i="2" l="1"/>
  <c r="M40" i="2" s="1"/>
  <c r="M29" i="2"/>
  <c r="M36" i="2" l="1"/>
  <c r="M30" i="2"/>
  <c r="M46" i="2"/>
  <c r="N26" i="2" l="1"/>
  <c r="N27" i="2" s="1"/>
  <c r="N28" i="2" l="1"/>
  <c r="N40" i="2" s="1"/>
  <c r="N29" i="2"/>
  <c r="N36" i="2" l="1"/>
  <c r="N30" i="2"/>
  <c r="N46" i="2"/>
  <c r="O26" i="2" l="1"/>
  <c r="O27" i="2" s="1"/>
  <c r="O28" i="2" l="1"/>
  <c r="O40" i="2" s="1"/>
  <c r="O29" i="2"/>
  <c r="O36" i="2" l="1"/>
  <c r="O30" i="2"/>
  <c r="O46" i="2"/>
  <c r="P26" i="2" l="1"/>
  <c r="P27" i="2" s="1"/>
  <c r="P28" i="2" l="1"/>
  <c r="P40" i="2" s="1"/>
  <c r="P29" i="2" l="1"/>
  <c r="P30" i="2" l="1"/>
  <c r="P36" i="2"/>
  <c r="P46" i="2"/>
  <c r="Q26" i="2" l="1"/>
  <c r="Q27" i="2" s="1"/>
  <c r="Q28" i="2" l="1"/>
  <c r="Q40" i="2" s="1"/>
  <c r="Q29" i="2" l="1"/>
  <c r="Q30" i="2" l="1"/>
  <c r="R29" i="2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Q36" i="2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F5" i="2" s="1"/>
  <c r="F6" i="2" s="1"/>
  <c r="F7" i="2" s="1"/>
  <c r="G7" i="2" s="1"/>
  <c r="Q46" i="2"/>
</calcChain>
</file>

<file path=xl/sharedStrings.xml><?xml version="1.0" encoding="utf-8"?>
<sst xmlns="http://schemas.openxmlformats.org/spreadsheetml/2006/main" count="188" uniqueCount="145">
  <si>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</si>
  <si>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</si>
  <si>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</si>
  <si>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</si>
  <si>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</si>
  <si>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</si>
  <si>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</si>
  <si>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</si>
  <si>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</si>
  <si>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</si>
  <si>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</si>
  <si>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</si>
  <si>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</si>
  <si>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</si>
  <si>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</si>
  <si>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</si>
  <si>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</si>
  <si>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</si>
  <si>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</si>
  <si>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</si>
  <si>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</si>
  <si>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</si>
  <si>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</si>
  <si>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</si>
  <si>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</si>
  <si>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</si>
  <si>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</si>
  <si>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</si>
  <si>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</si>
  <si>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</si>
  <si>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</si>
  <si>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</si>
  <si>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</si>
  <si>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</si>
  <si>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</si>
  <si>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</si>
  <si>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</si>
  <si>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</si>
  <si>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</si>
  <si>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</si>
  <si>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</si>
  <si>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</si>
  <si>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</si>
  <si>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</si>
  <si>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</si>
  <si>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</si>
  <si>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</si>
  <si>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</si>
  <si>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</si>
  <si>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</si>
  <si>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</si>
  <si>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</si>
  <si>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</si>
  <si>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</si>
  <si>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</si>
  <si>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</si>
  <si>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</si>
  <si>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</si>
  <si>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</si>
  <si>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</si>
  <si>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</si>
  <si>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</si>
  <si>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</si>
  <si>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</si>
  <si>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</si>
  <si>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</si>
  <si>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</si>
  <si>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</si>
  <si>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</si>
  <si>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</si>
  <si>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</si>
  <si>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</si>
  <si>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</si>
  <si>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</si>
  <si>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</si>
  <si>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</si>
  <si>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</si>
  <si>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</si>
  <si>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</si>
  <si>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</si>
  <si>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</si>
  <si>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</si>
  <si>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</si>
  <si>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</si>
  <si>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</si>
  <si>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</si>
  <si>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</si>
  <si>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Future net income (terminal value)</t>
  </si>
  <si>
    <t>Yandex NV (YNDX)</t>
  </si>
  <si>
    <t>Arkady Volozh</t>
  </si>
  <si>
    <t>Yandex properties</t>
  </si>
  <si>
    <t>Advertising network</t>
  </si>
  <si>
    <t>Yandex properties y/y</t>
  </si>
  <si>
    <t>Advertising network y/y</t>
  </si>
  <si>
    <t>Search and portal</t>
  </si>
  <si>
    <t>E-commerce</t>
  </si>
  <si>
    <t>Taxi</t>
  </si>
  <si>
    <t>Classifieds</t>
  </si>
  <si>
    <t>Media service</t>
  </si>
  <si>
    <t>Experiments</t>
  </si>
  <si>
    <t>Eliminations</t>
  </si>
  <si>
    <t>Total</t>
  </si>
  <si>
    <t>S&amp;M+G&amp;A</t>
  </si>
  <si>
    <t>Other y/y</t>
  </si>
  <si>
    <t>Revenue USD</t>
  </si>
  <si>
    <t>Net Income USD</t>
  </si>
  <si>
    <t>USD/RUB</t>
  </si>
  <si>
    <t>S&amp;M+G&amp;A y/y</t>
  </si>
  <si>
    <t>Yandex Search</t>
  </si>
  <si>
    <t>Search engine</t>
  </si>
  <si>
    <t>Yandex.Direct</t>
  </si>
  <si>
    <t>Automated advertising network</t>
  </si>
  <si>
    <t>Yandex Disk</t>
  </si>
  <si>
    <t>Cloud file storage</t>
  </si>
  <si>
    <t>Alisa</t>
  </si>
  <si>
    <t>Virtual assistant</t>
  </si>
  <si>
    <t>Yandex.Mail</t>
  </si>
  <si>
    <t>Yandex Browser</t>
  </si>
  <si>
    <t>Web browser</t>
  </si>
  <si>
    <t>Yandex Maps</t>
  </si>
  <si>
    <t>Map service</t>
  </si>
  <si>
    <t>Yandex.Market</t>
  </si>
  <si>
    <t>Online marketplace</t>
  </si>
  <si>
    <t>Yandex.Eda</t>
  </si>
  <si>
    <t>Yandex.Metro</t>
  </si>
  <si>
    <t>Yandex News</t>
  </si>
  <si>
    <t>Yandex Video</t>
  </si>
  <si>
    <t>Yandex Money</t>
  </si>
  <si>
    <t>Payment provider</t>
  </si>
  <si>
    <t>Yandex Music</t>
  </si>
  <si>
    <t>Yandex.Timetable</t>
  </si>
  <si>
    <t>Yandex.Traffic</t>
  </si>
  <si>
    <t>Yandex.Translate</t>
  </si>
  <si>
    <t>Yandex Taxi</t>
  </si>
  <si>
    <t>Partly owned by Uber</t>
  </si>
  <si>
    <t>Ride-hailing and food tech</t>
  </si>
  <si>
    <t>Ya.ru</t>
  </si>
  <si>
    <t>Q120</t>
  </si>
  <si>
    <t>Q220</t>
  </si>
  <si>
    <t>Q320</t>
  </si>
  <si>
    <t>Q420</t>
  </si>
  <si>
    <t>Taxi y/y</t>
  </si>
  <si>
    <t>SG&amp;A</t>
  </si>
  <si>
    <t>SG&amp;M y/y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</si>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</sst>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0" fontId="6" fillId="0" borderId="1" xfId="0" applyFont="1" applyBorder="1"/>
    <xf numFmtId="4" fontId="6" fillId="2" borderId="0" xfId="0" applyNumberFormat="1" applyFont="1" applyFill="1" applyBorder="1"/>
    <xf numFmtId="3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3" fontId="5" fillId="0" borderId="0" xfId="0" applyNumberFormat="1" applyFont="1"/>
    <xf numFmtId="4" fontId="5" fillId="0" borderId="0" xfId="0" applyNumberFormat="1" applyFont="1"/>
    <xf numFmtId="14" fontId="6" fillId="0" borderId="0" xfId="0" applyNumberFormat="1" applyFont="1"/>
    <xf numFmtId="0" fontId="4" fillId="0" borderId="0" xfId="4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157284</xdr:colOff>
      <xdr:row>9</xdr:row>
      <xdr:rowOff>152400</xdr:rowOff>
    </xdr:from>
    <xdr:to>
      <xdr:col>7</xdr:col>
      <xdr:colOff>157284</xdr:colOff>
      <xdr:row>68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26822" y="1647092"/>
          <a:ext cx="0" cy="965883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187569</xdr:colOff>
      <xdr:row>0</xdr:row>
      <xdr:rowOff>152400</xdr:rowOff>
    </xdr:from>
    <xdr:to>
      <xdr:col>25</xdr:col>
      <xdr:colOff>187569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504031" y="152400"/>
          <a:ext cx="0" cy="1062892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rkady_Volozh" TargetMode="External"/><Relationship Id="rId2" Type="http://schemas.openxmlformats.org/officeDocument/2006/relationships/hyperlink" Target="https://yandex.gcs-web.com/index.php/financial-releases" TargetMode="External"/><Relationship Id="rId1" Type="http://schemas.openxmlformats.org/officeDocument/2006/relationships/hyperlink" Target="https://en.wikipedia.org/wiki/Arkady_Volozh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13845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7"/>
  <sheetViews>
    <sheetView zoomScale="130" zoomScaleNormal="13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D3" sqref="D3"/>
    </sheetView>
  </sheetViews>
  <sheetFormatPr baseColWidth="10" defaultRowHeight="13" x14ac:dyDescent="0.15"/>
  <cols>
    <col min="1" max="1" width="18.1640625" style="3" bestFit="1" customWidth="1"/>
    <col min="2" max="16384" width="10.83203125" style="3"/>
  </cols>
  <sheetData>
    <row r="1" spans="1:122" x14ac:dyDescent="0.15">
      <c r="A1" s="1" t="s">
        <v>80</v>
      </c>
      <c r="B1" s="2" t="s">
        <v>88</v>
      </c>
    </row>
    <row r="2" spans="1:122" x14ac:dyDescent="0.15">
      <c r="B2" s="3" t="s">
        <v>60</v>
      </c>
      <c r="C2" s="4">
        <v>65.099999999999994</v>
      </c>
      <c r="D2" s="66">
        <v>44221</v>
      </c>
      <c r="E2" s="6" t="s">
        <v>35</v>
      </c>
      <c r="F2" s="7">
        <v>-0.02</v>
      </c>
      <c r="I2" s="16"/>
      <c r="L2" s="2"/>
    </row>
    <row r="3" spans="1:122" x14ac:dyDescent="0.15">
      <c r="A3" s="2" t="s">
        <v>58</v>
      </c>
      <c r="B3" s="3" t="s">
        <v>15</v>
      </c>
      <c r="C3" s="8">
        <f>'Reports RUB'!Q21</f>
        <v>331.67552699999999</v>
      </c>
      <c r="D3" s="3" t="s">
        <v>43</v>
      </c>
      <c r="E3" s="6" t="s">
        <v>36</v>
      </c>
      <c r="F3" s="7">
        <v>0.02</v>
      </c>
      <c r="G3" s="5" t="s">
        <v>81</v>
      </c>
      <c r="I3" s="16"/>
    </row>
    <row r="4" spans="1:122" x14ac:dyDescent="0.15">
      <c r="A4" s="9" t="s">
        <v>89</v>
      </c>
      <c r="B4" s="3" t="s">
        <v>61</v>
      </c>
      <c r="C4" s="10">
        <f>C2*C3</f>
        <v>21592.076807699996</v>
      </c>
      <c r="E4" s="6" t="s">
        <v>37</v>
      </c>
      <c r="F4" s="7">
        <f>2%+5%</f>
        <v>7.0000000000000007E-2</v>
      </c>
      <c r="G4" s="5" t="s">
        <v>64</v>
      </c>
      <c r="I4" s="27"/>
    </row>
    <row r="5" spans="1:122" x14ac:dyDescent="0.15">
      <c r="B5" s="3" t="s">
        <v>31</v>
      </c>
      <c r="C5" s="8">
        <f>'Reports RUB'!Q31/C9</f>
        <v>1397.9816757402734</v>
      </c>
      <c r="D5" s="3" t="s">
        <v>43</v>
      </c>
      <c r="E5" s="6" t="s">
        <v>38</v>
      </c>
      <c r="F5" s="11">
        <f>NPV(F4,F36:DR36)</f>
        <v>13039.988024350849</v>
      </c>
      <c r="G5" s="5" t="s">
        <v>87</v>
      </c>
      <c r="I5" s="27"/>
    </row>
    <row r="6" spans="1:122" x14ac:dyDescent="0.15">
      <c r="A6" s="2" t="s">
        <v>59</v>
      </c>
      <c r="B6" s="3" t="s">
        <v>62</v>
      </c>
      <c r="C6" s="10">
        <f>C4-C5</f>
        <v>20194.095131959722</v>
      </c>
      <c r="E6" s="12" t="s">
        <v>39</v>
      </c>
      <c r="F6" s="13">
        <f>F5+C5</f>
        <v>14437.969700091122</v>
      </c>
      <c r="I6" s="27"/>
    </row>
    <row r="7" spans="1:122" x14ac:dyDescent="0.15">
      <c r="A7" s="9" t="s">
        <v>89</v>
      </c>
      <c r="B7" s="5" t="s">
        <v>63</v>
      </c>
      <c r="C7" s="61">
        <f>C6/C3</f>
        <v>60.885092471594156</v>
      </c>
      <c r="E7" s="14" t="s">
        <v>63</v>
      </c>
      <c r="F7" s="58">
        <f>F6/C3</f>
        <v>43.530404038797599</v>
      </c>
      <c r="G7" s="27">
        <f>F7/C2-1</f>
        <v>-0.33133019909681105</v>
      </c>
    </row>
    <row r="8" spans="1:122" x14ac:dyDescent="0.15">
      <c r="A8" s="9"/>
      <c r="B8" s="5"/>
      <c r="E8" s="14"/>
      <c r="F8" s="14"/>
      <c r="G8" s="27"/>
    </row>
    <row r="9" spans="1:122" x14ac:dyDescent="0.15">
      <c r="A9" s="9"/>
      <c r="B9" s="2" t="s">
        <v>106</v>
      </c>
      <c r="C9" s="65">
        <v>75.31</v>
      </c>
      <c r="D9" s="66">
        <v>44221</v>
      </c>
      <c r="E9" s="14"/>
      <c r="F9" s="14"/>
      <c r="G9" s="27"/>
    </row>
    <row r="10" spans="1:122" x14ac:dyDescent="0.15">
      <c r="E10" s="6"/>
      <c r="F10" s="15"/>
    </row>
    <row r="11" spans="1:122" x14ac:dyDescent="0.15">
      <c r="B11" s="3">
        <v>2015</v>
      </c>
      <c r="C11" s="3">
        <v>2016</v>
      </c>
      <c r="D11" s="3">
        <v>2017</v>
      </c>
      <c r="E11" s="3">
        <f>D11+1</f>
        <v>2018</v>
      </c>
      <c r="F11" s="3">
        <f t="shared" ref="F11:Q11" si="0">E11+1</f>
        <v>2019</v>
      </c>
      <c r="G11" s="3">
        <f t="shared" si="0"/>
        <v>2020</v>
      </c>
      <c r="H11" s="3">
        <f t="shared" si="0"/>
        <v>2021</v>
      </c>
      <c r="I11" s="3">
        <f t="shared" si="0"/>
        <v>2022</v>
      </c>
      <c r="J11" s="3">
        <f t="shared" si="0"/>
        <v>2023</v>
      </c>
      <c r="K11" s="3">
        <f t="shared" si="0"/>
        <v>2024</v>
      </c>
      <c r="L11" s="3">
        <f t="shared" si="0"/>
        <v>2025</v>
      </c>
      <c r="M11" s="3">
        <f t="shared" si="0"/>
        <v>2026</v>
      </c>
      <c r="N11" s="3">
        <f t="shared" si="0"/>
        <v>2027</v>
      </c>
      <c r="O11" s="3">
        <f t="shared" si="0"/>
        <v>2028</v>
      </c>
      <c r="P11" s="3">
        <f t="shared" si="0"/>
        <v>2029</v>
      </c>
      <c r="Q11" s="3">
        <f t="shared" si="0"/>
        <v>2030</v>
      </c>
    </row>
    <row r="12" spans="1:122" x14ac:dyDescent="0.15">
      <c r="A12" s="6" t="s">
        <v>90</v>
      </c>
      <c r="B12" s="8">
        <f>SUM('Reports RUB'!B3:E3)</f>
        <v>43099</v>
      </c>
      <c r="C12" s="8">
        <f>SUM('Reports RUB'!F3:I3)</f>
        <v>52888</v>
      </c>
      <c r="D12" s="16">
        <f>SUM('Reports RUB'!J3:M3)</f>
        <v>65149</v>
      </c>
      <c r="E12" s="16">
        <f>SUM('Reports RUB'!N3:Q3)</f>
        <v>78696</v>
      </c>
      <c r="F12" s="16">
        <f>E12*1.2</f>
        <v>94435.199999999997</v>
      </c>
      <c r="G12" s="16">
        <f t="shared" ref="G12:J12" si="1">F12*1.2</f>
        <v>113322.23999999999</v>
      </c>
      <c r="H12" s="16">
        <f t="shared" si="1"/>
        <v>135986.68799999999</v>
      </c>
      <c r="I12" s="16">
        <f t="shared" si="1"/>
        <v>163184.02559999999</v>
      </c>
      <c r="J12" s="16">
        <f t="shared" si="1"/>
        <v>195820.83072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6" t="s">
        <v>91</v>
      </c>
      <c r="B13" s="8">
        <f>SUM('Reports RUB'!B4:E4)</f>
        <v>15111</v>
      </c>
      <c r="C13" s="8">
        <f>SUM('Reports RUB'!F4:I4)</f>
        <v>19691</v>
      </c>
      <c r="D13" s="16">
        <f>SUM('Reports RUB'!J4:M4)</f>
        <v>22251</v>
      </c>
      <c r="E13" s="16">
        <f>SUM('Reports RUB'!N4:Q4)</f>
        <v>24041</v>
      </c>
      <c r="F13" s="16">
        <f>E13*1.1</f>
        <v>26445.100000000002</v>
      </c>
      <c r="G13" s="16">
        <f t="shared" ref="G13:J13" si="2">F13*1.1</f>
        <v>29089.610000000004</v>
      </c>
      <c r="H13" s="16">
        <f t="shared" si="2"/>
        <v>31998.571000000007</v>
      </c>
      <c r="I13" s="16">
        <f t="shared" si="2"/>
        <v>35198.428100000012</v>
      </c>
      <c r="J13" s="16">
        <f t="shared" si="2"/>
        <v>38718.270910000014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A14" s="6" t="s">
        <v>69</v>
      </c>
      <c r="B14" s="8">
        <f>SUM('Reports RUB'!B6:E6)</f>
        <v>1582</v>
      </c>
      <c r="C14" s="8">
        <f>SUM('Reports RUB'!F6:I6)</f>
        <v>3346</v>
      </c>
      <c r="D14" s="16">
        <f>SUM('Reports RUB'!J6:M6)</f>
        <v>6654</v>
      </c>
      <c r="E14" s="16">
        <f>SUM('Reports RUB'!N6:Q6)</f>
        <v>24920</v>
      </c>
      <c r="F14" s="16">
        <f>E14*1.4</f>
        <v>34888</v>
      </c>
      <c r="G14" s="16">
        <f t="shared" ref="G14:J14" si="3">F14*1.4</f>
        <v>48843.199999999997</v>
      </c>
      <c r="H14" s="16">
        <f t="shared" si="3"/>
        <v>68380.479999999996</v>
      </c>
      <c r="I14" s="16">
        <f t="shared" si="3"/>
        <v>95732.671999999991</v>
      </c>
      <c r="J14" s="16">
        <f t="shared" si="3"/>
        <v>134025.74079999997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</row>
    <row r="15" spans="1:122" x14ac:dyDescent="0.15">
      <c r="B15" s="8"/>
      <c r="C15" s="8"/>
      <c r="D15" s="16"/>
      <c r="E15" s="16"/>
      <c r="F15" s="16"/>
      <c r="G15" s="16"/>
      <c r="H15" s="16"/>
      <c r="I15" s="16"/>
    </row>
    <row r="16" spans="1:122" s="16" customFormat="1" x14ac:dyDescent="0.15">
      <c r="A16" s="16" t="s">
        <v>83</v>
      </c>
      <c r="B16" s="8"/>
      <c r="C16" s="8"/>
    </row>
    <row r="17" spans="1:122" s="59" customFormat="1" x14ac:dyDescent="0.15">
      <c r="A17" s="59" t="s">
        <v>84</v>
      </c>
      <c r="B17" s="4"/>
      <c r="C17" s="4"/>
    </row>
    <row r="18" spans="1:122" x14ac:dyDescent="0.15">
      <c r="F18" s="16"/>
      <c r="G18" s="16"/>
      <c r="H18" s="16"/>
      <c r="I18" s="16"/>
    </row>
    <row r="19" spans="1:122" x14ac:dyDescent="0.15">
      <c r="A19" s="2" t="s">
        <v>4</v>
      </c>
      <c r="B19" s="17">
        <f>SUM(B12:B14)</f>
        <v>59792</v>
      </c>
      <c r="C19" s="17">
        <f>SUM(C12:C14)</f>
        <v>75925</v>
      </c>
      <c r="D19" s="17">
        <f>SUM(D12:D14)</f>
        <v>94054</v>
      </c>
      <c r="E19" s="17">
        <f>SUM(E12:E14)</f>
        <v>127657</v>
      </c>
      <c r="F19" s="18">
        <f>SUM(F12:F14)</f>
        <v>155768.29999999999</v>
      </c>
      <c r="G19" s="18">
        <f t="shared" ref="G19:I19" si="4">SUM(G12:G14)</f>
        <v>191255.05</v>
      </c>
      <c r="H19" s="18">
        <f t="shared" si="4"/>
        <v>236365.739</v>
      </c>
      <c r="I19" s="18">
        <f t="shared" si="4"/>
        <v>294115.12569999998</v>
      </c>
      <c r="J19" s="18">
        <f>SUM(J12:J14)</f>
        <v>368564.84242999996</v>
      </c>
      <c r="K19" s="18">
        <f>J19*1.05</f>
        <v>386993.08455149998</v>
      </c>
      <c r="L19" s="18">
        <f t="shared" ref="L19:Q19" si="5">K19*1.05</f>
        <v>406342.73877907498</v>
      </c>
      <c r="M19" s="18">
        <f t="shared" si="5"/>
        <v>426659.87571802875</v>
      </c>
      <c r="N19" s="18">
        <f t="shared" si="5"/>
        <v>447992.86950393021</v>
      </c>
      <c r="O19" s="18">
        <f t="shared" si="5"/>
        <v>470392.51297912677</v>
      </c>
      <c r="P19" s="18">
        <f t="shared" si="5"/>
        <v>493912.13862808311</v>
      </c>
      <c r="Q19" s="18">
        <f t="shared" si="5"/>
        <v>518607.74555948726</v>
      </c>
      <c r="R19" s="18"/>
      <c r="S19" s="18"/>
      <c r="T19" s="18"/>
      <c r="U19" s="18"/>
      <c r="V19" s="18"/>
    </row>
    <row r="20" spans="1:122" x14ac:dyDescent="0.15">
      <c r="A20" s="3" t="s">
        <v>5</v>
      </c>
      <c r="B20" s="8">
        <f>SUM('Reports RUB'!B9:E9)</f>
        <v>16810</v>
      </c>
      <c r="C20" s="8">
        <f>SUM('Reports RUB'!F9:I9)</f>
        <v>19754</v>
      </c>
      <c r="D20" s="16">
        <f>SUM('Reports RUB'!J9:M9)</f>
        <v>23937</v>
      </c>
      <c r="E20" s="16">
        <f>SUM('Reports RUB'!N9:Q9)</f>
        <v>35890</v>
      </c>
      <c r="F20" s="8">
        <f t="shared" ref="F20:H20" si="6">F19-F21</f>
        <v>43793.323413522172</v>
      </c>
      <c r="G20" s="8">
        <f t="shared" si="6"/>
        <v>53770.210364492348</v>
      </c>
      <c r="H20" s="8">
        <f t="shared" si="6"/>
        <v>66452.810051231034</v>
      </c>
      <c r="I20" s="8">
        <f t="shared" ref="I20:Q20" si="7">I19-I21</f>
        <v>82688.703802948527</v>
      </c>
      <c r="J20" s="8">
        <f t="shared" si="7"/>
        <v>103619.79519190249</v>
      </c>
      <c r="K20" s="8">
        <f t="shared" si="7"/>
        <v>108800.78495149763</v>
      </c>
      <c r="L20" s="8">
        <f t="shared" si="7"/>
        <v>114240.82419907249</v>
      </c>
      <c r="M20" s="8">
        <f t="shared" si="7"/>
        <v>119952.8654090261</v>
      </c>
      <c r="N20" s="8">
        <f t="shared" si="7"/>
        <v>125950.50867947744</v>
      </c>
      <c r="O20" s="8">
        <f t="shared" si="7"/>
        <v>132248.03411345131</v>
      </c>
      <c r="P20" s="8">
        <f t="shared" si="7"/>
        <v>138860.43581912387</v>
      </c>
      <c r="Q20" s="8">
        <f t="shared" si="7"/>
        <v>145803.45761008008</v>
      </c>
      <c r="R20" s="8"/>
      <c r="S20" s="8"/>
      <c r="T20" s="8"/>
      <c r="U20" s="8"/>
      <c r="V20" s="8"/>
    </row>
    <row r="21" spans="1:122" x14ac:dyDescent="0.15">
      <c r="A21" s="3" t="s">
        <v>6</v>
      </c>
      <c r="B21" s="10">
        <f>B19-B20</f>
        <v>42982</v>
      </c>
      <c r="C21" s="10">
        <f>C19-C20</f>
        <v>56171</v>
      </c>
      <c r="D21" s="10">
        <f>D19-D20</f>
        <v>70117</v>
      </c>
      <c r="E21" s="10">
        <f>E19-E20</f>
        <v>91767</v>
      </c>
      <c r="F21" s="8">
        <f t="shared" ref="F21:Q21" si="8">F19*E38</f>
        <v>111974.97658647782</v>
      </c>
      <c r="G21" s="8">
        <f t="shared" si="8"/>
        <v>137484.83963550764</v>
      </c>
      <c r="H21" s="8">
        <f t="shared" si="8"/>
        <v>169912.92894876897</v>
      </c>
      <c r="I21" s="8">
        <f t="shared" si="8"/>
        <v>211426.42189705145</v>
      </c>
      <c r="J21" s="8">
        <f t="shared" si="8"/>
        <v>264945.04723809747</v>
      </c>
      <c r="K21" s="8">
        <f t="shared" si="8"/>
        <v>278192.29960000236</v>
      </c>
      <c r="L21" s="8">
        <f t="shared" si="8"/>
        <v>292101.91458000249</v>
      </c>
      <c r="M21" s="8">
        <f t="shared" si="8"/>
        <v>306707.01030900265</v>
      </c>
      <c r="N21" s="8">
        <f t="shared" si="8"/>
        <v>322042.36082445277</v>
      </c>
      <c r="O21" s="8">
        <f t="shared" si="8"/>
        <v>338144.47886567545</v>
      </c>
      <c r="P21" s="8">
        <f t="shared" si="8"/>
        <v>355051.70280895923</v>
      </c>
      <c r="Q21" s="8">
        <f t="shared" si="8"/>
        <v>372804.28794940718</v>
      </c>
      <c r="R21" s="8"/>
      <c r="S21" s="8"/>
      <c r="T21" s="8"/>
      <c r="U21" s="8"/>
      <c r="V21" s="8"/>
    </row>
    <row r="22" spans="1:122" x14ac:dyDescent="0.15">
      <c r="A22" s="3" t="s">
        <v>7</v>
      </c>
      <c r="B22" s="8">
        <f>SUM('Reports RUB'!B11:E11)</f>
        <v>13421</v>
      </c>
      <c r="C22" s="8">
        <f>SUM('Reports RUB'!F11:I11)</f>
        <v>15832</v>
      </c>
      <c r="D22" s="16">
        <f>SUM('Reports RUB'!J11:M11)</f>
        <v>18761</v>
      </c>
      <c r="E22" s="16">
        <f>SUM('Reports RUB'!N11:Q11)</f>
        <v>22569</v>
      </c>
      <c r="F22" s="8">
        <f>E22*1.2</f>
        <v>27082.799999999999</v>
      </c>
      <c r="G22" s="8">
        <f t="shared" ref="G22:J22" si="9">F22*1.2</f>
        <v>32499.359999999997</v>
      </c>
      <c r="H22" s="8">
        <f t="shared" si="9"/>
        <v>38999.231999999996</v>
      </c>
      <c r="I22" s="8">
        <f t="shared" si="9"/>
        <v>46799.078399999991</v>
      </c>
      <c r="J22" s="8">
        <f t="shared" si="9"/>
        <v>56158.894079999991</v>
      </c>
      <c r="K22" s="8">
        <f>J22*0.98</f>
        <v>55035.71619839999</v>
      </c>
      <c r="L22" s="8">
        <f t="shared" ref="L22:Q23" si="10">K22*0.98</f>
        <v>53935.00187443199</v>
      </c>
      <c r="M22" s="8">
        <f t="shared" si="10"/>
        <v>52856.301836943348</v>
      </c>
      <c r="N22" s="8">
        <f t="shared" si="10"/>
        <v>51799.175800204481</v>
      </c>
      <c r="O22" s="8">
        <f t="shared" si="10"/>
        <v>50763.192284200391</v>
      </c>
      <c r="P22" s="8">
        <f t="shared" si="10"/>
        <v>49747.928438516385</v>
      </c>
      <c r="Q22" s="8">
        <f t="shared" si="10"/>
        <v>48752.969869746055</v>
      </c>
      <c r="R22" s="8"/>
      <c r="S22" s="8"/>
      <c r="T22" s="8"/>
      <c r="U22" s="8"/>
      <c r="V22" s="8"/>
    </row>
    <row r="23" spans="1:122" x14ac:dyDescent="0.15">
      <c r="A23" s="3" t="s">
        <v>102</v>
      </c>
      <c r="B23" s="8">
        <f>SUM('Reports RUB'!B12:E12)</f>
        <v>19968</v>
      </c>
      <c r="C23" s="8">
        <f>SUM('Reports RUB'!F12:I12)</f>
        <v>27492</v>
      </c>
      <c r="D23" s="16">
        <f>SUM('Reports RUB'!J12:M12)</f>
        <v>38320</v>
      </c>
      <c r="E23" s="16">
        <f>SUM('Reports RUB'!N12:Q12)</f>
        <v>48337</v>
      </c>
      <c r="F23" s="8">
        <f>E23*1.3</f>
        <v>62838.1</v>
      </c>
      <c r="G23" s="8">
        <f t="shared" ref="G23:J23" si="11">F23*1.3</f>
        <v>81689.53</v>
      </c>
      <c r="H23" s="8">
        <f t="shared" si="11"/>
        <v>106196.389</v>
      </c>
      <c r="I23" s="8">
        <f t="shared" si="11"/>
        <v>138055.3057</v>
      </c>
      <c r="J23" s="8">
        <f t="shared" si="11"/>
        <v>179471.89741000001</v>
      </c>
      <c r="K23" s="8">
        <f>J23*0.98</f>
        <v>175882.4594618</v>
      </c>
      <c r="L23" s="8">
        <f t="shared" si="10"/>
        <v>172364.81027256401</v>
      </c>
      <c r="M23" s="8">
        <f t="shared" si="10"/>
        <v>168917.51406711273</v>
      </c>
      <c r="N23" s="8">
        <f t="shared" si="10"/>
        <v>165539.16378577048</v>
      </c>
      <c r="O23" s="8">
        <f t="shared" si="10"/>
        <v>162228.38051005505</v>
      </c>
      <c r="P23" s="8">
        <f t="shared" si="10"/>
        <v>158983.81289985395</v>
      </c>
      <c r="Q23" s="8">
        <f t="shared" si="10"/>
        <v>155804.13664185687</v>
      </c>
      <c r="R23" s="8"/>
      <c r="S23" s="8"/>
      <c r="T23" s="8"/>
      <c r="U23" s="8"/>
      <c r="V23" s="8"/>
    </row>
    <row r="24" spans="1:122" x14ac:dyDescent="0.15">
      <c r="A24" s="3" t="s">
        <v>8</v>
      </c>
      <c r="B24" s="10">
        <f t="shared" ref="B24:Q24" si="12">SUM(B22:B23)</f>
        <v>33389</v>
      </c>
      <c r="C24" s="10">
        <f t="shared" si="12"/>
        <v>43324</v>
      </c>
      <c r="D24" s="10">
        <f t="shared" si="12"/>
        <v>57081</v>
      </c>
      <c r="E24" s="10">
        <f t="shared" si="12"/>
        <v>70906</v>
      </c>
      <c r="F24" s="8">
        <f t="shared" si="12"/>
        <v>89920.9</v>
      </c>
      <c r="G24" s="8">
        <f t="shared" si="12"/>
        <v>114188.89</v>
      </c>
      <c r="H24" s="8">
        <f t="shared" si="12"/>
        <v>145195.62099999998</v>
      </c>
      <c r="I24" s="8">
        <f t="shared" si="12"/>
        <v>184854.3841</v>
      </c>
      <c r="J24" s="8">
        <f t="shared" si="12"/>
        <v>235630.79149</v>
      </c>
      <c r="K24" s="8">
        <f t="shared" si="12"/>
        <v>230918.17566019998</v>
      </c>
      <c r="L24" s="8">
        <f t="shared" si="12"/>
        <v>226299.812146996</v>
      </c>
      <c r="M24" s="8">
        <f t="shared" si="12"/>
        <v>221773.81590405607</v>
      </c>
      <c r="N24" s="8">
        <f t="shared" si="12"/>
        <v>217338.33958597496</v>
      </c>
      <c r="O24" s="8">
        <f t="shared" si="12"/>
        <v>212991.57279425545</v>
      </c>
      <c r="P24" s="8">
        <f t="shared" si="12"/>
        <v>208731.74133837034</v>
      </c>
      <c r="Q24" s="8">
        <f t="shared" si="12"/>
        <v>204557.10651160293</v>
      </c>
      <c r="R24" s="8"/>
      <c r="S24" s="8"/>
      <c r="T24" s="8"/>
      <c r="U24" s="8"/>
      <c r="V24" s="8"/>
    </row>
    <row r="25" spans="1:122" x14ac:dyDescent="0.15">
      <c r="A25" s="3" t="s">
        <v>9</v>
      </c>
      <c r="B25" s="10">
        <f t="shared" ref="B25:Q25" si="13">B21-B24</f>
        <v>9593</v>
      </c>
      <c r="C25" s="10">
        <f t="shared" si="13"/>
        <v>12847</v>
      </c>
      <c r="D25" s="10">
        <f t="shared" si="13"/>
        <v>13036</v>
      </c>
      <c r="E25" s="10">
        <f t="shared" si="13"/>
        <v>20861</v>
      </c>
      <c r="F25" s="8">
        <f t="shared" si="13"/>
        <v>22054.076586477822</v>
      </c>
      <c r="G25" s="8">
        <f t="shared" si="13"/>
        <v>23295.949635507641</v>
      </c>
      <c r="H25" s="8">
        <f t="shared" si="13"/>
        <v>24717.307948768983</v>
      </c>
      <c r="I25" s="8">
        <f t="shared" si="13"/>
        <v>26572.037797051453</v>
      </c>
      <c r="J25" s="8">
        <f t="shared" si="13"/>
        <v>29314.255748097465</v>
      </c>
      <c r="K25" s="8">
        <f t="shared" si="13"/>
        <v>47274.123939802375</v>
      </c>
      <c r="L25" s="8">
        <f t="shared" si="13"/>
        <v>65802.102433006483</v>
      </c>
      <c r="M25" s="8">
        <f t="shared" si="13"/>
        <v>84933.194404946582</v>
      </c>
      <c r="N25" s="8">
        <f t="shared" si="13"/>
        <v>104704.02123847781</v>
      </c>
      <c r="O25" s="8">
        <f t="shared" si="13"/>
        <v>125152.90607142</v>
      </c>
      <c r="P25" s="8">
        <f t="shared" si="13"/>
        <v>146319.9614705889</v>
      </c>
      <c r="Q25" s="8">
        <f t="shared" si="13"/>
        <v>168247.18143780425</v>
      </c>
      <c r="R25" s="8"/>
      <c r="S25" s="8"/>
      <c r="T25" s="8"/>
      <c r="U25" s="8"/>
      <c r="V25" s="8"/>
    </row>
    <row r="26" spans="1:122" x14ac:dyDescent="0.15">
      <c r="A26" s="3" t="s">
        <v>10</v>
      </c>
      <c r="B26" s="8">
        <f>SUM('Reports RUB'!B15:E15)</f>
        <v>4003</v>
      </c>
      <c r="C26" s="8">
        <f>SUM('Reports RUB'!F15:I15)</f>
        <v>-1740</v>
      </c>
      <c r="D26" s="16">
        <f>SUM('Reports RUB'!J15:M15)</f>
        <v>546</v>
      </c>
      <c r="E26" s="8">
        <f>SUM('Reports RUB'!N15:Q15)</f>
        <v>33603</v>
      </c>
      <c r="F26" s="8">
        <f>E46*$F$3</f>
        <v>2105.64</v>
      </c>
      <c r="G26" s="8">
        <f t="shared" ref="G26:Q26" si="14">F46*$F$3</f>
        <v>2443.8760322106896</v>
      </c>
      <c r="H26" s="8">
        <f t="shared" si="14"/>
        <v>2804.233591558746</v>
      </c>
      <c r="I26" s="8">
        <f t="shared" si="14"/>
        <v>3189.5351731233341</v>
      </c>
      <c r="J26" s="8">
        <f t="shared" si="14"/>
        <v>3606.1971947057814</v>
      </c>
      <c r="K26" s="8">
        <f t="shared" si="14"/>
        <v>4067.083535905027</v>
      </c>
      <c r="L26" s="8">
        <f t="shared" si="14"/>
        <v>4785.8604405649312</v>
      </c>
      <c r="M26" s="8">
        <f t="shared" si="14"/>
        <v>5774.091920794931</v>
      </c>
      <c r="N26" s="8">
        <f t="shared" si="14"/>
        <v>7043.9939293553125</v>
      </c>
      <c r="O26" s="8">
        <f t="shared" si="14"/>
        <v>8608.4661417049756</v>
      </c>
      <c r="P26" s="8">
        <f t="shared" si="14"/>
        <v>10481.125352688725</v>
      </c>
      <c r="Q26" s="8">
        <f t="shared" si="14"/>
        <v>12676.340568214613</v>
      </c>
      <c r="R26" s="8"/>
      <c r="S26" s="8"/>
      <c r="T26" s="8"/>
      <c r="U26" s="8"/>
      <c r="V26" s="8"/>
    </row>
    <row r="27" spans="1:122" x14ac:dyDescent="0.15">
      <c r="A27" s="3" t="s">
        <v>11</v>
      </c>
      <c r="B27" s="10">
        <f>B25+B26</f>
        <v>13596</v>
      </c>
      <c r="C27" s="10">
        <f>C25+C26</f>
        <v>11107</v>
      </c>
      <c r="D27" s="10">
        <f>D25+D26</f>
        <v>13582</v>
      </c>
      <c r="E27" s="10">
        <f>E25+E26</f>
        <v>54464</v>
      </c>
      <c r="F27" s="8">
        <f>F25+F26</f>
        <v>24159.716586477822</v>
      </c>
      <c r="G27" s="8">
        <f t="shared" ref="G27:H27" si="15">G25+G26</f>
        <v>25739.825667718331</v>
      </c>
      <c r="H27" s="8">
        <f t="shared" si="15"/>
        <v>27521.541540327729</v>
      </c>
      <c r="I27" s="8">
        <f t="shared" ref="I27" si="16">I25+I26</f>
        <v>29761.572970174788</v>
      </c>
      <c r="J27" s="8">
        <f t="shared" ref="J27" si="17">J25+J26</f>
        <v>32920.452942803247</v>
      </c>
      <c r="K27" s="8">
        <f t="shared" ref="K27" si="18">K25+K26</f>
        <v>51341.207475707401</v>
      </c>
      <c r="L27" s="8">
        <f t="shared" ref="L27" si="19">L25+L26</f>
        <v>70587.962873571407</v>
      </c>
      <c r="M27" s="8">
        <f t="shared" ref="M27" si="20">M25+M26</f>
        <v>90707.286325741516</v>
      </c>
      <c r="N27" s="8">
        <f t="shared" ref="N27" si="21">N25+N26</f>
        <v>111748.01516783313</v>
      </c>
      <c r="O27" s="8">
        <f t="shared" ref="O27" si="22">O25+O26</f>
        <v>133761.37221312497</v>
      </c>
      <c r="P27" s="8">
        <f t="shared" ref="P27" si="23">P25+P26</f>
        <v>156801.08682327761</v>
      </c>
      <c r="Q27" s="8">
        <f t="shared" ref="Q27" si="24">Q25+Q26</f>
        <v>180923.52200601887</v>
      </c>
      <c r="R27" s="8"/>
      <c r="S27" s="8"/>
      <c r="T27" s="8"/>
      <c r="U27" s="8"/>
      <c r="V27" s="8"/>
    </row>
    <row r="28" spans="1:122" x14ac:dyDescent="0.15">
      <c r="A28" s="3" t="s">
        <v>12</v>
      </c>
      <c r="B28" s="8">
        <f>SUM('Reports RUB'!B17:E17)</f>
        <v>3917</v>
      </c>
      <c r="C28" s="8">
        <f>SUM('Reports RUB'!F17:I17)</f>
        <v>4324</v>
      </c>
      <c r="D28" s="16">
        <f>SUM('Reports RUB'!J17:M17)</f>
        <v>4926</v>
      </c>
      <c r="E28" s="8">
        <f>SUM('Reports RUB'!N17:Q17)</f>
        <v>8603</v>
      </c>
      <c r="F28" s="8">
        <f>F27*0.3</f>
        <v>7247.9149759433467</v>
      </c>
      <c r="G28" s="8">
        <f t="shared" ref="G28:Q28" si="25">G27*0.3</f>
        <v>7721.9477003154989</v>
      </c>
      <c r="H28" s="8">
        <f t="shared" si="25"/>
        <v>8256.4624620983177</v>
      </c>
      <c r="I28" s="8">
        <f t="shared" si="25"/>
        <v>8928.4718910524352</v>
      </c>
      <c r="J28" s="8">
        <f t="shared" si="25"/>
        <v>9876.1358828409739</v>
      </c>
      <c r="K28" s="8">
        <f t="shared" si="25"/>
        <v>15402.362242712219</v>
      </c>
      <c r="L28" s="8">
        <f t="shared" si="25"/>
        <v>21176.388862071421</v>
      </c>
      <c r="M28" s="8">
        <f t="shared" si="25"/>
        <v>27212.185897722455</v>
      </c>
      <c r="N28" s="8">
        <f t="shared" si="25"/>
        <v>33524.404550349936</v>
      </c>
      <c r="O28" s="8">
        <f t="shared" si="25"/>
        <v>40128.411663937492</v>
      </c>
      <c r="P28" s="8">
        <f t="shared" si="25"/>
        <v>47040.326046983282</v>
      </c>
      <c r="Q28" s="8">
        <f t="shared" si="25"/>
        <v>54277.056601805663</v>
      </c>
      <c r="R28" s="8"/>
      <c r="S28" s="8"/>
      <c r="T28" s="8"/>
      <c r="U28" s="8"/>
      <c r="V28" s="8"/>
    </row>
    <row r="29" spans="1:122" s="2" customFormat="1" x14ac:dyDescent="0.15">
      <c r="A29" s="2" t="s">
        <v>13</v>
      </c>
      <c r="B29" s="17">
        <f>B27-B28</f>
        <v>9679</v>
      </c>
      <c r="C29" s="17">
        <f>C27-C28</f>
        <v>6783</v>
      </c>
      <c r="D29" s="17">
        <f>D27-D28</f>
        <v>8656</v>
      </c>
      <c r="E29" s="17">
        <f>E27-E28</f>
        <v>45861</v>
      </c>
      <c r="F29" s="17">
        <f>F27-F28</f>
        <v>16911.801610534476</v>
      </c>
      <c r="G29" s="17">
        <f t="shared" ref="G29:H29" si="26">G27-G28</f>
        <v>18017.877967402834</v>
      </c>
      <c r="H29" s="17">
        <f t="shared" si="26"/>
        <v>19265.079078229413</v>
      </c>
      <c r="I29" s="17">
        <f t="shared" ref="I29:Q29" si="27">I27-I28</f>
        <v>20833.101079122353</v>
      </c>
      <c r="J29" s="17">
        <f t="shared" si="27"/>
        <v>23044.317059962275</v>
      </c>
      <c r="K29" s="17">
        <f t="shared" si="27"/>
        <v>35938.845232995183</v>
      </c>
      <c r="L29" s="17">
        <f t="shared" si="27"/>
        <v>49411.574011499986</v>
      </c>
      <c r="M29" s="17">
        <f t="shared" si="27"/>
        <v>63495.100428019061</v>
      </c>
      <c r="N29" s="17">
        <f t="shared" si="27"/>
        <v>78223.610617483195</v>
      </c>
      <c r="O29" s="17">
        <f t="shared" si="27"/>
        <v>93632.960549187468</v>
      </c>
      <c r="P29" s="17">
        <f t="shared" si="27"/>
        <v>109760.76077629434</v>
      </c>
      <c r="Q29" s="17">
        <f t="shared" si="27"/>
        <v>126646.4654042132</v>
      </c>
      <c r="R29" s="17">
        <f>Q29*($F$2+1)</f>
        <v>124113.53609612894</v>
      </c>
      <c r="S29" s="17">
        <f t="shared" ref="S29:CD29" si="28">R29*($F$2+1)</f>
        <v>121631.26537420636</v>
      </c>
      <c r="T29" s="17">
        <f t="shared" si="28"/>
        <v>119198.64006672223</v>
      </c>
      <c r="U29" s="17">
        <f t="shared" si="28"/>
        <v>116814.66726538779</v>
      </c>
      <c r="V29" s="17">
        <f t="shared" si="28"/>
        <v>114478.37392008003</v>
      </c>
      <c r="W29" s="17">
        <f t="shared" si="28"/>
        <v>112188.80644167843</v>
      </c>
      <c r="X29" s="17">
        <f t="shared" si="28"/>
        <v>109945.03031284486</v>
      </c>
      <c r="Y29" s="17">
        <f t="shared" si="28"/>
        <v>107746.12970658796</v>
      </c>
      <c r="Z29" s="17">
        <f t="shared" si="28"/>
        <v>105591.20711245621</v>
      </c>
      <c r="AA29" s="17">
        <f t="shared" si="28"/>
        <v>103479.38297020708</v>
      </c>
      <c r="AB29" s="17">
        <f t="shared" si="28"/>
        <v>101409.79531080293</v>
      </c>
      <c r="AC29" s="17">
        <f t="shared" si="28"/>
        <v>99381.599404586872</v>
      </c>
      <c r="AD29" s="17">
        <f t="shared" si="28"/>
        <v>97393.967416495128</v>
      </c>
      <c r="AE29" s="17">
        <f t="shared" si="28"/>
        <v>95446.08806816522</v>
      </c>
      <c r="AF29" s="17">
        <f t="shared" si="28"/>
        <v>93537.166306801912</v>
      </c>
      <c r="AG29" s="17">
        <f t="shared" si="28"/>
        <v>91666.42298066587</v>
      </c>
      <c r="AH29" s="17">
        <f t="shared" si="28"/>
        <v>89833.094521052553</v>
      </c>
      <c r="AI29" s="17">
        <f t="shared" si="28"/>
        <v>88036.432630631505</v>
      </c>
      <c r="AJ29" s="17">
        <f t="shared" si="28"/>
        <v>86275.703978018879</v>
      </c>
      <c r="AK29" s="17">
        <f t="shared" si="28"/>
        <v>84550.189898458499</v>
      </c>
      <c r="AL29" s="17">
        <f t="shared" si="28"/>
        <v>82859.186100489329</v>
      </c>
      <c r="AM29" s="17">
        <f t="shared" si="28"/>
        <v>81202.002378479534</v>
      </c>
      <c r="AN29" s="17">
        <f t="shared" si="28"/>
        <v>79577.962330909941</v>
      </c>
      <c r="AO29" s="17">
        <f t="shared" si="28"/>
        <v>77986.403084291742</v>
      </c>
      <c r="AP29" s="17">
        <f t="shared" si="28"/>
        <v>76426.675022605908</v>
      </c>
      <c r="AQ29" s="17">
        <f t="shared" si="28"/>
        <v>74898.14152215379</v>
      </c>
      <c r="AR29" s="17">
        <f t="shared" si="28"/>
        <v>73400.178691710709</v>
      </c>
      <c r="AS29" s="17">
        <f t="shared" si="28"/>
        <v>71932.175117876497</v>
      </c>
      <c r="AT29" s="17">
        <f t="shared" si="28"/>
        <v>70493.531615518965</v>
      </c>
      <c r="AU29" s="17">
        <f t="shared" si="28"/>
        <v>69083.660983208581</v>
      </c>
      <c r="AV29" s="17">
        <f t="shared" si="28"/>
        <v>67701.987763544414</v>
      </c>
      <c r="AW29" s="17">
        <f t="shared" si="28"/>
        <v>66347.948008273524</v>
      </c>
      <c r="AX29" s="17">
        <f t="shared" si="28"/>
        <v>65020.989048108051</v>
      </c>
      <c r="AY29" s="17">
        <f t="shared" si="28"/>
        <v>63720.569267145889</v>
      </c>
      <c r="AZ29" s="17">
        <f t="shared" si="28"/>
        <v>62446.157881802974</v>
      </c>
      <c r="BA29" s="17">
        <f t="shared" si="28"/>
        <v>61197.234724166912</v>
      </c>
      <c r="BB29" s="17">
        <f t="shared" si="28"/>
        <v>59973.290029683572</v>
      </c>
      <c r="BC29" s="17">
        <f t="shared" si="28"/>
        <v>58773.8242290899</v>
      </c>
      <c r="BD29" s="17">
        <f t="shared" si="28"/>
        <v>57598.347744508101</v>
      </c>
      <c r="BE29" s="17">
        <f t="shared" si="28"/>
        <v>56446.380789617935</v>
      </c>
      <c r="BF29" s="17">
        <f t="shared" si="28"/>
        <v>55317.453173825576</v>
      </c>
      <c r="BG29" s="17">
        <f t="shared" si="28"/>
        <v>54211.104110349064</v>
      </c>
      <c r="BH29" s="17">
        <f t="shared" si="28"/>
        <v>53126.882028142085</v>
      </c>
      <c r="BI29" s="17">
        <f t="shared" si="28"/>
        <v>52064.344387579244</v>
      </c>
      <c r="BJ29" s="17">
        <f t="shared" si="28"/>
        <v>51023.057499827657</v>
      </c>
      <c r="BK29" s="17">
        <f t="shared" si="28"/>
        <v>50002.596349831103</v>
      </c>
      <c r="BL29" s="17">
        <f t="shared" si="28"/>
        <v>49002.544422834479</v>
      </c>
      <c r="BM29" s="17">
        <f t="shared" si="28"/>
        <v>48022.493534377791</v>
      </c>
      <c r="BN29" s="17">
        <f t="shared" si="28"/>
        <v>47062.04366369023</v>
      </c>
      <c r="BO29" s="17">
        <f t="shared" si="28"/>
        <v>46120.802790416426</v>
      </c>
      <c r="BP29" s="17">
        <f t="shared" si="28"/>
        <v>45198.386734608095</v>
      </c>
      <c r="BQ29" s="17">
        <f t="shared" si="28"/>
        <v>44294.418999915935</v>
      </c>
      <c r="BR29" s="17">
        <f t="shared" si="28"/>
        <v>43408.530619917619</v>
      </c>
      <c r="BS29" s="17">
        <f t="shared" si="28"/>
        <v>42540.360007519266</v>
      </c>
      <c r="BT29" s="17">
        <f t="shared" si="28"/>
        <v>41689.552807368877</v>
      </c>
      <c r="BU29" s="17">
        <f t="shared" si="28"/>
        <v>40855.7617512215</v>
      </c>
      <c r="BV29" s="17">
        <f t="shared" si="28"/>
        <v>40038.64651619707</v>
      </c>
      <c r="BW29" s="17">
        <f t="shared" si="28"/>
        <v>39237.873585873131</v>
      </c>
      <c r="BX29" s="17">
        <f t="shared" si="28"/>
        <v>38453.116114155666</v>
      </c>
      <c r="BY29" s="17">
        <f t="shared" si="28"/>
        <v>37684.053791872553</v>
      </c>
      <c r="BZ29" s="17">
        <f t="shared" si="28"/>
        <v>36930.372716035105</v>
      </c>
      <c r="CA29" s="17">
        <f t="shared" si="28"/>
        <v>36191.765261714405</v>
      </c>
      <c r="CB29" s="17">
        <f t="shared" si="28"/>
        <v>35467.929956480119</v>
      </c>
      <c r="CC29" s="17">
        <f t="shared" si="28"/>
        <v>34758.571357350513</v>
      </c>
      <c r="CD29" s="17">
        <f t="shared" si="28"/>
        <v>34063.399930203501</v>
      </c>
      <c r="CE29" s="17">
        <f t="shared" ref="CE29:DR29" si="29">CD29*($F$2+1)</f>
        <v>33382.131931599433</v>
      </c>
      <c r="CF29" s="17">
        <f t="shared" si="29"/>
        <v>32714.489292967442</v>
      </c>
      <c r="CG29" s="17">
        <f t="shared" si="29"/>
        <v>32060.199507108093</v>
      </c>
      <c r="CH29" s="17">
        <f t="shared" si="29"/>
        <v>31418.99551696593</v>
      </c>
      <c r="CI29" s="17">
        <f t="shared" si="29"/>
        <v>30790.615606626612</v>
      </c>
      <c r="CJ29" s="17">
        <f t="shared" si="29"/>
        <v>30174.803294494079</v>
      </c>
      <c r="CK29" s="17">
        <f t="shared" si="29"/>
        <v>29571.307228604197</v>
      </c>
      <c r="CL29" s="17">
        <f t="shared" si="29"/>
        <v>28979.881084032113</v>
      </c>
      <c r="CM29" s="17">
        <f t="shared" si="29"/>
        <v>28400.283462351472</v>
      </c>
      <c r="CN29" s="17">
        <f t="shared" si="29"/>
        <v>27832.27779310444</v>
      </c>
      <c r="CO29" s="17">
        <f t="shared" si="29"/>
        <v>27275.632237242349</v>
      </c>
      <c r="CP29" s="17">
        <f t="shared" si="29"/>
        <v>26730.1195924975</v>
      </c>
      <c r="CQ29" s="17">
        <f t="shared" si="29"/>
        <v>26195.517200647548</v>
      </c>
      <c r="CR29" s="17">
        <f t="shared" si="29"/>
        <v>25671.606856634597</v>
      </c>
      <c r="CS29" s="17">
        <f t="shared" si="29"/>
        <v>25158.174719501905</v>
      </c>
      <c r="CT29" s="17">
        <f t="shared" si="29"/>
        <v>24655.011225111866</v>
      </c>
      <c r="CU29" s="17">
        <f t="shared" si="29"/>
        <v>24161.911000609627</v>
      </c>
      <c r="CV29" s="17">
        <f t="shared" si="29"/>
        <v>23678.672780597433</v>
      </c>
      <c r="CW29" s="17">
        <f t="shared" si="29"/>
        <v>23205.099324985484</v>
      </c>
      <c r="CX29" s="17">
        <f t="shared" si="29"/>
        <v>22740.997338485773</v>
      </c>
      <c r="CY29" s="17">
        <f t="shared" si="29"/>
        <v>22286.177391716057</v>
      </c>
      <c r="CZ29" s="17">
        <f t="shared" si="29"/>
        <v>21840.453843881736</v>
      </c>
      <c r="DA29" s="17">
        <f t="shared" si="29"/>
        <v>21403.644767004102</v>
      </c>
      <c r="DB29" s="17">
        <f t="shared" si="29"/>
        <v>20975.571871664019</v>
      </c>
      <c r="DC29" s="17">
        <f t="shared" si="29"/>
        <v>20556.060434230738</v>
      </c>
      <c r="DD29" s="17">
        <f t="shared" si="29"/>
        <v>20144.939225546124</v>
      </c>
      <c r="DE29" s="17">
        <f t="shared" si="29"/>
        <v>19742.040441035202</v>
      </c>
      <c r="DF29" s="17">
        <f t="shared" si="29"/>
        <v>19347.199632214499</v>
      </c>
      <c r="DG29" s="17">
        <f t="shared" si="29"/>
        <v>18960.255639570209</v>
      </c>
      <c r="DH29" s="17">
        <f t="shared" si="29"/>
        <v>18581.050526778803</v>
      </c>
      <c r="DI29" s="17">
        <f t="shared" si="29"/>
        <v>18209.429516243228</v>
      </c>
      <c r="DJ29" s="17">
        <f t="shared" si="29"/>
        <v>17845.240925918362</v>
      </c>
      <c r="DK29" s="17">
        <f t="shared" si="29"/>
        <v>17488.336107399995</v>
      </c>
      <c r="DL29" s="17">
        <f t="shared" si="29"/>
        <v>17138.569385251994</v>
      </c>
      <c r="DM29" s="17">
        <f t="shared" si="29"/>
        <v>16795.797997546953</v>
      </c>
      <c r="DN29" s="17">
        <f t="shared" si="29"/>
        <v>16459.882037596013</v>
      </c>
      <c r="DO29" s="17">
        <f t="shared" si="29"/>
        <v>16130.684396844092</v>
      </c>
      <c r="DP29" s="17">
        <f t="shared" si="29"/>
        <v>15808.070708907209</v>
      </c>
      <c r="DQ29" s="17">
        <f t="shared" si="29"/>
        <v>15491.909294729065</v>
      </c>
      <c r="DR29" s="17">
        <f t="shared" si="29"/>
        <v>15182.071108834483</v>
      </c>
    </row>
    <row r="30" spans="1:122" x14ac:dyDescent="0.15">
      <c r="A30" s="3" t="s">
        <v>14</v>
      </c>
      <c r="B30" s="19">
        <f>B29/B31</f>
        <v>29.958786163089361</v>
      </c>
      <c r="C30" s="19">
        <f>C29/C31</f>
        <v>20.742281201776031</v>
      </c>
      <c r="D30" s="19">
        <f>D29/D31</f>
        <v>26.035917372164782</v>
      </c>
      <c r="E30" s="19">
        <f>E29/E31</f>
        <v>138.2706780171936</v>
      </c>
      <c r="F30" s="20">
        <f t="shared" ref="F30:H30" si="30">F29/F31</f>
        <v>50.988994465468885</v>
      </c>
      <c r="G30" s="20">
        <f t="shared" si="30"/>
        <v>54.323808965871741</v>
      </c>
      <c r="H30" s="20">
        <f t="shared" si="30"/>
        <v>58.084113870208498</v>
      </c>
      <c r="I30" s="20">
        <f t="shared" ref="I30:Q30" si="31">I29/I31</f>
        <v>62.811692100280744</v>
      </c>
      <c r="J30" s="20">
        <f t="shared" si="31"/>
        <v>69.478496856243112</v>
      </c>
      <c r="K30" s="20">
        <f t="shared" si="31"/>
        <v>108.35543266656266</v>
      </c>
      <c r="L30" s="20">
        <f t="shared" si="31"/>
        <v>148.97564031457765</v>
      </c>
      <c r="M30" s="20">
        <f t="shared" si="31"/>
        <v>191.43739968496098</v>
      </c>
      <c r="N30" s="20">
        <f t="shared" si="31"/>
        <v>235.84378179787501</v>
      </c>
      <c r="O30" s="20">
        <f t="shared" si="31"/>
        <v>282.30289221546172</v>
      </c>
      <c r="P30" s="20">
        <f t="shared" si="31"/>
        <v>330.92812656115666</v>
      </c>
      <c r="Q30" s="20">
        <f t="shared" si="31"/>
        <v>381.83843875889346</v>
      </c>
      <c r="R30" s="20"/>
      <c r="S30" s="20"/>
      <c r="T30" s="20"/>
      <c r="U30" s="20"/>
      <c r="V30" s="20"/>
    </row>
    <row r="31" spans="1:122" s="16" customFormat="1" x14ac:dyDescent="0.15">
      <c r="A31" s="16" t="s">
        <v>15</v>
      </c>
      <c r="B31" s="8">
        <f>'Reports RUB'!E21</f>
        <v>323.07717500000001</v>
      </c>
      <c r="C31" s="8">
        <f>'Reports RUB'!I21</f>
        <v>327.01321200000001</v>
      </c>
      <c r="D31" s="8">
        <f>'Reports RUB'!M21</f>
        <v>332.46379899999999</v>
      </c>
      <c r="E31" s="8">
        <f>'Reports RUB'!Q21</f>
        <v>331.67552699999999</v>
      </c>
      <c r="F31" s="8">
        <f t="shared" ref="F31" si="32">E31</f>
        <v>331.67552699999999</v>
      </c>
      <c r="G31" s="8">
        <f t="shared" ref="G31" si="33">F31</f>
        <v>331.67552699999999</v>
      </c>
      <c r="H31" s="8">
        <f t="shared" ref="H31" si="34">G31</f>
        <v>331.67552699999999</v>
      </c>
      <c r="I31" s="8">
        <f t="shared" ref="I31" si="35">H31</f>
        <v>331.67552699999999</v>
      </c>
      <c r="J31" s="8">
        <f t="shared" ref="J31" si="36">I31</f>
        <v>331.67552699999999</v>
      </c>
      <c r="K31" s="8">
        <f t="shared" ref="K31" si="37">J31</f>
        <v>331.67552699999999</v>
      </c>
      <c r="L31" s="8">
        <f t="shared" ref="L31" si="38">K31</f>
        <v>331.67552699999999</v>
      </c>
      <c r="M31" s="8">
        <f t="shared" ref="M31" si="39">L31</f>
        <v>331.67552699999999</v>
      </c>
      <c r="N31" s="8">
        <f t="shared" ref="N31" si="40">M31</f>
        <v>331.67552699999999</v>
      </c>
      <c r="O31" s="8">
        <f t="shared" ref="O31" si="41">N31</f>
        <v>331.67552699999999</v>
      </c>
      <c r="P31" s="8">
        <f t="shared" ref="P31" si="42">O31</f>
        <v>331.67552699999999</v>
      </c>
      <c r="Q31" s="8">
        <f t="shared" ref="Q31" si="43">P31</f>
        <v>331.67552699999999</v>
      </c>
      <c r="R31" s="8"/>
      <c r="S31" s="8"/>
      <c r="T31" s="8"/>
      <c r="U31" s="8"/>
      <c r="V31" s="8"/>
    </row>
    <row r="32" spans="1:122" s="16" customFormat="1" x14ac:dyDescent="0.1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122" s="59" customFormat="1" x14ac:dyDescent="0.15">
      <c r="A33" s="59" t="s">
        <v>106</v>
      </c>
      <c r="B33" s="4">
        <v>72.7</v>
      </c>
      <c r="C33" s="4">
        <v>60.93</v>
      </c>
      <c r="D33" s="4">
        <v>57.61</v>
      </c>
      <c r="E33" s="4">
        <v>69.28</v>
      </c>
      <c r="F33" s="4">
        <v>62.03</v>
      </c>
      <c r="G33" s="4">
        <v>73.91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122" s="16" customFormat="1" x14ac:dyDescent="0.1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122" s="64" customFormat="1" x14ac:dyDescent="0.15">
      <c r="A35" s="64" t="s">
        <v>104</v>
      </c>
      <c r="B35" s="17">
        <f>B19/B33</f>
        <v>822.44841815680877</v>
      </c>
      <c r="C35" s="17">
        <f>C19/C33</f>
        <v>1246.1020843591007</v>
      </c>
      <c r="D35" s="17">
        <f>D19/D33</f>
        <v>1632.5985072036106</v>
      </c>
      <c r="E35" s="17">
        <f>E19/E33</f>
        <v>1842.6241339491917</v>
      </c>
      <c r="F35" s="17">
        <f>F19/F33</f>
        <v>2511.1768499113332</v>
      </c>
      <c r="G35" s="17">
        <f>G19/G33</f>
        <v>2587.674874847788</v>
      </c>
      <c r="H35" s="50">
        <f t="shared" ref="G35:Q35" si="44">H19/$C$9</f>
        <v>3138.570428893905</v>
      </c>
      <c r="I35" s="50">
        <f t="shared" si="44"/>
        <v>3905.3927194263706</v>
      </c>
      <c r="J35" s="50">
        <f t="shared" si="44"/>
        <v>4893.9694918337527</v>
      </c>
      <c r="K35" s="50">
        <f t="shared" si="44"/>
        <v>5138.6679664254407</v>
      </c>
      <c r="L35" s="50">
        <f t="shared" si="44"/>
        <v>5395.6013647467134</v>
      </c>
      <c r="M35" s="50">
        <f t="shared" si="44"/>
        <v>5665.3814329840488</v>
      </c>
      <c r="N35" s="50">
        <f t="shared" si="44"/>
        <v>5948.6505046332522</v>
      </c>
      <c r="O35" s="50">
        <f t="shared" si="44"/>
        <v>6246.0830298649153</v>
      </c>
      <c r="P35" s="50">
        <f t="shared" si="44"/>
        <v>6558.3871813581609</v>
      </c>
      <c r="Q35" s="50">
        <f t="shared" si="44"/>
        <v>6886.3065404260688</v>
      </c>
      <c r="R35" s="18"/>
      <c r="S35" s="18"/>
      <c r="T35" s="18"/>
      <c r="U35" s="18"/>
      <c r="V35" s="18"/>
    </row>
    <row r="36" spans="1:122" s="64" customFormat="1" x14ac:dyDescent="0.15">
      <c r="A36" s="64" t="s">
        <v>105</v>
      </c>
      <c r="B36" s="17">
        <f>B29/$C$9</f>
        <v>128.52210861771346</v>
      </c>
      <c r="C36" s="17">
        <f t="shared" ref="C36:E36" si="45">C29/$C$9</f>
        <v>90.067720090293449</v>
      </c>
      <c r="D36" s="17">
        <f t="shared" si="45"/>
        <v>114.93825521179126</v>
      </c>
      <c r="E36" s="17">
        <f t="shared" si="45"/>
        <v>608.96295312707468</v>
      </c>
      <c r="F36" s="17">
        <f>F29/$C$9</f>
        <v>224.562496488308</v>
      </c>
      <c r="G36" s="17">
        <f t="shared" ref="G36:Q36" si="46">G29/$C$9</f>
        <v>239.24947506842165</v>
      </c>
      <c r="H36" s="17">
        <f t="shared" si="46"/>
        <v>255.81037150749452</v>
      </c>
      <c r="I36" s="17">
        <f t="shared" si="46"/>
        <v>276.63127179819878</v>
      </c>
      <c r="J36" s="17">
        <f t="shared" si="46"/>
        <v>305.99279059835715</v>
      </c>
      <c r="K36" s="17">
        <f t="shared" si="46"/>
        <v>477.21212631782208</v>
      </c>
      <c r="L36" s="17">
        <f t="shared" si="46"/>
        <v>656.10906933342164</v>
      </c>
      <c r="M36" s="17">
        <f t="shared" si="46"/>
        <v>843.11645768183587</v>
      </c>
      <c r="N36" s="17">
        <f t="shared" si="46"/>
        <v>1038.6882302148877</v>
      </c>
      <c r="O36" s="17">
        <f t="shared" si="46"/>
        <v>1243.3004985949735</v>
      </c>
      <c r="P36" s="17">
        <f t="shared" si="46"/>
        <v>1457.4526726370248</v>
      </c>
      <c r="Q36" s="17">
        <f t="shared" si="46"/>
        <v>1681.6686416706041</v>
      </c>
      <c r="R36" s="17">
        <f>Q36*($F$2+1)</f>
        <v>1648.035268837192</v>
      </c>
      <c r="S36" s="17">
        <f t="shared" ref="S36:CD36" si="47">R36*($F$2+1)</f>
        <v>1615.0745634604482</v>
      </c>
      <c r="T36" s="17">
        <f t="shared" si="47"/>
        <v>1582.7730721912392</v>
      </c>
      <c r="U36" s="17">
        <f t="shared" si="47"/>
        <v>1551.1176107474143</v>
      </c>
      <c r="V36" s="17">
        <f t="shared" si="47"/>
        <v>1520.095258532466</v>
      </c>
      <c r="W36" s="17">
        <f t="shared" si="47"/>
        <v>1489.6933533618167</v>
      </c>
      <c r="X36" s="17">
        <f t="shared" si="47"/>
        <v>1459.8994862945804</v>
      </c>
      <c r="Y36" s="17">
        <f t="shared" si="47"/>
        <v>1430.7014965686888</v>
      </c>
      <c r="Z36" s="17">
        <f t="shared" si="47"/>
        <v>1402.0874666373149</v>
      </c>
      <c r="AA36" s="17">
        <f t="shared" si="47"/>
        <v>1374.0457173045686</v>
      </c>
      <c r="AB36" s="17">
        <f t="shared" si="47"/>
        <v>1346.5648029584772</v>
      </c>
      <c r="AC36" s="17">
        <f t="shared" si="47"/>
        <v>1319.6335068993076</v>
      </c>
      <c r="AD36" s="17">
        <f t="shared" si="47"/>
        <v>1293.2408367613214</v>
      </c>
      <c r="AE36" s="17">
        <f t="shared" si="47"/>
        <v>1267.3760200260949</v>
      </c>
      <c r="AF36" s="17">
        <f t="shared" si="47"/>
        <v>1242.028499625573</v>
      </c>
      <c r="AG36" s="17">
        <f t="shared" si="47"/>
        <v>1217.1879296330615</v>
      </c>
      <c r="AH36" s="17">
        <f t="shared" si="47"/>
        <v>1192.8441710404002</v>
      </c>
      <c r="AI36" s="17">
        <f t="shared" si="47"/>
        <v>1168.9872876195921</v>
      </c>
      <c r="AJ36" s="17">
        <f t="shared" si="47"/>
        <v>1145.6075418672001</v>
      </c>
      <c r="AK36" s="17">
        <f t="shared" si="47"/>
        <v>1122.6953910298562</v>
      </c>
      <c r="AL36" s="17">
        <f t="shared" si="47"/>
        <v>1100.2414832092591</v>
      </c>
      <c r="AM36" s="17">
        <f t="shared" si="47"/>
        <v>1078.2366535450738</v>
      </c>
      <c r="AN36" s="17">
        <f t="shared" si="47"/>
        <v>1056.6719204741723</v>
      </c>
      <c r="AO36" s="17">
        <f t="shared" si="47"/>
        <v>1035.5384820646889</v>
      </c>
      <c r="AP36" s="17">
        <f t="shared" si="47"/>
        <v>1014.827712423395</v>
      </c>
      <c r="AQ36" s="17">
        <f t="shared" si="47"/>
        <v>994.5311581749271</v>
      </c>
      <c r="AR36" s="17">
        <f t="shared" si="47"/>
        <v>974.6405350114286</v>
      </c>
      <c r="AS36" s="17">
        <f t="shared" si="47"/>
        <v>955.14772431120002</v>
      </c>
      <c r="AT36" s="17">
        <f t="shared" si="47"/>
        <v>936.04476982497602</v>
      </c>
      <c r="AU36" s="17">
        <f t="shared" si="47"/>
        <v>917.32387442847653</v>
      </c>
      <c r="AV36" s="17">
        <f t="shared" si="47"/>
        <v>898.97739693990695</v>
      </c>
      <c r="AW36" s="17">
        <f t="shared" si="47"/>
        <v>880.99784900110876</v>
      </c>
      <c r="AX36" s="17">
        <f t="shared" si="47"/>
        <v>863.37789202108661</v>
      </c>
      <c r="AY36" s="17">
        <f t="shared" si="47"/>
        <v>846.11033418066484</v>
      </c>
      <c r="AZ36" s="17">
        <f t="shared" si="47"/>
        <v>829.18812749705148</v>
      </c>
      <c r="BA36" s="17">
        <f t="shared" si="47"/>
        <v>812.60436494711041</v>
      </c>
      <c r="BB36" s="17">
        <f t="shared" si="47"/>
        <v>796.35227764816818</v>
      </c>
      <c r="BC36" s="17">
        <f t="shared" si="47"/>
        <v>780.42523209520482</v>
      </c>
      <c r="BD36" s="17">
        <f t="shared" si="47"/>
        <v>764.8167274533007</v>
      </c>
      <c r="BE36" s="17">
        <f t="shared" si="47"/>
        <v>749.52039290423465</v>
      </c>
      <c r="BF36" s="17">
        <f t="shared" si="47"/>
        <v>734.52998504614993</v>
      </c>
      <c r="BG36" s="17">
        <f t="shared" si="47"/>
        <v>719.8393853452269</v>
      </c>
      <c r="BH36" s="17">
        <f t="shared" si="47"/>
        <v>705.44259763832235</v>
      </c>
      <c r="BI36" s="17">
        <f t="shared" si="47"/>
        <v>691.33374568555587</v>
      </c>
      <c r="BJ36" s="17">
        <f t="shared" si="47"/>
        <v>677.50707077184472</v>
      </c>
      <c r="BK36" s="17">
        <f t="shared" si="47"/>
        <v>663.95692935640784</v>
      </c>
      <c r="BL36" s="17">
        <f t="shared" si="47"/>
        <v>650.67779076927968</v>
      </c>
      <c r="BM36" s="17">
        <f t="shared" si="47"/>
        <v>637.66423495389404</v>
      </c>
      <c r="BN36" s="17">
        <f t="shared" si="47"/>
        <v>624.91095025481616</v>
      </c>
      <c r="BO36" s="17">
        <f t="shared" si="47"/>
        <v>612.41273124971985</v>
      </c>
      <c r="BP36" s="17">
        <f t="shared" si="47"/>
        <v>600.16447662472547</v>
      </c>
      <c r="BQ36" s="17">
        <f t="shared" si="47"/>
        <v>588.16118709223099</v>
      </c>
      <c r="BR36" s="17">
        <f t="shared" si="47"/>
        <v>576.39796335038636</v>
      </c>
      <c r="BS36" s="17">
        <f t="shared" si="47"/>
        <v>564.8700040833786</v>
      </c>
      <c r="BT36" s="17">
        <f t="shared" si="47"/>
        <v>553.57260400171106</v>
      </c>
      <c r="BU36" s="17">
        <f t="shared" si="47"/>
        <v>542.50115192167686</v>
      </c>
      <c r="BV36" s="17">
        <f t="shared" si="47"/>
        <v>531.65112888324336</v>
      </c>
      <c r="BW36" s="17">
        <f t="shared" si="47"/>
        <v>521.0181063055785</v>
      </c>
      <c r="BX36" s="17">
        <f t="shared" si="47"/>
        <v>510.59774417946693</v>
      </c>
      <c r="BY36" s="17">
        <f t="shared" si="47"/>
        <v>500.3857892958776</v>
      </c>
      <c r="BZ36" s="17">
        <f t="shared" si="47"/>
        <v>490.37807350996002</v>
      </c>
      <c r="CA36" s="17">
        <f t="shared" si="47"/>
        <v>480.57051203976079</v>
      </c>
      <c r="CB36" s="17">
        <f t="shared" si="47"/>
        <v>470.95910179896555</v>
      </c>
      <c r="CC36" s="17">
        <f t="shared" si="47"/>
        <v>461.53991976298624</v>
      </c>
      <c r="CD36" s="17">
        <f t="shared" si="47"/>
        <v>452.3091213677265</v>
      </c>
      <c r="CE36" s="17">
        <f t="shared" ref="CE36:DR36" si="48">CD36*($F$2+1)</f>
        <v>443.26293894037195</v>
      </c>
      <c r="CF36" s="17">
        <f t="shared" si="48"/>
        <v>434.39768016156449</v>
      </c>
      <c r="CG36" s="17">
        <f t="shared" si="48"/>
        <v>425.70972655833322</v>
      </c>
      <c r="CH36" s="17">
        <f t="shared" si="48"/>
        <v>417.19553202716656</v>
      </c>
      <c r="CI36" s="17">
        <f t="shared" si="48"/>
        <v>408.85162138662321</v>
      </c>
      <c r="CJ36" s="17">
        <f t="shared" si="48"/>
        <v>400.67458895889075</v>
      </c>
      <c r="CK36" s="17">
        <f t="shared" si="48"/>
        <v>392.66109717971295</v>
      </c>
      <c r="CL36" s="17">
        <f t="shared" si="48"/>
        <v>384.80787523611866</v>
      </c>
      <c r="CM36" s="17">
        <f t="shared" si="48"/>
        <v>377.11171773139625</v>
      </c>
      <c r="CN36" s="17">
        <f t="shared" si="48"/>
        <v>369.56948337676835</v>
      </c>
      <c r="CO36" s="17">
        <f t="shared" si="48"/>
        <v>362.178093709233</v>
      </c>
      <c r="CP36" s="17">
        <f t="shared" si="48"/>
        <v>354.93453183504835</v>
      </c>
      <c r="CQ36" s="17">
        <f t="shared" si="48"/>
        <v>347.8358411983474</v>
      </c>
      <c r="CR36" s="17">
        <f t="shared" si="48"/>
        <v>340.87912437438047</v>
      </c>
      <c r="CS36" s="17">
        <f t="shared" si="48"/>
        <v>334.06154188689283</v>
      </c>
      <c r="CT36" s="17">
        <f t="shared" si="48"/>
        <v>327.38031104915495</v>
      </c>
      <c r="CU36" s="17">
        <f t="shared" si="48"/>
        <v>320.83270482817187</v>
      </c>
      <c r="CV36" s="17">
        <f t="shared" si="48"/>
        <v>314.41605073160844</v>
      </c>
      <c r="CW36" s="17">
        <f t="shared" si="48"/>
        <v>308.12772971697626</v>
      </c>
      <c r="CX36" s="17">
        <f t="shared" si="48"/>
        <v>301.96517512263671</v>
      </c>
      <c r="CY36" s="17">
        <f t="shared" si="48"/>
        <v>295.92587162018395</v>
      </c>
      <c r="CZ36" s="17">
        <f t="shared" si="48"/>
        <v>290.00735418778027</v>
      </c>
      <c r="DA36" s="17">
        <f t="shared" si="48"/>
        <v>284.20720710402463</v>
      </c>
      <c r="DB36" s="17">
        <f t="shared" si="48"/>
        <v>278.52306296194416</v>
      </c>
      <c r="DC36" s="17">
        <f t="shared" si="48"/>
        <v>272.95260170270529</v>
      </c>
      <c r="DD36" s="17">
        <f t="shared" si="48"/>
        <v>267.49354966865116</v>
      </c>
      <c r="DE36" s="17">
        <f t="shared" si="48"/>
        <v>262.14367867527812</v>
      </c>
      <c r="DF36" s="17">
        <f t="shared" si="48"/>
        <v>256.90080510177256</v>
      </c>
      <c r="DG36" s="17">
        <f t="shared" si="48"/>
        <v>251.7627889997371</v>
      </c>
      <c r="DH36" s="17">
        <f t="shared" si="48"/>
        <v>246.72753321974236</v>
      </c>
      <c r="DI36" s="17">
        <f t="shared" si="48"/>
        <v>241.79298255534749</v>
      </c>
      <c r="DJ36" s="17">
        <f t="shared" si="48"/>
        <v>236.95712290424055</v>
      </c>
      <c r="DK36" s="17">
        <f t="shared" si="48"/>
        <v>232.21798044615574</v>
      </c>
      <c r="DL36" s="17">
        <f t="shared" si="48"/>
        <v>227.57362083723262</v>
      </c>
      <c r="DM36" s="17">
        <f t="shared" si="48"/>
        <v>223.02214842048798</v>
      </c>
      <c r="DN36" s="17">
        <f t="shared" si="48"/>
        <v>218.56170545207823</v>
      </c>
      <c r="DO36" s="17">
        <f t="shared" si="48"/>
        <v>214.19047134303665</v>
      </c>
      <c r="DP36" s="17">
        <f t="shared" si="48"/>
        <v>209.90666191617592</v>
      </c>
      <c r="DQ36" s="17">
        <f t="shared" si="48"/>
        <v>205.7085286778524</v>
      </c>
      <c r="DR36" s="17">
        <f t="shared" si="48"/>
        <v>201.59435810429534</v>
      </c>
    </row>
    <row r="37" spans="1:122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122" x14ac:dyDescent="0.15">
      <c r="A38" s="3" t="s">
        <v>17</v>
      </c>
      <c r="B38" s="23">
        <f t="shared" ref="B38:Q38" si="49">IFERROR(B21/B19,0)</f>
        <v>0.71885871019534386</v>
      </c>
      <c r="C38" s="23">
        <f t="shared" si="49"/>
        <v>0.73982219295357265</v>
      </c>
      <c r="D38" s="23">
        <f t="shared" si="49"/>
        <v>0.74549726752716527</v>
      </c>
      <c r="E38" s="23">
        <f t="shared" si="49"/>
        <v>0.71885599692927138</v>
      </c>
      <c r="F38" s="23">
        <f t="shared" si="49"/>
        <v>0.71885599692927138</v>
      </c>
      <c r="G38" s="23">
        <f t="shared" si="49"/>
        <v>0.71885599692927138</v>
      </c>
      <c r="H38" s="23">
        <f t="shared" si="49"/>
        <v>0.71885599692927138</v>
      </c>
      <c r="I38" s="23">
        <f t="shared" si="49"/>
        <v>0.71885599692927138</v>
      </c>
      <c r="J38" s="23">
        <f t="shared" si="49"/>
        <v>0.71885599692927149</v>
      </c>
      <c r="K38" s="23">
        <f t="shared" si="49"/>
        <v>0.71885599692927149</v>
      </c>
      <c r="L38" s="23">
        <f t="shared" si="49"/>
        <v>0.71885599692927149</v>
      </c>
      <c r="M38" s="23">
        <f t="shared" si="49"/>
        <v>0.71885599692927149</v>
      </c>
      <c r="N38" s="23">
        <f t="shared" si="49"/>
        <v>0.71885599692927149</v>
      </c>
      <c r="O38" s="23">
        <f t="shared" si="49"/>
        <v>0.71885599692927149</v>
      </c>
      <c r="P38" s="23">
        <f t="shared" si="49"/>
        <v>0.71885599692927149</v>
      </c>
      <c r="Q38" s="23">
        <f t="shared" si="49"/>
        <v>0.71885599692927149</v>
      </c>
      <c r="R38" s="23"/>
      <c r="S38" s="23"/>
      <c r="T38" s="23"/>
      <c r="U38" s="23"/>
      <c r="V38" s="23"/>
    </row>
    <row r="39" spans="1:122" x14ac:dyDescent="0.15">
      <c r="A39" s="3" t="s">
        <v>18</v>
      </c>
      <c r="B39" s="22">
        <f t="shared" ref="B39:Q39" si="50">IFERROR(B25/B19,0)</f>
        <v>0.16043952368209793</v>
      </c>
      <c r="C39" s="22">
        <f t="shared" si="50"/>
        <v>0.16920645373724069</v>
      </c>
      <c r="D39" s="22">
        <f t="shared" si="50"/>
        <v>0.13860122908116615</v>
      </c>
      <c r="E39" s="22">
        <f t="shared" si="50"/>
        <v>0.1634144621916542</v>
      </c>
      <c r="F39" s="22">
        <f t="shared" si="50"/>
        <v>0.14158257223374604</v>
      </c>
      <c r="G39" s="22">
        <f t="shared" si="50"/>
        <v>0.12180567067644824</v>
      </c>
      <c r="H39" s="22">
        <f t="shared" si="50"/>
        <v>0.10457229568608918</v>
      </c>
      <c r="I39" s="22">
        <f t="shared" si="50"/>
        <v>9.0345703009355474E-2</v>
      </c>
      <c r="J39" s="22">
        <f t="shared" si="50"/>
        <v>7.9536223680002807E-2</v>
      </c>
      <c r="K39" s="22">
        <f t="shared" si="50"/>
        <v>0.1221575418966208</v>
      </c>
      <c r="L39" s="22">
        <f t="shared" si="50"/>
        <v>0.1619374388987975</v>
      </c>
      <c r="M39" s="22">
        <f t="shared" si="50"/>
        <v>0.19906534276749588</v>
      </c>
      <c r="N39" s="22">
        <f t="shared" si="50"/>
        <v>0.23371805304494753</v>
      </c>
      <c r="O39" s="22">
        <f t="shared" si="50"/>
        <v>0.26606058263723587</v>
      </c>
      <c r="P39" s="22">
        <f t="shared" si="50"/>
        <v>0.29624694359003828</v>
      </c>
      <c r="Q39" s="22">
        <f t="shared" si="50"/>
        <v>0.32442088047932044</v>
      </c>
      <c r="R39" s="22"/>
      <c r="S39" s="22"/>
      <c r="T39" s="22"/>
      <c r="U39" s="22"/>
      <c r="V39" s="22"/>
    </row>
    <row r="40" spans="1:122" x14ac:dyDescent="0.15">
      <c r="A40" s="3" t="s">
        <v>19</v>
      </c>
      <c r="B40" s="22">
        <f t="shared" ref="B40:Q40" si="51">IFERROR(B28/B27,0)</f>
        <v>0.28809944101206236</v>
      </c>
      <c r="C40" s="22">
        <f t="shared" si="51"/>
        <v>0.38930404249572342</v>
      </c>
      <c r="D40" s="22">
        <f t="shared" si="51"/>
        <v>0.36268590781917243</v>
      </c>
      <c r="E40" s="22">
        <f>IFERROR(E28/E27,0)</f>
        <v>0.15795754994124558</v>
      </c>
      <c r="F40" s="22">
        <f t="shared" si="51"/>
        <v>0.3</v>
      </c>
      <c r="G40" s="22">
        <f t="shared" si="51"/>
        <v>0.3</v>
      </c>
      <c r="H40" s="22">
        <f t="shared" si="51"/>
        <v>0.29999999999999993</v>
      </c>
      <c r="I40" s="22">
        <f t="shared" si="51"/>
        <v>0.3</v>
      </c>
      <c r="J40" s="22">
        <f t="shared" si="51"/>
        <v>0.3</v>
      </c>
      <c r="K40" s="22">
        <f t="shared" si="51"/>
        <v>0.3</v>
      </c>
      <c r="L40" s="22">
        <f t="shared" si="51"/>
        <v>0.3</v>
      </c>
      <c r="M40" s="22">
        <f t="shared" si="51"/>
        <v>0.3</v>
      </c>
      <c r="N40" s="22">
        <f t="shared" si="51"/>
        <v>0.3</v>
      </c>
      <c r="O40" s="22">
        <f t="shared" si="51"/>
        <v>0.3</v>
      </c>
      <c r="P40" s="22">
        <f t="shared" si="51"/>
        <v>0.3</v>
      </c>
      <c r="Q40" s="22">
        <f t="shared" si="51"/>
        <v>0.3</v>
      </c>
      <c r="R40" s="22"/>
      <c r="S40" s="22"/>
      <c r="T40" s="22"/>
      <c r="U40" s="22"/>
      <c r="V40" s="22"/>
    </row>
    <row r="41" spans="1:122" x14ac:dyDescent="0.1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122" x14ac:dyDescent="0.15">
      <c r="A42" s="2" t="s">
        <v>16</v>
      </c>
      <c r="B42" s="12"/>
      <c r="C42" s="21">
        <f t="shared" ref="C42:Q42" si="52">C19/B19-1</f>
        <v>0.26981870484345727</v>
      </c>
      <c r="D42" s="21">
        <f t="shared" si="52"/>
        <v>0.23877510701350024</v>
      </c>
      <c r="E42" s="21">
        <f t="shared" si="52"/>
        <v>0.35727348119165581</v>
      </c>
      <c r="F42" s="21">
        <f t="shared" si="52"/>
        <v>0.22020962422742185</v>
      </c>
      <c r="G42" s="21">
        <f t="shared" si="52"/>
        <v>0.22781753411958672</v>
      </c>
      <c r="H42" s="21">
        <f t="shared" si="52"/>
        <v>0.23586665554713471</v>
      </c>
      <c r="I42" s="21">
        <f t="shared" si="52"/>
        <v>0.24432215491264575</v>
      </c>
      <c r="J42" s="21">
        <f t="shared" si="52"/>
        <v>0.25313120687964674</v>
      </c>
      <c r="K42" s="21">
        <f t="shared" si="52"/>
        <v>5.0000000000000044E-2</v>
      </c>
      <c r="L42" s="21">
        <f t="shared" si="52"/>
        <v>5.0000000000000044E-2</v>
      </c>
      <c r="M42" s="21">
        <f t="shared" si="52"/>
        <v>5.0000000000000044E-2</v>
      </c>
      <c r="N42" s="21">
        <f t="shared" si="52"/>
        <v>5.0000000000000044E-2</v>
      </c>
      <c r="O42" s="21">
        <f t="shared" si="52"/>
        <v>5.0000000000000044E-2</v>
      </c>
      <c r="P42" s="21">
        <f t="shared" si="52"/>
        <v>5.0000000000000044E-2</v>
      </c>
      <c r="Q42" s="21">
        <f t="shared" si="52"/>
        <v>5.0000000000000044E-2</v>
      </c>
      <c r="R42" s="21"/>
      <c r="S42" s="21"/>
      <c r="T42" s="21"/>
      <c r="U42" s="21"/>
      <c r="V42" s="21"/>
    </row>
    <row r="43" spans="1:122" x14ac:dyDescent="0.15">
      <c r="A43" s="3" t="s">
        <v>56</v>
      </c>
      <c r="B43" s="6"/>
      <c r="C43" s="22">
        <f t="shared" ref="C43:Q43" si="53">C22/B22-1</f>
        <v>0.17964384174055592</v>
      </c>
      <c r="D43" s="22">
        <f t="shared" si="53"/>
        <v>0.18500505305709947</v>
      </c>
      <c r="E43" s="22">
        <f t="shared" si="53"/>
        <v>0.20297425510367262</v>
      </c>
      <c r="F43" s="22">
        <f t="shared" si="53"/>
        <v>0.19999999999999996</v>
      </c>
      <c r="G43" s="22">
        <f t="shared" si="53"/>
        <v>0.19999999999999996</v>
      </c>
      <c r="H43" s="22">
        <f t="shared" si="53"/>
        <v>0.19999999999999996</v>
      </c>
      <c r="I43" s="22">
        <f t="shared" si="53"/>
        <v>0.19999999999999996</v>
      </c>
      <c r="J43" s="22">
        <f t="shared" si="53"/>
        <v>0.19999999999999996</v>
      </c>
      <c r="K43" s="22">
        <f t="shared" si="53"/>
        <v>-2.0000000000000018E-2</v>
      </c>
      <c r="L43" s="22">
        <f t="shared" si="53"/>
        <v>-2.0000000000000018E-2</v>
      </c>
      <c r="M43" s="22">
        <f t="shared" si="53"/>
        <v>-2.0000000000000018E-2</v>
      </c>
      <c r="N43" s="22">
        <f t="shared" si="53"/>
        <v>-2.0000000000000018E-2</v>
      </c>
      <c r="O43" s="22">
        <f t="shared" si="53"/>
        <v>-2.0000000000000018E-2</v>
      </c>
      <c r="P43" s="22">
        <f t="shared" si="53"/>
        <v>-2.0000000000000018E-2</v>
      </c>
      <c r="Q43" s="22">
        <f t="shared" si="53"/>
        <v>-2.0000000000000018E-2</v>
      </c>
      <c r="R43" s="22"/>
      <c r="S43" s="22"/>
      <c r="T43" s="22"/>
      <c r="U43" s="22"/>
      <c r="V43" s="22"/>
    </row>
    <row r="44" spans="1:122" x14ac:dyDescent="0.15">
      <c r="A44" s="3" t="s">
        <v>107</v>
      </c>
      <c r="B44" s="6"/>
      <c r="C44" s="22">
        <f t="shared" ref="C44:Q44" si="54">C23/B23-1</f>
        <v>0.37680288461538458</v>
      </c>
      <c r="D44" s="22">
        <f t="shared" si="54"/>
        <v>0.39386003200931174</v>
      </c>
      <c r="E44" s="22">
        <f t="shared" si="54"/>
        <v>0.26140396659707732</v>
      </c>
      <c r="F44" s="22">
        <f t="shared" si="54"/>
        <v>0.30000000000000004</v>
      </c>
      <c r="G44" s="22">
        <f t="shared" si="54"/>
        <v>0.30000000000000004</v>
      </c>
      <c r="H44" s="22">
        <f t="shared" si="54"/>
        <v>0.30000000000000004</v>
      </c>
      <c r="I44" s="22">
        <f t="shared" si="54"/>
        <v>0.30000000000000004</v>
      </c>
      <c r="J44" s="22">
        <f t="shared" si="54"/>
        <v>0.30000000000000004</v>
      </c>
      <c r="K44" s="22">
        <f t="shared" si="54"/>
        <v>-2.0000000000000018E-2</v>
      </c>
      <c r="L44" s="22">
        <f t="shared" si="54"/>
        <v>-1.9999999999999907E-2</v>
      </c>
      <c r="M44" s="22">
        <f t="shared" si="54"/>
        <v>-2.0000000000000018E-2</v>
      </c>
      <c r="N44" s="22">
        <f t="shared" si="54"/>
        <v>-2.0000000000000018E-2</v>
      </c>
      <c r="O44" s="22">
        <f t="shared" si="54"/>
        <v>-2.0000000000000129E-2</v>
      </c>
      <c r="P44" s="22">
        <f t="shared" si="54"/>
        <v>-2.0000000000000018E-2</v>
      </c>
      <c r="Q44" s="22">
        <f t="shared" si="54"/>
        <v>-2.0000000000000018E-2</v>
      </c>
      <c r="R44" s="22"/>
      <c r="S44" s="22"/>
      <c r="T44" s="22"/>
      <c r="U44" s="22"/>
      <c r="V44" s="22"/>
    </row>
    <row r="45" spans="1:122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122" x14ac:dyDescent="0.15">
      <c r="A46" s="2" t="s">
        <v>31</v>
      </c>
      <c r="B46" s="6"/>
      <c r="C46" s="6"/>
      <c r="D46" s="17">
        <f>D47-D48</f>
        <v>54874</v>
      </c>
      <c r="E46" s="17">
        <f>E47-E48</f>
        <v>105282</v>
      </c>
      <c r="F46" s="50">
        <f t="shared" ref="F46:Q46" si="55">E46+F29</f>
        <v>122193.80161053447</v>
      </c>
      <c r="G46" s="50">
        <f t="shared" si="55"/>
        <v>140211.67957793729</v>
      </c>
      <c r="H46" s="50">
        <f t="shared" si="55"/>
        <v>159476.7586561667</v>
      </c>
      <c r="I46" s="50">
        <f t="shared" si="55"/>
        <v>180309.85973528906</v>
      </c>
      <c r="J46" s="50">
        <f t="shared" si="55"/>
        <v>203354.17679525135</v>
      </c>
      <c r="K46" s="50">
        <f t="shared" si="55"/>
        <v>239293.02202824655</v>
      </c>
      <c r="L46" s="50">
        <f t="shared" si="55"/>
        <v>288704.59603974654</v>
      </c>
      <c r="M46" s="50">
        <f t="shared" si="55"/>
        <v>352199.69646776561</v>
      </c>
      <c r="N46" s="50">
        <f t="shared" si="55"/>
        <v>430423.30708524882</v>
      </c>
      <c r="O46" s="50">
        <f t="shared" si="55"/>
        <v>524056.26763443626</v>
      </c>
      <c r="P46" s="50">
        <f t="shared" si="55"/>
        <v>633817.02841073065</v>
      </c>
      <c r="Q46" s="50">
        <f t="shared" si="55"/>
        <v>760463.49381494382</v>
      </c>
      <c r="R46" s="18"/>
      <c r="S46" s="18"/>
      <c r="T46" s="18"/>
      <c r="U46" s="18"/>
      <c r="V46" s="18"/>
    </row>
    <row r="47" spans="1:122" x14ac:dyDescent="0.15">
      <c r="A47" s="3" t="s">
        <v>32</v>
      </c>
      <c r="B47" s="6"/>
      <c r="C47" s="6"/>
      <c r="D47" s="52">
        <f>'Reports RUB'!M32</f>
        <v>72708</v>
      </c>
      <c r="E47" s="52">
        <f>'Reports RUB'!Q32</f>
        <v>105282</v>
      </c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8"/>
      <c r="S47" s="8"/>
      <c r="T47" s="8"/>
      <c r="U47" s="8"/>
      <c r="V47" s="8"/>
    </row>
    <row r="48" spans="1:122" x14ac:dyDescent="0.15">
      <c r="A48" s="3" t="s">
        <v>33</v>
      </c>
      <c r="B48" s="6"/>
      <c r="C48" s="6"/>
      <c r="D48" s="52">
        <f>'Reports RUB'!M33</f>
        <v>17834</v>
      </c>
      <c r="E48" s="52">
        <f>'Reports RUB'!Q33</f>
        <v>0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8"/>
      <c r="S48" s="8"/>
      <c r="T48" s="8"/>
      <c r="U48" s="8"/>
      <c r="V48" s="8"/>
    </row>
    <row r="49" spans="1:122" x14ac:dyDescent="0.15">
      <c r="B49" s="6"/>
      <c r="C49" s="6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5"/>
      <c r="V49" s="25"/>
    </row>
    <row r="50" spans="1:122" x14ac:dyDescent="0.15">
      <c r="A50" s="3" t="s">
        <v>70</v>
      </c>
      <c r="B50" s="6"/>
      <c r="C50" s="6"/>
      <c r="D50" s="52">
        <f>'Reports RUB'!M35</f>
        <v>14351</v>
      </c>
      <c r="E50" s="52">
        <f>'Reports RUB'!Q35</f>
        <v>65615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</row>
    <row r="51" spans="1:122" x14ac:dyDescent="0.15">
      <c r="A51" s="3" t="s">
        <v>71</v>
      </c>
      <c r="B51" s="6"/>
      <c r="C51" s="6"/>
      <c r="D51" s="52">
        <f>'Reports RUB'!M36</f>
        <v>130544</v>
      </c>
      <c r="E51" s="52">
        <f>'Reports RUB'!Q36</f>
        <v>243106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</row>
    <row r="52" spans="1:122" x14ac:dyDescent="0.15">
      <c r="A52" s="3" t="s">
        <v>72</v>
      </c>
      <c r="B52" s="6"/>
      <c r="C52" s="6"/>
      <c r="D52" s="52">
        <f>'Reports RUB'!M37</f>
        <v>47718</v>
      </c>
      <c r="E52" s="52">
        <f>'Reports RUB'!Q37</f>
        <v>38658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</row>
    <row r="53" spans="1:122" x14ac:dyDescent="0.15">
      <c r="B53" s="6"/>
      <c r="C53" s="6"/>
    </row>
    <row r="54" spans="1:122" x14ac:dyDescent="0.15">
      <c r="A54" s="3" t="s">
        <v>73</v>
      </c>
      <c r="B54" s="6"/>
      <c r="C54" s="6"/>
      <c r="D54" s="53">
        <f>D51-D50-D47</f>
        <v>43485</v>
      </c>
      <c r="E54" s="53">
        <f>E51-E50-E47</f>
        <v>72209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</row>
    <row r="55" spans="1:122" x14ac:dyDescent="0.15">
      <c r="A55" s="3" t="s">
        <v>74</v>
      </c>
      <c r="B55" s="6"/>
      <c r="C55" s="6"/>
      <c r="D55" s="53">
        <f>D51-D52</f>
        <v>82826</v>
      </c>
      <c r="E55" s="53">
        <f>E51-E52</f>
        <v>204448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</row>
    <row r="56" spans="1:122" x14ac:dyDescent="0.15">
      <c r="B56" s="6"/>
      <c r="C56" s="6"/>
    </row>
    <row r="57" spans="1:122" x14ac:dyDescent="0.15">
      <c r="A57" s="26" t="s">
        <v>76</v>
      </c>
      <c r="B57" s="6"/>
      <c r="C57" s="6"/>
      <c r="D57" s="27">
        <f>D29/D55</f>
        <v>0.10450824620288315</v>
      </c>
      <c r="E57" s="27">
        <f>E29/E55</f>
        <v>0.22431620754421663</v>
      </c>
    </row>
    <row r="58" spans="1:122" x14ac:dyDescent="0.15">
      <c r="A58" s="26" t="s">
        <v>77</v>
      </c>
      <c r="B58" s="6"/>
      <c r="C58" s="6"/>
      <c r="D58" s="27">
        <f>D29/D51</f>
        <v>6.6307145483515142E-2</v>
      </c>
      <c r="E58" s="27">
        <f>E29/E51</f>
        <v>0.18864610499123838</v>
      </c>
    </row>
    <row r="59" spans="1:122" x14ac:dyDescent="0.15">
      <c r="A59" s="26" t="s">
        <v>78</v>
      </c>
      <c r="B59" s="6"/>
      <c r="C59" s="6"/>
      <c r="D59" s="27">
        <f>D29/(D55-D50)</f>
        <v>0.12641109894121944</v>
      </c>
      <c r="E59" s="27">
        <f>E29/(E55-E50)</f>
        <v>0.33033212564736048</v>
      </c>
    </row>
    <row r="60" spans="1:122" x14ac:dyDescent="0.15">
      <c r="A60" s="26" t="s">
        <v>79</v>
      </c>
      <c r="B60" s="6"/>
      <c r="C60" s="6"/>
      <c r="D60" s="27">
        <f>D29/D54</f>
        <v>0.19905714614234793</v>
      </c>
      <c r="E60" s="27">
        <f>E29/E54</f>
        <v>0.63511473639020066</v>
      </c>
    </row>
    <row r="62" spans="1:122" x14ac:dyDescent="0.15">
      <c r="A62" s="6" t="s">
        <v>92</v>
      </c>
      <c r="C62" s="27">
        <f>C12/B12-1</f>
        <v>0.22712823963433015</v>
      </c>
      <c r="D62" s="27">
        <f t="shared" ref="D62:E62" si="56">D12/C12-1</f>
        <v>0.23182952654666455</v>
      </c>
      <c r="E62" s="27">
        <f t="shared" si="56"/>
        <v>0.20793872507636335</v>
      </c>
      <c r="F62" s="27">
        <f t="shared" ref="F62:J62" si="57">F12/E12-1</f>
        <v>0.19999999999999996</v>
      </c>
      <c r="G62" s="27">
        <f t="shared" si="57"/>
        <v>0.19999999999999996</v>
      </c>
      <c r="H62" s="27">
        <f t="shared" si="57"/>
        <v>0.19999999999999996</v>
      </c>
      <c r="I62" s="27">
        <f t="shared" si="57"/>
        <v>0.19999999999999996</v>
      </c>
      <c r="J62" s="27">
        <f t="shared" si="57"/>
        <v>0.19999999999999996</v>
      </c>
    </row>
    <row r="63" spans="1:122" x14ac:dyDescent="0.15">
      <c r="A63" s="6" t="s">
        <v>93</v>
      </c>
      <c r="C63" s="27">
        <f t="shared" ref="C63:E63" si="58">C13/B13-1</f>
        <v>0.3030904639004699</v>
      </c>
      <c r="D63" s="27">
        <f t="shared" si="58"/>
        <v>0.13000863338581081</v>
      </c>
      <c r="E63" s="27">
        <f t="shared" si="58"/>
        <v>8.044582265965583E-2</v>
      </c>
      <c r="F63" s="27">
        <f t="shared" ref="F63:I63" si="59">F13/E13-1</f>
        <v>0.10000000000000009</v>
      </c>
      <c r="G63" s="27">
        <f t="shared" si="59"/>
        <v>0.10000000000000009</v>
      </c>
      <c r="H63" s="27">
        <f t="shared" si="59"/>
        <v>0.10000000000000009</v>
      </c>
      <c r="I63" s="27">
        <f t="shared" si="59"/>
        <v>0.10000000000000009</v>
      </c>
      <c r="J63" s="27">
        <f>J13/I13-1</f>
        <v>0.10000000000000009</v>
      </c>
    </row>
    <row r="64" spans="1:122" x14ac:dyDescent="0.15">
      <c r="A64" s="6" t="s">
        <v>103</v>
      </c>
      <c r="C64" s="27">
        <f t="shared" ref="C64:E64" si="60">C14/B14-1</f>
        <v>1.1150442477876106</v>
      </c>
      <c r="D64" s="27">
        <f t="shared" si="60"/>
        <v>0.98864315600717267</v>
      </c>
      <c r="E64" s="27">
        <f t="shared" si="60"/>
        <v>2.7451157198677487</v>
      </c>
      <c r="F64" s="27">
        <f t="shared" ref="F64:J64" si="61">F14/E14-1</f>
        <v>0.39999999999999991</v>
      </c>
      <c r="G64" s="27">
        <f>G14/F14-1</f>
        <v>0.39999999999999991</v>
      </c>
      <c r="H64" s="27">
        <f t="shared" si="61"/>
        <v>0.39999999999999991</v>
      </c>
      <c r="I64" s="27">
        <f t="shared" si="61"/>
        <v>0.39999999999999991</v>
      </c>
      <c r="J64" s="27">
        <f t="shared" si="61"/>
        <v>0.39999999999999991</v>
      </c>
    </row>
    <row r="66" spans="1:1" s="27" customFormat="1" x14ac:dyDescent="0.15">
      <c r="A66" s="27" t="s">
        <v>85</v>
      </c>
    </row>
    <row r="67" spans="1:1" s="27" customFormat="1" x14ac:dyDescent="0.15">
      <c r="A67" s="27" t="s">
        <v>86</v>
      </c>
    </row>
  </sheetData>
  <hyperlinks>
    <hyperlink ref="A4" r:id="rId1" xr:uid="{00000000-0004-0000-0000-000000000000}"/>
    <hyperlink ref="A1" r:id="rId2" xr:uid="{00000000-0004-0000-0000-000001000000}"/>
    <hyperlink ref="A7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0"/>
  <sheetViews>
    <sheetView tabSelected="1" zoomScale="130" zoomScaleNormal="13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V24" sqref="V24"/>
    </sheetView>
  </sheetViews>
  <sheetFormatPr baseColWidth="10" defaultRowHeight="13" x14ac:dyDescent="0.15"/>
  <cols>
    <col min="1" max="1" width="18.1640625" style="68" bestFit="1" customWidth="1"/>
    <col min="2" max="5" width="10.83203125" style="28" customWidth="1"/>
    <col min="6" max="6" width="10.83203125" style="29" customWidth="1"/>
    <col min="7" max="8" width="10.83203125" style="28" customWidth="1"/>
    <col min="9" max="9" width="10.83203125" style="28"/>
    <col min="10" max="10" width="10.83203125" style="29"/>
    <col min="11" max="13" width="10.83203125" style="28"/>
    <col min="14" max="14" width="10.83203125" style="29"/>
    <col min="15" max="17" width="10.83203125" style="28"/>
    <col min="18" max="18" width="10.83203125" style="29"/>
    <col min="19" max="21" width="10.83203125" style="28"/>
    <col min="22" max="16384" width="10.83203125" style="6"/>
  </cols>
  <sheetData>
    <row r="1" spans="1:25" s="28" customFormat="1" x14ac:dyDescent="0.15">
      <c r="A1" s="67" t="s">
        <v>57</v>
      </c>
      <c r="B1" s="28" t="s">
        <v>48</v>
      </c>
      <c r="C1" s="28" t="s">
        <v>49</v>
      </c>
      <c r="D1" s="28" t="s">
        <v>50</v>
      </c>
      <c r="E1" s="28" t="s">
        <v>51</v>
      </c>
      <c r="F1" s="29" t="s">
        <v>20</v>
      </c>
      <c r="G1" s="28" t="s">
        <v>21</v>
      </c>
      <c r="H1" s="28" t="s">
        <v>22</v>
      </c>
      <c r="I1" s="28" t="s">
        <v>23</v>
      </c>
      <c r="J1" s="30" t="s">
        <v>0</v>
      </c>
      <c r="K1" s="31" t="s">
        <v>1</v>
      </c>
      <c r="L1" s="31" t="s">
        <v>2</v>
      </c>
      <c r="M1" s="31" t="s">
        <v>3</v>
      </c>
      <c r="N1" s="30" t="s">
        <v>40</v>
      </c>
      <c r="O1" s="31" t="s">
        <v>41</v>
      </c>
      <c r="P1" s="31" t="s">
        <v>42</v>
      </c>
      <c r="Q1" s="31" t="s">
        <v>43</v>
      </c>
      <c r="R1" s="30" t="s">
        <v>65</v>
      </c>
      <c r="S1" s="31" t="s">
        <v>66</v>
      </c>
      <c r="T1" s="31" t="s">
        <v>67</v>
      </c>
      <c r="U1" s="31" t="s">
        <v>68</v>
      </c>
      <c r="V1" s="28" t="s">
        <v>137</v>
      </c>
      <c r="W1" s="28" t="s">
        <v>138</v>
      </c>
      <c r="X1" s="28" t="s">
        <v>139</v>
      </c>
      <c r="Y1" s="28" t="s">
        <v>140</v>
      </c>
    </row>
    <row r="2" spans="1:25" s="28" customFormat="1" x14ac:dyDescent="0.15">
      <c r="A2" s="67"/>
      <c r="B2" s="28" t="s">
        <v>52</v>
      </c>
      <c r="C2" s="28" t="s">
        <v>53</v>
      </c>
      <c r="D2" s="28" t="s">
        <v>54</v>
      </c>
      <c r="E2" s="28" t="s">
        <v>55</v>
      </c>
      <c r="F2" s="29" t="s">
        <v>27</v>
      </c>
      <c r="G2" s="28" t="s">
        <v>26</v>
      </c>
      <c r="H2" s="28" t="s">
        <v>25</v>
      </c>
      <c r="I2" s="28" t="s">
        <v>30</v>
      </c>
      <c r="J2" s="29" t="s">
        <v>29</v>
      </c>
      <c r="K2" s="28" t="s">
        <v>28</v>
      </c>
      <c r="L2" s="28" t="s">
        <v>24</v>
      </c>
      <c r="M2" s="28" t="s">
        <v>34</v>
      </c>
      <c r="N2" s="29" t="s">
        <v>44</v>
      </c>
      <c r="O2" s="28" t="s">
        <v>45</v>
      </c>
      <c r="P2" s="28" t="s">
        <v>46</v>
      </c>
      <c r="Q2" s="28" t="s">
        <v>47</v>
      </c>
      <c r="R2" s="29"/>
      <c r="S2" s="74">
        <v>43646</v>
      </c>
      <c r="T2" s="74">
        <v>43738</v>
      </c>
      <c r="U2" s="74">
        <v>43830</v>
      </c>
      <c r="V2" s="74">
        <v>43921</v>
      </c>
      <c r="W2" s="74">
        <v>44012</v>
      </c>
      <c r="X2" s="74">
        <v>44104</v>
      </c>
    </row>
    <row r="3" spans="1:25" s="8" customFormat="1" x14ac:dyDescent="0.15">
      <c r="A3" s="69" t="s">
        <v>90</v>
      </c>
      <c r="B3" s="31">
        <v>8969</v>
      </c>
      <c r="C3" s="31">
        <v>10110</v>
      </c>
      <c r="D3" s="31">
        <v>11137</v>
      </c>
      <c r="E3" s="31">
        <v>12883</v>
      </c>
      <c r="F3" s="30">
        <v>11404</v>
      </c>
      <c r="G3" s="31">
        <v>12562</v>
      </c>
      <c r="H3" s="31">
        <v>13435</v>
      </c>
      <c r="I3" s="31">
        <v>15487</v>
      </c>
      <c r="J3" s="30">
        <v>14356</v>
      </c>
      <c r="K3" s="31">
        <v>15531</v>
      </c>
      <c r="L3" s="31">
        <v>16330</v>
      </c>
      <c r="M3" s="31">
        <v>18932</v>
      </c>
      <c r="N3" s="30">
        <v>17475</v>
      </c>
      <c r="O3" s="31">
        <v>18863</v>
      </c>
      <c r="P3" s="31">
        <v>19965</v>
      </c>
      <c r="Q3" s="31">
        <v>22393</v>
      </c>
      <c r="R3" s="30"/>
      <c r="S3" s="31">
        <v>22895</v>
      </c>
      <c r="T3" s="31">
        <v>24951</v>
      </c>
      <c r="U3" s="31"/>
      <c r="W3" s="8">
        <v>20425</v>
      </c>
      <c r="X3" s="8">
        <v>28041</v>
      </c>
    </row>
    <row r="4" spans="1:25" s="8" customFormat="1" x14ac:dyDescent="0.15">
      <c r="A4" s="69" t="s">
        <v>91</v>
      </c>
      <c r="B4" s="31">
        <v>3094</v>
      </c>
      <c r="C4" s="31">
        <v>3451</v>
      </c>
      <c r="D4" s="31">
        <v>3931</v>
      </c>
      <c r="E4" s="31">
        <v>4635</v>
      </c>
      <c r="F4" s="30">
        <v>4428</v>
      </c>
      <c r="G4" s="31">
        <v>4740</v>
      </c>
      <c r="H4" s="31">
        <v>5005</v>
      </c>
      <c r="I4" s="31">
        <v>5518</v>
      </c>
      <c r="J4" s="30">
        <v>5159</v>
      </c>
      <c r="K4" s="31">
        <v>5403</v>
      </c>
      <c r="L4" s="31">
        <v>5551</v>
      </c>
      <c r="M4" s="31">
        <v>6138</v>
      </c>
      <c r="N4" s="30">
        <v>5365</v>
      </c>
      <c r="O4" s="31">
        <v>5619</v>
      </c>
      <c r="P4" s="31">
        <v>5952</v>
      </c>
      <c r="Q4" s="31">
        <v>7105</v>
      </c>
      <c r="R4" s="30"/>
      <c r="S4" s="31">
        <v>6246</v>
      </c>
      <c r="T4" s="31">
        <v>6281</v>
      </c>
      <c r="U4" s="31"/>
      <c r="W4" s="8">
        <v>4335</v>
      </c>
      <c r="X4" s="8">
        <v>5138</v>
      </c>
    </row>
    <row r="5" spans="1:25" s="8" customFormat="1" x14ac:dyDescent="0.15">
      <c r="A5" s="69" t="s">
        <v>96</v>
      </c>
      <c r="B5" s="31"/>
      <c r="C5" s="31"/>
      <c r="D5" s="31"/>
      <c r="E5" s="31"/>
      <c r="F5" s="30"/>
      <c r="G5" s="31"/>
      <c r="H5" s="31"/>
      <c r="I5" s="31"/>
      <c r="J5" s="30"/>
      <c r="K5" s="31"/>
      <c r="L5" s="31"/>
      <c r="M5" s="31"/>
      <c r="N5" s="30"/>
      <c r="O5" s="31"/>
      <c r="P5" s="31"/>
      <c r="Q5" s="31"/>
      <c r="R5" s="30"/>
      <c r="S5" s="31">
        <v>8798</v>
      </c>
      <c r="T5" s="31">
        <v>11757</v>
      </c>
      <c r="U5" s="31"/>
      <c r="W5" s="8">
        <v>12473</v>
      </c>
      <c r="X5" s="8">
        <v>18246</v>
      </c>
    </row>
    <row r="6" spans="1:25" s="8" customFormat="1" x14ac:dyDescent="0.15">
      <c r="A6" s="69" t="s">
        <v>69</v>
      </c>
      <c r="B6" s="31">
        <v>276</v>
      </c>
      <c r="C6" s="31">
        <v>359</v>
      </c>
      <c r="D6" s="31">
        <v>371</v>
      </c>
      <c r="E6" s="31">
        <v>576</v>
      </c>
      <c r="F6" s="30">
        <v>641</v>
      </c>
      <c r="G6" s="31">
        <v>738</v>
      </c>
      <c r="H6" s="31">
        <v>853</v>
      </c>
      <c r="I6" s="31">
        <v>1114</v>
      </c>
      <c r="J6" s="30">
        <v>1137</v>
      </c>
      <c r="K6" s="31">
        <v>1170</v>
      </c>
      <c r="L6" s="31">
        <v>1557</v>
      </c>
      <c r="M6" s="31">
        <v>2790</v>
      </c>
      <c r="N6" s="30">
        <v>3733</v>
      </c>
      <c r="O6" s="31">
        <v>5190</v>
      </c>
      <c r="P6" s="31">
        <v>6653</v>
      </c>
      <c r="Q6" s="31">
        <v>9344</v>
      </c>
      <c r="R6" s="30"/>
      <c r="S6" s="31">
        <v>3458</v>
      </c>
      <c r="T6" s="31">
        <v>2025</v>
      </c>
      <c r="U6" s="31"/>
      <c r="W6" s="8">
        <v>4174</v>
      </c>
      <c r="X6" s="8">
        <v>6910</v>
      </c>
    </row>
    <row r="7" spans="1:25" s="8" customFormat="1" x14ac:dyDescent="0.15">
      <c r="A7" s="69"/>
      <c r="B7" s="31"/>
      <c r="C7" s="31"/>
      <c r="D7" s="31"/>
      <c r="E7" s="31"/>
      <c r="F7" s="30"/>
      <c r="G7" s="31"/>
      <c r="H7" s="31"/>
      <c r="I7" s="31"/>
      <c r="J7" s="30"/>
      <c r="K7" s="31"/>
      <c r="L7" s="31"/>
      <c r="M7" s="31"/>
      <c r="N7" s="30"/>
      <c r="O7" s="31"/>
      <c r="P7" s="31"/>
      <c r="Q7" s="31"/>
      <c r="R7" s="30"/>
      <c r="S7" s="31"/>
      <c r="T7" s="31"/>
      <c r="U7" s="31"/>
    </row>
    <row r="8" spans="1:25" s="18" customFormat="1" x14ac:dyDescent="0.15">
      <c r="A8" s="73" t="s">
        <v>4</v>
      </c>
      <c r="B8" s="33">
        <f>SUM(B3:B6)</f>
        <v>12339</v>
      </c>
      <c r="C8" s="32">
        <f>SUM(C3:C6)</f>
        <v>13920</v>
      </c>
      <c r="D8" s="32">
        <f>SUM(D3:D6)</f>
        <v>15439</v>
      </c>
      <c r="E8" s="32">
        <f>SUM(E3:E6)</f>
        <v>18094</v>
      </c>
      <c r="F8" s="33">
        <f>SUM(F3:F6)</f>
        <v>16473</v>
      </c>
      <c r="G8" s="32">
        <f>SUM(G3:G6)</f>
        <v>18040</v>
      </c>
      <c r="H8" s="32">
        <f>SUM(H3:H6)</f>
        <v>19293</v>
      </c>
      <c r="I8" s="32">
        <f>SUM(I3:I6)</f>
        <v>22119</v>
      </c>
      <c r="J8" s="33">
        <f>SUM(J3:J6)</f>
        <v>20652</v>
      </c>
      <c r="K8" s="32">
        <f>SUM(K3:K6)</f>
        <v>22104</v>
      </c>
      <c r="L8" s="32">
        <f>SUM(L3:L6)</f>
        <v>23438</v>
      </c>
      <c r="M8" s="32">
        <f>SUM(M3:M6)</f>
        <v>27860</v>
      </c>
      <c r="N8" s="33">
        <f>SUM(N3:N6)</f>
        <v>26573</v>
      </c>
      <c r="O8" s="32">
        <f>SUM(O3:O6)</f>
        <v>29672</v>
      </c>
      <c r="P8" s="32">
        <f>SUM(P3:P6)</f>
        <v>32570</v>
      </c>
      <c r="Q8" s="32">
        <f>SUM(Q3:Q6)</f>
        <v>38842</v>
      </c>
      <c r="R8" s="54"/>
      <c r="S8" s="32">
        <f>SUM(S3:S6)</f>
        <v>41397</v>
      </c>
      <c r="T8" s="32">
        <f>SUM(T3:T6)</f>
        <v>45014</v>
      </c>
      <c r="U8" s="62"/>
      <c r="W8" s="32">
        <f>SUM(W3:W6)</f>
        <v>41407</v>
      </c>
      <c r="X8" s="32">
        <f>SUM(X3:X6)</f>
        <v>58335</v>
      </c>
    </row>
    <row r="9" spans="1:25" s="8" customFormat="1" x14ac:dyDescent="0.15">
      <c r="A9" s="69" t="s">
        <v>5</v>
      </c>
      <c r="B9" s="31">
        <v>3713</v>
      </c>
      <c r="C9" s="31">
        <v>3982</v>
      </c>
      <c r="D9" s="31">
        <v>4318</v>
      </c>
      <c r="E9" s="31">
        <v>4797</v>
      </c>
      <c r="F9" s="30">
        <v>4504</v>
      </c>
      <c r="G9" s="31">
        <v>4696</v>
      </c>
      <c r="H9" s="31">
        <v>4918</v>
      </c>
      <c r="I9" s="31">
        <v>5636</v>
      </c>
      <c r="J9" s="30">
        <v>5348</v>
      </c>
      <c r="K9" s="31">
        <v>5747</v>
      </c>
      <c r="L9" s="31">
        <v>6045</v>
      </c>
      <c r="M9" s="31">
        <v>6797</v>
      </c>
      <c r="N9" s="30">
        <v>6712</v>
      </c>
      <c r="O9" s="31">
        <v>8252</v>
      </c>
      <c r="P9" s="31">
        <v>9070</v>
      </c>
      <c r="Q9" s="31">
        <v>11856</v>
      </c>
      <c r="R9" s="30"/>
      <c r="S9" s="31">
        <v>12577</v>
      </c>
      <c r="T9" s="31">
        <v>13961</v>
      </c>
      <c r="U9" s="31"/>
      <c r="W9" s="8">
        <v>15912</v>
      </c>
      <c r="X9" s="8">
        <v>22141</v>
      </c>
    </row>
    <row r="10" spans="1:25" s="8" customFormat="1" x14ac:dyDescent="0.15">
      <c r="A10" s="69" t="s">
        <v>6</v>
      </c>
      <c r="B10" s="36">
        <f>B8-B9</f>
        <v>8626</v>
      </c>
      <c r="C10" s="36">
        <f>C8-C9</f>
        <v>9938</v>
      </c>
      <c r="D10" s="36">
        <f>D8-D9</f>
        <v>11121</v>
      </c>
      <c r="E10" s="36">
        <f>E8-E9</f>
        <v>13297</v>
      </c>
      <c r="F10" s="37">
        <f>F8-F9</f>
        <v>11969</v>
      </c>
      <c r="G10" s="36">
        <f t="shared" ref="G10:L10" si="0">G8-G9</f>
        <v>13344</v>
      </c>
      <c r="H10" s="36">
        <f t="shared" si="0"/>
        <v>14375</v>
      </c>
      <c r="I10" s="36">
        <f t="shared" si="0"/>
        <v>16483</v>
      </c>
      <c r="J10" s="37">
        <f t="shared" si="0"/>
        <v>15304</v>
      </c>
      <c r="K10" s="36">
        <f t="shared" si="0"/>
        <v>16357</v>
      </c>
      <c r="L10" s="36">
        <f t="shared" si="0"/>
        <v>17393</v>
      </c>
      <c r="M10" s="36">
        <f t="shared" ref="M10" si="1">M8-M9</f>
        <v>21063</v>
      </c>
      <c r="N10" s="37">
        <f>N8-N9</f>
        <v>19861</v>
      </c>
      <c r="O10" s="36">
        <f>O8-O9</f>
        <v>21420</v>
      </c>
      <c r="P10" s="36">
        <f t="shared" ref="P10:Q10" si="2">P8-P9</f>
        <v>23500</v>
      </c>
      <c r="Q10" s="36">
        <f t="shared" si="2"/>
        <v>26986</v>
      </c>
      <c r="R10" s="30"/>
      <c r="S10" s="36">
        <f t="shared" ref="S10:T10" si="3">S8-S9</f>
        <v>28820</v>
      </c>
      <c r="T10" s="36">
        <f t="shared" si="3"/>
        <v>31053</v>
      </c>
      <c r="U10" s="31"/>
      <c r="W10" s="36">
        <f t="shared" ref="W10:X10" si="4">W8-W9</f>
        <v>25495</v>
      </c>
      <c r="X10" s="36">
        <f t="shared" si="4"/>
        <v>36194</v>
      </c>
    </row>
    <row r="11" spans="1:25" s="8" customFormat="1" x14ac:dyDescent="0.15">
      <c r="A11" s="69" t="s">
        <v>7</v>
      </c>
      <c r="B11" s="31">
        <v>3347</v>
      </c>
      <c r="C11" s="31">
        <v>3300</v>
      </c>
      <c r="D11" s="31">
        <v>3168</v>
      </c>
      <c r="E11" s="31">
        <v>3606</v>
      </c>
      <c r="F11" s="30">
        <v>3877</v>
      </c>
      <c r="G11" s="31">
        <v>3794</v>
      </c>
      <c r="H11" s="31">
        <v>3858</v>
      </c>
      <c r="I11" s="31">
        <v>4303</v>
      </c>
      <c r="J11" s="30">
        <v>4518</v>
      </c>
      <c r="K11" s="31">
        <v>4473</v>
      </c>
      <c r="L11" s="31">
        <v>4569</v>
      </c>
      <c r="M11" s="31">
        <v>5201</v>
      </c>
      <c r="N11" s="30">
        <v>5803</v>
      </c>
      <c r="O11" s="31">
        <v>5370</v>
      </c>
      <c r="P11" s="31">
        <v>5542</v>
      </c>
      <c r="Q11" s="31">
        <v>5854</v>
      </c>
      <c r="R11" s="30"/>
      <c r="S11" s="31">
        <v>6896</v>
      </c>
      <c r="T11" s="31">
        <v>7118</v>
      </c>
      <c r="U11" s="31"/>
      <c r="W11" s="8">
        <v>8970</v>
      </c>
      <c r="X11" s="8">
        <v>9414</v>
      </c>
    </row>
    <row r="12" spans="1:25" s="8" customFormat="1" x14ac:dyDescent="0.15">
      <c r="A12" s="69" t="s">
        <v>142</v>
      </c>
      <c r="B12" s="31">
        <f>2303+1490</f>
        <v>3793</v>
      </c>
      <c r="C12" s="31">
        <f>2568+1874</f>
        <v>4442</v>
      </c>
      <c r="D12" s="31">
        <f>2618+2152</f>
        <v>4770</v>
      </c>
      <c r="E12" s="31">
        <f>4112+2275+576</f>
        <v>6963</v>
      </c>
      <c r="F12" s="30">
        <f>3258+2394</f>
        <v>5652</v>
      </c>
      <c r="G12" s="31">
        <f>3717+2316</f>
        <v>6033</v>
      </c>
      <c r="H12" s="31">
        <f>4475+2489</f>
        <v>6964</v>
      </c>
      <c r="I12" s="31">
        <f>6435+2408</f>
        <v>8843</v>
      </c>
      <c r="J12" s="30">
        <f>4948+2463</f>
        <v>7411</v>
      </c>
      <c r="K12" s="31">
        <f>6064+2823</f>
        <v>8887</v>
      </c>
      <c r="L12" s="31">
        <f>8047+2930</f>
        <v>10977</v>
      </c>
      <c r="M12" s="31">
        <f>8022+3023</f>
        <v>11045</v>
      </c>
      <c r="N12" s="30">
        <f>8009+2890</f>
        <v>10899</v>
      </c>
      <c r="O12" s="31">
        <f>8776+2926</f>
        <v>11702</v>
      </c>
      <c r="P12" s="31">
        <f>8957+3118</f>
        <v>12075</v>
      </c>
      <c r="Q12" s="31">
        <f>10458+3203</f>
        <v>13661</v>
      </c>
      <c r="R12" s="30"/>
      <c r="S12" s="31">
        <f>11034+3756</f>
        <v>14790</v>
      </c>
      <c r="T12" s="31">
        <f>12287+3788</f>
        <v>16075</v>
      </c>
      <c r="U12" s="31"/>
      <c r="W12" s="8">
        <f>12258+4052</f>
        <v>16310</v>
      </c>
      <c r="X12" s="8">
        <f>15634+4780</f>
        <v>20414</v>
      </c>
    </row>
    <row r="13" spans="1:25" s="8" customFormat="1" x14ac:dyDescent="0.15">
      <c r="A13" s="69" t="s">
        <v>8</v>
      </c>
      <c r="B13" s="36">
        <f t="shared" ref="B13:Q13" si="5">SUM(B11:B12)</f>
        <v>7140</v>
      </c>
      <c r="C13" s="36">
        <f t="shared" si="5"/>
        <v>7742</v>
      </c>
      <c r="D13" s="36">
        <f t="shared" si="5"/>
        <v>7938</v>
      </c>
      <c r="E13" s="36">
        <f t="shared" si="5"/>
        <v>10569</v>
      </c>
      <c r="F13" s="37">
        <f t="shared" si="5"/>
        <v>9529</v>
      </c>
      <c r="G13" s="36">
        <f t="shared" si="5"/>
        <v>9827</v>
      </c>
      <c r="H13" s="36">
        <f t="shared" si="5"/>
        <v>10822</v>
      </c>
      <c r="I13" s="36">
        <f t="shared" si="5"/>
        <v>13146</v>
      </c>
      <c r="J13" s="37">
        <f t="shared" si="5"/>
        <v>11929</v>
      </c>
      <c r="K13" s="36">
        <f t="shared" si="5"/>
        <v>13360</v>
      </c>
      <c r="L13" s="36">
        <f t="shared" si="5"/>
        <v>15546</v>
      </c>
      <c r="M13" s="36">
        <f t="shared" si="5"/>
        <v>16246</v>
      </c>
      <c r="N13" s="37">
        <f t="shared" si="5"/>
        <v>16702</v>
      </c>
      <c r="O13" s="36">
        <f t="shared" si="5"/>
        <v>17072</v>
      </c>
      <c r="P13" s="36">
        <f t="shared" si="5"/>
        <v>17617</v>
      </c>
      <c r="Q13" s="36">
        <f t="shared" si="5"/>
        <v>19515</v>
      </c>
      <c r="R13" s="30"/>
      <c r="S13" s="36">
        <f t="shared" ref="S13:T13" si="6">SUM(S11:S12)</f>
        <v>21686</v>
      </c>
      <c r="T13" s="36">
        <f t="shared" si="6"/>
        <v>23193</v>
      </c>
      <c r="U13" s="31"/>
      <c r="W13" s="36">
        <f t="shared" ref="W13:X13" si="7">SUM(W11:W12)</f>
        <v>25280</v>
      </c>
      <c r="X13" s="36">
        <f t="shared" si="7"/>
        <v>29828</v>
      </c>
    </row>
    <row r="14" spans="1:25" s="8" customFormat="1" x14ac:dyDescent="0.15">
      <c r="A14" s="69" t="s">
        <v>9</v>
      </c>
      <c r="B14" s="36">
        <f t="shared" ref="B14:Q14" si="8">B10-B13</f>
        <v>1486</v>
      </c>
      <c r="C14" s="36">
        <f t="shared" si="8"/>
        <v>2196</v>
      </c>
      <c r="D14" s="36">
        <f t="shared" si="8"/>
        <v>3183</v>
      </c>
      <c r="E14" s="36">
        <f t="shared" si="8"/>
        <v>2728</v>
      </c>
      <c r="F14" s="37">
        <f t="shared" si="8"/>
        <v>2440</v>
      </c>
      <c r="G14" s="36">
        <f t="shared" si="8"/>
        <v>3517</v>
      </c>
      <c r="H14" s="36">
        <f t="shared" si="8"/>
        <v>3553</v>
      </c>
      <c r="I14" s="36">
        <f t="shared" si="8"/>
        <v>3337</v>
      </c>
      <c r="J14" s="37">
        <f t="shared" si="8"/>
        <v>3375</v>
      </c>
      <c r="K14" s="36">
        <f t="shared" si="8"/>
        <v>2997</v>
      </c>
      <c r="L14" s="36">
        <f t="shared" si="8"/>
        <v>1847</v>
      </c>
      <c r="M14" s="36">
        <f t="shared" si="8"/>
        <v>4817</v>
      </c>
      <c r="N14" s="37">
        <f t="shared" si="8"/>
        <v>3159</v>
      </c>
      <c r="O14" s="36">
        <f t="shared" si="8"/>
        <v>4348</v>
      </c>
      <c r="P14" s="36">
        <f t="shared" si="8"/>
        <v>5883</v>
      </c>
      <c r="Q14" s="36">
        <f t="shared" si="8"/>
        <v>7471</v>
      </c>
      <c r="R14" s="30"/>
      <c r="S14" s="36">
        <f t="shared" ref="S14:T14" si="9">S10-S13</f>
        <v>7134</v>
      </c>
      <c r="T14" s="36">
        <f t="shared" si="9"/>
        <v>7860</v>
      </c>
      <c r="U14" s="31"/>
      <c r="W14" s="36">
        <f t="shared" ref="W14:X14" si="10">W10-W13</f>
        <v>215</v>
      </c>
      <c r="X14" s="36">
        <f t="shared" si="10"/>
        <v>6366</v>
      </c>
    </row>
    <row r="15" spans="1:25" s="8" customFormat="1" x14ac:dyDescent="0.15">
      <c r="A15" s="69" t="s">
        <v>10</v>
      </c>
      <c r="B15" s="31">
        <f>484+833</f>
        <v>1317</v>
      </c>
      <c r="C15" s="31">
        <f>356-1787</f>
        <v>-1431</v>
      </c>
      <c r="D15" s="31">
        <f>415+2076</f>
        <v>2491</v>
      </c>
      <c r="E15" s="31">
        <f>489+1137</f>
        <v>1626</v>
      </c>
      <c r="F15" s="30">
        <f>523-1181</f>
        <v>-658</v>
      </c>
      <c r="G15" s="31">
        <f>437-842</f>
        <v>-405</v>
      </c>
      <c r="H15" s="31">
        <f>351-218</f>
        <v>133</v>
      </c>
      <c r="I15" s="31">
        <f>344-1154</f>
        <v>-810</v>
      </c>
      <c r="J15" s="30">
        <f>709-228-2255</f>
        <v>-1774</v>
      </c>
      <c r="K15" s="31">
        <f>688-217+1389</f>
        <v>1860</v>
      </c>
      <c r="L15" s="31">
        <f>732-226-626</f>
        <v>-120</v>
      </c>
      <c r="M15" s="31">
        <f>780-226+26</f>
        <v>580</v>
      </c>
      <c r="N15" s="30">
        <f>708-221-400</f>
        <v>87</v>
      </c>
      <c r="O15" s="31">
        <f>817-243+30668</f>
        <v>31242</v>
      </c>
      <c r="P15" s="31">
        <f>928-260+627</f>
        <v>1295</v>
      </c>
      <c r="Q15" s="31">
        <f>929-221+271</f>
        <v>979</v>
      </c>
      <c r="R15" s="30"/>
      <c r="S15" s="31">
        <f>834-12-946-414</f>
        <v>-538</v>
      </c>
      <c r="T15" s="31">
        <f>847-30-899+364</f>
        <v>282</v>
      </c>
      <c r="U15" s="31"/>
      <c r="W15" s="8">
        <f>971-678-977-1196</f>
        <v>-1880</v>
      </c>
      <c r="X15" s="8">
        <f>1009-723+19230-94+315</f>
        <v>19737</v>
      </c>
    </row>
    <row r="16" spans="1:25" s="8" customFormat="1" x14ac:dyDescent="0.15">
      <c r="A16" s="69" t="s">
        <v>11</v>
      </c>
      <c r="B16" s="36">
        <f>B14+B15</f>
        <v>2803</v>
      </c>
      <c r="C16" s="36">
        <f>C14+C15</f>
        <v>765</v>
      </c>
      <c r="D16" s="36">
        <f>D14+D15</f>
        <v>5674</v>
      </c>
      <c r="E16" s="36">
        <f>E14+E15</f>
        <v>4354</v>
      </c>
      <c r="F16" s="37">
        <f>F14+F15</f>
        <v>1782</v>
      </c>
      <c r="G16" s="36">
        <f t="shared" ref="G16:I16" si="11">G14+G15</f>
        <v>3112</v>
      </c>
      <c r="H16" s="36">
        <f t="shared" si="11"/>
        <v>3686</v>
      </c>
      <c r="I16" s="36">
        <f t="shared" si="11"/>
        <v>2527</v>
      </c>
      <c r="J16" s="37">
        <f t="shared" ref="J16:K16" si="12">J14+J15</f>
        <v>1601</v>
      </c>
      <c r="K16" s="36">
        <f t="shared" si="12"/>
        <v>4857</v>
      </c>
      <c r="L16" s="36">
        <f t="shared" ref="L16:N16" si="13">L14+L15</f>
        <v>1727</v>
      </c>
      <c r="M16" s="36">
        <f>M14+M15</f>
        <v>5397</v>
      </c>
      <c r="N16" s="37">
        <f t="shared" si="13"/>
        <v>3246</v>
      </c>
      <c r="O16" s="36">
        <f t="shared" ref="O16" si="14">O14+O15</f>
        <v>35590</v>
      </c>
      <c r="P16" s="36">
        <f>P14+P15</f>
        <v>7178</v>
      </c>
      <c r="Q16" s="36">
        <f>Q14+Q15</f>
        <v>8450</v>
      </c>
      <c r="R16" s="30"/>
      <c r="S16" s="36">
        <f>S14+S15</f>
        <v>6596</v>
      </c>
      <c r="T16" s="36">
        <f>T14+T15</f>
        <v>8142</v>
      </c>
      <c r="U16" s="31"/>
      <c r="W16" s="36">
        <f>W14+W15</f>
        <v>-1665</v>
      </c>
      <c r="X16" s="36">
        <f>X14+X15</f>
        <v>26103</v>
      </c>
    </row>
    <row r="17" spans="1:24" s="8" customFormat="1" x14ac:dyDescent="0.15">
      <c r="A17" s="69" t="s">
        <v>12</v>
      </c>
      <c r="B17" s="31">
        <v>676</v>
      </c>
      <c r="C17" s="31">
        <v>342</v>
      </c>
      <c r="D17" s="31">
        <v>1396</v>
      </c>
      <c r="E17" s="31">
        <v>1503</v>
      </c>
      <c r="F17" s="30">
        <v>713</v>
      </c>
      <c r="G17" s="31">
        <v>1054</v>
      </c>
      <c r="H17" s="31">
        <v>1243</v>
      </c>
      <c r="I17" s="31">
        <v>1314</v>
      </c>
      <c r="J17" s="30">
        <v>782</v>
      </c>
      <c r="K17" s="31">
        <v>1373</v>
      </c>
      <c r="L17" s="31">
        <v>874</v>
      </c>
      <c r="M17" s="31">
        <v>1897</v>
      </c>
      <c r="N17" s="30">
        <v>1395</v>
      </c>
      <c r="O17" s="31">
        <v>2259</v>
      </c>
      <c r="P17" s="31">
        <v>2410</v>
      </c>
      <c r="Q17" s="31">
        <v>2539</v>
      </c>
      <c r="R17" s="30"/>
      <c r="S17" s="31">
        <v>3033</v>
      </c>
      <c r="T17" s="31">
        <v>3341</v>
      </c>
      <c r="U17" s="31"/>
      <c r="W17" s="8">
        <v>1993</v>
      </c>
      <c r="X17" s="8">
        <v>3563</v>
      </c>
    </row>
    <row r="18" spans="1:24" s="76" customFormat="1" x14ac:dyDescent="0.15">
      <c r="A18" s="75" t="s">
        <v>82</v>
      </c>
      <c r="B18" s="55"/>
      <c r="C18" s="55"/>
      <c r="D18" s="55"/>
      <c r="E18" s="55"/>
      <c r="F18" s="56"/>
      <c r="G18" s="55"/>
      <c r="H18" s="55"/>
      <c r="I18" s="55"/>
      <c r="J18" s="56"/>
      <c r="K18" s="55"/>
      <c r="L18" s="55"/>
      <c r="M18" s="55"/>
      <c r="N18" s="56"/>
      <c r="O18" s="55"/>
      <c r="P18" s="55"/>
      <c r="Q18" s="55"/>
      <c r="R18" s="56"/>
      <c r="S18" s="55"/>
      <c r="T18" s="55"/>
      <c r="U18" s="55"/>
    </row>
    <row r="19" spans="1:24" s="18" customFormat="1" x14ac:dyDescent="0.15">
      <c r="A19" s="73" t="s">
        <v>13</v>
      </c>
      <c r="B19" s="32">
        <f>B16-B17</f>
        <v>2127</v>
      </c>
      <c r="C19" s="32">
        <f>C16-C17</f>
        <v>423</v>
      </c>
      <c r="D19" s="32">
        <f>D16-D17</f>
        <v>4278</v>
      </c>
      <c r="E19" s="32">
        <f>E16-E17</f>
        <v>2851</v>
      </c>
      <c r="F19" s="33">
        <f>F16-F17</f>
        <v>1069</v>
      </c>
      <c r="G19" s="32">
        <f t="shared" ref="G19:H19" si="15">G16-G17</f>
        <v>2058</v>
      </c>
      <c r="H19" s="32">
        <f t="shared" si="15"/>
        <v>2443</v>
      </c>
      <c r="I19" s="32">
        <f t="shared" ref="I19:O19" si="16">I16-I17</f>
        <v>1213</v>
      </c>
      <c r="J19" s="33">
        <f>J16-J17</f>
        <v>819</v>
      </c>
      <c r="K19" s="32">
        <f>K16-K17</f>
        <v>3484</v>
      </c>
      <c r="L19" s="32">
        <f t="shared" si="16"/>
        <v>853</v>
      </c>
      <c r="M19" s="32">
        <f t="shared" si="16"/>
        <v>3500</v>
      </c>
      <c r="N19" s="33">
        <f t="shared" si="16"/>
        <v>1851</v>
      </c>
      <c r="O19" s="32">
        <f t="shared" si="16"/>
        <v>33331</v>
      </c>
      <c r="P19" s="32">
        <f>P16-P17</f>
        <v>4768</v>
      </c>
      <c r="Q19" s="32">
        <f>Q16-Q17</f>
        <v>5911</v>
      </c>
      <c r="R19" s="54"/>
      <c r="S19" s="32">
        <f>S16-S17</f>
        <v>3563</v>
      </c>
      <c r="T19" s="32">
        <f>T16-T17</f>
        <v>4801</v>
      </c>
      <c r="U19" s="62"/>
      <c r="W19" s="32">
        <f>W16-W17</f>
        <v>-3658</v>
      </c>
      <c r="X19" s="32">
        <f>X16-X17</f>
        <v>22540</v>
      </c>
    </row>
    <row r="20" spans="1:24" x14ac:dyDescent="0.15">
      <c r="A20" s="68" t="s">
        <v>14</v>
      </c>
      <c r="B20" s="39">
        <f t="shared" ref="B20:C20" si="17">IFERROR(B19/B21,0)</f>
        <v>6.6080344397209609</v>
      </c>
      <c r="C20" s="38">
        <f t="shared" si="17"/>
        <v>1.3074384848801972</v>
      </c>
      <c r="D20" s="38">
        <f t="shared" ref="D20:H20" si="18">IFERROR(D19/D21,0)</f>
        <v>13.280838774314681</v>
      </c>
      <c r="E20" s="38">
        <f>IFERROR(E19/E21,0)</f>
        <v>8.82451692850168</v>
      </c>
      <c r="F20" s="39">
        <f t="shared" si="18"/>
        <v>3.3099065844662152</v>
      </c>
      <c r="G20" s="38">
        <f t="shared" si="18"/>
        <v>6.296733357537919</v>
      </c>
      <c r="H20" s="38">
        <f t="shared" si="18"/>
        <v>7.4749382348423836</v>
      </c>
      <c r="I20" s="38">
        <f t="shared" ref="I20:L20" si="19">IFERROR(I19/I21,0)</f>
        <v>3.7093302517697664</v>
      </c>
      <c r="J20" s="39">
        <f t="shared" si="19"/>
        <v>2.4934728552872749</v>
      </c>
      <c r="K20" s="38">
        <f t="shared" si="19"/>
        <v>10.556394816886499</v>
      </c>
      <c r="L20" s="38">
        <f t="shared" si="19"/>
        <v>2.5771989834004456</v>
      </c>
      <c r="M20" s="38">
        <f t="shared" ref="M20" si="20">IFERROR(M19/M21,0)</f>
        <v>10.527461968874391</v>
      </c>
      <c r="N20" s="39">
        <f>IFERROR(N19/N21,0)</f>
        <v>5.5214194848220908</v>
      </c>
      <c r="O20" s="38">
        <f>IFERROR(O19/O21,0)</f>
        <v>99.119717229238987</v>
      </c>
      <c r="P20" s="38">
        <f>IFERROR(P19/P21,0)</f>
        <v>14.253335265505259</v>
      </c>
      <c r="Q20" s="38">
        <f>IFERROR(Q19/Q21,0)</f>
        <v>17.821634455411598</v>
      </c>
      <c r="S20" s="38">
        <f>IFERROR(S19/S21,0)</f>
        <v>10.638603033122157</v>
      </c>
      <c r="T20" s="38">
        <f>IFERROR(T19/T21,0)</f>
        <v>14.312855261628291</v>
      </c>
      <c r="W20" s="38">
        <f>IFERROR(W19/W21,0)</f>
        <v>-10.935235868269579</v>
      </c>
      <c r="X20" s="38">
        <f>IFERROR(X19/X21,0)</f>
        <v>62.275316721789537</v>
      </c>
    </row>
    <row r="21" spans="1:24" s="8" customFormat="1" x14ac:dyDescent="0.15">
      <c r="A21" s="69" t="s">
        <v>15</v>
      </c>
      <c r="B21" s="31">
        <v>321.88088900000002</v>
      </c>
      <c r="C21" s="31">
        <v>323.53338600000001</v>
      </c>
      <c r="D21" s="31">
        <v>322.11820899999998</v>
      </c>
      <c r="E21" s="31">
        <v>323.07717500000001</v>
      </c>
      <c r="F21" s="30">
        <v>322.96983999999998</v>
      </c>
      <c r="G21" s="31">
        <v>326.83613600000001</v>
      </c>
      <c r="H21" s="31">
        <v>326.82544300000001</v>
      </c>
      <c r="I21" s="31">
        <v>327.01321200000001</v>
      </c>
      <c r="J21" s="30">
        <v>328.45755600000001</v>
      </c>
      <c r="K21" s="31">
        <v>330.03691700000002</v>
      </c>
      <c r="L21" s="31">
        <v>330.979488</v>
      </c>
      <c r="M21" s="31">
        <v>332.46379899999999</v>
      </c>
      <c r="N21" s="30">
        <v>335.23987899999997</v>
      </c>
      <c r="O21" s="31">
        <v>336.270128</v>
      </c>
      <c r="P21" s="31">
        <v>334.51819599999999</v>
      </c>
      <c r="Q21" s="31">
        <v>331.67552699999999</v>
      </c>
      <c r="R21" s="30"/>
      <c r="S21" s="31">
        <v>334.91239300000001</v>
      </c>
      <c r="T21" s="31">
        <v>335.43272200000001</v>
      </c>
      <c r="U21" s="31"/>
      <c r="W21" s="8">
        <v>334.51496100000003</v>
      </c>
      <c r="X21" s="31">
        <v>361.94115399999998</v>
      </c>
    </row>
    <row r="22" spans="1:24" x14ac:dyDescent="0.15">
      <c r="B22" s="31"/>
      <c r="C22" s="31"/>
      <c r="D22" s="31"/>
      <c r="E22" s="31"/>
      <c r="F22" s="30"/>
      <c r="G22" s="31"/>
      <c r="H22" s="31"/>
      <c r="I22" s="31"/>
      <c r="J22" s="30"/>
      <c r="K22" s="31"/>
      <c r="L22" s="31"/>
      <c r="M22" s="31"/>
      <c r="Q22" s="31"/>
    </row>
    <row r="23" spans="1:24" x14ac:dyDescent="0.15">
      <c r="A23" s="68" t="s">
        <v>17</v>
      </c>
      <c r="B23" s="44">
        <f t="shared" ref="B23:Q23" si="21">IFERROR(B10/B8,0)</f>
        <v>0.69908420455466402</v>
      </c>
      <c r="C23" s="44">
        <f t="shared" si="21"/>
        <v>0.71393678160919538</v>
      </c>
      <c r="D23" s="44">
        <f t="shared" si="21"/>
        <v>0.72031867348921563</v>
      </c>
      <c r="E23" s="44">
        <f t="shared" si="21"/>
        <v>0.73488449209682771</v>
      </c>
      <c r="F23" s="45">
        <f t="shared" si="21"/>
        <v>0.72658289321920722</v>
      </c>
      <c r="G23" s="44">
        <f t="shared" si="21"/>
        <v>0.73968957871396901</v>
      </c>
      <c r="H23" s="44">
        <f t="shared" si="21"/>
        <v>0.74508889234437359</v>
      </c>
      <c r="I23" s="44">
        <f t="shared" si="21"/>
        <v>0.7451964374519644</v>
      </c>
      <c r="J23" s="45">
        <f t="shared" si="21"/>
        <v>0.74104202982761957</v>
      </c>
      <c r="K23" s="44">
        <f t="shared" si="21"/>
        <v>0.74000180962721684</v>
      </c>
      <c r="L23" s="44">
        <f t="shared" si="21"/>
        <v>0.74208550217595359</v>
      </c>
      <c r="M23" s="44">
        <f t="shared" si="21"/>
        <v>0.75603015075376889</v>
      </c>
      <c r="N23" s="45">
        <f t="shared" si="21"/>
        <v>0.74741278741579797</v>
      </c>
      <c r="O23" s="44">
        <f t="shared" si="21"/>
        <v>0.72189269344836882</v>
      </c>
      <c r="P23" s="44">
        <f t="shared" si="21"/>
        <v>0.72152287381025482</v>
      </c>
      <c r="Q23" s="44">
        <f t="shared" si="21"/>
        <v>0.69476340044281959</v>
      </c>
      <c r="S23" s="44">
        <f t="shared" ref="S23:T23" si="22">IFERROR(S10/S8,0)</f>
        <v>0.69618571394062367</v>
      </c>
      <c r="T23" s="44">
        <f t="shared" si="22"/>
        <v>0.68985204603012396</v>
      </c>
      <c r="W23" s="44">
        <f t="shared" ref="W23:X23" si="23">IFERROR(W10/W8,0)</f>
        <v>0.61571714927427734</v>
      </c>
      <c r="X23" s="44">
        <f t="shared" si="23"/>
        <v>0.62045084426159247</v>
      </c>
    </row>
    <row r="24" spans="1:24" x14ac:dyDescent="0.15">
      <c r="A24" s="68" t="s">
        <v>18</v>
      </c>
      <c r="B24" s="46">
        <f t="shared" ref="B24:Q24" si="24">IFERROR(B14/B8,0)</f>
        <v>0.12043115325391036</v>
      </c>
      <c r="C24" s="46">
        <f t="shared" si="24"/>
        <v>0.15775862068965518</v>
      </c>
      <c r="D24" s="46">
        <f t="shared" si="24"/>
        <v>0.20616620247425352</v>
      </c>
      <c r="E24" s="46">
        <f t="shared" si="24"/>
        <v>0.15076821045650493</v>
      </c>
      <c r="F24" s="47">
        <f t="shared" si="24"/>
        <v>0.1481211679718327</v>
      </c>
      <c r="G24" s="46">
        <f t="shared" si="24"/>
        <v>0.19495565410199556</v>
      </c>
      <c r="H24" s="46">
        <f t="shared" si="24"/>
        <v>0.18416005805214328</v>
      </c>
      <c r="I24" s="46">
        <f t="shared" si="24"/>
        <v>0.15086577150865771</v>
      </c>
      <c r="J24" s="47">
        <f t="shared" si="24"/>
        <v>0.16342242882045321</v>
      </c>
      <c r="K24" s="46">
        <f t="shared" si="24"/>
        <v>0.13558631921824105</v>
      </c>
      <c r="L24" s="46">
        <f t="shared" si="24"/>
        <v>7.8803652188753306E-2</v>
      </c>
      <c r="M24" s="46">
        <f t="shared" si="24"/>
        <v>0.17290021536252692</v>
      </c>
      <c r="N24" s="47">
        <f t="shared" si="24"/>
        <v>0.11888006623264216</v>
      </c>
      <c r="O24" s="46">
        <f t="shared" si="24"/>
        <v>0.1465354543003505</v>
      </c>
      <c r="P24" s="46">
        <f t="shared" si="24"/>
        <v>0.18062634326066931</v>
      </c>
      <c r="Q24" s="46">
        <f t="shared" si="24"/>
        <v>0.19234333968384737</v>
      </c>
      <c r="S24" s="46">
        <f t="shared" ref="S24:T24" si="25">IFERROR(S14/S8,0)</f>
        <v>0.17233132835712733</v>
      </c>
      <c r="T24" s="46">
        <f t="shared" si="25"/>
        <v>0.17461234282667615</v>
      </c>
      <c r="W24" s="46">
        <f t="shared" ref="W24:X24" si="26">IFERROR(W14/W8,0)</f>
        <v>5.1923587799164389E-3</v>
      </c>
      <c r="X24" s="46">
        <f t="shared" si="26"/>
        <v>0.10912831061969658</v>
      </c>
    </row>
    <row r="25" spans="1:24" x14ac:dyDescent="0.15">
      <c r="A25" s="68" t="s">
        <v>19</v>
      </c>
      <c r="B25" s="46">
        <f t="shared" ref="B25:Q25" si="27">IFERROR(B17/B16,0)</f>
        <v>0.24117017481270067</v>
      </c>
      <c r="C25" s="46">
        <f t="shared" si="27"/>
        <v>0.44705882352941179</v>
      </c>
      <c r="D25" s="46">
        <f t="shared" si="27"/>
        <v>0.24603454353189991</v>
      </c>
      <c r="E25" s="46">
        <f t="shared" si="27"/>
        <v>0.34519981626090951</v>
      </c>
      <c r="F25" s="47">
        <f t="shared" si="27"/>
        <v>0.40011223344556679</v>
      </c>
      <c r="G25" s="46">
        <f t="shared" si="27"/>
        <v>0.33868894601542415</v>
      </c>
      <c r="H25" s="46">
        <f t="shared" si="27"/>
        <v>0.33722192078133478</v>
      </c>
      <c r="I25" s="46">
        <f t="shared" si="27"/>
        <v>0.51998417095370009</v>
      </c>
      <c r="J25" s="47">
        <f t="shared" si="27"/>
        <v>0.48844472204871953</v>
      </c>
      <c r="K25" s="46">
        <f t="shared" si="27"/>
        <v>0.28268478484661314</v>
      </c>
      <c r="L25" s="46">
        <f t="shared" si="27"/>
        <v>0.50607990735379271</v>
      </c>
      <c r="M25" s="46">
        <f t="shared" si="27"/>
        <v>0.35149156939040205</v>
      </c>
      <c r="N25" s="47">
        <f t="shared" si="27"/>
        <v>0.42975970425138632</v>
      </c>
      <c r="O25" s="46">
        <f t="shared" si="27"/>
        <v>6.347288564203428E-2</v>
      </c>
      <c r="P25" s="46">
        <f t="shared" si="27"/>
        <v>0.33574811925327391</v>
      </c>
      <c r="Q25" s="46">
        <f t="shared" si="27"/>
        <v>0.30047337278106506</v>
      </c>
      <c r="S25" s="46">
        <f t="shared" ref="S25:T25" si="28">IFERROR(S17/S16,0)</f>
        <v>0.45982413583990295</v>
      </c>
      <c r="T25" s="46">
        <f t="shared" si="28"/>
        <v>0.41034143944976664</v>
      </c>
      <c r="W25" s="46">
        <f t="shared" ref="W25:X25" si="29">IFERROR(W17/W16,0)</f>
        <v>-1.1969969969969969</v>
      </c>
      <c r="X25" s="46">
        <f t="shared" si="29"/>
        <v>0.13649772056851703</v>
      </c>
    </row>
    <row r="26" spans="1:24" x14ac:dyDescent="0.15">
      <c r="B26" s="31"/>
      <c r="C26" s="31"/>
      <c r="D26" s="31"/>
      <c r="E26" s="31"/>
      <c r="F26" s="30"/>
      <c r="G26" s="31"/>
      <c r="H26" s="31"/>
      <c r="I26" s="31"/>
      <c r="J26" s="30"/>
      <c r="K26" s="31"/>
      <c r="L26" s="31"/>
      <c r="M26" s="31"/>
      <c r="Q26" s="31"/>
      <c r="R26" s="57"/>
      <c r="W26" s="28"/>
      <c r="X26" s="28"/>
    </row>
    <row r="27" spans="1:24" s="12" customFormat="1" x14ac:dyDescent="0.15">
      <c r="A27" s="70" t="s">
        <v>16</v>
      </c>
      <c r="B27" s="40"/>
      <c r="C27" s="40"/>
      <c r="D27" s="40"/>
      <c r="E27" s="40"/>
      <c r="F27" s="41">
        <f t="shared" ref="F27:Q27" si="30">IFERROR((F8/B8)-1,0)</f>
        <v>0.33503525407245327</v>
      </c>
      <c r="G27" s="40">
        <f t="shared" si="30"/>
        <v>0.29597701149425282</v>
      </c>
      <c r="H27" s="40">
        <f t="shared" si="30"/>
        <v>0.24962756655223783</v>
      </c>
      <c r="I27" s="40">
        <f t="shared" si="30"/>
        <v>0.22244943075052515</v>
      </c>
      <c r="J27" s="41">
        <f t="shared" si="30"/>
        <v>0.2536878528501183</v>
      </c>
      <c r="K27" s="40">
        <f t="shared" si="30"/>
        <v>0.22527716186252777</v>
      </c>
      <c r="L27" s="40">
        <f t="shared" si="30"/>
        <v>0.2148447623490386</v>
      </c>
      <c r="M27" s="40">
        <f t="shared" si="30"/>
        <v>0.25955061259550605</v>
      </c>
      <c r="N27" s="41">
        <f t="shared" si="30"/>
        <v>0.28670346697656401</v>
      </c>
      <c r="O27" s="40">
        <f t="shared" si="30"/>
        <v>0.34238146941729997</v>
      </c>
      <c r="P27" s="40">
        <f t="shared" si="30"/>
        <v>0.38962368802798863</v>
      </c>
      <c r="Q27" s="40">
        <f t="shared" si="30"/>
        <v>0.39418521177315147</v>
      </c>
      <c r="R27" s="63"/>
      <c r="S27" s="40">
        <f t="shared" ref="S27:T27" si="31">IFERROR((S8/O8)-1,0)</f>
        <v>0.39515368023726061</v>
      </c>
      <c r="T27" s="40">
        <f t="shared" si="31"/>
        <v>0.38206938900828979</v>
      </c>
      <c r="U27" s="35"/>
      <c r="W27" s="40">
        <f t="shared" ref="W27:X27" si="32">IFERROR((W8/S8)-1,0)</f>
        <v>2.4156339831393758E-4</v>
      </c>
      <c r="X27" s="40">
        <f t="shared" si="32"/>
        <v>0.29593015506286924</v>
      </c>
    </row>
    <row r="28" spans="1:24" s="12" customFormat="1" x14ac:dyDescent="0.15">
      <c r="A28" s="68" t="s">
        <v>56</v>
      </c>
      <c r="B28" s="42"/>
      <c r="C28" s="42"/>
      <c r="D28" s="42"/>
      <c r="E28" s="42"/>
      <c r="F28" s="43">
        <f t="shared" ref="F28:Q29" si="33">F11/B11-1</f>
        <v>0.15835076187630714</v>
      </c>
      <c r="G28" s="42">
        <f t="shared" si="33"/>
        <v>0.14969696969696966</v>
      </c>
      <c r="H28" s="42">
        <f t="shared" si="33"/>
        <v>0.21780303030303028</v>
      </c>
      <c r="I28" s="42">
        <f t="shared" si="33"/>
        <v>0.19328896283971164</v>
      </c>
      <c r="J28" s="43">
        <f t="shared" si="33"/>
        <v>0.16533402115037399</v>
      </c>
      <c r="K28" s="42">
        <f t="shared" si="33"/>
        <v>0.17896678966789659</v>
      </c>
      <c r="L28" s="42">
        <f t="shared" si="33"/>
        <v>0.18429237947122856</v>
      </c>
      <c r="M28" s="42">
        <f t="shared" si="33"/>
        <v>0.2086916105042993</v>
      </c>
      <c r="N28" s="43">
        <f t="shared" si="33"/>
        <v>0.28441788401947754</v>
      </c>
      <c r="O28" s="42">
        <f t="shared" si="33"/>
        <v>0.20053655264922865</v>
      </c>
      <c r="P28" s="42">
        <f t="shared" si="33"/>
        <v>0.21295688334427654</v>
      </c>
      <c r="Q28" s="42">
        <f t="shared" si="33"/>
        <v>0.12555277831186307</v>
      </c>
      <c r="R28" s="34"/>
      <c r="S28" s="42">
        <f t="shared" ref="S28:T29" si="34">S11/O11-1</f>
        <v>0.28417132216014895</v>
      </c>
      <c r="T28" s="42">
        <f t="shared" si="34"/>
        <v>0.28437387224828581</v>
      </c>
      <c r="U28" s="35"/>
      <c r="W28" s="42">
        <f t="shared" ref="W28:X29" si="35">W11/S11-1</f>
        <v>0.30075406032482599</v>
      </c>
      <c r="X28" s="42">
        <f t="shared" si="35"/>
        <v>0.32256251756111265</v>
      </c>
    </row>
    <row r="29" spans="1:24" s="12" customFormat="1" x14ac:dyDescent="0.15">
      <c r="A29" s="68" t="s">
        <v>143</v>
      </c>
      <c r="B29" s="42"/>
      <c r="C29" s="42"/>
      <c r="D29" s="42"/>
      <c r="E29" s="42"/>
      <c r="F29" s="43">
        <f t="shared" si="33"/>
        <v>0.4901133667281834</v>
      </c>
      <c r="G29" s="42">
        <f t="shared" si="33"/>
        <v>0.35817199459702831</v>
      </c>
      <c r="H29" s="42">
        <f t="shared" si="33"/>
        <v>0.45995807127882604</v>
      </c>
      <c r="I29" s="42">
        <f t="shared" si="33"/>
        <v>0.26999856383742649</v>
      </c>
      <c r="J29" s="43">
        <f t="shared" si="33"/>
        <v>0.3112172682236376</v>
      </c>
      <c r="K29" s="42">
        <f t="shared" si="33"/>
        <v>0.47306481021050883</v>
      </c>
      <c r="L29" s="42">
        <f t="shared" si="33"/>
        <v>0.57624928202182657</v>
      </c>
      <c r="M29" s="42">
        <f t="shared" si="33"/>
        <v>0.2490105167929435</v>
      </c>
      <c r="N29" s="43">
        <f t="shared" si="33"/>
        <v>0.47065173390905413</v>
      </c>
      <c r="O29" s="42">
        <f t="shared" si="33"/>
        <v>0.31675481039720932</v>
      </c>
      <c r="P29" s="42">
        <f t="shared" si="33"/>
        <v>0.1000273298715495</v>
      </c>
      <c r="Q29" s="42">
        <f t="shared" si="33"/>
        <v>0.23684925305568139</v>
      </c>
      <c r="R29" s="34"/>
      <c r="S29" s="42">
        <f t="shared" si="34"/>
        <v>0.26388651512561956</v>
      </c>
      <c r="T29" s="42">
        <f t="shared" si="34"/>
        <v>0.33126293995859224</v>
      </c>
      <c r="U29" s="35"/>
      <c r="W29" s="42">
        <f t="shared" si="35"/>
        <v>0.10277214334009477</v>
      </c>
      <c r="X29" s="42">
        <f t="shared" si="35"/>
        <v>0.26992223950233285</v>
      </c>
    </row>
    <row r="31" spans="1:24" s="12" customFormat="1" x14ac:dyDescent="0.15">
      <c r="A31" s="70" t="s">
        <v>31</v>
      </c>
      <c r="B31" s="31"/>
      <c r="C31" s="31"/>
      <c r="D31" s="31"/>
      <c r="E31" s="31"/>
      <c r="F31" s="30"/>
      <c r="G31" s="31"/>
      <c r="H31" s="31"/>
      <c r="I31" s="48"/>
      <c r="J31" s="30"/>
      <c r="K31" s="31"/>
      <c r="L31" s="31"/>
      <c r="M31" s="32">
        <f t="shared" ref="M31:P31" si="36">M32-M33</f>
        <v>54874</v>
      </c>
      <c r="N31" s="33">
        <f t="shared" si="36"/>
        <v>83852</v>
      </c>
      <c r="O31" s="32">
        <f t="shared" si="36"/>
        <v>114113</v>
      </c>
      <c r="P31" s="32">
        <f t="shared" si="36"/>
        <v>109471</v>
      </c>
      <c r="Q31" s="32">
        <f t="shared" ref="Q31" si="37">Q32-Q33</f>
        <v>105282</v>
      </c>
      <c r="R31" s="34"/>
      <c r="S31" s="35"/>
      <c r="T31" s="35"/>
      <c r="U31" s="32">
        <f t="shared" ref="U31" si="38">U32-U33</f>
        <v>116379</v>
      </c>
      <c r="X31" s="32">
        <f t="shared" ref="X31" si="39">X32-X33</f>
        <v>163712</v>
      </c>
    </row>
    <row r="32" spans="1:24" x14ac:dyDescent="0.15">
      <c r="A32" s="68" t="s">
        <v>32</v>
      </c>
      <c r="B32" s="31"/>
      <c r="C32" s="31"/>
      <c r="D32" s="31"/>
      <c r="E32" s="31"/>
      <c r="F32" s="30"/>
      <c r="G32" s="31"/>
      <c r="H32" s="31"/>
      <c r="I32" s="31"/>
      <c r="J32" s="30"/>
      <c r="K32" s="31"/>
      <c r="L32" s="31"/>
      <c r="M32" s="31">
        <f>42662+23040+5005+2001</f>
        <v>72708</v>
      </c>
      <c r="N32" s="30">
        <f>46443+44667+4077+6568</f>
        <v>101755</v>
      </c>
      <c r="O32" s="31">
        <f>35930+60121+998+36873</f>
        <v>133922</v>
      </c>
      <c r="P32" s="31">
        <f>49388+44077+36910</f>
        <v>130375</v>
      </c>
      <c r="Q32" s="31">
        <f>68798+36484</f>
        <v>105282</v>
      </c>
      <c r="U32" s="31">
        <f>56415+31891+28073</f>
        <v>116379</v>
      </c>
      <c r="X32" s="31">
        <f>93463+158432+1092</f>
        <v>252987</v>
      </c>
    </row>
    <row r="33" spans="1:24" x14ac:dyDescent="0.15">
      <c r="A33" s="68" t="s">
        <v>33</v>
      </c>
      <c r="B33" s="31"/>
      <c r="C33" s="31"/>
      <c r="D33" s="31"/>
      <c r="E33" s="31"/>
      <c r="F33" s="30"/>
      <c r="G33" s="31"/>
      <c r="H33" s="31"/>
      <c r="I33" s="31"/>
      <c r="J33" s="30"/>
      <c r="K33" s="31"/>
      <c r="L33" s="31"/>
      <c r="M33" s="31">
        <v>17834</v>
      </c>
      <c r="N33" s="30">
        <v>17903</v>
      </c>
      <c r="O33" s="31">
        <v>19809</v>
      </c>
      <c r="P33" s="31">
        <v>20904</v>
      </c>
      <c r="Q33" s="31">
        <v>0</v>
      </c>
      <c r="U33" s="31">
        <v>0</v>
      </c>
      <c r="X33" s="31">
        <v>89275</v>
      </c>
    </row>
    <row r="34" spans="1:24" x14ac:dyDescent="0.15">
      <c r="X34" s="28"/>
    </row>
    <row r="35" spans="1:24" x14ac:dyDescent="0.15">
      <c r="A35" s="71" t="s">
        <v>70</v>
      </c>
      <c r="B35" s="31"/>
      <c r="C35" s="31"/>
      <c r="D35" s="31"/>
      <c r="E35" s="48"/>
      <c r="F35" s="30"/>
      <c r="G35" s="31"/>
      <c r="H35" s="31"/>
      <c r="I35" s="48"/>
      <c r="J35" s="30"/>
      <c r="K35" s="31"/>
      <c r="L35" s="31"/>
      <c r="M35" s="48">
        <f>9328+5023</f>
        <v>14351</v>
      </c>
      <c r="N35" s="30">
        <f>12184+51471</f>
        <v>63655</v>
      </c>
      <c r="O35" s="31">
        <f>11974+51639</f>
        <v>63613</v>
      </c>
      <c r="P35" s="31">
        <f>11191+52667</f>
        <v>63858</v>
      </c>
      <c r="Q35" s="31">
        <f>11545+54070</f>
        <v>65615</v>
      </c>
      <c r="U35" s="31">
        <f>10365+3295+52205</f>
        <v>65865</v>
      </c>
      <c r="V35" s="6" t="s">
        <v>144</v>
      </c>
      <c r="X35" s="31">
        <f>22604+5602+106017</f>
        <v>134223</v>
      </c>
    </row>
    <row r="36" spans="1:24" x14ac:dyDescent="0.15">
      <c r="A36" s="71" t="s">
        <v>71</v>
      </c>
      <c r="B36" s="31"/>
      <c r="C36" s="31"/>
      <c r="D36" s="31"/>
      <c r="E36" s="48"/>
      <c r="F36" s="30"/>
      <c r="G36" s="31"/>
      <c r="H36" s="31"/>
      <c r="I36" s="48"/>
      <c r="J36" s="30"/>
      <c r="K36" s="31"/>
      <c r="L36" s="31"/>
      <c r="M36" s="48">
        <v>130544</v>
      </c>
      <c r="N36" s="30">
        <v>212905</v>
      </c>
      <c r="O36" s="31">
        <v>250012</v>
      </c>
      <c r="P36" s="31">
        <v>252789</v>
      </c>
      <c r="Q36" s="31">
        <v>243106</v>
      </c>
      <c r="U36" s="31">
        <v>291126</v>
      </c>
      <c r="X36" s="31">
        <v>517032</v>
      </c>
    </row>
    <row r="37" spans="1:24" x14ac:dyDescent="0.15">
      <c r="A37" s="71" t="s">
        <v>72</v>
      </c>
      <c r="B37" s="31"/>
      <c r="C37" s="31"/>
      <c r="D37" s="31"/>
      <c r="E37" s="48"/>
      <c r="F37" s="30"/>
      <c r="G37" s="31"/>
      <c r="H37" s="31"/>
      <c r="I37" s="48"/>
      <c r="J37" s="30"/>
      <c r="K37" s="31"/>
      <c r="L37" s="31"/>
      <c r="M37" s="48">
        <f>37897+9821</f>
        <v>47718</v>
      </c>
      <c r="N37" s="30">
        <f>42580+6014</f>
        <v>48594</v>
      </c>
      <c r="O37" s="31">
        <f>41898+6639</f>
        <v>48537</v>
      </c>
      <c r="P37" s="31">
        <f>45570+7332</f>
        <v>52902</v>
      </c>
      <c r="Q37" s="31">
        <f>25878+12780</f>
        <v>38658</v>
      </c>
      <c r="U37" s="31">
        <v>61691</v>
      </c>
      <c r="X37" s="31">
        <v>168934</v>
      </c>
    </row>
    <row r="38" spans="1:24" x14ac:dyDescent="0.15">
      <c r="E38" s="49"/>
      <c r="I38" s="49"/>
      <c r="M38" s="49"/>
      <c r="X38" s="28"/>
    </row>
    <row r="39" spans="1:24" x14ac:dyDescent="0.15">
      <c r="A39" s="71" t="s">
        <v>73</v>
      </c>
      <c r="E39" s="49"/>
      <c r="F39" s="30"/>
      <c r="G39" s="31"/>
      <c r="H39" s="31"/>
      <c r="I39" s="48"/>
      <c r="J39" s="30"/>
      <c r="K39" s="31"/>
      <c r="L39" s="31"/>
      <c r="M39" s="36">
        <f t="shared" ref="M39:O39" si="40">M36-M32-M35</f>
        <v>43485</v>
      </c>
      <c r="N39" s="37">
        <f t="shared" si="40"/>
        <v>47495</v>
      </c>
      <c r="O39" s="36">
        <f t="shared" si="40"/>
        <v>52477</v>
      </c>
      <c r="P39" s="36">
        <f>P36-P32-P35</f>
        <v>58556</v>
      </c>
      <c r="Q39" s="36">
        <f>Q36-Q32-Q35</f>
        <v>72209</v>
      </c>
      <c r="U39" s="36">
        <f>U36-U32-U35</f>
        <v>108882</v>
      </c>
      <c r="X39" s="36">
        <f>X36-X32-X35</f>
        <v>129822</v>
      </c>
    </row>
    <row r="40" spans="1:24" x14ac:dyDescent="0.15">
      <c r="A40" s="71" t="s">
        <v>74</v>
      </c>
      <c r="E40" s="49"/>
      <c r="F40" s="30"/>
      <c r="G40" s="31"/>
      <c r="H40" s="31"/>
      <c r="I40" s="48"/>
      <c r="M40" s="36">
        <f t="shared" ref="M40:P40" si="41">M36-M37</f>
        <v>82826</v>
      </c>
      <c r="N40" s="37">
        <f t="shared" si="41"/>
        <v>164311</v>
      </c>
      <c r="O40" s="36">
        <f t="shared" si="41"/>
        <v>201475</v>
      </c>
      <c r="P40" s="36">
        <f t="shared" si="41"/>
        <v>199887</v>
      </c>
      <c r="Q40" s="36">
        <f t="shared" ref="Q40" si="42">Q36-Q37</f>
        <v>204448</v>
      </c>
      <c r="U40" s="36">
        <f t="shared" ref="U40" si="43">U36-U37</f>
        <v>229435</v>
      </c>
      <c r="X40" s="36">
        <f t="shared" ref="X40" si="44">X36-X37</f>
        <v>348098</v>
      </c>
    </row>
    <row r="41" spans="1:24" x14ac:dyDescent="0.15">
      <c r="E41" s="49"/>
      <c r="I41" s="49"/>
      <c r="M41" s="49"/>
      <c r="X41" s="28"/>
    </row>
    <row r="42" spans="1:24" s="12" customFormat="1" x14ac:dyDescent="0.15">
      <c r="A42" s="72" t="s">
        <v>75</v>
      </c>
      <c r="B42" s="35"/>
      <c r="C42" s="35"/>
      <c r="D42" s="35"/>
      <c r="E42" s="49"/>
      <c r="F42" s="29"/>
      <c r="G42" s="28"/>
      <c r="H42" s="28"/>
      <c r="I42" s="49"/>
      <c r="J42" s="29"/>
      <c r="K42" s="28"/>
      <c r="L42" s="28"/>
      <c r="M42" s="32">
        <f>SUM(J19:M19)</f>
        <v>8656</v>
      </c>
      <c r="N42" s="33">
        <f>SUM(K19:N19)</f>
        <v>9688</v>
      </c>
      <c r="O42" s="32">
        <f>SUM(L19:O19)</f>
        <v>39535</v>
      </c>
      <c r="P42" s="32">
        <f>SUM(M19:P19)</f>
        <v>43450</v>
      </c>
      <c r="Q42" s="32">
        <f>SUM(N19:Q19)</f>
        <v>45861</v>
      </c>
      <c r="R42" s="34"/>
      <c r="S42" s="35"/>
      <c r="T42" s="35"/>
      <c r="U42" s="32">
        <f>SUM(R19:U19)</f>
        <v>8364</v>
      </c>
      <c r="X42" s="32">
        <f>SUM(U19:X19)</f>
        <v>18882</v>
      </c>
    </row>
    <row r="43" spans="1:24" x14ac:dyDescent="0.15">
      <c r="A43" s="71" t="s">
        <v>76</v>
      </c>
      <c r="E43" s="49"/>
      <c r="I43" s="49"/>
      <c r="M43" s="44">
        <f t="shared" ref="M43:O43" si="45">M42/M40</f>
        <v>0.10450824620288315</v>
      </c>
      <c r="N43" s="45">
        <f t="shared" si="45"/>
        <v>5.8961359860264982E-2</v>
      </c>
      <c r="O43" s="44">
        <f t="shared" si="45"/>
        <v>0.19622781982876286</v>
      </c>
      <c r="P43" s="44">
        <f>P42/P40</f>
        <v>0.21737281564083707</v>
      </c>
      <c r="Q43" s="44">
        <f>Q42/Q40</f>
        <v>0.22431620754421663</v>
      </c>
      <c r="U43" s="44">
        <f>U42/U40</f>
        <v>3.6454769324645322E-2</v>
      </c>
      <c r="X43" s="44">
        <f>X42/X40</f>
        <v>5.4243345264839211E-2</v>
      </c>
    </row>
    <row r="44" spans="1:24" x14ac:dyDescent="0.15">
      <c r="A44" s="71" t="s">
        <v>77</v>
      </c>
      <c r="E44" s="49"/>
      <c r="I44" s="49"/>
      <c r="M44" s="44">
        <f t="shared" ref="M44:O44" si="46">M42/M36</f>
        <v>6.6307145483515142E-2</v>
      </c>
      <c r="N44" s="45">
        <f t="shared" si="46"/>
        <v>4.5503863225382211E-2</v>
      </c>
      <c r="O44" s="44">
        <f t="shared" si="46"/>
        <v>0.15813240964433709</v>
      </c>
      <c r="P44" s="44">
        <f>P42/P36</f>
        <v>0.17188247906356685</v>
      </c>
      <c r="Q44" s="44">
        <f>Q42/Q36</f>
        <v>0.18864610499123838</v>
      </c>
      <c r="U44" s="44">
        <f>U42/U36</f>
        <v>2.8729828321757588E-2</v>
      </c>
      <c r="X44" s="44">
        <f>X42/X36</f>
        <v>3.6519983289235482E-2</v>
      </c>
    </row>
    <row r="45" spans="1:24" x14ac:dyDescent="0.15">
      <c r="A45" s="71" t="s">
        <v>78</v>
      </c>
      <c r="E45" s="49"/>
      <c r="I45" s="49"/>
      <c r="M45" s="44">
        <f t="shared" ref="M45:O45" si="47">M42/(M40-M35)</f>
        <v>0.12641109894121944</v>
      </c>
      <c r="N45" s="45">
        <f t="shared" si="47"/>
        <v>9.6248609124145609E-2</v>
      </c>
      <c r="O45" s="44">
        <f t="shared" si="47"/>
        <v>0.28677227952590273</v>
      </c>
      <c r="P45" s="44">
        <f>P42/(P40-P35)</f>
        <v>0.31941718310066236</v>
      </c>
      <c r="Q45" s="44">
        <f>Q42/(Q40-Q35)</f>
        <v>0.33033212564736048</v>
      </c>
      <c r="U45" s="44">
        <f>U42/(U40-U35)</f>
        <v>5.1134071039921743E-2</v>
      </c>
      <c r="X45" s="44">
        <f>X42/(X40-X35)</f>
        <v>8.8285213325540624E-2</v>
      </c>
    </row>
    <row r="46" spans="1:24" x14ac:dyDescent="0.15">
      <c r="A46" s="71" t="s">
        <v>79</v>
      </c>
      <c r="E46" s="49"/>
      <c r="I46" s="49"/>
      <c r="M46" s="44">
        <f t="shared" ref="M46:O46" si="48">M42/M39</f>
        <v>0.19905714614234793</v>
      </c>
      <c r="N46" s="45">
        <f t="shared" si="48"/>
        <v>0.20397936624907886</v>
      </c>
      <c r="O46" s="44">
        <f t="shared" si="48"/>
        <v>0.75337767021742863</v>
      </c>
      <c r="P46" s="44">
        <f>P42/P39</f>
        <v>0.74202472846505907</v>
      </c>
      <c r="Q46" s="44">
        <f>Q42/Q39</f>
        <v>0.63511473639020066</v>
      </c>
      <c r="U46" s="44">
        <f>U42/U39</f>
        <v>7.6817104755606991E-2</v>
      </c>
      <c r="X46" s="44">
        <f>X42/X39</f>
        <v>0.14544530202893191</v>
      </c>
    </row>
    <row r="47" spans="1:24" x14ac:dyDescent="0.15">
      <c r="U47" s="6"/>
    </row>
    <row r="48" spans="1:24" x14ac:dyDescent="0.15">
      <c r="A48" s="68" t="s">
        <v>92</v>
      </c>
      <c r="F48" s="45">
        <f>F3/B3-1</f>
        <v>0.27149069015497829</v>
      </c>
      <c r="G48" s="44">
        <f>G3/C3-1</f>
        <v>0.24253214638971321</v>
      </c>
      <c r="H48" s="44">
        <f>H3/D3-1</f>
        <v>0.20633922959504347</v>
      </c>
      <c r="I48" s="44">
        <f>I3/E3-1</f>
        <v>0.20212683381200036</v>
      </c>
      <c r="J48" s="45">
        <f>J3/F3-1</f>
        <v>0.25885654156436333</v>
      </c>
      <c r="K48" s="44">
        <f>K3/G3-1</f>
        <v>0.23634771533195353</v>
      </c>
      <c r="L48" s="44">
        <f>L3/H3-1</f>
        <v>0.21548195013025673</v>
      </c>
      <c r="M48" s="44">
        <f>M3/I3-1</f>
        <v>0.22244463098082257</v>
      </c>
      <c r="N48" s="45">
        <f>N3/J3-1</f>
        <v>0.21726107550849827</v>
      </c>
      <c r="O48" s="44">
        <f>O3/K3-1</f>
        <v>0.21453866460627125</v>
      </c>
      <c r="P48" s="44">
        <f>P3/L3-1</f>
        <v>0.22259644825474578</v>
      </c>
      <c r="Q48" s="44">
        <f>Q3/M3-1</f>
        <v>0.18281216987111759</v>
      </c>
      <c r="R48" s="60"/>
      <c r="S48" s="6"/>
      <c r="T48" s="44">
        <f>T3/P3-1</f>
        <v>0.24973703981968454</v>
      </c>
      <c r="U48" s="44">
        <f>U3/Q3-1</f>
        <v>-1</v>
      </c>
      <c r="X48" s="44">
        <f>X3/T3-1</f>
        <v>0.12384273175423832</v>
      </c>
    </row>
    <row r="49" spans="1:24" x14ac:dyDescent="0.15">
      <c r="A49" s="68" t="s">
        <v>93</v>
      </c>
      <c r="F49" s="45">
        <f>F4/B4-1</f>
        <v>0.43115707821590177</v>
      </c>
      <c r="G49" s="44">
        <f>G4/C4-1</f>
        <v>0.3735149232106636</v>
      </c>
      <c r="H49" s="44">
        <f>H4/D4-1</f>
        <v>0.27321292292037658</v>
      </c>
      <c r="I49" s="44">
        <f>I4/E4-1</f>
        <v>0.19050701186623509</v>
      </c>
      <c r="J49" s="45">
        <f>J4/F4-1</f>
        <v>0.16508581752484197</v>
      </c>
      <c r="K49" s="44">
        <f>K4/G4-1</f>
        <v>0.13987341772151907</v>
      </c>
      <c r="L49" s="44">
        <f>L4/H4-1</f>
        <v>0.10909090909090913</v>
      </c>
      <c r="M49" s="44">
        <f>M4/I4-1</f>
        <v>0.11235955056179781</v>
      </c>
      <c r="N49" s="45">
        <f>N4/J4-1</f>
        <v>3.9930219034696623E-2</v>
      </c>
      <c r="O49" s="44">
        <f>O4/K4-1</f>
        <v>3.9977790116601852E-2</v>
      </c>
      <c r="P49" s="44">
        <f>P4/L4-1</f>
        <v>7.2239236173662347E-2</v>
      </c>
      <c r="Q49" s="44">
        <f>Q4/M4-1</f>
        <v>0.15754317367220594</v>
      </c>
      <c r="R49" s="60"/>
      <c r="S49" s="6"/>
      <c r="T49" s="44">
        <f>T4/P4-1</f>
        <v>5.5275537634408511E-2</v>
      </c>
      <c r="U49" s="44">
        <f>U4/Q4-1</f>
        <v>-1</v>
      </c>
      <c r="X49" s="44">
        <f>X4/T4-1</f>
        <v>-0.1819773921350103</v>
      </c>
    </row>
    <row r="50" spans="1:24" x14ac:dyDescent="0.15">
      <c r="A50" s="68" t="s">
        <v>141</v>
      </c>
      <c r="F50" s="45"/>
      <c r="G50" s="44"/>
      <c r="H50" s="44"/>
      <c r="I50" s="44"/>
      <c r="J50" s="45"/>
      <c r="K50" s="44"/>
      <c r="L50" s="44"/>
      <c r="M50" s="44"/>
      <c r="N50" s="45"/>
      <c r="O50" s="44"/>
      <c r="P50" s="44"/>
      <c r="Q50" s="44"/>
      <c r="R50" s="60"/>
      <c r="S50" s="6"/>
      <c r="T50" s="44" t="e">
        <f>T5/P5-1</f>
        <v>#DIV/0!</v>
      </c>
      <c r="U50" s="44" t="e">
        <f>U5/Q5-1</f>
        <v>#DIV/0!</v>
      </c>
      <c r="X50" s="44">
        <f>X5/T5-1</f>
        <v>0.55192651186527186</v>
      </c>
    </row>
    <row r="51" spans="1:24" x14ac:dyDescent="0.15">
      <c r="A51" s="68" t="s">
        <v>103</v>
      </c>
      <c r="F51" s="45">
        <f>F6/B6-1</f>
        <v>1.3224637681159419</v>
      </c>
      <c r="G51" s="44">
        <f>G6/C6-1</f>
        <v>1.0557103064066853</v>
      </c>
      <c r="H51" s="44">
        <f>H6/D6-1</f>
        <v>1.299191374663073</v>
      </c>
      <c r="I51" s="44">
        <f>I6/E6-1</f>
        <v>0.93402777777777768</v>
      </c>
      <c r="J51" s="45">
        <f>J6/F6-1</f>
        <v>0.77379095163806544</v>
      </c>
      <c r="K51" s="44">
        <f>K6/G6-1</f>
        <v>0.58536585365853666</v>
      </c>
      <c r="L51" s="44">
        <f>L6/H6-1</f>
        <v>0.82532239155920273</v>
      </c>
      <c r="M51" s="44">
        <f>M6/I6-1</f>
        <v>1.504488330341113</v>
      </c>
      <c r="N51" s="45">
        <f>N6/J6-1</f>
        <v>2.2832014072119615</v>
      </c>
      <c r="O51" s="44">
        <f>O6/K6-1</f>
        <v>3.4358974358974361</v>
      </c>
      <c r="P51" s="44">
        <f>P6/L6-1</f>
        <v>3.2729608220937703</v>
      </c>
      <c r="Q51" s="44">
        <f>Q6/M6-1</f>
        <v>2.3491039426523299</v>
      </c>
      <c r="R51" s="60"/>
      <c r="S51" s="6"/>
      <c r="T51" s="44">
        <f>T6/P6-1</f>
        <v>-0.69562603336840523</v>
      </c>
      <c r="U51" s="44">
        <f>U6/Q6-1</f>
        <v>-1</v>
      </c>
      <c r="X51" s="44">
        <f>X6/T6-1</f>
        <v>2.4123456790123456</v>
      </c>
    </row>
    <row r="53" spans="1:24" s="8" customFormat="1" x14ac:dyDescent="0.15">
      <c r="A53" s="69" t="s">
        <v>94</v>
      </c>
      <c r="B53" s="31">
        <v>11620</v>
      </c>
      <c r="C53" s="31">
        <v>13107</v>
      </c>
      <c r="D53" s="31">
        <v>14505</v>
      </c>
      <c r="E53" s="31">
        <v>16673</v>
      </c>
      <c r="F53" s="30">
        <v>15147</v>
      </c>
      <c r="G53" s="31">
        <v>16532</v>
      </c>
      <c r="H53" s="31">
        <v>17482</v>
      </c>
      <c r="I53" s="31">
        <v>20095</v>
      </c>
      <c r="J53" s="30">
        <v>18671</v>
      </c>
      <c r="K53" s="31">
        <v>20166</v>
      </c>
      <c r="L53" s="31">
        <v>21159</v>
      </c>
      <c r="M53" s="31">
        <v>24172</v>
      </c>
      <c r="N53" s="30">
        <v>22285</v>
      </c>
      <c r="O53" s="31">
        <v>24682</v>
      </c>
      <c r="P53" s="31">
        <v>26675</v>
      </c>
      <c r="Q53" s="31">
        <v>30722</v>
      </c>
      <c r="R53" s="30"/>
      <c r="S53" s="31"/>
      <c r="T53" s="31"/>
      <c r="U53" s="31"/>
    </row>
    <row r="54" spans="1:24" s="8" customFormat="1" x14ac:dyDescent="0.15">
      <c r="A54" s="69" t="s">
        <v>95</v>
      </c>
      <c r="B54" s="31">
        <v>671</v>
      </c>
      <c r="C54" s="31">
        <v>730</v>
      </c>
      <c r="D54" s="31">
        <v>827</v>
      </c>
      <c r="E54" s="31">
        <v>1172</v>
      </c>
      <c r="F54" s="30">
        <v>1043</v>
      </c>
      <c r="G54" s="31">
        <v>1069</v>
      </c>
      <c r="H54" s="31">
        <v>1200</v>
      </c>
      <c r="I54" s="31">
        <v>1406</v>
      </c>
      <c r="J54" s="30">
        <v>1295</v>
      </c>
      <c r="K54" s="31">
        <v>1168</v>
      </c>
      <c r="L54" s="31">
        <v>1060</v>
      </c>
      <c r="M54" s="31">
        <v>1445</v>
      </c>
      <c r="N54" s="30">
        <v>1255</v>
      </c>
      <c r="O54" s="31">
        <v>442</v>
      </c>
      <c r="P54" s="31"/>
      <c r="Q54" s="31"/>
      <c r="R54" s="30"/>
      <c r="S54" s="31"/>
      <c r="T54" s="31"/>
      <c r="U54" s="31"/>
    </row>
    <row r="55" spans="1:24" s="8" customFormat="1" x14ac:dyDescent="0.15">
      <c r="A55" s="69" t="s">
        <v>96</v>
      </c>
      <c r="B55" s="31">
        <v>161</v>
      </c>
      <c r="C55" s="31">
        <v>194</v>
      </c>
      <c r="D55" s="31">
        <v>234</v>
      </c>
      <c r="E55" s="31">
        <v>395</v>
      </c>
      <c r="F55" s="30">
        <v>445</v>
      </c>
      <c r="G55" s="31">
        <v>528</v>
      </c>
      <c r="H55" s="31">
        <v>587</v>
      </c>
      <c r="I55" s="31">
        <v>753</v>
      </c>
      <c r="J55" s="30">
        <v>778</v>
      </c>
      <c r="K55" s="31">
        <v>772</v>
      </c>
      <c r="L55" s="31">
        <v>1150</v>
      </c>
      <c r="M55" s="31">
        <v>2191</v>
      </c>
      <c r="N55" s="30">
        <v>3116</v>
      </c>
      <c r="O55" s="31">
        <v>4064</v>
      </c>
      <c r="P55" s="31">
        <v>5109</v>
      </c>
      <c r="Q55" s="31">
        <v>6924</v>
      </c>
      <c r="R55" s="30"/>
      <c r="S55" s="31"/>
      <c r="T55" s="31"/>
      <c r="U55" s="31"/>
    </row>
    <row r="56" spans="1:24" s="8" customFormat="1" x14ac:dyDescent="0.15">
      <c r="A56" s="69" t="s">
        <v>97</v>
      </c>
      <c r="B56" s="31">
        <v>179</v>
      </c>
      <c r="C56" s="31">
        <v>211</v>
      </c>
      <c r="D56" s="31">
        <v>243</v>
      </c>
      <c r="E56" s="31">
        <v>261</v>
      </c>
      <c r="F56" s="30">
        <v>241</v>
      </c>
      <c r="G56" s="31">
        <v>313</v>
      </c>
      <c r="H56" s="31">
        <v>352</v>
      </c>
      <c r="I56" s="31">
        <v>398</v>
      </c>
      <c r="J56" s="30">
        <v>367</v>
      </c>
      <c r="K56" s="31">
        <v>456</v>
      </c>
      <c r="L56" s="31">
        <v>548</v>
      </c>
      <c r="M56" s="31">
        <v>688</v>
      </c>
      <c r="N56" s="30">
        <v>706</v>
      </c>
      <c r="O56" s="31">
        <v>915</v>
      </c>
      <c r="P56" s="31">
        <v>988</v>
      </c>
      <c r="Q56" s="31">
        <v>1108</v>
      </c>
      <c r="R56" s="30"/>
      <c r="S56" s="31"/>
      <c r="T56" s="31"/>
      <c r="U56" s="31"/>
    </row>
    <row r="57" spans="1:24" s="8" customFormat="1" x14ac:dyDescent="0.15">
      <c r="A57" s="69" t="s">
        <v>98</v>
      </c>
      <c r="B57" s="31"/>
      <c r="C57" s="31"/>
      <c r="D57" s="31"/>
      <c r="E57" s="31"/>
      <c r="F57" s="30"/>
      <c r="G57" s="31"/>
      <c r="H57" s="31"/>
      <c r="I57" s="31"/>
      <c r="J57" s="30">
        <v>244</v>
      </c>
      <c r="K57" s="31">
        <v>251</v>
      </c>
      <c r="L57" s="31">
        <v>290</v>
      </c>
      <c r="M57" s="31">
        <v>402</v>
      </c>
      <c r="N57" s="30">
        <v>421</v>
      </c>
      <c r="O57" s="31">
        <v>395</v>
      </c>
      <c r="P57" s="31">
        <v>414</v>
      </c>
      <c r="Q57" s="31">
        <v>679</v>
      </c>
      <c r="R57" s="30"/>
      <c r="S57" s="31"/>
      <c r="T57" s="31"/>
      <c r="U57" s="31"/>
    </row>
    <row r="58" spans="1:24" s="8" customFormat="1" x14ac:dyDescent="0.15">
      <c r="A58" s="69" t="s">
        <v>99</v>
      </c>
      <c r="B58" s="31">
        <v>99</v>
      </c>
      <c r="C58" s="31">
        <v>94</v>
      </c>
      <c r="D58" s="31">
        <v>106</v>
      </c>
      <c r="E58" s="31">
        <v>142</v>
      </c>
      <c r="F58" s="30">
        <v>185</v>
      </c>
      <c r="G58" s="31">
        <v>153</v>
      </c>
      <c r="H58" s="31">
        <v>210</v>
      </c>
      <c r="I58" s="31">
        <v>282</v>
      </c>
      <c r="J58" s="30">
        <v>66</v>
      </c>
      <c r="K58" s="31">
        <v>65</v>
      </c>
      <c r="L58" s="31">
        <v>92</v>
      </c>
      <c r="M58" s="31">
        <v>146</v>
      </c>
      <c r="N58" s="30">
        <v>182</v>
      </c>
      <c r="O58" s="31">
        <v>414</v>
      </c>
      <c r="P58" s="31">
        <v>706</v>
      </c>
      <c r="Q58" s="31">
        <v>1214</v>
      </c>
      <c r="R58" s="30"/>
      <c r="S58" s="31"/>
      <c r="T58" s="31"/>
      <c r="U58" s="31"/>
    </row>
    <row r="59" spans="1:24" s="8" customFormat="1" x14ac:dyDescent="0.15">
      <c r="A59" s="69" t="s">
        <v>100</v>
      </c>
      <c r="B59" s="31">
        <v>-391</v>
      </c>
      <c r="C59" s="31">
        <v>-416</v>
      </c>
      <c r="D59" s="31">
        <v>-476</v>
      </c>
      <c r="E59" s="31">
        <v>-549</v>
      </c>
      <c r="F59" s="30">
        <v>-588</v>
      </c>
      <c r="G59" s="31">
        <v>-555</v>
      </c>
      <c r="H59" s="31">
        <v>-538</v>
      </c>
      <c r="I59" s="31">
        <v>-815</v>
      </c>
      <c r="J59" s="30">
        <v>-769</v>
      </c>
      <c r="K59" s="31">
        <v>-774</v>
      </c>
      <c r="L59" s="31">
        <v>-861</v>
      </c>
      <c r="M59" s="31">
        <v>-1184</v>
      </c>
      <c r="N59" s="30">
        <v>-1392</v>
      </c>
      <c r="O59" s="31">
        <v>-1240</v>
      </c>
      <c r="P59" s="31">
        <v>-1332</v>
      </c>
      <c r="Q59" s="31">
        <v>-1805</v>
      </c>
      <c r="R59" s="30"/>
      <c r="S59" s="31"/>
      <c r="T59" s="31"/>
      <c r="U59" s="31"/>
    </row>
    <row r="60" spans="1:24" s="18" customFormat="1" x14ac:dyDescent="0.15">
      <c r="A60" s="73" t="s">
        <v>101</v>
      </c>
      <c r="B60" s="33">
        <f t="shared" ref="B60:Q60" si="49">SUM(B53:B59)</f>
        <v>12339</v>
      </c>
      <c r="C60" s="32">
        <f t="shared" si="49"/>
        <v>13920</v>
      </c>
      <c r="D60" s="32">
        <f t="shared" si="49"/>
        <v>15439</v>
      </c>
      <c r="E60" s="32">
        <f t="shared" si="49"/>
        <v>18094</v>
      </c>
      <c r="F60" s="33">
        <f t="shared" si="49"/>
        <v>16473</v>
      </c>
      <c r="G60" s="32">
        <f t="shared" si="49"/>
        <v>18040</v>
      </c>
      <c r="H60" s="32">
        <f t="shared" si="49"/>
        <v>19293</v>
      </c>
      <c r="I60" s="32">
        <f t="shared" si="49"/>
        <v>22119</v>
      </c>
      <c r="J60" s="33">
        <f t="shared" si="49"/>
        <v>20652</v>
      </c>
      <c r="K60" s="32">
        <f t="shared" si="49"/>
        <v>22104</v>
      </c>
      <c r="L60" s="32">
        <f t="shared" si="49"/>
        <v>23438</v>
      </c>
      <c r="M60" s="32">
        <f t="shared" si="49"/>
        <v>27860</v>
      </c>
      <c r="N60" s="33">
        <f t="shared" si="49"/>
        <v>26573</v>
      </c>
      <c r="O60" s="32">
        <f t="shared" si="49"/>
        <v>29672</v>
      </c>
      <c r="P60" s="32">
        <f t="shared" si="49"/>
        <v>32560</v>
      </c>
      <c r="Q60" s="32">
        <f t="shared" si="49"/>
        <v>38842</v>
      </c>
      <c r="R60" s="54"/>
      <c r="S60" s="62"/>
      <c r="T60" s="62"/>
      <c r="U60" s="6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25" sqref="C25"/>
    </sheetView>
  </sheetViews>
  <sheetFormatPr baseColWidth="10" defaultRowHeight="13" x14ac:dyDescent="0.15"/>
  <cols>
    <col min="1" max="1" width="15" style="3" bestFit="1" customWidth="1"/>
    <col min="2" max="2" width="24" style="3" bestFit="1" customWidth="1"/>
    <col min="3" max="3" width="17" style="3" bestFit="1" customWidth="1"/>
    <col min="4" max="16384" width="10.83203125" style="3"/>
  </cols>
  <sheetData>
    <row r="1" spans="1:2" x14ac:dyDescent="0.15">
      <c r="A1" s="3" t="s">
        <v>114</v>
      </c>
      <c r="B1" s="3" t="s">
        <v>115</v>
      </c>
    </row>
    <row r="2" spans="1:2" x14ac:dyDescent="0.15">
      <c r="A2" s="3" t="s">
        <v>108</v>
      </c>
      <c r="B2" s="3" t="s">
        <v>109</v>
      </c>
    </row>
    <row r="3" spans="1:2" x14ac:dyDescent="0.15">
      <c r="A3" s="3" t="s">
        <v>110</v>
      </c>
      <c r="B3" s="3" t="s">
        <v>111</v>
      </c>
    </row>
    <row r="4" spans="1:2" x14ac:dyDescent="0.15">
      <c r="A4" s="3" t="s">
        <v>112</v>
      </c>
      <c r="B4" s="3" t="s">
        <v>113</v>
      </c>
    </row>
    <row r="5" spans="1:2" x14ac:dyDescent="0.15">
      <c r="A5" s="3" t="s">
        <v>116</v>
      </c>
    </row>
    <row r="6" spans="1:2" x14ac:dyDescent="0.15">
      <c r="A6" s="3" t="s">
        <v>117</v>
      </c>
      <c r="B6" s="3" t="s">
        <v>118</v>
      </c>
    </row>
    <row r="7" spans="1:2" x14ac:dyDescent="0.15">
      <c r="A7" s="3" t="s">
        <v>119</v>
      </c>
      <c r="B7" s="3" t="s">
        <v>120</v>
      </c>
    </row>
    <row r="8" spans="1:2" x14ac:dyDescent="0.15">
      <c r="A8" s="3" t="s">
        <v>121</v>
      </c>
      <c r="B8" s="3" t="s">
        <v>122</v>
      </c>
    </row>
    <row r="9" spans="1:2" x14ac:dyDescent="0.15">
      <c r="A9" s="3" t="s">
        <v>123</v>
      </c>
    </row>
    <row r="10" spans="1:2" x14ac:dyDescent="0.15">
      <c r="A10" s="3" t="s">
        <v>124</v>
      </c>
    </row>
    <row r="11" spans="1:2" x14ac:dyDescent="0.15">
      <c r="A11" s="3" t="s">
        <v>125</v>
      </c>
    </row>
    <row r="12" spans="1:2" x14ac:dyDescent="0.15">
      <c r="A12" s="3" t="s">
        <v>126</v>
      </c>
    </row>
    <row r="13" spans="1:2" x14ac:dyDescent="0.15">
      <c r="A13" s="3" t="s">
        <v>127</v>
      </c>
      <c r="B13" s="3" t="s">
        <v>128</v>
      </c>
    </row>
    <row r="14" spans="1:2" x14ac:dyDescent="0.15">
      <c r="A14" s="3" t="s">
        <v>129</v>
      </c>
    </row>
    <row r="15" spans="1:2" x14ac:dyDescent="0.15">
      <c r="A15" s="3" t="s">
        <v>130</v>
      </c>
    </row>
    <row r="16" spans="1:2" x14ac:dyDescent="0.15">
      <c r="A16" s="3" t="s">
        <v>131</v>
      </c>
    </row>
    <row r="17" spans="1:3" x14ac:dyDescent="0.15">
      <c r="A17" s="3" t="s">
        <v>132</v>
      </c>
    </row>
    <row r="18" spans="1:3" s="2" customFormat="1" x14ac:dyDescent="0.15">
      <c r="A18" s="2" t="s">
        <v>133</v>
      </c>
      <c r="B18" s="2" t="s">
        <v>135</v>
      </c>
      <c r="C18" s="2" t="s">
        <v>134</v>
      </c>
    </row>
    <row r="19" spans="1:3" s="2" customFormat="1" x14ac:dyDescent="0.15">
      <c r="A19" s="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RUB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2021-01-28T13:52:34Z</dcterms:modified>
</cp:coreProperties>
</file>