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0A9F8282-8D4F-2240-B161-185C00FF179F}" xr6:coauthVersionLast="46" xr6:coauthVersionMax="46" xr10:uidLastSave="{00000000-0000-0000-0000-000000000000}"/>
  <bookViews>
    <workbookView xWindow="-52240" yWindow="-5940" windowWidth="2610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4" i="2" l="1"/>
  <c r="F5" i="2"/>
  <c r="J18" i="2"/>
  <c r="K18" i="2" s="1"/>
  <c r="I18" i="2"/>
  <c r="H18" i="2"/>
  <c r="G18" i="2"/>
  <c r="G17" i="2"/>
  <c r="F33" i="2"/>
  <c r="K13" i="2"/>
  <c r="J13" i="2"/>
  <c r="I13" i="2"/>
  <c r="H13" i="2"/>
  <c r="J11" i="2"/>
  <c r="K11" i="2" s="1"/>
  <c r="K55" i="2" s="1"/>
  <c r="I11" i="2"/>
  <c r="H11" i="2"/>
  <c r="I10" i="2"/>
  <c r="J10" i="2" s="1"/>
  <c r="H10" i="2"/>
  <c r="Q49" i="1"/>
  <c r="Q48" i="1"/>
  <c r="J55" i="2"/>
  <c r="I55" i="2"/>
  <c r="H55" i="2"/>
  <c r="G55" i="2"/>
  <c r="I54" i="2"/>
  <c r="H54" i="2"/>
  <c r="G54" i="2"/>
  <c r="G26" i="2"/>
  <c r="G23" i="2"/>
  <c r="G21" i="2"/>
  <c r="G16" i="2"/>
  <c r="G14" i="2"/>
  <c r="G13" i="2"/>
  <c r="G11" i="2"/>
  <c r="G10" i="2"/>
  <c r="Q7" i="1"/>
  <c r="Q9" i="1"/>
  <c r="Q12" i="1"/>
  <c r="Q29" i="1" s="1"/>
  <c r="Q6" i="1"/>
  <c r="Q28" i="1"/>
  <c r="Q27" i="1"/>
  <c r="Q26" i="1"/>
  <c r="Q25" i="1"/>
  <c r="Q19" i="1"/>
  <c r="Q14" i="1"/>
  <c r="Q11" i="1"/>
  <c r="Q10" i="1"/>
  <c r="Q8" i="1"/>
  <c r="Q4" i="1"/>
  <c r="Q3" i="1"/>
  <c r="P49" i="1"/>
  <c r="O49" i="1"/>
  <c r="N49" i="1"/>
  <c r="M49" i="1"/>
  <c r="L49" i="1"/>
  <c r="K49" i="1"/>
  <c r="J49" i="1"/>
  <c r="I49" i="1"/>
  <c r="H49" i="1"/>
  <c r="G49" i="1"/>
  <c r="F49" i="1"/>
  <c r="F48" i="1"/>
  <c r="C5" i="2"/>
  <c r="C3" i="2"/>
  <c r="F55" i="2"/>
  <c r="D55" i="2"/>
  <c r="C55" i="2"/>
  <c r="E55" i="2"/>
  <c r="F54" i="2"/>
  <c r="B21" i="2"/>
  <c r="B13" i="2"/>
  <c r="C25" i="2"/>
  <c r="C21" i="2"/>
  <c r="C13" i="2"/>
  <c r="D44" i="2"/>
  <c r="D43" i="2"/>
  <c r="D42" i="2"/>
  <c r="D40" i="2"/>
  <c r="D39" i="2"/>
  <c r="D25" i="2"/>
  <c r="D13" i="2"/>
  <c r="D23" i="2"/>
  <c r="D21" i="2"/>
  <c r="D18" i="2"/>
  <c r="D17" i="2"/>
  <c r="D16" i="2"/>
  <c r="D14" i="2"/>
  <c r="D11" i="2"/>
  <c r="D10" i="2"/>
  <c r="E44" i="2"/>
  <c r="E43" i="2"/>
  <c r="E42" i="2"/>
  <c r="E40" i="2"/>
  <c r="E39" i="2"/>
  <c r="F44" i="2"/>
  <c r="F47" i="2" s="1"/>
  <c r="F43" i="2"/>
  <c r="F42" i="2"/>
  <c r="F40" i="2"/>
  <c r="F39" i="2"/>
  <c r="F38" i="2" s="1"/>
  <c r="E13" i="2"/>
  <c r="E26" i="2"/>
  <c r="E23" i="2"/>
  <c r="E21" i="2"/>
  <c r="E18" i="2"/>
  <c r="E17" i="2"/>
  <c r="E16" i="2"/>
  <c r="E14" i="2"/>
  <c r="E11" i="2"/>
  <c r="E10" i="2"/>
  <c r="F13" i="2"/>
  <c r="F26" i="2"/>
  <c r="F23" i="2"/>
  <c r="F21" i="2"/>
  <c r="F18" i="2"/>
  <c r="F17" i="2"/>
  <c r="F16" i="2"/>
  <c r="H16" i="2" s="1"/>
  <c r="I16" i="2" s="1"/>
  <c r="J16" i="2" s="1"/>
  <c r="K16" i="2" s="1"/>
  <c r="L16" i="2" s="1"/>
  <c r="M16" i="2" s="1"/>
  <c r="N16" i="2" s="1"/>
  <c r="O16" i="2" s="1"/>
  <c r="P16" i="2" s="1"/>
  <c r="F14" i="2"/>
  <c r="F11" i="2"/>
  <c r="F10" i="2"/>
  <c r="B6" i="1"/>
  <c r="C6" i="1"/>
  <c r="E6" i="1"/>
  <c r="F6" i="1"/>
  <c r="G6" i="1"/>
  <c r="E37" i="1"/>
  <c r="E35" i="1"/>
  <c r="E39" i="1" s="1"/>
  <c r="E40" i="1"/>
  <c r="E31" i="1"/>
  <c r="D14" i="1"/>
  <c r="H14" i="1"/>
  <c r="D6" i="1"/>
  <c r="H6" i="1"/>
  <c r="I35" i="1"/>
  <c r="I32" i="1"/>
  <c r="I14" i="1"/>
  <c r="M14" i="1"/>
  <c r="I6" i="1"/>
  <c r="M6" i="1"/>
  <c r="N35" i="1"/>
  <c r="N32" i="1"/>
  <c r="J14" i="1"/>
  <c r="N14" i="1"/>
  <c r="J6" i="1"/>
  <c r="N6" i="1"/>
  <c r="O35" i="1"/>
  <c r="O32" i="1"/>
  <c r="K14" i="1"/>
  <c r="O14" i="1"/>
  <c r="O6" i="1"/>
  <c r="O8" i="1" s="1"/>
  <c r="O21" i="1" s="1"/>
  <c r="K6" i="1"/>
  <c r="M35" i="1"/>
  <c r="M32" i="1"/>
  <c r="P35" i="1"/>
  <c r="P39" i="1" s="1"/>
  <c r="P32" i="1"/>
  <c r="L14" i="1"/>
  <c r="P14" i="1"/>
  <c r="P6" i="1"/>
  <c r="P8" i="1" s="1"/>
  <c r="P21" i="1" s="1"/>
  <c r="L6" i="1"/>
  <c r="P48" i="1"/>
  <c r="P40" i="1"/>
  <c r="P31" i="1"/>
  <c r="P28" i="1"/>
  <c r="P27" i="1"/>
  <c r="P26" i="1"/>
  <c r="P12" i="1"/>
  <c r="O48" i="1"/>
  <c r="O40" i="1"/>
  <c r="O39" i="1"/>
  <c r="O31" i="1"/>
  <c r="O28" i="1"/>
  <c r="O27" i="1"/>
  <c r="O26" i="1"/>
  <c r="O12" i="1"/>
  <c r="K10" i="2" l="1"/>
  <c r="K54" i="2" s="1"/>
  <c r="J54" i="2"/>
  <c r="H17" i="2"/>
  <c r="I17" i="2" s="1"/>
  <c r="J17" i="2" s="1"/>
  <c r="K17" i="2" s="1"/>
  <c r="L17" i="2" s="1"/>
  <c r="M17" i="2" s="1"/>
  <c r="N17" i="2" s="1"/>
  <c r="O17" i="2" s="1"/>
  <c r="P17" i="2" s="1"/>
  <c r="Q13" i="1"/>
  <c r="Q22" i="1" s="1"/>
  <c r="Q21" i="1"/>
  <c r="F46" i="2"/>
  <c r="L18" i="2"/>
  <c r="M18" i="2" s="1"/>
  <c r="N18" i="2" s="1"/>
  <c r="O18" i="2" s="1"/>
  <c r="P18" i="2" s="1"/>
  <c r="F19" i="2"/>
  <c r="F15" i="2"/>
  <c r="P25" i="1"/>
  <c r="P13" i="1"/>
  <c r="O13" i="1"/>
  <c r="O25" i="1"/>
  <c r="N39" i="1"/>
  <c r="M48" i="1"/>
  <c r="M40" i="1"/>
  <c r="M27" i="1"/>
  <c r="M26" i="1"/>
  <c r="M8" i="1"/>
  <c r="M21" i="1" s="1"/>
  <c r="Q15" i="1" l="1"/>
  <c r="F20" i="2"/>
  <c r="F22" i="2" s="1"/>
  <c r="P34" i="2"/>
  <c r="Q17" i="2"/>
  <c r="R17" i="2" s="1"/>
  <c r="S17" i="2" s="1"/>
  <c r="T17" i="2" s="1"/>
  <c r="U17" i="2" s="1"/>
  <c r="U34" i="2" s="1"/>
  <c r="E47" i="2"/>
  <c r="P35" i="2"/>
  <c r="Q18" i="2"/>
  <c r="R18" i="2" s="1"/>
  <c r="S18" i="2" s="1"/>
  <c r="T18" i="2" s="1"/>
  <c r="U18" i="2" s="1"/>
  <c r="P22" i="1"/>
  <c r="P15" i="1"/>
  <c r="O22" i="1"/>
  <c r="O15" i="1"/>
  <c r="M39" i="1"/>
  <c r="M31" i="1"/>
  <c r="M12" i="1"/>
  <c r="M13" i="1" s="1"/>
  <c r="E38" i="2"/>
  <c r="E46" i="2"/>
  <c r="Q17" i="1" l="1"/>
  <c r="Q18" i="1" s="1"/>
  <c r="Q16" i="1"/>
  <c r="Q23" i="1" s="1"/>
  <c r="G32" i="2"/>
  <c r="P19" i="2"/>
  <c r="P33" i="2"/>
  <c r="Q16" i="2"/>
  <c r="R16" i="2" s="1"/>
  <c r="S16" i="2" s="1"/>
  <c r="T16" i="2" s="1"/>
  <c r="U16" i="2" s="1"/>
  <c r="P17" i="1"/>
  <c r="P18" i="1" s="1"/>
  <c r="P23" i="1"/>
  <c r="O23" i="1"/>
  <c r="O17" i="1"/>
  <c r="O18" i="1" s="1"/>
  <c r="M22" i="1"/>
  <c r="M15" i="1"/>
  <c r="M23" i="1" s="1"/>
  <c r="E15" i="2"/>
  <c r="U33" i="2" l="1"/>
  <c r="M17" i="1"/>
  <c r="P42" i="1" s="1"/>
  <c r="M18" i="1" l="1"/>
  <c r="L48" i="1"/>
  <c r="L12" i="1"/>
  <c r="P29" i="1" s="1"/>
  <c r="L8" i="1"/>
  <c r="N48" i="1"/>
  <c r="N40" i="1"/>
  <c r="N27" i="1"/>
  <c r="N26" i="1"/>
  <c r="N12" i="1"/>
  <c r="L13" i="2" l="1"/>
  <c r="M13" i="2" s="1"/>
  <c r="N13" i="2" s="1"/>
  <c r="O13" i="2" s="1"/>
  <c r="P13" i="2" s="1"/>
  <c r="P32" i="2" s="1"/>
  <c r="L13" i="1"/>
  <c r="L15" i="1" s="1"/>
  <c r="L17" i="1" s="1"/>
  <c r="N8" i="1"/>
  <c r="N28" i="1"/>
  <c r="N31" i="1"/>
  <c r="C4" i="2"/>
  <c r="L26" i="1"/>
  <c r="L27" i="1"/>
  <c r="K48" i="1"/>
  <c r="K27" i="1"/>
  <c r="K26" i="1"/>
  <c r="K8" i="1"/>
  <c r="E54" i="2"/>
  <c r="B12" i="1"/>
  <c r="G12" i="1"/>
  <c r="D12" i="1"/>
  <c r="H12" i="1"/>
  <c r="M28" i="1"/>
  <c r="J48" i="1"/>
  <c r="H8" i="1"/>
  <c r="H21" i="1" s="1"/>
  <c r="G8" i="1"/>
  <c r="F12" i="1"/>
  <c r="J27" i="1"/>
  <c r="J26" i="1"/>
  <c r="F8" i="1"/>
  <c r="F21" i="1" s="1"/>
  <c r="E12" i="1"/>
  <c r="J8" i="1"/>
  <c r="I40" i="1"/>
  <c r="E8" i="1"/>
  <c r="E21" i="1" s="1"/>
  <c r="I48" i="1"/>
  <c r="H48" i="1"/>
  <c r="G48" i="1"/>
  <c r="B8" i="1"/>
  <c r="I27" i="1"/>
  <c r="I26" i="1"/>
  <c r="F27" i="1"/>
  <c r="F26" i="1"/>
  <c r="G27" i="1"/>
  <c r="G26" i="1"/>
  <c r="H27" i="1"/>
  <c r="H26" i="1"/>
  <c r="H26" i="2"/>
  <c r="I26" i="2" s="1"/>
  <c r="J26" i="2" s="1"/>
  <c r="K26" i="2" s="1"/>
  <c r="L26" i="2" s="1"/>
  <c r="M26" i="2" s="1"/>
  <c r="N26" i="2" s="1"/>
  <c r="O26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l="1"/>
  <c r="Q9" i="2" s="1"/>
  <c r="R9" i="2" s="1"/>
  <c r="S9" i="2" s="1"/>
  <c r="T9" i="2" s="1"/>
  <c r="U9" i="2" s="1"/>
  <c r="P26" i="2"/>
  <c r="Q26" i="2" s="1"/>
  <c r="R26" i="2" s="1"/>
  <c r="S26" i="2" s="1"/>
  <c r="T26" i="2" s="1"/>
  <c r="U26" i="2" s="1"/>
  <c r="L18" i="1"/>
  <c r="C15" i="2"/>
  <c r="C28" i="2" s="1"/>
  <c r="I28" i="1"/>
  <c r="I39" i="1"/>
  <c r="F28" i="1"/>
  <c r="C19" i="2"/>
  <c r="B13" i="1"/>
  <c r="B22" i="1" s="1"/>
  <c r="J12" i="1"/>
  <c r="N29" i="1" s="1"/>
  <c r="I12" i="1"/>
  <c r="H28" i="1"/>
  <c r="I8" i="1"/>
  <c r="I21" i="1" s="1"/>
  <c r="M25" i="1"/>
  <c r="H25" i="1"/>
  <c r="J25" i="1"/>
  <c r="N25" i="1"/>
  <c r="D33" i="2"/>
  <c r="D38" i="2"/>
  <c r="D34" i="2"/>
  <c r="N13" i="1"/>
  <c r="N21" i="1"/>
  <c r="G13" i="1"/>
  <c r="G15" i="1" s="1"/>
  <c r="G21" i="1"/>
  <c r="D54" i="2"/>
  <c r="G28" i="1"/>
  <c r="D47" i="2"/>
  <c r="D46" i="2"/>
  <c r="E13" i="1"/>
  <c r="E22" i="1" s="1"/>
  <c r="C54" i="2"/>
  <c r="C34" i="2"/>
  <c r="B21" i="1"/>
  <c r="F25" i="1"/>
  <c r="I31" i="1"/>
  <c r="H29" i="1"/>
  <c r="C33" i="2"/>
  <c r="F29" i="1"/>
  <c r="L28" i="1"/>
  <c r="K21" i="1"/>
  <c r="H13" i="1"/>
  <c r="I25" i="1"/>
  <c r="D8" i="1"/>
  <c r="F13" i="1"/>
  <c r="C12" i="1"/>
  <c r="C32" i="2"/>
  <c r="K25" i="1"/>
  <c r="K12" i="1"/>
  <c r="B15" i="2"/>
  <c r="J28" i="1"/>
  <c r="C6" i="2"/>
  <c r="C7" i="2" s="1"/>
  <c r="C8" i="1"/>
  <c r="J21" i="1"/>
  <c r="K28" i="1"/>
  <c r="G25" i="1"/>
  <c r="L29" i="1"/>
  <c r="K29" i="1" l="1"/>
  <c r="O29" i="1"/>
  <c r="J13" i="1"/>
  <c r="J15" i="1" s="1"/>
  <c r="D35" i="2"/>
  <c r="B15" i="1"/>
  <c r="B23" i="1" s="1"/>
  <c r="G22" i="1"/>
  <c r="J29" i="1"/>
  <c r="I13" i="1"/>
  <c r="I22" i="1" s="1"/>
  <c r="E19" i="2"/>
  <c r="E20" i="2" s="1"/>
  <c r="E22" i="2" s="1"/>
  <c r="M29" i="1"/>
  <c r="I29" i="1"/>
  <c r="N22" i="1"/>
  <c r="N15" i="1"/>
  <c r="J22" i="1"/>
  <c r="G29" i="1"/>
  <c r="E15" i="1"/>
  <c r="E23" i="1" s="1"/>
  <c r="G17" i="1"/>
  <c r="G23" i="1"/>
  <c r="L25" i="1"/>
  <c r="C13" i="1"/>
  <c r="C21" i="1"/>
  <c r="C20" i="2"/>
  <c r="J23" i="1"/>
  <c r="J17" i="1"/>
  <c r="F22" i="1"/>
  <c r="F15" i="1"/>
  <c r="D21" i="1"/>
  <c r="D13" i="1"/>
  <c r="B28" i="2"/>
  <c r="E34" i="2"/>
  <c r="H15" i="1"/>
  <c r="H22" i="1"/>
  <c r="D32" i="2"/>
  <c r="D15" i="2"/>
  <c r="C35" i="2"/>
  <c r="K13" i="1"/>
  <c r="D19" i="2"/>
  <c r="D36" i="2" s="1"/>
  <c r="B19" i="2"/>
  <c r="B17" i="1" l="1"/>
  <c r="B18" i="1" s="1"/>
  <c r="I15" i="1"/>
  <c r="I17" i="1" s="1"/>
  <c r="E17" i="1"/>
  <c r="J18" i="1"/>
  <c r="N17" i="1"/>
  <c r="N23" i="1"/>
  <c r="E33" i="2"/>
  <c r="K15" i="1"/>
  <c r="K22" i="1"/>
  <c r="F34" i="2"/>
  <c r="B20" i="2"/>
  <c r="C29" i="2"/>
  <c r="C22" i="2"/>
  <c r="H17" i="1"/>
  <c r="H23" i="1"/>
  <c r="C36" i="2"/>
  <c r="L21" i="1"/>
  <c r="D22" i="1"/>
  <c r="D15" i="1"/>
  <c r="E35" i="2"/>
  <c r="D20" i="2"/>
  <c r="D28" i="2"/>
  <c r="F23" i="1"/>
  <c r="F17" i="1"/>
  <c r="C22" i="1"/>
  <c r="C15" i="1"/>
  <c r="G18" i="1"/>
  <c r="E36" i="2"/>
  <c r="E18" i="1" l="1"/>
  <c r="O42" i="1"/>
  <c r="I23" i="1"/>
  <c r="I18" i="1"/>
  <c r="N18" i="1"/>
  <c r="L22" i="1"/>
  <c r="F35" i="2"/>
  <c r="G19" i="2"/>
  <c r="K23" i="1"/>
  <c r="K17" i="1"/>
  <c r="C24" i="2"/>
  <c r="C30" i="2"/>
  <c r="B29" i="2"/>
  <c r="B22" i="2"/>
  <c r="G34" i="2"/>
  <c r="E32" i="2"/>
  <c r="H18" i="1"/>
  <c r="C17" i="1"/>
  <c r="E42" i="1" s="1"/>
  <c r="C23" i="1"/>
  <c r="D23" i="1"/>
  <c r="D17" i="1"/>
  <c r="F18" i="1"/>
  <c r="I42" i="1"/>
  <c r="D29" i="2"/>
  <c r="D22" i="2"/>
  <c r="F36" i="2"/>
  <c r="E44" i="1" l="1"/>
  <c r="E45" i="1"/>
  <c r="E43" i="1"/>
  <c r="E46" i="1"/>
  <c r="O46" i="1"/>
  <c r="O43" i="1"/>
  <c r="O45" i="1"/>
  <c r="O44" i="1"/>
  <c r="P46" i="1"/>
  <c r="P43" i="1"/>
  <c r="P45" i="1"/>
  <c r="P44" i="1"/>
  <c r="K18" i="1"/>
  <c r="M42" i="1"/>
  <c r="G36" i="2"/>
  <c r="G33" i="2"/>
  <c r="E28" i="2"/>
  <c r="G35" i="2"/>
  <c r="H34" i="2"/>
  <c r="B30" i="2"/>
  <c r="B24" i="2"/>
  <c r="B25" i="2" s="1"/>
  <c r="F32" i="2"/>
  <c r="D30" i="2"/>
  <c r="D24" i="2"/>
  <c r="I46" i="1"/>
  <c r="I45" i="1"/>
  <c r="I44" i="1"/>
  <c r="I43" i="1"/>
  <c r="D18" i="1"/>
  <c r="C18" i="1"/>
  <c r="M46" i="1" l="1"/>
  <c r="M45" i="1"/>
  <c r="M43" i="1"/>
  <c r="M44" i="1"/>
  <c r="H19" i="2"/>
  <c r="H36" i="2" s="1"/>
  <c r="D52" i="2"/>
  <c r="D51" i="2"/>
  <c r="D49" i="2"/>
  <c r="H33" i="2"/>
  <c r="L23" i="1"/>
  <c r="D50" i="2"/>
  <c r="I34" i="2"/>
  <c r="E29" i="2"/>
  <c r="H35" i="2"/>
  <c r="F29" i="2" l="1"/>
  <c r="F28" i="2"/>
  <c r="G15" i="2" s="1"/>
  <c r="G20" i="2" s="1"/>
  <c r="I19" i="2"/>
  <c r="I36" i="2" s="1"/>
  <c r="I33" i="2"/>
  <c r="E30" i="2"/>
  <c r="H32" i="2"/>
  <c r="J34" i="2"/>
  <c r="I35" i="2"/>
  <c r="Q33" i="2" l="1"/>
  <c r="G28" i="2"/>
  <c r="H15" i="2" s="1"/>
  <c r="H14" i="2" s="1"/>
  <c r="E24" i="2"/>
  <c r="N42" i="1"/>
  <c r="J33" i="2"/>
  <c r="I32" i="2"/>
  <c r="J35" i="2"/>
  <c r="J19" i="2"/>
  <c r="J36" i="2" s="1"/>
  <c r="K34" i="2"/>
  <c r="G29" i="2"/>
  <c r="R33" i="2" l="1"/>
  <c r="H28" i="2"/>
  <c r="I15" i="2" s="1"/>
  <c r="I14" i="2" s="1"/>
  <c r="H20" i="2"/>
  <c r="H29" i="2" s="1"/>
  <c r="N46" i="1"/>
  <c r="N45" i="1"/>
  <c r="E25" i="2"/>
  <c r="E49" i="2"/>
  <c r="E51" i="2"/>
  <c r="E50" i="2"/>
  <c r="E52" i="2"/>
  <c r="N44" i="1"/>
  <c r="N43" i="1"/>
  <c r="K33" i="2"/>
  <c r="L19" i="2"/>
  <c r="K35" i="2"/>
  <c r="J32" i="2"/>
  <c r="K19" i="2"/>
  <c r="K36" i="2" s="1"/>
  <c r="L34" i="2"/>
  <c r="S33" i="2" l="1"/>
  <c r="I28" i="2"/>
  <c r="J15" i="2" s="1"/>
  <c r="J14" i="2" s="1"/>
  <c r="I20" i="2"/>
  <c r="I29" i="2" s="1"/>
  <c r="L33" i="2"/>
  <c r="F30" i="2"/>
  <c r="K32" i="2"/>
  <c r="L36" i="2"/>
  <c r="M34" i="2"/>
  <c r="L35" i="2"/>
  <c r="T33" i="2" l="1"/>
  <c r="J28" i="2"/>
  <c r="K15" i="2" s="1"/>
  <c r="K20" i="2" s="1"/>
  <c r="J20" i="2"/>
  <c r="J29" i="2" s="1"/>
  <c r="F24" i="2"/>
  <c r="M33" i="2"/>
  <c r="L32" i="2"/>
  <c r="N34" i="2"/>
  <c r="M35" i="2"/>
  <c r="M19" i="2"/>
  <c r="M36" i="2" s="1"/>
  <c r="K14" i="2" l="1"/>
  <c r="K28" i="2"/>
  <c r="L15" i="2" s="1"/>
  <c r="L20" i="2" s="1"/>
  <c r="F51" i="2"/>
  <c r="F50" i="2"/>
  <c r="F49" i="2"/>
  <c r="F25" i="2"/>
  <c r="F52" i="2"/>
  <c r="N33" i="2"/>
  <c r="L14" i="2"/>
  <c r="N35" i="2"/>
  <c r="K29" i="2"/>
  <c r="N19" i="2"/>
  <c r="N36" i="2" s="1"/>
  <c r="O34" i="2"/>
  <c r="M32" i="2"/>
  <c r="L28" i="2" l="1"/>
  <c r="M15" i="2" s="1"/>
  <c r="M28" i="2" s="1"/>
  <c r="N15" i="2" s="1"/>
  <c r="N14" i="2" s="1"/>
  <c r="O19" i="2"/>
  <c r="Q34" i="2"/>
  <c r="O33" i="2"/>
  <c r="N32" i="2"/>
  <c r="G22" i="2"/>
  <c r="O35" i="2"/>
  <c r="L29" i="2"/>
  <c r="M20" i="2" l="1"/>
  <c r="M14" i="2"/>
  <c r="O36" i="2"/>
  <c r="P36" i="2"/>
  <c r="Q13" i="2"/>
  <c r="R34" i="2"/>
  <c r="G30" i="2"/>
  <c r="M29" i="2"/>
  <c r="O32" i="2"/>
  <c r="N20" i="2"/>
  <c r="N28" i="2"/>
  <c r="O15" i="2" s="1"/>
  <c r="Q32" i="2" l="1"/>
  <c r="R13" i="2"/>
  <c r="Q35" i="2"/>
  <c r="Q19" i="2"/>
  <c r="S34" i="2"/>
  <c r="G24" i="2"/>
  <c r="O20" i="2"/>
  <c r="O28" i="2"/>
  <c r="P15" i="2" s="1"/>
  <c r="O14" i="2"/>
  <c r="N29" i="2"/>
  <c r="P28" i="2" l="1"/>
  <c r="Q15" i="2" s="1"/>
  <c r="Q20" i="2" s="1"/>
  <c r="Q29" i="2" s="1"/>
  <c r="P20" i="2"/>
  <c r="P14" i="2"/>
  <c r="S13" i="2"/>
  <c r="R32" i="2"/>
  <c r="Q36" i="2"/>
  <c r="R35" i="2"/>
  <c r="R19" i="2"/>
  <c r="T34" i="2"/>
  <c r="G25" i="2"/>
  <c r="G38" i="2"/>
  <c r="H21" i="2" s="1"/>
  <c r="H22" i="2" s="1"/>
  <c r="O29" i="2"/>
  <c r="P29" i="2" l="1"/>
  <c r="S32" i="2"/>
  <c r="T13" i="2"/>
  <c r="U13" i="2" s="1"/>
  <c r="Q28" i="2"/>
  <c r="R15" i="2" s="1"/>
  <c r="R20" i="2" s="1"/>
  <c r="R29" i="2" s="1"/>
  <c r="Q14" i="2"/>
  <c r="R36" i="2"/>
  <c r="S35" i="2"/>
  <c r="S19" i="2"/>
  <c r="H30" i="2"/>
  <c r="U35" i="2" l="1"/>
  <c r="U19" i="2"/>
  <c r="U32" i="2"/>
  <c r="R28" i="2"/>
  <c r="S15" i="2" s="1"/>
  <c r="S20" i="2" s="1"/>
  <c r="S29" i="2" s="1"/>
  <c r="R14" i="2"/>
  <c r="T32" i="2"/>
  <c r="S36" i="2"/>
  <c r="T35" i="2"/>
  <c r="T19" i="2"/>
  <c r="U36" i="2" s="1"/>
  <c r="H24" i="2"/>
  <c r="S28" i="2" l="1"/>
  <c r="T15" i="2" s="1"/>
  <c r="T20" i="2" s="1"/>
  <c r="T29" i="2" s="1"/>
  <c r="S14" i="2"/>
  <c r="T36" i="2"/>
  <c r="H38" i="2"/>
  <c r="I21" i="2" s="1"/>
  <c r="I22" i="2" s="1"/>
  <c r="H25" i="2"/>
  <c r="T28" i="2" l="1"/>
  <c r="U15" i="2" s="1"/>
  <c r="T14" i="2"/>
  <c r="I30" i="2"/>
  <c r="U20" i="2" l="1"/>
  <c r="U28" i="2"/>
  <c r="U14" i="2"/>
  <c r="I24" i="2"/>
  <c r="U29" i="2" l="1"/>
  <c r="I25" i="2"/>
  <c r="I38" i="2"/>
  <c r="J21" i="2" s="1"/>
  <c r="J22" i="2" s="1"/>
  <c r="J23" i="2" s="1"/>
  <c r="J30" i="2" l="1"/>
  <c r="J24" i="2" l="1"/>
  <c r="J38" i="2" s="1"/>
  <c r="J25" i="2" l="1"/>
  <c r="K21" i="2"/>
  <c r="K22" i="2" s="1"/>
  <c r="K23" i="2" s="1"/>
  <c r="K30" i="2" l="1"/>
  <c r="K24" i="2" l="1"/>
  <c r="K25" i="2" s="1"/>
  <c r="K38" i="2" l="1"/>
  <c r="L21" i="2"/>
  <c r="L22" i="2" s="1"/>
  <c r="L23" i="2" s="1"/>
  <c r="L30" i="2" l="1"/>
  <c r="L24" i="2" l="1"/>
  <c r="L25" i="2" l="1"/>
  <c r="L38" i="2"/>
  <c r="M21" i="2" l="1"/>
  <c r="M22" i="2" s="1"/>
  <c r="M23" i="2" s="1"/>
  <c r="M30" i="2" l="1"/>
  <c r="M24" i="2" l="1"/>
  <c r="M25" i="2" s="1"/>
  <c r="M38" i="2"/>
  <c r="N21" i="2" l="1"/>
  <c r="N22" i="2" s="1"/>
  <c r="N23" i="2" s="1"/>
  <c r="N30" i="2" l="1"/>
  <c r="N24" i="2" l="1"/>
  <c r="N25" i="2" s="1"/>
  <c r="N38" i="2" l="1"/>
  <c r="O21" i="2"/>
  <c r="O22" i="2" s="1"/>
  <c r="O23" i="2" s="1"/>
  <c r="O30" i="2" l="1"/>
  <c r="O24" i="2" l="1"/>
  <c r="O25" i="2" l="1"/>
  <c r="O38" i="2"/>
  <c r="P21" i="2" l="1"/>
  <c r="P22" i="2" s="1"/>
  <c r="P23" i="2" l="1"/>
  <c r="P30" i="2" s="1"/>
  <c r="P24" i="2" l="1"/>
  <c r="P25" i="2"/>
  <c r="P38" i="2"/>
  <c r="Q21" i="2" s="1"/>
  <c r="Q22" i="2" s="1"/>
  <c r="Q23" i="2" s="1"/>
  <c r="Q30" i="2" s="1"/>
  <c r="Q24" i="2" l="1"/>
  <c r="Q25" i="2"/>
  <c r="Q38" i="2"/>
  <c r="R21" i="2" l="1"/>
  <c r="R22" i="2" s="1"/>
  <c r="R23" i="2" s="1"/>
  <c r="R30" i="2" l="1"/>
  <c r="R24" i="2"/>
  <c r="R25" i="2" l="1"/>
  <c r="R38" i="2"/>
  <c r="S21" i="2" l="1"/>
  <c r="S22" i="2" s="1"/>
  <c r="S23" i="2" s="1"/>
  <c r="S30" i="2" l="1"/>
  <c r="S24" i="2"/>
  <c r="S25" i="2" l="1"/>
  <c r="S38" i="2"/>
  <c r="T21" i="2" l="1"/>
  <c r="T22" i="2" s="1"/>
  <c r="T23" i="2" s="1"/>
  <c r="T30" i="2" l="1"/>
  <c r="T24" i="2" l="1"/>
  <c r="T25" i="2"/>
  <c r="T38" i="2"/>
  <c r="U21" i="2" l="1"/>
  <c r="U22" i="2" s="1"/>
  <c r="U23" i="2" l="1"/>
  <c r="U30" i="2" s="1"/>
  <c r="U24" i="2" l="1"/>
  <c r="U25" i="2" s="1"/>
  <c r="W24" i="2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 s="1"/>
  <c r="GN24" i="2" s="1"/>
  <c r="GO24" i="2" s="1"/>
  <c r="GP24" i="2" s="1"/>
  <c r="GQ24" i="2" s="1"/>
  <c r="F6" i="2" s="1"/>
  <c r="F7" i="2" s="1"/>
  <c r="G7" i="2" s="1"/>
  <c r="U38" i="2"/>
</calcChain>
</file>

<file path=xl/sharedStrings.xml><?xml version="1.0" encoding="utf-8"?>
<sst xmlns="http://schemas.openxmlformats.org/spreadsheetml/2006/main" count="118" uniqueCount="75">
  <si>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</si>
  <si>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</si>
  <si>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</si>
  <si>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</si>
  <si>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</si>
  <si>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</si>
  <si>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</si>
  <si>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</si>
  <si>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</si>
  <si>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</si>
  <si>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</si>
  <si>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</si>
  <si>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</si>
  <si>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</si>
  <si>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</si>
  <si>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</si>
  <si>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</si>
  <si>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</si>
  <si>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</si>
  <si>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</si>
  <si>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</si>
  <si>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</si>
  <si>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</si>
  <si>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</si>
  <si>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</si>
  <si>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</si>
  <si>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</si>
  <si>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</si>
  <si>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</si>
  <si>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</si>
  <si>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</si>
  <si>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</si>
  <si>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</si>
  <si>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</si>
  <si>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</si>
  <si>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</si>
  <si>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</si>
  <si>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</si>
  <si>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</si>
  <si>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</si>
  <si>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</si>
  <si>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</si>
  <si>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</si>
  <si>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</si>
  <si>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</si>
  <si>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</si>
  <si>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</si>
  <si>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</si>
  <si>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</si>
  <si>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</si>
  <si>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</si>
  <si>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</si>
  <si>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</si>
  <si>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</si>
  <si>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</si>
  <si>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Subscription</t>
  </si>
  <si>
    <t>Subscription y/y</t>
  </si>
  <si>
    <t>Operating Expenses y/y</t>
  </si>
  <si>
    <t>Q120</t>
  </si>
  <si>
    <t>Q221</t>
  </si>
  <si>
    <t>Q321</t>
  </si>
  <si>
    <t>Q420</t>
  </si>
  <si>
    <t>Q320</t>
  </si>
  <si>
    <t>Q121</t>
  </si>
  <si>
    <t>Q220</t>
  </si>
  <si>
    <t>Q421</t>
  </si>
  <si>
    <t>DocuSign Inc (DOCU)</t>
  </si>
  <si>
    <t>PRODUCTS</t>
  </si>
  <si>
    <t>Agreement Cloud</t>
  </si>
  <si>
    <t>Professional services</t>
  </si>
  <si>
    <t>Professional services y/y</t>
  </si>
  <si>
    <t>Daniel Springer</t>
  </si>
  <si>
    <t>Tom Gonser</t>
  </si>
  <si>
    <t>Court Lorenzini</t>
  </si>
  <si>
    <t>Electronic signatures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</si>
</sst>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4" fillId="0" borderId="0" xfId="4" applyBorder="1"/>
    <xf numFmtId="14" fontId="6" fillId="0" borderId="1" xfId="0" applyNumberFormat="1" applyFont="1" applyBorder="1" applyAlignment="1">
      <alignment horizontal="right"/>
    </xf>
    <xf numFmtId="3" fontId="0" fillId="0" borderId="0" xfId="0" applyNumberFormat="1" applyFont="1" applyBorder="1"/>
    <xf numFmtId="14" fontId="6" fillId="0" borderId="0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/>
    <xf numFmtId="0" fontId="0" fillId="0" borderId="0" xfId="0" applyFont="1"/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2" borderId="0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0" fontId="8" fillId="0" borderId="0" xfId="0" applyFont="1"/>
    <xf numFmtId="14" fontId="0" fillId="0" borderId="0" xfId="0" applyNumberFormat="1" applyFont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126022</xdr:colOff>
      <xdr:row>7</xdr:row>
      <xdr:rowOff>152400</xdr:rowOff>
    </xdr:from>
    <xdr:to>
      <xdr:col>6</xdr:col>
      <xdr:colOff>126022</xdr:colOff>
      <xdr:row>56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831253" y="1314938"/>
          <a:ext cx="0" cy="866237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268297</xdr:colOff>
      <xdr:row>0</xdr:row>
      <xdr:rowOff>152400</xdr:rowOff>
    </xdr:from>
    <xdr:to>
      <xdr:col>16</xdr:col>
      <xdr:colOff>268297</xdr:colOff>
      <xdr:row>50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277374" y="152400"/>
          <a:ext cx="0" cy="914790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tgonser" TargetMode="External"/><Relationship Id="rId2" Type="http://schemas.openxmlformats.org/officeDocument/2006/relationships/hyperlink" Target="https://twitter.com/dandspringer" TargetMode="External"/><Relationship Id="rId1" Type="http://schemas.openxmlformats.org/officeDocument/2006/relationships/hyperlink" Target="https://investor.docusign.com/investors/home/default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twitter.com/courtlorenzin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261333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55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J44" sqref="J44"/>
    </sheetView>
  </sheetViews>
  <sheetFormatPr baseColWidth="10" defaultRowHeight="13" x14ac:dyDescent="0.15"/>
  <cols>
    <col min="1" max="1" width="20.33203125" style="3" customWidth="1"/>
    <col min="2" max="16384" width="10.83203125" style="3"/>
  </cols>
  <sheetData>
    <row r="1" spans="1:116" x14ac:dyDescent="0.15">
      <c r="A1" s="57" t="s">
        <v>54</v>
      </c>
      <c r="B1" s="2" t="s">
        <v>66</v>
      </c>
    </row>
    <row r="2" spans="1:116" x14ac:dyDescent="0.15">
      <c r="B2" s="3" t="s">
        <v>36</v>
      </c>
      <c r="C2" s="4">
        <v>225.73</v>
      </c>
      <c r="D2" s="61">
        <v>44252</v>
      </c>
      <c r="E2" s="6" t="s">
        <v>21</v>
      </c>
      <c r="F2" s="7">
        <v>5.0000000000000001E-3</v>
      </c>
      <c r="I2" s="16"/>
      <c r="L2" s="2"/>
    </row>
    <row r="3" spans="1:116" x14ac:dyDescent="0.15">
      <c r="A3" s="2" t="s">
        <v>34</v>
      </c>
      <c r="B3" s="3" t="s">
        <v>13</v>
      </c>
      <c r="C3" s="8">
        <f>Reports!P19</f>
        <v>186.423</v>
      </c>
      <c r="D3" s="62" t="s">
        <v>60</v>
      </c>
      <c r="E3" s="6" t="s">
        <v>22</v>
      </c>
      <c r="F3" s="7">
        <v>0.02</v>
      </c>
      <c r="G3" s="5"/>
      <c r="I3" s="16"/>
    </row>
    <row r="4" spans="1:116" x14ac:dyDescent="0.15">
      <c r="A4" s="63" t="s">
        <v>71</v>
      </c>
      <c r="B4" s="3" t="s">
        <v>37</v>
      </c>
      <c r="C4" s="10">
        <f>C2*C3</f>
        <v>42081.263789999997</v>
      </c>
      <c r="D4" s="62"/>
      <c r="E4" s="6" t="s">
        <v>23</v>
      </c>
      <c r="F4" s="7">
        <v>0.06</v>
      </c>
      <c r="G4" s="5"/>
      <c r="I4" s="19"/>
      <c r="L4" s="9"/>
    </row>
    <row r="5" spans="1:116" x14ac:dyDescent="0.15">
      <c r="B5" s="3" t="s">
        <v>18</v>
      </c>
      <c r="C5" s="8">
        <f>Reports!P31</f>
        <v>190</v>
      </c>
      <c r="D5" s="62" t="s">
        <v>60</v>
      </c>
      <c r="E5" s="6" t="s">
        <v>24</v>
      </c>
      <c r="F5" s="11">
        <f>NPV(F4,G24:GQ24)</f>
        <v>77930.324524893163</v>
      </c>
      <c r="G5" s="5"/>
      <c r="I5" s="19"/>
    </row>
    <row r="6" spans="1:116" x14ac:dyDescent="0.15">
      <c r="A6" s="2" t="s">
        <v>35</v>
      </c>
      <c r="B6" s="3" t="s">
        <v>38</v>
      </c>
      <c r="C6" s="10">
        <f>C4-C5</f>
        <v>41891.263789999997</v>
      </c>
      <c r="D6" s="62"/>
      <c r="E6" s="12" t="s">
        <v>25</v>
      </c>
      <c r="F6" s="13">
        <f>F5+C5</f>
        <v>78120.324524893163</v>
      </c>
      <c r="I6" s="19"/>
    </row>
    <row r="7" spans="1:116" x14ac:dyDescent="0.15">
      <c r="A7" s="63" t="s">
        <v>72</v>
      </c>
      <c r="B7" s="5" t="s">
        <v>39</v>
      </c>
      <c r="C7" s="44">
        <f>C6/C3</f>
        <v>224.71081245339897</v>
      </c>
      <c r="D7" s="62"/>
      <c r="E7" s="14" t="s">
        <v>39</v>
      </c>
      <c r="F7" s="43">
        <f>F6/C3</f>
        <v>419.04874680105547</v>
      </c>
      <c r="G7" s="19">
        <f>F7/C2-1</f>
        <v>0.8564158366236454</v>
      </c>
    </row>
    <row r="8" spans="1:116" x14ac:dyDescent="0.15">
      <c r="A8" s="63" t="s">
        <v>73</v>
      </c>
      <c r="D8" s="6"/>
      <c r="E8" s="15"/>
    </row>
    <row r="9" spans="1:116" x14ac:dyDescent="0.15">
      <c r="B9" s="39">
        <v>2016</v>
      </c>
      <c r="C9" s="39">
        <v>2017</v>
      </c>
      <c r="D9" s="39">
        <f>C9+1</f>
        <v>2018</v>
      </c>
      <c r="E9" s="39">
        <f t="shared" ref="E9:U9" si="0">D9+1</f>
        <v>2019</v>
      </c>
      <c r="F9" s="39">
        <f t="shared" si="0"/>
        <v>2020</v>
      </c>
      <c r="G9" s="39">
        <f t="shared" si="0"/>
        <v>2021</v>
      </c>
      <c r="H9" s="39">
        <f t="shared" si="0"/>
        <v>2022</v>
      </c>
      <c r="I9" s="39">
        <f t="shared" si="0"/>
        <v>2023</v>
      </c>
      <c r="J9" s="39">
        <f t="shared" si="0"/>
        <v>2024</v>
      </c>
      <c r="K9" s="39">
        <f t="shared" si="0"/>
        <v>2025</v>
      </c>
      <c r="L9" s="39">
        <f t="shared" si="0"/>
        <v>2026</v>
      </c>
      <c r="M9" s="39">
        <f t="shared" si="0"/>
        <v>2027</v>
      </c>
      <c r="N9" s="39">
        <f t="shared" si="0"/>
        <v>2028</v>
      </c>
      <c r="O9" s="39">
        <f t="shared" si="0"/>
        <v>2029</v>
      </c>
      <c r="P9" s="39">
        <f t="shared" si="0"/>
        <v>2030</v>
      </c>
      <c r="Q9" s="39">
        <f t="shared" si="0"/>
        <v>2031</v>
      </c>
      <c r="R9" s="39">
        <f t="shared" si="0"/>
        <v>2032</v>
      </c>
      <c r="S9" s="39">
        <f t="shared" si="0"/>
        <v>2033</v>
      </c>
      <c r="T9" s="39">
        <f t="shared" si="0"/>
        <v>2034</v>
      </c>
      <c r="U9" s="39">
        <f t="shared" si="0"/>
        <v>2035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</row>
    <row r="10" spans="1:116" x14ac:dyDescent="0.15">
      <c r="A10" s="59" t="s">
        <v>55</v>
      </c>
      <c r="B10" s="23">
        <v>229.12700000000001</v>
      </c>
      <c r="C10" s="38">
        <v>348.56299999999999</v>
      </c>
      <c r="D10" s="38">
        <f>SUM(Reports!B3:E3)</f>
        <v>484.58099999999996</v>
      </c>
      <c r="E10" s="38">
        <f>SUM(Reports!F3:I3)</f>
        <v>663.65699999999993</v>
      </c>
      <c r="F10" s="38">
        <f>SUM(Reports!J3:M3)</f>
        <v>918.46299999999997</v>
      </c>
      <c r="G10" s="38">
        <f>SUM(Reports!N3:Q3)</f>
        <v>1358.365</v>
      </c>
      <c r="H10" s="38">
        <f>G10*1.45</f>
        <v>1969.62925</v>
      </c>
      <c r="I10" s="38">
        <f t="shared" ref="I10:K10" si="1">H10*1.45</f>
        <v>2855.9624125</v>
      </c>
      <c r="J10" s="38">
        <f t="shared" si="1"/>
        <v>4141.1454981249999</v>
      </c>
      <c r="K10" s="38">
        <f t="shared" si="1"/>
        <v>6004.66097228125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</row>
    <row r="11" spans="1:116" x14ac:dyDescent="0.15">
      <c r="A11" s="8" t="s">
        <v>69</v>
      </c>
      <c r="B11" s="23">
        <v>21.353999999999999</v>
      </c>
      <c r="C11" s="38">
        <v>32.896000000000001</v>
      </c>
      <c r="D11" s="38">
        <f>SUM(Reports!B4:E4)</f>
        <v>33.923000000000002</v>
      </c>
      <c r="E11" s="38">
        <f>SUM(Reports!F4:I4)</f>
        <v>37.311999999999998</v>
      </c>
      <c r="F11" s="38">
        <f>SUM(Reports!J4:M4)</f>
        <v>55.507999999999996</v>
      </c>
      <c r="G11" s="38">
        <f>SUM(Reports!N4:Q4)</f>
        <v>74.44919999999999</v>
      </c>
      <c r="H11" s="38">
        <f>G11*1.25</f>
        <v>93.061499999999995</v>
      </c>
      <c r="I11" s="38">
        <f t="shared" ref="I11:K11" si="2">H11*1.25</f>
        <v>116.326875</v>
      </c>
      <c r="J11" s="38">
        <f t="shared" si="2"/>
        <v>145.40859374999999</v>
      </c>
      <c r="K11" s="38">
        <f t="shared" si="2"/>
        <v>181.7607421875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</row>
    <row r="12" spans="1:116" s="67" customFormat="1" x14ac:dyDescent="0.15">
      <c r="E12" s="68"/>
      <c r="F12" s="68"/>
      <c r="G12" s="68">
        <v>1426</v>
      </c>
      <c r="H12" s="68"/>
    </row>
    <row r="13" spans="1:116" x14ac:dyDescent="0.15">
      <c r="A13" s="2" t="s">
        <v>0</v>
      </c>
      <c r="B13" s="24">
        <f>SUM(B10:B11)</f>
        <v>250.48099999999999</v>
      </c>
      <c r="C13" s="24">
        <f>SUM(C10:C11)</f>
        <v>381.459</v>
      </c>
      <c r="D13" s="24">
        <f>SUM(D10:D11)</f>
        <v>518.50399999999991</v>
      </c>
      <c r="E13" s="24">
        <f>SUM(E10:E11)</f>
        <v>700.96899999999994</v>
      </c>
      <c r="F13" s="24">
        <f>SUM(F10:F11)</f>
        <v>973.971</v>
      </c>
      <c r="G13" s="47">
        <f>SUM(G10:G11)</f>
        <v>1432.8142</v>
      </c>
      <c r="H13" s="47">
        <f t="shared" ref="H13:K13" si="3">SUM(H10:H11)</f>
        <v>2062.6907499999998</v>
      </c>
      <c r="I13" s="47">
        <f t="shared" si="3"/>
        <v>2972.2892875000002</v>
      </c>
      <c r="J13" s="47">
        <f t="shared" si="3"/>
        <v>4286.5540918750003</v>
      </c>
      <c r="K13" s="47">
        <f t="shared" si="3"/>
        <v>6186.42171446875</v>
      </c>
      <c r="L13" s="47">
        <f>K13*1.2</f>
        <v>7423.7060573624995</v>
      </c>
      <c r="M13" s="47">
        <f t="shared" ref="M13:P13" si="4">L13*1.2</f>
        <v>8908.4472688349997</v>
      </c>
      <c r="N13" s="47">
        <f t="shared" si="4"/>
        <v>10690.136722601999</v>
      </c>
      <c r="O13" s="47">
        <f t="shared" si="4"/>
        <v>12828.1640671224</v>
      </c>
      <c r="P13" s="47">
        <f t="shared" si="4"/>
        <v>15393.796880546879</v>
      </c>
      <c r="Q13" s="47">
        <f t="shared" ref="Q13:U13" si="5">P13*1.1</f>
        <v>16933.176568601568</v>
      </c>
      <c r="R13" s="47">
        <f t="shared" si="5"/>
        <v>18626.494225461727</v>
      </c>
      <c r="S13" s="47">
        <f t="shared" si="5"/>
        <v>20489.143648007903</v>
      </c>
      <c r="T13" s="47">
        <f t="shared" si="5"/>
        <v>22538.058012808695</v>
      </c>
      <c r="U13" s="47">
        <f t="shared" si="5"/>
        <v>24791.863814089567</v>
      </c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</row>
    <row r="14" spans="1:116" x14ac:dyDescent="0.15">
      <c r="A14" s="3" t="s">
        <v>1</v>
      </c>
      <c r="B14" s="23">
        <v>73.855000000000004</v>
      </c>
      <c r="C14" s="38">
        <v>102.477</v>
      </c>
      <c r="D14" s="38">
        <f>SUM(Reports!B7:E7)</f>
        <v>118.273</v>
      </c>
      <c r="E14" s="38">
        <f>SUM(Reports!F7:I7)</f>
        <v>192.42099999999999</v>
      </c>
      <c r="F14" s="38">
        <f>SUM(Reports!J7:M7)</f>
        <v>243.23399999999998</v>
      </c>
      <c r="G14" s="38">
        <f>SUM(Reports!N7:Q7)</f>
        <v>367.39670997876857</v>
      </c>
      <c r="H14" s="23">
        <f t="shared" ref="H14:O14" si="6">H13-H15</f>
        <v>515.12470277400416</v>
      </c>
      <c r="I14" s="23">
        <f t="shared" si="6"/>
        <v>742.2826886588764</v>
      </c>
      <c r="J14" s="23">
        <f>J13-J15</f>
        <v>1070.4997356010836</v>
      </c>
      <c r="K14" s="23">
        <f t="shared" si="6"/>
        <v>1544.9619129287121</v>
      </c>
      <c r="L14" s="23">
        <f t="shared" si="6"/>
        <v>1853.9542955144543</v>
      </c>
      <c r="M14" s="23">
        <f t="shared" si="6"/>
        <v>2224.7451546173452</v>
      </c>
      <c r="N14" s="23">
        <f t="shared" si="6"/>
        <v>2669.694185540814</v>
      </c>
      <c r="O14" s="23">
        <f t="shared" si="6"/>
        <v>3203.6330226489772</v>
      </c>
      <c r="P14" s="23">
        <f t="shared" ref="P14" si="7">P13-P15</f>
        <v>3844.3596271787719</v>
      </c>
      <c r="Q14" s="23">
        <f t="shared" ref="Q14:T14" si="8">Q13-Q15</f>
        <v>4228.7955898966502</v>
      </c>
      <c r="R14" s="23">
        <f t="shared" si="8"/>
        <v>4651.6751488863156</v>
      </c>
      <c r="S14" s="23">
        <f t="shared" si="8"/>
        <v>5116.8426637749471</v>
      </c>
      <c r="T14" s="23">
        <f t="shared" si="8"/>
        <v>5628.5269301524422</v>
      </c>
      <c r="U14" s="23">
        <f t="shared" ref="U14" si="9">U13-U15</f>
        <v>6191.3796231676897</v>
      </c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</row>
    <row r="15" spans="1:116" x14ac:dyDescent="0.15">
      <c r="A15" s="3" t="s">
        <v>2</v>
      </c>
      <c r="B15" s="26">
        <f>B13-B14</f>
        <v>176.62599999999998</v>
      </c>
      <c r="C15" s="26">
        <f>C13-C14</f>
        <v>278.98199999999997</v>
      </c>
      <c r="D15" s="26">
        <f>D13-D14</f>
        <v>400.23099999999988</v>
      </c>
      <c r="E15" s="26">
        <f>E13-E14</f>
        <v>508.54799999999994</v>
      </c>
      <c r="F15" s="26">
        <f>F13-F14</f>
        <v>730.73700000000008</v>
      </c>
      <c r="G15" s="23">
        <f t="shared" ref="G15:U15" si="10">G13*F28</f>
        <v>1074.9912985760359</v>
      </c>
      <c r="H15" s="23">
        <f t="shared" si="10"/>
        <v>1547.5660472259956</v>
      </c>
      <c r="I15" s="23">
        <f t="shared" si="10"/>
        <v>2230.0065988411238</v>
      </c>
      <c r="J15" s="23">
        <f>J13*I28</f>
        <v>3216.0543562739167</v>
      </c>
      <c r="K15" s="23">
        <f t="shared" si="10"/>
        <v>4641.4598015400379</v>
      </c>
      <c r="L15" s="23">
        <f t="shared" si="10"/>
        <v>5569.7517618480451</v>
      </c>
      <c r="M15" s="23">
        <f t="shared" si="10"/>
        <v>6683.7021142176545</v>
      </c>
      <c r="N15" s="23">
        <f t="shared" si="10"/>
        <v>8020.4425370611852</v>
      </c>
      <c r="O15" s="23">
        <f t="shared" si="10"/>
        <v>9624.5310444734223</v>
      </c>
      <c r="P15" s="23">
        <f t="shared" si="10"/>
        <v>11549.437253368107</v>
      </c>
      <c r="Q15" s="23">
        <f t="shared" si="10"/>
        <v>12704.380978704918</v>
      </c>
      <c r="R15" s="23">
        <f t="shared" si="10"/>
        <v>13974.819076575412</v>
      </c>
      <c r="S15" s="23">
        <f t="shared" si="10"/>
        <v>15372.300984232956</v>
      </c>
      <c r="T15" s="23">
        <f t="shared" si="10"/>
        <v>16909.531082656253</v>
      </c>
      <c r="U15" s="23">
        <f t="shared" si="10"/>
        <v>18600.484190921878</v>
      </c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</row>
    <row r="16" spans="1:116" x14ac:dyDescent="0.15">
      <c r="A16" s="3" t="s">
        <v>3</v>
      </c>
      <c r="B16" s="23">
        <v>62</v>
      </c>
      <c r="C16" s="38">
        <v>90</v>
      </c>
      <c r="D16" s="38">
        <f>SUM(Reports!B9:E9)</f>
        <v>93</v>
      </c>
      <c r="E16" s="38">
        <f>SUM(Reports!F9:I9)</f>
        <v>186</v>
      </c>
      <c r="F16" s="38">
        <f>SUM(Reports!J9:M9)</f>
        <v>186</v>
      </c>
      <c r="G16" s="38">
        <f>SUM(Reports!N9:Q9)</f>
        <v>269</v>
      </c>
      <c r="H16" s="23">
        <f t="shared" ref="H16" si="11">G16*1.35</f>
        <v>363.15000000000003</v>
      </c>
      <c r="I16" s="23">
        <f t="shared" ref="I16" si="12">H16*1.35</f>
        <v>490.25250000000005</v>
      </c>
      <c r="J16" s="23">
        <f t="shared" ref="J16" si="13">I16*1.35</f>
        <v>661.8408750000001</v>
      </c>
      <c r="K16" s="23">
        <f t="shared" ref="K16" si="14">J16*1.35</f>
        <v>893.48518125000021</v>
      </c>
      <c r="L16" s="23">
        <f>K16*1.2</f>
        <v>1072.1822175000002</v>
      </c>
      <c r="M16" s="23">
        <f t="shared" ref="M16:P16" si="15">L16*1.2</f>
        <v>1286.6186610000002</v>
      </c>
      <c r="N16" s="23">
        <f t="shared" si="15"/>
        <v>1543.9423932000002</v>
      </c>
      <c r="O16" s="23">
        <f t="shared" si="15"/>
        <v>1852.7308718400002</v>
      </c>
      <c r="P16" s="23">
        <f t="shared" si="15"/>
        <v>2223.2770462080002</v>
      </c>
      <c r="Q16" s="23">
        <f t="shared" ref="Q16:U17" si="16">P16*1.1</f>
        <v>2445.6047508288007</v>
      </c>
      <c r="R16" s="23">
        <f t="shared" si="16"/>
        <v>2690.1652259116809</v>
      </c>
      <c r="S16" s="23">
        <f t="shared" si="16"/>
        <v>2959.1817485028491</v>
      </c>
      <c r="T16" s="23">
        <f t="shared" si="16"/>
        <v>3255.0999233531343</v>
      </c>
      <c r="U16" s="23">
        <f t="shared" si="16"/>
        <v>3580.6099156884479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</row>
    <row r="17" spans="1:199" x14ac:dyDescent="0.15">
      <c r="A17" s="3" t="s">
        <v>4</v>
      </c>
      <c r="B17" s="23">
        <v>170</v>
      </c>
      <c r="C17" s="38">
        <v>241</v>
      </c>
      <c r="D17" s="38">
        <f>SUM(Reports!B10:E10)</f>
        <v>279</v>
      </c>
      <c r="E17" s="38">
        <f>SUM(Reports!F10:I10)</f>
        <v>540</v>
      </c>
      <c r="F17" s="38">
        <f>SUM(Reports!J10:M10)</f>
        <v>591</v>
      </c>
      <c r="G17" s="38">
        <f>SUM(Reports!N10:Q10)</f>
        <v>818.5</v>
      </c>
      <c r="H17" s="23">
        <f t="shared" ref="H17" si="17">G17*1.25</f>
        <v>1023.125</v>
      </c>
      <c r="I17" s="23">
        <f t="shared" ref="I17" si="18">H17*1.25</f>
        <v>1278.90625</v>
      </c>
      <c r="J17" s="23">
        <f t="shared" ref="J17" si="19">I17*1.25</f>
        <v>1598.6328125</v>
      </c>
      <c r="K17" s="23">
        <f t="shared" ref="K17" si="20">J17*1.25</f>
        <v>1998.291015625</v>
      </c>
      <c r="L17" s="23">
        <f t="shared" ref="L17:P17" si="21">K17*1.15</f>
        <v>2298.03466796875</v>
      </c>
      <c r="M17" s="23">
        <f t="shared" si="21"/>
        <v>2642.7398681640625</v>
      </c>
      <c r="N17" s="23">
        <f t="shared" si="21"/>
        <v>3039.1508483886714</v>
      </c>
      <c r="O17" s="23">
        <f t="shared" si="21"/>
        <v>3495.0234756469717</v>
      </c>
      <c r="P17" s="23">
        <f t="shared" si="21"/>
        <v>4019.2769969940173</v>
      </c>
      <c r="Q17" s="23">
        <f>P17*1.1</f>
        <v>4421.2046966934195</v>
      </c>
      <c r="R17" s="23">
        <f t="shared" si="16"/>
        <v>4863.3251663627616</v>
      </c>
      <c r="S17" s="23">
        <f t="shared" si="16"/>
        <v>5349.6576829990381</v>
      </c>
      <c r="T17" s="23">
        <f t="shared" si="16"/>
        <v>5884.6234512989422</v>
      </c>
      <c r="U17" s="23">
        <f t="shared" si="16"/>
        <v>6473.0857964288371</v>
      </c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</row>
    <row r="18" spans="1:199" x14ac:dyDescent="0.15">
      <c r="A18" s="3" t="s">
        <v>5</v>
      </c>
      <c r="B18" s="23">
        <v>64</v>
      </c>
      <c r="C18" s="38">
        <v>64</v>
      </c>
      <c r="D18" s="38">
        <f>SUM(Reports!B11:E11)</f>
        <v>82</v>
      </c>
      <c r="E18" s="38">
        <f>SUM(Reports!F11:I11)</f>
        <v>209</v>
      </c>
      <c r="F18" s="38">
        <f>SUM(Reports!J11:M11)</f>
        <v>148</v>
      </c>
      <c r="G18" s="38">
        <f>SUM(Reports!N11:Q11)</f>
        <v>194</v>
      </c>
      <c r="H18" s="23">
        <f>G18*1.2</f>
        <v>232.79999999999998</v>
      </c>
      <c r="I18" s="23">
        <f t="shared" ref="I18:K18" si="22">H18*1.2</f>
        <v>279.35999999999996</v>
      </c>
      <c r="J18" s="23">
        <f t="shared" si="22"/>
        <v>335.23199999999991</v>
      </c>
      <c r="K18" s="23">
        <f t="shared" si="22"/>
        <v>402.27839999999986</v>
      </c>
      <c r="L18" s="23">
        <f>K18*1.1</f>
        <v>442.50623999999988</v>
      </c>
      <c r="M18" s="23">
        <f t="shared" ref="M18:P18" si="23">L18*1.1</f>
        <v>486.75686399999989</v>
      </c>
      <c r="N18" s="23">
        <f t="shared" si="23"/>
        <v>535.43255039999997</v>
      </c>
      <c r="O18" s="23">
        <f t="shared" si="23"/>
        <v>588.97580544000004</v>
      </c>
      <c r="P18" s="23">
        <f t="shared" si="23"/>
        <v>647.87338598400015</v>
      </c>
      <c r="Q18" s="23">
        <f>P18*1.05</f>
        <v>680.26705528320019</v>
      </c>
      <c r="R18" s="23">
        <f t="shared" ref="R18:U18" si="24">Q18*1.05</f>
        <v>714.2804080473602</v>
      </c>
      <c r="S18" s="23">
        <f t="shared" si="24"/>
        <v>749.99442844972828</v>
      </c>
      <c r="T18" s="23">
        <f t="shared" si="24"/>
        <v>787.49414987221473</v>
      </c>
      <c r="U18" s="23">
        <f t="shared" si="24"/>
        <v>826.86885736582553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</row>
    <row r="19" spans="1:199" x14ac:dyDescent="0.15">
      <c r="A19" s="3" t="s">
        <v>6</v>
      </c>
      <c r="B19" s="26">
        <f>SUM(B16:B18)</f>
        <v>296</v>
      </c>
      <c r="C19" s="26">
        <f>SUM(C16:C18)</f>
        <v>395</v>
      </c>
      <c r="D19" s="26">
        <f>SUM(D16:D18)</f>
        <v>454</v>
      </c>
      <c r="E19" s="26">
        <f>SUM(E16:E18)</f>
        <v>935</v>
      </c>
      <c r="F19" s="26">
        <f>SUM(F16:F18)</f>
        <v>925</v>
      </c>
      <c r="G19" s="23">
        <f t="shared" ref="G19" si="25">SUM(G16:G18)</f>
        <v>1281.5</v>
      </c>
      <c r="H19" s="23">
        <f t="shared" ref="H19:O19" si="26">SUM(H16:H18)</f>
        <v>1619.075</v>
      </c>
      <c r="I19" s="23">
        <f t="shared" si="26"/>
        <v>2048.5187500000002</v>
      </c>
      <c r="J19" s="23">
        <f t="shared" si="26"/>
        <v>2595.7056874999998</v>
      </c>
      <c r="K19" s="23">
        <f t="shared" si="26"/>
        <v>3294.0545968749998</v>
      </c>
      <c r="L19" s="23">
        <f t="shared" si="26"/>
        <v>3812.7231254687499</v>
      </c>
      <c r="M19" s="23">
        <f t="shared" si="26"/>
        <v>4416.1153931640629</v>
      </c>
      <c r="N19" s="23">
        <f t="shared" si="26"/>
        <v>5118.5257919886717</v>
      </c>
      <c r="O19" s="23">
        <f t="shared" si="26"/>
        <v>5936.7301529269716</v>
      </c>
      <c r="P19" s="23">
        <f t="shared" ref="P19" si="27">SUM(P16:P18)</f>
        <v>6890.4274291860174</v>
      </c>
      <c r="Q19" s="23">
        <f t="shared" ref="Q19:T19" si="28">SUM(Q16:Q18)</f>
        <v>7547.0765028054211</v>
      </c>
      <c r="R19" s="23">
        <f t="shared" si="28"/>
        <v>8267.7708003218031</v>
      </c>
      <c r="S19" s="23">
        <f t="shared" si="28"/>
        <v>9058.8338599516155</v>
      </c>
      <c r="T19" s="23">
        <f t="shared" si="28"/>
        <v>9927.2175245242906</v>
      </c>
      <c r="U19" s="23">
        <f t="shared" ref="U19" si="29">SUM(U16:U18)</f>
        <v>10880.564569483111</v>
      </c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</row>
    <row r="20" spans="1:199" x14ac:dyDescent="0.15">
      <c r="A20" s="3" t="s">
        <v>7</v>
      </c>
      <c r="B20" s="26">
        <f>B15-B19</f>
        <v>-119.37400000000002</v>
      </c>
      <c r="C20" s="26">
        <f>C15-C19</f>
        <v>-116.01800000000003</v>
      </c>
      <c r="D20" s="26">
        <f>D15-D19</f>
        <v>-53.769000000000119</v>
      </c>
      <c r="E20" s="26">
        <f>E15-E19</f>
        <v>-426.45200000000006</v>
      </c>
      <c r="F20" s="26">
        <f>F15-F19</f>
        <v>-194.26299999999992</v>
      </c>
      <c r="G20" s="23">
        <f t="shared" ref="G20" si="30">G15-G19</f>
        <v>-206.50870142396411</v>
      </c>
      <c r="H20" s="23">
        <f t="shared" ref="H20:O20" si="31">H15-H19</f>
        <v>-71.508952774004456</v>
      </c>
      <c r="I20" s="23">
        <f t="shared" si="31"/>
        <v>181.48784884112365</v>
      </c>
      <c r="J20" s="23">
        <f t="shared" si="31"/>
        <v>620.34866877391687</v>
      </c>
      <c r="K20" s="23">
        <f t="shared" si="31"/>
        <v>1347.4052046650381</v>
      </c>
      <c r="L20" s="23">
        <f t="shared" si="31"/>
        <v>1757.0286363792952</v>
      </c>
      <c r="M20" s="23">
        <f t="shared" si="31"/>
        <v>2267.5867210535916</v>
      </c>
      <c r="N20" s="23">
        <f t="shared" si="31"/>
        <v>2901.9167450725135</v>
      </c>
      <c r="O20" s="23">
        <f t="shared" si="31"/>
        <v>3687.8008915464507</v>
      </c>
      <c r="P20" s="23">
        <f t="shared" ref="P20" si="32">P15-P19</f>
        <v>4659.0098241820897</v>
      </c>
      <c r="Q20" s="23">
        <f t="shared" ref="Q20:T20" si="33">Q15-Q19</f>
        <v>5157.3044758994965</v>
      </c>
      <c r="R20" s="23">
        <f t="shared" si="33"/>
        <v>5707.0482762536085</v>
      </c>
      <c r="S20" s="23">
        <f t="shared" si="33"/>
        <v>6313.4671242813401</v>
      </c>
      <c r="T20" s="23">
        <f t="shared" si="33"/>
        <v>6982.3135581319621</v>
      </c>
      <c r="U20" s="23">
        <f t="shared" ref="U20" si="34">U15-U19</f>
        <v>7719.9196214387666</v>
      </c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</row>
    <row r="21" spans="1:199" x14ac:dyDescent="0.15">
      <c r="A21" s="3" t="s">
        <v>8</v>
      </c>
      <c r="B21" s="23">
        <f>-1-4</f>
        <v>-5</v>
      </c>
      <c r="C21" s="38">
        <f>-1+1</f>
        <v>0</v>
      </c>
      <c r="D21" s="38">
        <f>SUM(Reports!B14:E14)</f>
        <v>3</v>
      </c>
      <c r="E21" s="38">
        <f>SUM(Reports!F14:I14)</f>
        <v>2</v>
      </c>
      <c r="F21" s="38">
        <f>SUM(Reports!J14:M14)</f>
        <v>-8</v>
      </c>
      <c r="G21" s="38">
        <f>SUM(Reports!N14:Q14)</f>
        <v>-25</v>
      </c>
      <c r="H21" s="23">
        <f t="shared" ref="G21:U21" si="35">G38*$F$3</f>
        <v>3.835627280829748</v>
      </c>
      <c r="I21" s="23">
        <f t="shared" si="35"/>
        <v>2.4821607709662539</v>
      </c>
      <c r="J21" s="23">
        <f t="shared" si="35"/>
        <v>6.1615609632080526</v>
      </c>
      <c r="K21" s="23">
        <f t="shared" si="35"/>
        <v>16.812234868739178</v>
      </c>
      <c r="L21" s="23">
        <f t="shared" si="35"/>
        <v>40.003931340813395</v>
      </c>
      <c r="M21" s="23">
        <f t="shared" si="35"/>
        <v>70.553484992055232</v>
      </c>
      <c r="N21" s="23">
        <f t="shared" si="35"/>
        <v>110.30186849483124</v>
      </c>
      <c r="O21" s="23">
        <f t="shared" si="35"/>
        <v>161.50958492547608</v>
      </c>
      <c r="P21" s="23">
        <f t="shared" si="35"/>
        <v>226.94786302549886</v>
      </c>
      <c r="Q21" s="23">
        <f t="shared" si="35"/>
        <v>310.00914370802786</v>
      </c>
      <c r="R21" s="23">
        <f t="shared" si="35"/>
        <v>402.95347524135576</v>
      </c>
      <c r="S21" s="23">
        <f t="shared" si="35"/>
        <v>506.82350501677013</v>
      </c>
      <c r="T21" s="23">
        <f t="shared" si="35"/>
        <v>622.76844571483798</v>
      </c>
      <c r="U21" s="23">
        <f t="shared" si="35"/>
        <v>752.05483978023358</v>
      </c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</row>
    <row r="22" spans="1:199" x14ac:dyDescent="0.15">
      <c r="A22" s="3" t="s">
        <v>9</v>
      </c>
      <c r="B22" s="26">
        <f>B20+B21</f>
        <v>-124.37400000000002</v>
      </c>
      <c r="C22" s="26">
        <f>C20+C21</f>
        <v>-116.01800000000003</v>
      </c>
      <c r="D22" s="26">
        <f>D20+D21</f>
        <v>-50.769000000000119</v>
      </c>
      <c r="E22" s="26">
        <f>E20+E21</f>
        <v>-424.45200000000006</v>
      </c>
      <c r="F22" s="26">
        <f>F20+F21</f>
        <v>-202.26299999999992</v>
      </c>
      <c r="G22" s="23">
        <f t="shared" ref="G22" si="36">G20+G21</f>
        <v>-231.50870142396411</v>
      </c>
      <c r="H22" s="23">
        <f t="shared" ref="H22" si="37">H20+H21</f>
        <v>-67.673325493174701</v>
      </c>
      <c r="I22" s="23">
        <f t="shared" ref="I22" si="38">I20+I21</f>
        <v>183.97000961208991</v>
      </c>
      <c r="J22" s="23">
        <f t="shared" ref="J22" si="39">J20+J21</f>
        <v>626.51022973712497</v>
      </c>
      <c r="K22" s="23">
        <f t="shared" ref="K22" si="40">K20+K21</f>
        <v>1364.2174395337772</v>
      </c>
      <c r="L22" s="23">
        <f t="shared" ref="L22" si="41">L20+L21</f>
        <v>1797.0325677201085</v>
      </c>
      <c r="M22" s="23">
        <f t="shared" ref="M22" si="42">M20+M21</f>
        <v>2338.1402060456467</v>
      </c>
      <c r="N22" s="23">
        <f t="shared" ref="N22" si="43">N20+N21</f>
        <v>3012.2186135673446</v>
      </c>
      <c r="O22" s="23">
        <f t="shared" ref="O22" si="44">O20+O21</f>
        <v>3849.3104764719269</v>
      </c>
      <c r="P22" s="23">
        <f t="shared" ref="P22" si="45">P20+P21</f>
        <v>4885.9576872075886</v>
      </c>
      <c r="Q22" s="23">
        <f t="shared" ref="Q22:T22" si="46">Q20+Q21</f>
        <v>5467.3136196075247</v>
      </c>
      <c r="R22" s="23">
        <f t="shared" si="46"/>
        <v>6110.0017514949641</v>
      </c>
      <c r="S22" s="23">
        <f t="shared" si="46"/>
        <v>6820.2906292981106</v>
      </c>
      <c r="T22" s="23">
        <f t="shared" si="46"/>
        <v>7605.0820038468</v>
      </c>
      <c r="U22" s="23">
        <f t="shared" ref="U22" si="47">U20+U21</f>
        <v>8471.9744612190007</v>
      </c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</row>
    <row r="23" spans="1:199" x14ac:dyDescent="0.15">
      <c r="A23" s="3" t="s">
        <v>10</v>
      </c>
      <c r="B23" s="23">
        <v>-1</v>
      </c>
      <c r="C23" s="38">
        <v>0</v>
      </c>
      <c r="D23" s="38">
        <f>SUM(Reports!B16:E16)</f>
        <v>3</v>
      </c>
      <c r="E23" s="38">
        <f>SUM(Reports!F16:I16)</f>
        <v>-2</v>
      </c>
      <c r="F23" s="38">
        <f>SUM(Reports!J16:M16)</f>
        <v>4</v>
      </c>
      <c r="G23" s="38">
        <f>SUM(Reports!N16:Q16)</f>
        <v>7.7099345345484931</v>
      </c>
      <c r="H23" s="23">
        <v>0</v>
      </c>
      <c r="I23" s="23">
        <v>0</v>
      </c>
      <c r="J23" s="23">
        <f t="shared" ref="J23:T23" si="48">J22*0.15</f>
        <v>93.976534460568743</v>
      </c>
      <c r="K23" s="23">
        <f t="shared" si="48"/>
        <v>204.63261593006658</v>
      </c>
      <c r="L23" s="23">
        <f t="shared" si="48"/>
        <v>269.55488515801625</v>
      </c>
      <c r="M23" s="23">
        <f t="shared" si="48"/>
        <v>350.72103090684698</v>
      </c>
      <c r="N23" s="23">
        <f t="shared" si="48"/>
        <v>451.8327920351017</v>
      </c>
      <c r="O23" s="23">
        <f t="shared" si="48"/>
        <v>577.39657147078901</v>
      </c>
      <c r="P23" s="23">
        <f t="shared" ref="P23" si="49">P22*0.15</f>
        <v>732.89365308113827</v>
      </c>
      <c r="Q23" s="23">
        <f t="shared" si="48"/>
        <v>820.09704294112873</v>
      </c>
      <c r="R23" s="23">
        <f t="shared" si="48"/>
        <v>916.50026272424464</v>
      </c>
      <c r="S23" s="23">
        <f t="shared" si="48"/>
        <v>1023.0435943947166</v>
      </c>
      <c r="T23" s="23">
        <f t="shared" si="48"/>
        <v>1140.7623005770199</v>
      </c>
      <c r="U23" s="23">
        <f t="shared" ref="U23" si="50">U22*0.15</f>
        <v>1270.79616918285</v>
      </c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</row>
    <row r="24" spans="1:199" s="2" customFormat="1" x14ac:dyDescent="0.15">
      <c r="A24" s="2" t="s">
        <v>11</v>
      </c>
      <c r="B24" s="24">
        <f>B22-B23</f>
        <v>-123.37400000000002</v>
      </c>
      <c r="C24" s="24">
        <f>C22-C23</f>
        <v>-116.01800000000003</v>
      </c>
      <c r="D24" s="24">
        <f>D22-D23</f>
        <v>-53.769000000000119</v>
      </c>
      <c r="E24" s="24">
        <f t="shared" ref="E24:G24" si="51">E22-E23</f>
        <v>-422.45200000000006</v>
      </c>
      <c r="F24" s="24">
        <f>F22-F23</f>
        <v>-206.26299999999992</v>
      </c>
      <c r="G24" s="24">
        <f t="shared" si="51"/>
        <v>-239.21863595851261</v>
      </c>
      <c r="H24" s="24">
        <f t="shared" ref="H24:O24" si="52">H22-H23</f>
        <v>-67.673325493174701</v>
      </c>
      <c r="I24" s="24">
        <f t="shared" si="52"/>
        <v>183.97000961208991</v>
      </c>
      <c r="J24" s="24">
        <f t="shared" si="52"/>
        <v>532.53369527655627</v>
      </c>
      <c r="K24" s="24">
        <f t="shared" si="52"/>
        <v>1159.5848236037107</v>
      </c>
      <c r="L24" s="24">
        <f t="shared" si="52"/>
        <v>1527.4776825620922</v>
      </c>
      <c r="M24" s="24">
        <f t="shared" si="52"/>
        <v>1987.4191751387998</v>
      </c>
      <c r="N24" s="24">
        <f t="shared" si="52"/>
        <v>2560.385821532243</v>
      </c>
      <c r="O24" s="24">
        <f t="shared" si="52"/>
        <v>3271.9139050011381</v>
      </c>
      <c r="P24" s="24">
        <f t="shared" ref="P24" si="53">P22-P23</f>
        <v>4153.0640341264507</v>
      </c>
      <c r="Q24" s="24">
        <f t="shared" ref="Q24:T24" si="54">Q22-Q23</f>
        <v>4647.2165766663957</v>
      </c>
      <c r="R24" s="24">
        <f t="shared" si="54"/>
        <v>5193.5014887707193</v>
      </c>
      <c r="S24" s="24">
        <f t="shared" si="54"/>
        <v>5797.2470349033938</v>
      </c>
      <c r="T24" s="24">
        <f t="shared" si="54"/>
        <v>6464.3197032697799</v>
      </c>
      <c r="U24" s="24">
        <f t="shared" ref="U24" si="55">U22-U23</f>
        <v>7201.1782920361511</v>
      </c>
      <c r="V24" s="24">
        <f>U24*($F$2+1)</f>
        <v>7237.1841834963307</v>
      </c>
      <c r="W24" s="24">
        <f t="shared" ref="V24:AZ24" si="56">V24*($F$2+1)</f>
        <v>7273.3701044138115</v>
      </c>
      <c r="X24" s="24">
        <f t="shared" si="56"/>
        <v>7309.73695493588</v>
      </c>
      <c r="Y24" s="24">
        <f t="shared" si="56"/>
        <v>7346.2856397105588</v>
      </c>
      <c r="Z24" s="24">
        <f t="shared" si="56"/>
        <v>7383.0170679091107</v>
      </c>
      <c r="AA24" s="24">
        <f t="shared" si="56"/>
        <v>7419.9321532486556</v>
      </c>
      <c r="AB24" s="24">
        <f t="shared" si="56"/>
        <v>7457.0318140148984</v>
      </c>
      <c r="AC24" s="24">
        <f t="shared" si="56"/>
        <v>7494.3169730849722</v>
      </c>
      <c r="AD24" s="24">
        <f t="shared" si="56"/>
        <v>7531.7885579503964</v>
      </c>
      <c r="AE24" s="24">
        <f t="shared" si="56"/>
        <v>7569.4475007401479</v>
      </c>
      <c r="AF24" s="24">
        <f t="shared" si="56"/>
        <v>7607.2947382438479</v>
      </c>
      <c r="AG24" s="24">
        <f t="shared" si="56"/>
        <v>7645.3312119350667</v>
      </c>
      <c r="AH24" s="24">
        <f t="shared" si="56"/>
        <v>7683.5578679947412</v>
      </c>
      <c r="AI24" s="24">
        <f t="shared" si="56"/>
        <v>7721.975657334714</v>
      </c>
      <c r="AJ24" s="24">
        <f t="shared" si="56"/>
        <v>7760.585535621387</v>
      </c>
      <c r="AK24" s="24">
        <f t="shared" si="56"/>
        <v>7799.3884632994932</v>
      </c>
      <c r="AL24" s="24">
        <f t="shared" si="56"/>
        <v>7838.3854056159898</v>
      </c>
      <c r="AM24" s="24">
        <f t="shared" si="56"/>
        <v>7877.5773326440685</v>
      </c>
      <c r="AN24" s="24">
        <f t="shared" si="56"/>
        <v>7916.965219307288</v>
      </c>
      <c r="AO24" s="24">
        <f t="shared" si="56"/>
        <v>7956.5500454038238</v>
      </c>
      <c r="AP24" s="24">
        <f t="shared" si="56"/>
        <v>7996.3327956308422</v>
      </c>
      <c r="AQ24" s="24">
        <f t="shared" si="56"/>
        <v>8036.3144596089951</v>
      </c>
      <c r="AR24" s="24">
        <f t="shared" si="56"/>
        <v>8076.4960319070397</v>
      </c>
      <c r="AS24" s="24">
        <f t="shared" si="56"/>
        <v>8116.8785120665743</v>
      </c>
      <c r="AT24" s="24">
        <f t="shared" si="56"/>
        <v>8157.4629046269065</v>
      </c>
      <c r="AU24" s="24">
        <f t="shared" si="56"/>
        <v>8198.2502191500407</v>
      </c>
      <c r="AV24" s="24">
        <f t="shared" si="56"/>
        <v>8239.24147024579</v>
      </c>
      <c r="AW24" s="24">
        <f t="shared" si="56"/>
        <v>8280.4376775970177</v>
      </c>
      <c r="AX24" s="24">
        <f t="shared" si="56"/>
        <v>8321.8398659850027</v>
      </c>
      <c r="AY24" s="24">
        <f t="shared" si="56"/>
        <v>8363.449065314926</v>
      </c>
      <c r="AZ24" s="24">
        <f t="shared" si="56"/>
        <v>8405.2663106415002</v>
      </c>
      <c r="BA24" s="24">
        <f t="shared" ref="BA24:CF24" si="57">AZ24*($F$2+1)</f>
        <v>8447.2926421947068</v>
      </c>
      <c r="BB24" s="24">
        <f t="shared" si="57"/>
        <v>8489.5291054056797</v>
      </c>
      <c r="BC24" s="24">
        <f t="shared" si="57"/>
        <v>8531.9767509327066</v>
      </c>
      <c r="BD24" s="24">
        <f t="shared" si="57"/>
        <v>8574.6366346873692</v>
      </c>
      <c r="BE24" s="24">
        <f t="shared" si="57"/>
        <v>8617.5098178608059</v>
      </c>
      <c r="BF24" s="24">
        <f t="shared" si="57"/>
        <v>8660.5973669501091</v>
      </c>
      <c r="BG24" s="24">
        <f t="shared" si="57"/>
        <v>8703.9003537848585</v>
      </c>
      <c r="BH24" s="24">
        <f t="shared" si="57"/>
        <v>8747.4198555537823</v>
      </c>
      <c r="BI24" s="24">
        <f t="shared" si="57"/>
        <v>8791.156954831551</v>
      </c>
      <c r="BJ24" s="24">
        <f t="shared" si="57"/>
        <v>8835.1127396057072</v>
      </c>
      <c r="BK24" s="24">
        <f t="shared" si="57"/>
        <v>8879.2883033037342</v>
      </c>
      <c r="BL24" s="24">
        <f t="shared" si="57"/>
        <v>8923.6847448202516</v>
      </c>
      <c r="BM24" s="24">
        <f t="shared" si="57"/>
        <v>8968.3031685443511</v>
      </c>
      <c r="BN24" s="24">
        <f t="shared" si="57"/>
        <v>9013.1446843870726</v>
      </c>
      <c r="BO24" s="24">
        <f t="shared" si="57"/>
        <v>9058.2104078090069</v>
      </c>
      <c r="BP24" s="24">
        <f t="shared" si="57"/>
        <v>9103.5014598480502</v>
      </c>
      <c r="BQ24" s="24">
        <f t="shared" si="57"/>
        <v>9149.018967147289</v>
      </c>
      <c r="BR24" s="24">
        <f t="shared" si="57"/>
        <v>9194.7640619830236</v>
      </c>
      <c r="BS24" s="24">
        <f t="shared" si="57"/>
        <v>9240.7378822929386</v>
      </c>
      <c r="BT24" s="24">
        <f t="shared" si="57"/>
        <v>9286.941571704403</v>
      </c>
      <c r="BU24" s="24">
        <f t="shared" si="57"/>
        <v>9333.3762795629245</v>
      </c>
      <c r="BV24" s="24">
        <f t="shared" si="57"/>
        <v>9380.0431609607385</v>
      </c>
      <c r="BW24" s="24">
        <f t="shared" si="57"/>
        <v>9426.943376765541</v>
      </c>
      <c r="BX24" s="24">
        <f t="shared" si="57"/>
        <v>9474.0780936493684</v>
      </c>
      <c r="BY24" s="24">
        <f t="shared" si="57"/>
        <v>9521.4484841176145</v>
      </c>
      <c r="BZ24" s="24">
        <f t="shared" si="57"/>
        <v>9569.0557265382013</v>
      </c>
      <c r="CA24" s="24">
        <f t="shared" si="57"/>
        <v>9616.9010051708919</v>
      </c>
      <c r="CB24" s="24">
        <f t="shared" si="57"/>
        <v>9664.985510196746</v>
      </c>
      <c r="CC24" s="24">
        <f t="shared" si="57"/>
        <v>9713.3104377477284</v>
      </c>
      <c r="CD24" s="24">
        <f t="shared" si="57"/>
        <v>9761.8769899364652</v>
      </c>
      <c r="CE24" s="24">
        <f t="shared" si="57"/>
        <v>9810.686374886147</v>
      </c>
      <c r="CF24" s="24">
        <f t="shared" si="57"/>
        <v>9859.7398067605773</v>
      </c>
      <c r="CG24" s="24">
        <f t="shared" ref="CG24:DL24" si="58">CF24*($F$2+1)</f>
        <v>9909.0385057943786</v>
      </c>
      <c r="CH24" s="24">
        <f t="shared" si="58"/>
        <v>9958.5836983233494</v>
      </c>
      <c r="CI24" s="24">
        <f t="shared" si="58"/>
        <v>10008.376616814965</v>
      </c>
      <c r="CJ24" s="24">
        <f t="shared" si="58"/>
        <v>10058.418499899039</v>
      </c>
      <c r="CK24" s="24">
        <f t="shared" si="58"/>
        <v>10108.710592398533</v>
      </c>
      <c r="CL24" s="24">
        <f t="shared" si="58"/>
        <v>10159.254145360524</v>
      </c>
      <c r="CM24" s="24">
        <f t="shared" si="58"/>
        <v>10210.050416087326</v>
      </c>
      <c r="CN24" s="24">
        <f t="shared" si="58"/>
        <v>10261.100668167761</v>
      </c>
      <c r="CO24" s="24">
        <f t="shared" si="58"/>
        <v>10312.406171508599</v>
      </c>
      <c r="CP24" s="24">
        <f t="shared" si="58"/>
        <v>10363.968202366141</v>
      </c>
      <c r="CQ24" s="24">
        <f t="shared" si="58"/>
        <v>10415.78804337797</v>
      </c>
      <c r="CR24" s="24">
        <f t="shared" si="58"/>
        <v>10467.866983594859</v>
      </c>
      <c r="CS24" s="24">
        <f t="shared" si="58"/>
        <v>10520.206318512832</v>
      </c>
      <c r="CT24" s="24">
        <f t="shared" si="58"/>
        <v>10572.807350105395</v>
      </c>
      <c r="CU24" s="24">
        <f t="shared" si="58"/>
        <v>10625.67138685592</v>
      </c>
      <c r="CV24" s="24">
        <f t="shared" si="58"/>
        <v>10678.799743790198</v>
      </c>
      <c r="CW24" s="24">
        <f t="shared" si="58"/>
        <v>10732.193742509147</v>
      </c>
      <c r="CX24" s="24">
        <f t="shared" si="58"/>
        <v>10785.854711221691</v>
      </c>
      <c r="CY24" s="24">
        <f t="shared" si="58"/>
        <v>10839.783984777798</v>
      </c>
      <c r="CZ24" s="24">
        <f t="shared" si="58"/>
        <v>10893.982904701685</v>
      </c>
      <c r="DA24" s="24">
        <f t="shared" si="58"/>
        <v>10948.452819225193</v>
      </c>
      <c r="DB24" s="24">
        <f t="shared" si="58"/>
        <v>11003.195083321318</v>
      </c>
      <c r="DC24" s="24">
        <f t="shared" si="58"/>
        <v>11058.211058737923</v>
      </c>
      <c r="DD24" s="24">
        <f t="shared" si="58"/>
        <v>11113.502114031611</v>
      </c>
      <c r="DE24" s="24">
        <f t="shared" si="58"/>
        <v>11169.069624601769</v>
      </c>
      <c r="DF24" s="24">
        <f t="shared" si="58"/>
        <v>11224.914972724777</v>
      </c>
      <c r="DG24" s="24">
        <f t="shared" si="58"/>
        <v>11281.0395475884</v>
      </c>
      <c r="DH24" s="24">
        <f t="shared" si="58"/>
        <v>11337.44474532634</v>
      </c>
      <c r="DI24" s="24">
        <f t="shared" si="58"/>
        <v>11394.131969052971</v>
      </c>
      <c r="DJ24" s="24">
        <f t="shared" si="58"/>
        <v>11451.102628898234</v>
      </c>
      <c r="DK24" s="24">
        <f t="shared" si="58"/>
        <v>11508.358142042724</v>
      </c>
      <c r="DL24" s="24">
        <f t="shared" si="58"/>
        <v>11565.899932752936</v>
      </c>
      <c r="DM24" s="24">
        <f t="shared" ref="DM24:ER24" si="59">DL24*($F$2+1)</f>
        <v>11623.7294324167</v>
      </c>
      <c r="DN24" s="24">
        <f t="shared" si="59"/>
        <v>11681.848079578782</v>
      </c>
      <c r="DO24" s="24">
        <f t="shared" si="59"/>
        <v>11740.257319976674</v>
      </c>
      <c r="DP24" s="24">
        <f t="shared" si="59"/>
        <v>11798.958606576556</v>
      </c>
      <c r="DQ24" s="24">
        <f t="shared" si="59"/>
        <v>11857.953399609438</v>
      </c>
      <c r="DR24" s="24">
        <f t="shared" si="59"/>
        <v>11917.243166607484</v>
      </c>
      <c r="DS24" s="24">
        <f t="shared" si="59"/>
        <v>11976.829382440521</v>
      </c>
      <c r="DT24" s="24">
        <f t="shared" si="59"/>
        <v>12036.713529352723</v>
      </c>
      <c r="DU24" s="24">
        <f t="shared" si="59"/>
        <v>12096.897096999484</v>
      </c>
      <c r="DV24" s="24">
        <f t="shared" si="59"/>
        <v>12157.381582484481</v>
      </c>
      <c r="DW24" s="24">
        <f t="shared" si="59"/>
        <v>12218.168490396902</v>
      </c>
      <c r="DX24" s="24">
        <f t="shared" si="59"/>
        <v>12279.259332848886</v>
      </c>
      <c r="DY24" s="24">
        <f t="shared" si="59"/>
        <v>12340.655629513129</v>
      </c>
      <c r="DZ24" s="24">
        <f t="shared" si="59"/>
        <v>12402.358907660693</v>
      </c>
      <c r="EA24" s="24">
        <f t="shared" si="59"/>
        <v>12464.370702198996</v>
      </c>
      <c r="EB24" s="24">
        <f t="shared" si="59"/>
        <v>12526.692555709989</v>
      </c>
      <c r="EC24" s="24">
        <f t="shared" si="59"/>
        <v>12589.326018488538</v>
      </c>
      <c r="ED24" s="24">
        <f t="shared" si="59"/>
        <v>12652.27264858098</v>
      </c>
      <c r="EE24" s="24">
        <f t="shared" si="59"/>
        <v>12715.534011823884</v>
      </c>
      <c r="EF24" s="24">
        <f t="shared" si="59"/>
        <v>12779.111681883001</v>
      </c>
      <c r="EG24" s="24">
        <f t="shared" si="59"/>
        <v>12843.007240292414</v>
      </c>
      <c r="EH24" s="24">
        <f t="shared" si="59"/>
        <v>12907.222276493874</v>
      </c>
      <c r="EI24" s="24">
        <f t="shared" si="59"/>
        <v>12971.758387876342</v>
      </c>
      <c r="EJ24" s="24">
        <f t="shared" si="59"/>
        <v>13036.617179815721</v>
      </c>
      <c r="EK24" s="24">
        <f t="shared" si="59"/>
        <v>13101.800265714799</v>
      </c>
      <c r="EL24" s="24">
        <f t="shared" si="59"/>
        <v>13167.309267043373</v>
      </c>
      <c r="EM24" s="24">
        <f t="shared" si="59"/>
        <v>13233.145813378587</v>
      </c>
      <c r="EN24" s="24">
        <f t="shared" si="59"/>
        <v>13299.311542445479</v>
      </c>
      <c r="EO24" s="24">
        <f t="shared" si="59"/>
        <v>13365.808100157705</v>
      </c>
      <c r="EP24" s="24">
        <f t="shared" si="59"/>
        <v>13432.637140658491</v>
      </c>
      <c r="EQ24" s="24">
        <f t="shared" si="59"/>
        <v>13499.800326361783</v>
      </c>
      <c r="ER24" s="24">
        <f t="shared" si="59"/>
        <v>13567.299327993591</v>
      </c>
      <c r="ES24" s="24">
        <f t="shared" ref="ES24:FX24" si="60">ER24*($F$2+1)</f>
        <v>13635.135824633557</v>
      </c>
      <c r="ET24" s="24">
        <f t="shared" si="60"/>
        <v>13703.311503756722</v>
      </c>
      <c r="EU24" s="24">
        <f t="shared" si="60"/>
        <v>13771.828061275504</v>
      </c>
      <c r="EV24" s="24">
        <f t="shared" si="60"/>
        <v>13840.687201581881</v>
      </c>
      <c r="EW24" s="24">
        <f t="shared" si="60"/>
        <v>13909.89063758979</v>
      </c>
      <c r="EX24" s="24">
        <f t="shared" si="60"/>
        <v>13979.440090777736</v>
      </c>
      <c r="EY24" s="24">
        <f t="shared" si="60"/>
        <v>14049.337291231623</v>
      </c>
      <c r="EZ24" s="24">
        <f t="shared" si="60"/>
        <v>14119.58397768778</v>
      </c>
      <c r="FA24" s="24">
        <f t="shared" si="60"/>
        <v>14190.181897576218</v>
      </c>
      <c r="FB24" s="24">
        <f t="shared" si="60"/>
        <v>14261.132807064098</v>
      </c>
      <c r="FC24" s="24">
        <f t="shared" si="60"/>
        <v>14332.438471099416</v>
      </c>
      <c r="FD24" s="24">
        <f t="shared" si="60"/>
        <v>14404.100663454912</v>
      </c>
      <c r="FE24" s="24">
        <f t="shared" si="60"/>
        <v>14476.121166772185</v>
      </c>
      <c r="FF24" s="24">
        <f t="shared" si="60"/>
        <v>14548.501772606045</v>
      </c>
      <c r="FG24" s="24">
        <f t="shared" si="60"/>
        <v>14621.244281469073</v>
      </c>
      <c r="FH24" s="24">
        <f t="shared" si="60"/>
        <v>14694.350502876418</v>
      </c>
      <c r="FI24" s="24">
        <f t="shared" si="60"/>
        <v>14767.822255390798</v>
      </c>
      <c r="FJ24" s="24">
        <f t="shared" si="60"/>
        <v>14841.661366667751</v>
      </c>
      <c r="FK24" s="24">
        <f t="shared" si="60"/>
        <v>14915.869673501089</v>
      </c>
      <c r="FL24" s="24">
        <f t="shared" si="60"/>
        <v>14990.449021868593</v>
      </c>
      <c r="FM24" s="24">
        <f t="shared" si="60"/>
        <v>15065.401266977935</v>
      </c>
      <c r="FN24" s="24">
        <f t="shared" si="60"/>
        <v>15140.728273312823</v>
      </c>
      <c r="FO24" s="24">
        <f t="shared" si="60"/>
        <v>15216.431914679386</v>
      </c>
      <c r="FP24" s="24">
        <f t="shared" si="60"/>
        <v>15292.514074252782</v>
      </c>
      <c r="FQ24" s="24">
        <f t="shared" si="60"/>
        <v>15368.976644624045</v>
      </c>
      <c r="FR24" s="24">
        <f t="shared" si="60"/>
        <v>15445.821527847163</v>
      </c>
      <c r="FS24" s="24">
        <f t="shared" si="60"/>
        <v>15523.050635486397</v>
      </c>
      <c r="FT24" s="24">
        <f t="shared" si="60"/>
        <v>15600.665888663827</v>
      </c>
      <c r="FU24" s="24">
        <f t="shared" si="60"/>
        <v>15678.669218107145</v>
      </c>
      <c r="FV24" s="24">
        <f t="shared" si="60"/>
        <v>15757.062564197679</v>
      </c>
      <c r="FW24" s="24">
        <f t="shared" si="60"/>
        <v>15835.847877018665</v>
      </c>
      <c r="FX24" s="24">
        <f t="shared" si="60"/>
        <v>15915.027116403757</v>
      </c>
      <c r="FY24" s="24">
        <f t="shared" ref="FY24:GQ24" si="61">FX24*($F$2+1)</f>
        <v>15994.602251985774</v>
      </c>
      <c r="FZ24" s="24">
        <f t="shared" si="61"/>
        <v>16074.575263245701</v>
      </c>
      <c r="GA24" s="24">
        <f t="shared" si="61"/>
        <v>16154.948139561928</v>
      </c>
      <c r="GB24" s="24">
        <f t="shared" si="61"/>
        <v>16235.722880259736</v>
      </c>
      <c r="GC24" s="24">
        <f t="shared" si="61"/>
        <v>16316.901494661033</v>
      </c>
      <c r="GD24" s="24">
        <f t="shared" si="61"/>
        <v>16398.486002134337</v>
      </c>
      <c r="GE24" s="24">
        <f t="shared" si="61"/>
        <v>16480.478432145006</v>
      </c>
      <c r="GF24" s="24">
        <f t="shared" si="61"/>
        <v>16562.880824305728</v>
      </c>
      <c r="GG24" s="24">
        <f t="shared" si="61"/>
        <v>16645.695228427256</v>
      </c>
      <c r="GH24" s="24">
        <f t="shared" si="61"/>
        <v>16728.923704569392</v>
      </c>
      <c r="GI24" s="24">
        <f t="shared" si="61"/>
        <v>16812.568323092237</v>
      </c>
      <c r="GJ24" s="24">
        <f t="shared" si="61"/>
        <v>16896.631164707695</v>
      </c>
      <c r="GK24" s="24">
        <f t="shared" si="61"/>
        <v>16981.114320531233</v>
      </c>
      <c r="GL24" s="24">
        <f t="shared" si="61"/>
        <v>17066.019892133889</v>
      </c>
      <c r="GM24" s="24">
        <f t="shared" si="61"/>
        <v>17151.349991594558</v>
      </c>
      <c r="GN24" s="24">
        <f t="shared" si="61"/>
        <v>17237.106741552529</v>
      </c>
      <c r="GO24" s="24">
        <f t="shared" si="61"/>
        <v>17323.29227526029</v>
      </c>
      <c r="GP24" s="24">
        <f t="shared" si="61"/>
        <v>17409.908736636589</v>
      </c>
      <c r="GQ24" s="24">
        <f t="shared" si="61"/>
        <v>17496.95828031977</v>
      </c>
    </row>
    <row r="25" spans="1:199" x14ac:dyDescent="0.15">
      <c r="A25" s="3" t="s">
        <v>12</v>
      </c>
      <c r="B25" s="28">
        <f>IFERROR(B24/B26,0)</f>
        <v>0</v>
      </c>
      <c r="C25" s="28">
        <f>IFERROR(C24/C26,0)</f>
        <v>0</v>
      </c>
      <c r="D25" s="28">
        <f>IFERROR(D24/D26,0)</f>
        <v>0</v>
      </c>
      <c r="E25" s="28">
        <f t="shared" ref="D25:F25" si="62">E24/E26</f>
        <v>-2.5255845374815418</v>
      </c>
      <c r="F25" s="28">
        <f t="shared" si="62"/>
        <v>-1.1404630126230926</v>
      </c>
      <c r="G25" s="48">
        <f t="shared" ref="G25" si="63">G24/G26</f>
        <v>-1.322680297682242</v>
      </c>
      <c r="H25" s="48">
        <f t="shared" ref="H25:O25" si="64">H24/H26</f>
        <v>-0.37417726236004123</v>
      </c>
      <c r="I25" s="48">
        <f t="shared" si="64"/>
        <v>1.0172012983157592</v>
      </c>
      <c r="J25" s="48">
        <f t="shared" si="64"/>
        <v>2.9444688695423298</v>
      </c>
      <c r="K25" s="48">
        <f t="shared" si="64"/>
        <v>6.4115406123207066</v>
      </c>
      <c r="L25" s="48">
        <f t="shared" si="64"/>
        <v>8.4456824518663272</v>
      </c>
      <c r="M25" s="48">
        <f t="shared" si="64"/>
        <v>10.988776755034584</v>
      </c>
      <c r="N25" s="48">
        <f t="shared" si="64"/>
        <v>14.156806249798146</v>
      </c>
      <c r="O25" s="48">
        <f t="shared" si="64"/>
        <v>18.090965365290852</v>
      </c>
      <c r="P25" s="48">
        <f t="shared" ref="P25" si="65">P24/P26</f>
        <v>22.962993459692083</v>
      </c>
      <c r="Q25" s="48">
        <f t="shared" ref="Q25:T25" si="66">Q24/Q26</f>
        <v>25.695246444281985</v>
      </c>
      <c r="R25" s="48">
        <f t="shared" si="66"/>
        <v>28.715748117432469</v>
      </c>
      <c r="S25" s="48">
        <f t="shared" si="66"/>
        <v>32.053959354543558</v>
      </c>
      <c r="T25" s="48">
        <f t="shared" si="66"/>
        <v>35.742316961112138</v>
      </c>
      <c r="U25" s="48">
        <f t="shared" ref="U25" si="67">U24/U26</f>
        <v>39.81653272458739</v>
      </c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</row>
    <row r="26" spans="1:199" s="16" customFormat="1" x14ac:dyDescent="0.15">
      <c r="A26" s="16" t="s">
        <v>13</v>
      </c>
      <c r="B26" s="23"/>
      <c r="C26" s="23"/>
      <c r="D26" s="23"/>
      <c r="E26" s="23">
        <f>Reports!I19</f>
        <v>167.26900000000001</v>
      </c>
      <c r="F26" s="23">
        <f>Reports!M19</f>
        <v>180.85900000000001</v>
      </c>
      <c r="G26" s="23">
        <f>F26</f>
        <v>180.85900000000001</v>
      </c>
      <c r="H26" s="23">
        <f t="shared" ref="H26" si="68">G26</f>
        <v>180.85900000000001</v>
      </c>
      <c r="I26" s="23">
        <f t="shared" ref="I26" si="69">H26</f>
        <v>180.85900000000001</v>
      </c>
      <c r="J26" s="23">
        <f t="shared" ref="J26" si="70">I26</f>
        <v>180.85900000000001</v>
      </c>
      <c r="K26" s="23">
        <f t="shared" ref="K26" si="71">J26</f>
        <v>180.85900000000001</v>
      </c>
      <c r="L26" s="23">
        <f t="shared" ref="L26" si="72">K26</f>
        <v>180.85900000000001</v>
      </c>
      <c r="M26" s="23">
        <f t="shared" ref="M26" si="73">L26</f>
        <v>180.85900000000001</v>
      </c>
      <c r="N26" s="23">
        <f t="shared" ref="N26" si="74">M26</f>
        <v>180.85900000000001</v>
      </c>
      <c r="O26" s="23">
        <f t="shared" ref="O26:U26" si="75">N26</f>
        <v>180.85900000000001</v>
      </c>
      <c r="P26" s="23">
        <f t="shared" si="75"/>
        <v>180.85900000000001</v>
      </c>
      <c r="Q26" s="23">
        <f t="shared" si="75"/>
        <v>180.85900000000001</v>
      </c>
      <c r="R26" s="23">
        <f t="shared" si="75"/>
        <v>180.85900000000001</v>
      </c>
      <c r="S26" s="23">
        <f t="shared" si="75"/>
        <v>180.85900000000001</v>
      </c>
      <c r="T26" s="23">
        <f t="shared" si="75"/>
        <v>180.85900000000001</v>
      </c>
      <c r="U26" s="23">
        <f t="shared" si="75"/>
        <v>180.85900000000001</v>
      </c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</row>
    <row r="27" spans="1:199" x14ac:dyDescent="0.1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</row>
    <row r="28" spans="1:199" x14ac:dyDescent="0.15">
      <c r="A28" s="3" t="s">
        <v>15</v>
      </c>
      <c r="B28" s="34">
        <f t="shared" ref="B28:O28" si="76">IFERROR(B15/B13,0)</f>
        <v>0.7051472966013389</v>
      </c>
      <c r="C28" s="34">
        <f t="shared" si="76"/>
        <v>0.73135513908441008</v>
      </c>
      <c r="D28" s="34">
        <f>IFERROR(D15/D13,0)</f>
        <v>0.7718956845077376</v>
      </c>
      <c r="E28" s="34">
        <f t="shared" si="76"/>
        <v>0.72549285346427583</v>
      </c>
      <c r="F28" s="34">
        <f t="shared" si="76"/>
        <v>0.75026566499413239</v>
      </c>
      <c r="G28" s="34">
        <f>IFERROR(G15/G13,0)</f>
        <v>0.75026566499413239</v>
      </c>
      <c r="H28" s="34">
        <f t="shared" si="76"/>
        <v>0.75026566499413239</v>
      </c>
      <c r="I28" s="34">
        <f t="shared" si="76"/>
        <v>0.7502656649941325</v>
      </c>
      <c r="J28" s="34">
        <f t="shared" si="76"/>
        <v>0.7502656649941325</v>
      </c>
      <c r="K28" s="34">
        <f t="shared" si="76"/>
        <v>0.7502656649941325</v>
      </c>
      <c r="L28" s="34">
        <f t="shared" si="76"/>
        <v>0.7502656649941325</v>
      </c>
      <c r="M28" s="34">
        <f t="shared" si="76"/>
        <v>0.7502656649941325</v>
      </c>
      <c r="N28" s="34">
        <f t="shared" si="76"/>
        <v>0.7502656649941325</v>
      </c>
      <c r="O28" s="34">
        <f t="shared" si="76"/>
        <v>0.7502656649941325</v>
      </c>
      <c r="P28" s="34">
        <f t="shared" ref="P28" si="77">IFERROR(P15/P13,0)</f>
        <v>0.7502656649941325</v>
      </c>
      <c r="Q28" s="34">
        <f t="shared" ref="Q28:T28" si="78">IFERROR(Q15/Q13,0)</f>
        <v>0.7502656649941325</v>
      </c>
      <c r="R28" s="34">
        <f t="shared" si="78"/>
        <v>0.7502656649941325</v>
      </c>
      <c r="S28" s="34">
        <f t="shared" si="78"/>
        <v>0.7502656649941325</v>
      </c>
      <c r="T28" s="34">
        <f t="shared" si="78"/>
        <v>0.7502656649941325</v>
      </c>
      <c r="U28" s="34">
        <f t="shared" ref="U28" si="79">IFERROR(U15/U13,0)</f>
        <v>0.75026566499413239</v>
      </c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</row>
    <row r="29" spans="1:199" x14ac:dyDescent="0.15">
      <c r="A29" s="3" t="s">
        <v>16</v>
      </c>
      <c r="B29" s="36">
        <f t="shared" ref="B29:O29" si="80">IFERROR(B20/B13,0)</f>
        <v>-0.47657906188493349</v>
      </c>
      <c r="C29" s="36">
        <f t="shared" si="80"/>
        <v>-0.30414277812294382</v>
      </c>
      <c r="D29" s="36">
        <f>IFERROR(D20/D13,0)</f>
        <v>-0.1037002607501584</v>
      </c>
      <c r="E29" s="36">
        <f t="shared" si="80"/>
        <v>-0.60837497806607721</v>
      </c>
      <c r="F29" s="36">
        <f>IFERROR(F20/F13,0)</f>
        <v>-0.19945460388450983</v>
      </c>
      <c r="G29" s="36">
        <f t="shared" si="80"/>
        <v>-0.14412803936753565</v>
      </c>
      <c r="H29" s="36">
        <f t="shared" si="80"/>
        <v>-3.4667801159240404E-2</v>
      </c>
      <c r="I29" s="36">
        <f t="shared" si="80"/>
        <v>6.1059954562421991E-2</v>
      </c>
      <c r="J29" s="36">
        <f t="shared" si="80"/>
        <v>0.14471966420527951</v>
      </c>
      <c r="K29" s="36">
        <f t="shared" si="80"/>
        <v>0.21780041304228231</v>
      </c>
      <c r="L29" s="36">
        <f t="shared" si="80"/>
        <v>0.23667809889061445</v>
      </c>
      <c r="M29" s="36">
        <f t="shared" si="80"/>
        <v>0.25454342969357158</v>
      </c>
      <c r="N29" s="36">
        <f t="shared" si="80"/>
        <v>0.27145740231151894</v>
      </c>
      <c r="O29" s="36">
        <f t="shared" si="80"/>
        <v>0.28747690411896132</v>
      </c>
      <c r="P29" s="36">
        <f t="shared" ref="P29" si="81">IFERROR(P20/P13,0)</f>
        <v>0.30265501489562163</v>
      </c>
      <c r="Q29" s="36">
        <f t="shared" ref="Q29:T29" si="82">IFERROR(Q20/Q13,0)</f>
        <v>0.30456804457247882</v>
      </c>
      <c r="R29" s="36">
        <f t="shared" si="82"/>
        <v>0.30639411835493363</v>
      </c>
      <c r="S29" s="36">
        <f t="shared" si="82"/>
        <v>0.30813718878364049</v>
      </c>
      <c r="T29" s="36">
        <f t="shared" si="82"/>
        <v>0.30980102873831522</v>
      </c>
      <c r="U29" s="36">
        <f t="shared" ref="U29" si="83">IFERROR(U20/U13,0)</f>
        <v>0.31138923960414089</v>
      </c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</row>
    <row r="30" spans="1:199" x14ac:dyDescent="0.15">
      <c r="A30" s="3" t="s">
        <v>17</v>
      </c>
      <c r="B30" s="36">
        <f t="shared" ref="B30:O30" si="84">IFERROR(B23/B22,0)</f>
        <v>8.0402656503770868E-3</v>
      </c>
      <c r="C30" s="36">
        <f t="shared" si="84"/>
        <v>0</v>
      </c>
      <c r="D30" s="36">
        <f>IFERROR(D23/D22,0)</f>
        <v>-5.9091177687171169E-2</v>
      </c>
      <c r="E30" s="36">
        <f t="shared" si="84"/>
        <v>4.7119580070302406E-3</v>
      </c>
      <c r="F30" s="36">
        <f t="shared" si="84"/>
        <v>-1.9776231935648148E-2</v>
      </c>
      <c r="G30" s="36">
        <f t="shared" si="84"/>
        <v>-3.3303001084305749E-2</v>
      </c>
      <c r="H30" s="36">
        <f t="shared" si="84"/>
        <v>0</v>
      </c>
      <c r="I30" s="36">
        <f t="shared" si="84"/>
        <v>0</v>
      </c>
      <c r="J30" s="36">
        <f t="shared" si="84"/>
        <v>0.15</v>
      </c>
      <c r="K30" s="36">
        <f t="shared" si="84"/>
        <v>0.15</v>
      </c>
      <c r="L30" s="36">
        <f t="shared" si="84"/>
        <v>0.15</v>
      </c>
      <c r="M30" s="36">
        <f t="shared" si="84"/>
        <v>0.15</v>
      </c>
      <c r="N30" s="36">
        <f t="shared" si="84"/>
        <v>0.15</v>
      </c>
      <c r="O30" s="36">
        <f t="shared" si="84"/>
        <v>0.15</v>
      </c>
      <c r="P30" s="36">
        <f t="shared" ref="P30" si="85">IFERROR(P23/P22,0)</f>
        <v>0.15</v>
      </c>
      <c r="Q30" s="36">
        <f t="shared" ref="Q30:T30" si="86">IFERROR(Q23/Q22,0)</f>
        <v>0.15</v>
      </c>
      <c r="R30" s="36">
        <f t="shared" si="86"/>
        <v>0.15</v>
      </c>
      <c r="S30" s="36">
        <f t="shared" si="86"/>
        <v>0.15</v>
      </c>
      <c r="T30" s="36">
        <f t="shared" si="86"/>
        <v>0.15</v>
      </c>
      <c r="U30" s="36">
        <f t="shared" ref="U30" si="87">IFERROR(U23/U22,0)</f>
        <v>0.15</v>
      </c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</row>
    <row r="31" spans="1:199" x14ac:dyDescent="0.1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</row>
    <row r="32" spans="1:199" x14ac:dyDescent="0.15">
      <c r="A32" s="2" t="s">
        <v>14</v>
      </c>
      <c r="B32" s="49"/>
      <c r="C32" s="49">
        <f t="shared" ref="C32:U32" si="88">C13/B13-1</f>
        <v>0.52290592899261834</v>
      </c>
      <c r="D32" s="49">
        <f t="shared" si="88"/>
        <v>0.35926534699666246</v>
      </c>
      <c r="E32" s="49">
        <f>E13/D13-1</f>
        <v>0.35190663910018061</v>
      </c>
      <c r="F32" s="49">
        <f t="shared" si="88"/>
        <v>0.38946372806786056</v>
      </c>
      <c r="G32" s="49">
        <f>G13/F13-1</f>
        <v>0.4711056078671747</v>
      </c>
      <c r="H32" s="49">
        <f t="shared" si="88"/>
        <v>0.43960797568868304</v>
      </c>
      <c r="I32" s="49">
        <f t="shared" si="88"/>
        <v>0.44097668906499954</v>
      </c>
      <c r="J32" s="49">
        <f t="shared" si="88"/>
        <v>0.44217257381445241</v>
      </c>
      <c r="K32" s="49">
        <f t="shared" si="88"/>
        <v>0.44321559506151487</v>
      </c>
      <c r="L32" s="49">
        <f t="shared" si="88"/>
        <v>0.19999999999999996</v>
      </c>
      <c r="M32" s="49">
        <f t="shared" si="88"/>
        <v>0.19999999999999996</v>
      </c>
      <c r="N32" s="49">
        <f t="shared" si="88"/>
        <v>0.19999999999999996</v>
      </c>
      <c r="O32" s="49">
        <f t="shared" si="88"/>
        <v>0.19999999999999996</v>
      </c>
      <c r="P32" s="49">
        <f t="shared" si="88"/>
        <v>0.19999999999999996</v>
      </c>
      <c r="Q32" s="49">
        <f t="shared" si="88"/>
        <v>0.10000000000000009</v>
      </c>
      <c r="R32" s="49">
        <f t="shared" si="88"/>
        <v>0.10000000000000009</v>
      </c>
      <c r="S32" s="49">
        <f t="shared" si="88"/>
        <v>0.10000000000000009</v>
      </c>
      <c r="T32" s="49">
        <f t="shared" si="88"/>
        <v>0.10000000000000009</v>
      </c>
      <c r="U32" s="49">
        <f t="shared" si="88"/>
        <v>0.10000000000000009</v>
      </c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</row>
    <row r="33" spans="1:116" x14ac:dyDescent="0.15">
      <c r="A33" s="3" t="s">
        <v>30</v>
      </c>
      <c r="B33" s="36"/>
      <c r="C33" s="36">
        <f t="shared" ref="C33:U33" si="89">C16/B16-1</f>
        <v>0.45161290322580649</v>
      </c>
      <c r="D33" s="36">
        <f t="shared" si="89"/>
        <v>3.3333333333333437E-2</v>
      </c>
      <c r="E33" s="36">
        <f t="shared" si="89"/>
        <v>1</v>
      </c>
      <c r="F33" s="36">
        <f>F16/E16-1</f>
        <v>0</v>
      </c>
      <c r="G33" s="36">
        <f t="shared" si="89"/>
        <v>0.44623655913978499</v>
      </c>
      <c r="H33" s="36">
        <f t="shared" si="89"/>
        <v>0.35000000000000009</v>
      </c>
      <c r="I33" s="36">
        <f t="shared" si="89"/>
        <v>0.35000000000000009</v>
      </c>
      <c r="J33" s="36">
        <f t="shared" si="89"/>
        <v>0.35000000000000009</v>
      </c>
      <c r="K33" s="36">
        <f t="shared" si="89"/>
        <v>0.35000000000000009</v>
      </c>
      <c r="L33" s="36">
        <f t="shared" si="89"/>
        <v>0.19999999999999996</v>
      </c>
      <c r="M33" s="36">
        <f t="shared" si="89"/>
        <v>0.19999999999999996</v>
      </c>
      <c r="N33" s="36">
        <f t="shared" si="89"/>
        <v>0.19999999999999996</v>
      </c>
      <c r="O33" s="36">
        <f t="shared" si="89"/>
        <v>0.19999999999999996</v>
      </c>
      <c r="P33" s="36">
        <f t="shared" si="89"/>
        <v>0.19999999999999996</v>
      </c>
      <c r="Q33" s="36">
        <f t="shared" si="89"/>
        <v>0.10000000000000009</v>
      </c>
      <c r="R33" s="36">
        <f t="shared" si="89"/>
        <v>0.10000000000000009</v>
      </c>
      <c r="S33" s="36">
        <f t="shared" si="89"/>
        <v>0.10000000000000009</v>
      </c>
      <c r="T33" s="36">
        <f t="shared" si="89"/>
        <v>0.10000000000000009</v>
      </c>
      <c r="U33" s="36">
        <f t="shared" si="89"/>
        <v>0.10000000000000009</v>
      </c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</row>
    <row r="34" spans="1:116" x14ac:dyDescent="0.15">
      <c r="A34" s="3" t="s">
        <v>31</v>
      </c>
      <c r="B34" s="36"/>
      <c r="C34" s="36">
        <f t="shared" ref="C34:U34" si="90">C17/B17-1</f>
        <v>0.41764705882352948</v>
      </c>
      <c r="D34" s="36">
        <f t="shared" si="90"/>
        <v>0.15767634854771795</v>
      </c>
      <c r="E34" s="36">
        <f t="shared" si="90"/>
        <v>0.93548387096774199</v>
      </c>
      <c r="F34" s="36">
        <f t="shared" si="90"/>
        <v>9.4444444444444553E-2</v>
      </c>
      <c r="G34" s="36">
        <f t="shared" si="90"/>
        <v>0.38494077834179352</v>
      </c>
      <c r="H34" s="36">
        <f t="shared" si="90"/>
        <v>0.25</v>
      </c>
      <c r="I34" s="36">
        <f t="shared" si="90"/>
        <v>0.25</v>
      </c>
      <c r="J34" s="36">
        <f t="shared" si="90"/>
        <v>0.25</v>
      </c>
      <c r="K34" s="36">
        <f t="shared" si="90"/>
        <v>0.25</v>
      </c>
      <c r="L34" s="36">
        <f t="shared" si="90"/>
        <v>0.14999999999999991</v>
      </c>
      <c r="M34" s="36">
        <f t="shared" si="90"/>
        <v>0.14999999999999991</v>
      </c>
      <c r="N34" s="36">
        <f t="shared" si="90"/>
        <v>0.14999999999999991</v>
      </c>
      <c r="O34" s="36">
        <f t="shared" si="90"/>
        <v>0.14999999999999991</v>
      </c>
      <c r="P34" s="36">
        <f t="shared" si="90"/>
        <v>0.14999999999999991</v>
      </c>
      <c r="Q34" s="36">
        <f t="shared" si="90"/>
        <v>0.10000000000000009</v>
      </c>
      <c r="R34" s="36">
        <f t="shared" si="90"/>
        <v>0.10000000000000009</v>
      </c>
      <c r="S34" s="36">
        <f t="shared" si="90"/>
        <v>0.10000000000000009</v>
      </c>
      <c r="T34" s="36">
        <f t="shared" si="90"/>
        <v>0.10000000000000009</v>
      </c>
      <c r="U34" s="36">
        <f t="shared" si="90"/>
        <v>0.10000000000000009</v>
      </c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</row>
    <row r="35" spans="1:116" x14ac:dyDescent="0.15">
      <c r="A35" s="3" t="s">
        <v>32</v>
      </c>
      <c r="B35" s="36"/>
      <c r="C35" s="36">
        <f>C18/B18-1</f>
        <v>0</v>
      </c>
      <c r="D35" s="36">
        <f t="shared" ref="D35:U35" si="91">D18/C18-1</f>
        <v>0.28125</v>
      </c>
      <c r="E35" s="36">
        <f t="shared" si="91"/>
        <v>1.5487804878048781</v>
      </c>
      <c r="F35" s="36">
        <f t="shared" si="91"/>
        <v>-0.29186602870813394</v>
      </c>
      <c r="G35" s="36">
        <f t="shared" si="91"/>
        <v>0.31081081081081074</v>
      </c>
      <c r="H35" s="36">
        <f t="shared" si="91"/>
        <v>0.19999999999999996</v>
      </c>
      <c r="I35" s="36">
        <f t="shared" si="91"/>
        <v>0.19999999999999996</v>
      </c>
      <c r="J35" s="36">
        <f t="shared" si="91"/>
        <v>0.19999999999999996</v>
      </c>
      <c r="K35" s="36">
        <f t="shared" si="91"/>
        <v>0.19999999999999996</v>
      </c>
      <c r="L35" s="36">
        <f t="shared" si="91"/>
        <v>0.10000000000000009</v>
      </c>
      <c r="M35" s="36">
        <f t="shared" si="91"/>
        <v>0.10000000000000009</v>
      </c>
      <c r="N35" s="36">
        <f t="shared" si="91"/>
        <v>0.10000000000000009</v>
      </c>
      <c r="O35" s="36">
        <f t="shared" si="91"/>
        <v>0.10000000000000009</v>
      </c>
      <c r="P35" s="36">
        <f t="shared" si="91"/>
        <v>0.10000000000000009</v>
      </c>
      <c r="Q35" s="36">
        <f t="shared" si="91"/>
        <v>5.0000000000000044E-2</v>
      </c>
      <c r="R35" s="36">
        <f t="shared" si="91"/>
        <v>5.0000000000000044E-2</v>
      </c>
      <c r="S35" s="36">
        <f t="shared" si="91"/>
        <v>5.0000000000000044E-2</v>
      </c>
      <c r="T35" s="36">
        <f t="shared" si="91"/>
        <v>5.0000000000000044E-2</v>
      </c>
      <c r="U35" s="36">
        <f t="shared" si="91"/>
        <v>5.0000000000000044E-2</v>
      </c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</row>
    <row r="36" spans="1:116" x14ac:dyDescent="0.15">
      <c r="A36" s="6" t="s">
        <v>57</v>
      </c>
      <c r="B36" s="45"/>
      <c r="C36" s="45">
        <f>C19/B19-1</f>
        <v>0.33445945945945943</v>
      </c>
      <c r="D36" s="45">
        <f>D19/C19-1</f>
        <v>0.14936708860759484</v>
      </c>
      <c r="E36" s="45">
        <f t="shared" ref="E36:U36" si="92">E19/D19-1</f>
        <v>1.0594713656387666</v>
      </c>
      <c r="F36" s="45">
        <f t="shared" si="92"/>
        <v>-1.0695187165775444E-2</v>
      </c>
      <c r="G36" s="45">
        <f t="shared" si="92"/>
        <v>0.38540540540540547</v>
      </c>
      <c r="H36" s="45">
        <f t="shared" si="92"/>
        <v>0.26342177136168554</v>
      </c>
      <c r="I36" s="45">
        <f t="shared" si="92"/>
        <v>0.26524018343807421</v>
      </c>
      <c r="J36" s="45">
        <f t="shared" si="92"/>
        <v>0.2671134630815557</v>
      </c>
      <c r="K36" s="45">
        <f>K19/J19-1</f>
        <v>0.2690400967790767</v>
      </c>
      <c r="L36" s="45">
        <f t="shared" si="92"/>
        <v>0.15745595992422223</v>
      </c>
      <c r="M36" s="45">
        <f t="shared" si="92"/>
        <v>0.15825756233509081</v>
      </c>
      <c r="N36" s="45">
        <f t="shared" si="92"/>
        <v>0.15905616957199697</v>
      </c>
      <c r="O36" s="45">
        <f t="shared" si="92"/>
        <v>0.15985156550718638</v>
      </c>
      <c r="P36" s="45">
        <f t="shared" si="92"/>
        <v>0.16064352795096259</v>
      </c>
      <c r="Q36" s="45">
        <f t="shared" si="92"/>
        <v>9.5298743128475971E-2</v>
      </c>
      <c r="R36" s="45">
        <f t="shared" si="92"/>
        <v>9.5493175039166989E-2</v>
      </c>
      <c r="S36" s="45">
        <f t="shared" si="92"/>
        <v>9.5680332550948544E-2</v>
      </c>
      <c r="T36" s="45">
        <f t="shared" si="92"/>
        <v>9.5860425083158951E-2</v>
      </c>
      <c r="U36" s="45">
        <f t="shared" si="92"/>
        <v>9.6033661255398473E-2</v>
      </c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</row>
    <row r="37" spans="1:116" x14ac:dyDescent="0.15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8" spans="1:116" x14ac:dyDescent="0.15">
      <c r="A38" s="2" t="s">
        <v>18</v>
      </c>
      <c r="B38" s="45"/>
      <c r="C38" s="45"/>
      <c r="D38" s="24">
        <f>D39-D40</f>
        <v>257</v>
      </c>
      <c r="E38" s="24">
        <f>E39-E40</f>
        <v>406</v>
      </c>
      <c r="F38" s="24">
        <f>F39-F40</f>
        <v>431</v>
      </c>
      <c r="G38" s="50">
        <f>F38+G24</f>
        <v>191.78136404148739</v>
      </c>
      <c r="H38" s="50">
        <f t="shared" ref="H38:U38" si="93">G38+H24</f>
        <v>124.10803854831269</v>
      </c>
      <c r="I38" s="50">
        <f t="shared" si="93"/>
        <v>308.0780481604026</v>
      </c>
      <c r="J38" s="50">
        <f t="shared" si="93"/>
        <v>840.61174343695893</v>
      </c>
      <c r="K38" s="50">
        <f t="shared" si="93"/>
        <v>2000.1965670406696</v>
      </c>
      <c r="L38" s="50">
        <f t="shared" si="93"/>
        <v>3527.6742496027618</v>
      </c>
      <c r="M38" s="50">
        <f t="shared" si="93"/>
        <v>5515.0934247415616</v>
      </c>
      <c r="N38" s="50">
        <f t="shared" si="93"/>
        <v>8075.4792462738042</v>
      </c>
      <c r="O38" s="50">
        <f t="shared" si="93"/>
        <v>11347.393151274942</v>
      </c>
      <c r="P38" s="50">
        <f t="shared" si="93"/>
        <v>15500.457185401392</v>
      </c>
      <c r="Q38" s="50">
        <f t="shared" si="93"/>
        <v>20147.673762067789</v>
      </c>
      <c r="R38" s="50">
        <f t="shared" si="93"/>
        <v>25341.175250838507</v>
      </c>
      <c r="S38" s="50">
        <f t="shared" si="93"/>
        <v>31138.422285741901</v>
      </c>
      <c r="T38" s="50">
        <f t="shared" si="93"/>
        <v>37602.74198901168</v>
      </c>
      <c r="U38" s="50">
        <f t="shared" si="93"/>
        <v>44803.920281047831</v>
      </c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39" spans="1:116" x14ac:dyDescent="0.15">
      <c r="A39" s="3" t="s">
        <v>19</v>
      </c>
      <c r="B39" s="45"/>
      <c r="C39" s="45"/>
      <c r="D39" s="51">
        <f>Reports!E32</f>
        <v>257</v>
      </c>
      <c r="E39" s="51">
        <f>Reports!I32</f>
        <v>845</v>
      </c>
      <c r="F39" s="51">
        <f>Reports!M32</f>
        <v>896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</row>
    <row r="40" spans="1:116" x14ac:dyDescent="0.15">
      <c r="A40" s="3" t="s">
        <v>20</v>
      </c>
      <c r="B40" s="45"/>
      <c r="C40" s="45"/>
      <c r="D40" s="51">
        <f>Reports!E33</f>
        <v>0</v>
      </c>
      <c r="E40" s="51">
        <f>Reports!I33</f>
        <v>439</v>
      </c>
      <c r="F40" s="51">
        <f>Reports!M33</f>
        <v>465</v>
      </c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1" spans="1:116" x14ac:dyDescent="0.15">
      <c r="B41" s="45"/>
      <c r="C41" s="45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</row>
    <row r="42" spans="1:116" x14ac:dyDescent="0.15">
      <c r="A42" s="3" t="s">
        <v>44</v>
      </c>
      <c r="B42" s="45"/>
      <c r="C42" s="45"/>
      <c r="D42" s="51">
        <f>Reports!E35</f>
        <v>51</v>
      </c>
      <c r="E42" s="51">
        <f>Reports!I35</f>
        <v>269</v>
      </c>
      <c r="F42" s="51">
        <f>Reports!M35</f>
        <v>252</v>
      </c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</row>
    <row r="43" spans="1:116" x14ac:dyDescent="0.15">
      <c r="A43" s="3" t="s">
        <v>45</v>
      </c>
      <c r="B43" s="45"/>
      <c r="C43" s="45"/>
      <c r="D43" s="51">
        <f>Reports!E36</f>
        <v>620</v>
      </c>
      <c r="E43" s="51">
        <f>Reports!I36</f>
        <v>1615</v>
      </c>
      <c r="F43" s="51">
        <f>Reports!M36</f>
        <v>1891</v>
      </c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</row>
    <row r="44" spans="1:116" x14ac:dyDescent="0.15">
      <c r="A44" s="3" t="s">
        <v>46</v>
      </c>
      <c r="B44" s="45"/>
      <c r="C44" s="45"/>
      <c r="D44" s="51">
        <f>Reports!E37</f>
        <v>959</v>
      </c>
      <c r="E44" s="51">
        <f>Reports!I37</f>
        <v>1001</v>
      </c>
      <c r="F44" s="51">
        <f>Reports!M37</f>
        <v>1345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</row>
    <row r="45" spans="1:116" x14ac:dyDescent="0.15">
      <c r="B45" s="45"/>
      <c r="C45" s="45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</row>
    <row r="46" spans="1:116" x14ac:dyDescent="0.15">
      <c r="A46" s="3" t="s">
        <v>47</v>
      </c>
      <c r="B46" s="45"/>
      <c r="C46" s="45"/>
      <c r="D46" s="54">
        <f>D43-D42-D39</f>
        <v>312</v>
      </c>
      <c r="E46" s="54">
        <f>E43-E42-E39</f>
        <v>501</v>
      </c>
      <c r="F46" s="54">
        <f>F43-F42-F39</f>
        <v>743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</row>
    <row r="47" spans="1:116" x14ac:dyDescent="0.15">
      <c r="A47" s="3" t="s">
        <v>48</v>
      </c>
      <c r="B47" s="45"/>
      <c r="C47" s="45"/>
      <c r="D47" s="54">
        <f>D43-D44</f>
        <v>-339</v>
      </c>
      <c r="E47" s="54">
        <f>E43-E44</f>
        <v>614</v>
      </c>
      <c r="F47" s="54">
        <f>F43-F44</f>
        <v>546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</row>
    <row r="48" spans="1:116" x14ac:dyDescent="0.15">
      <c r="B48" s="45"/>
      <c r="C48" s="45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</row>
    <row r="49" spans="1:116" x14ac:dyDescent="0.15">
      <c r="A49" s="18" t="s">
        <v>50</v>
      </c>
      <c r="B49" s="45"/>
      <c r="C49" s="45"/>
      <c r="D49" s="55">
        <f>D24/D47</f>
        <v>0.15861061946902691</v>
      </c>
      <c r="E49" s="55">
        <f>E24/E47</f>
        <v>-0.68803257328990242</v>
      </c>
      <c r="F49" s="55">
        <f>F24/F47</f>
        <v>-0.37777106227106211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</row>
    <row r="50" spans="1:116" x14ac:dyDescent="0.15">
      <c r="A50" s="18" t="s">
        <v>51</v>
      </c>
      <c r="B50" s="45"/>
      <c r="C50" s="45"/>
      <c r="D50" s="55">
        <f>D24/D43</f>
        <v>-8.6724193548387285E-2</v>
      </c>
      <c r="E50" s="55">
        <f>E24/E43</f>
        <v>-0.26158018575851394</v>
      </c>
      <c r="F50" s="55">
        <f>F24/F43</f>
        <v>-0.10907615018508721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</row>
    <row r="51" spans="1:116" x14ac:dyDescent="0.15">
      <c r="A51" s="18" t="s">
        <v>52</v>
      </c>
      <c r="B51" s="45"/>
      <c r="C51" s="45"/>
      <c r="D51" s="55">
        <f>D24/(D47-D42)</f>
        <v>0.13786923076923108</v>
      </c>
      <c r="E51" s="55">
        <f>E24/(E47-E42)</f>
        <v>-1.2244985507246378</v>
      </c>
      <c r="F51" s="55">
        <f>F24/(F47-F42)</f>
        <v>-0.70157482993197251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</row>
    <row r="52" spans="1:116" x14ac:dyDescent="0.15">
      <c r="A52" s="18" t="s">
        <v>53</v>
      </c>
      <c r="B52" s="45"/>
      <c r="C52" s="45"/>
      <c r="D52" s="55">
        <f>D24/D46</f>
        <v>-0.17233653846153885</v>
      </c>
      <c r="E52" s="55">
        <f>E24/E46</f>
        <v>-0.84321756487025956</v>
      </c>
      <c r="F52" s="55">
        <f>F24/F46</f>
        <v>-0.27760834454912509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</row>
    <row r="53" spans="1:116" x14ac:dyDescent="0.15">
      <c r="B53" s="45"/>
      <c r="C53" s="45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</row>
    <row r="54" spans="1:116" x14ac:dyDescent="0.15">
      <c r="A54" s="59" t="s">
        <v>56</v>
      </c>
      <c r="B54" s="55"/>
      <c r="C54" s="55">
        <f>C10/B10-1</f>
        <v>0.52126549904638031</v>
      </c>
      <c r="D54" s="55">
        <f>D10/C10-1</f>
        <v>0.39022500953916506</v>
      </c>
      <c r="E54" s="55">
        <f>E10/D10-1</f>
        <v>0.36954812508125578</v>
      </c>
      <c r="F54" s="55">
        <f>F10/E10-1</f>
        <v>0.38394230754742287</v>
      </c>
      <c r="G54" s="55">
        <f t="shared" ref="G54:K54" si="94">G10/F10-1</f>
        <v>0.47895451422648505</v>
      </c>
      <c r="H54" s="55">
        <f t="shared" si="94"/>
        <v>0.44999999999999996</v>
      </c>
      <c r="I54" s="55">
        <f t="shared" si="94"/>
        <v>0.44999999999999996</v>
      </c>
      <c r="J54" s="55">
        <f t="shared" si="94"/>
        <v>0.44999999999999996</v>
      </c>
      <c r="K54" s="55">
        <f t="shared" si="94"/>
        <v>0.44999999999999996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</row>
    <row r="55" spans="1:116" x14ac:dyDescent="0.15">
      <c r="A55" s="8" t="s">
        <v>70</v>
      </c>
      <c r="B55" s="39"/>
      <c r="C55" s="55">
        <f>C11/B11-1</f>
        <v>0.54050763323030826</v>
      </c>
      <c r="D55" s="55">
        <f>D11/C11-1</f>
        <v>3.1219601167315147E-2</v>
      </c>
      <c r="E55" s="55">
        <f>E11/D11-1</f>
        <v>9.9902720867847572E-2</v>
      </c>
      <c r="F55" s="55">
        <f>F11/E11-1</f>
        <v>0.48767152658662094</v>
      </c>
      <c r="G55" s="55">
        <f t="shared" ref="G55:K55" si="95">G11/F11-1</f>
        <v>0.34123369604381337</v>
      </c>
      <c r="H55" s="55">
        <f t="shared" si="95"/>
        <v>0.25</v>
      </c>
      <c r="I55" s="55">
        <f t="shared" si="95"/>
        <v>0.25</v>
      </c>
      <c r="J55" s="55">
        <f t="shared" si="95"/>
        <v>0.25</v>
      </c>
      <c r="K55" s="55">
        <f t="shared" si="95"/>
        <v>0.25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</row>
  </sheetData>
  <hyperlinks>
    <hyperlink ref="A1" r:id="rId1" xr:uid="{00000000-0004-0000-0000-000000000000}"/>
    <hyperlink ref="A4" r:id="rId2" display="Dan Springer" xr:uid="{13317ECF-210B-5346-AD25-DBCA3223CB02}"/>
    <hyperlink ref="A7" r:id="rId3" xr:uid="{BF052590-A2D7-CF4C-B21E-D4DFD90C7EA1}"/>
    <hyperlink ref="A8" r:id="rId4" xr:uid="{F7336007-7FC8-FF47-B462-7A19292F71CA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"/>
  <sheetViews>
    <sheetView zoomScale="130" zoomScaleNormal="13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S27" sqref="S27"/>
    </sheetView>
  </sheetViews>
  <sheetFormatPr baseColWidth="10" defaultRowHeight="13" x14ac:dyDescent="0.15"/>
  <cols>
    <col min="1" max="1" width="20.1640625" style="6" bestFit="1" customWidth="1"/>
    <col min="2" max="2" width="10.83203125" style="21"/>
    <col min="3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6384" width="10.83203125" style="6"/>
  </cols>
  <sheetData>
    <row r="1" spans="1:18" x14ac:dyDescent="0.15">
      <c r="A1" s="57" t="s">
        <v>33</v>
      </c>
      <c r="B1" s="22" t="s">
        <v>26</v>
      </c>
      <c r="C1" s="23" t="s">
        <v>27</v>
      </c>
      <c r="D1" s="23" t="s">
        <v>28</v>
      </c>
      <c r="E1" s="23" t="s">
        <v>29</v>
      </c>
      <c r="F1" s="22" t="s">
        <v>40</v>
      </c>
      <c r="G1" s="23" t="s">
        <v>41</v>
      </c>
      <c r="H1" s="23" t="s">
        <v>42</v>
      </c>
      <c r="I1" s="23" t="s">
        <v>43</v>
      </c>
      <c r="J1" s="22" t="s">
        <v>58</v>
      </c>
      <c r="K1" s="23" t="s">
        <v>64</v>
      </c>
      <c r="L1" s="23" t="s">
        <v>62</v>
      </c>
      <c r="M1" s="23" t="s">
        <v>61</v>
      </c>
      <c r="N1" s="75" t="s">
        <v>63</v>
      </c>
      <c r="O1" s="70" t="s">
        <v>59</v>
      </c>
      <c r="P1" s="70" t="s">
        <v>60</v>
      </c>
      <c r="Q1" s="70" t="s">
        <v>65</v>
      </c>
    </row>
    <row r="2" spans="1:18" s="20" customFormat="1" x14ac:dyDescent="0.15">
      <c r="A2" s="1"/>
      <c r="B2" s="58">
        <v>42855</v>
      </c>
      <c r="C2" s="60">
        <v>42947</v>
      </c>
      <c r="D2" s="74">
        <v>43039</v>
      </c>
      <c r="E2" s="60">
        <v>43131</v>
      </c>
      <c r="F2" s="58">
        <v>43220</v>
      </c>
      <c r="G2" s="60">
        <v>43312</v>
      </c>
      <c r="H2" s="74">
        <v>43404</v>
      </c>
      <c r="I2" s="60">
        <v>43496</v>
      </c>
      <c r="J2" s="58">
        <v>43585</v>
      </c>
      <c r="K2" s="60">
        <v>43677</v>
      </c>
      <c r="L2" s="74">
        <v>43769</v>
      </c>
      <c r="M2" s="60">
        <v>43861</v>
      </c>
      <c r="N2" s="58">
        <v>43951</v>
      </c>
      <c r="O2" s="60">
        <v>44043</v>
      </c>
      <c r="P2" s="60">
        <v>44135</v>
      </c>
      <c r="Q2" s="60">
        <v>44227</v>
      </c>
    </row>
    <row r="3" spans="1:18" s="8" customFormat="1" x14ac:dyDescent="0.15">
      <c r="A3" s="59" t="s">
        <v>55</v>
      </c>
      <c r="B3" s="22">
        <v>106.84699999999999</v>
      </c>
      <c r="C3" s="23">
        <v>117.553</v>
      </c>
      <c r="D3" s="23">
        <v>122.905</v>
      </c>
      <c r="E3" s="23">
        <v>137.27600000000001</v>
      </c>
      <c r="F3" s="22">
        <v>148.19800000000001</v>
      </c>
      <c r="G3" s="23">
        <v>158.46100000000001</v>
      </c>
      <c r="H3" s="23">
        <v>169.42599999999999</v>
      </c>
      <c r="I3" s="23">
        <v>187.572</v>
      </c>
      <c r="J3" s="22">
        <v>201.458</v>
      </c>
      <c r="K3" s="23">
        <v>220.81100000000001</v>
      </c>
      <c r="L3" s="23">
        <v>238.072</v>
      </c>
      <c r="M3" s="23">
        <v>258.12200000000001</v>
      </c>
      <c r="N3" s="22">
        <v>280.92200000000003</v>
      </c>
      <c r="O3" s="23">
        <v>323.64299999999997</v>
      </c>
      <c r="P3" s="23">
        <v>366.61700000000002</v>
      </c>
      <c r="Q3" s="8">
        <f>M3*1.5</f>
        <v>387.18299999999999</v>
      </c>
    </row>
    <row r="4" spans="1:18" s="8" customFormat="1" x14ac:dyDescent="0.15">
      <c r="A4" s="8" t="s">
        <v>69</v>
      </c>
      <c r="B4" s="22">
        <v>6.6509999999999998</v>
      </c>
      <c r="C4" s="23">
        <v>7.99</v>
      </c>
      <c r="D4" s="23">
        <v>7.6840000000000002</v>
      </c>
      <c r="E4" s="23">
        <v>11.598000000000001</v>
      </c>
      <c r="F4" s="22">
        <v>7.61</v>
      </c>
      <c r="G4" s="23">
        <v>8.5830000000000002</v>
      </c>
      <c r="H4" s="23">
        <v>8.9589999999999996</v>
      </c>
      <c r="I4" s="23">
        <v>12.16</v>
      </c>
      <c r="J4" s="22">
        <v>12.504</v>
      </c>
      <c r="K4" s="23">
        <v>14.801</v>
      </c>
      <c r="L4" s="23">
        <v>11.43</v>
      </c>
      <c r="M4" s="23">
        <v>16.773</v>
      </c>
      <c r="N4" s="22">
        <v>16.094999999999999</v>
      </c>
      <c r="O4" s="23">
        <v>18.565999999999999</v>
      </c>
      <c r="P4" s="23">
        <v>16.306000000000001</v>
      </c>
      <c r="Q4" s="8">
        <f>M4*1.4</f>
        <v>23.482199999999999</v>
      </c>
    </row>
    <row r="5" spans="1:18" s="65" customFormat="1" x14ac:dyDescent="0.15">
      <c r="B5" s="66"/>
      <c r="F5" s="66"/>
      <c r="I5" s="65">
        <v>192</v>
      </c>
      <c r="J5" s="66"/>
      <c r="N5" s="66">
        <v>280</v>
      </c>
      <c r="O5" s="65">
        <v>316</v>
      </c>
      <c r="P5" s="65">
        <v>358</v>
      </c>
      <c r="Q5" s="8">
        <v>404</v>
      </c>
      <c r="R5" s="8"/>
    </row>
    <row r="6" spans="1:18" s="17" customFormat="1" x14ac:dyDescent="0.15">
      <c r="A6" s="17" t="s">
        <v>0</v>
      </c>
      <c r="B6" s="24">
        <f>SUM(B3:B4)</f>
        <v>113.49799999999999</v>
      </c>
      <c r="C6" s="24">
        <f>SUM(C3:C4)</f>
        <v>125.54299999999999</v>
      </c>
      <c r="D6" s="24">
        <f>SUM(D3:D4)</f>
        <v>130.589</v>
      </c>
      <c r="E6" s="24">
        <f>SUM(E3:E4)</f>
        <v>148.87400000000002</v>
      </c>
      <c r="F6" s="25">
        <f>SUM(F3:F4)</f>
        <v>155.80800000000002</v>
      </c>
      <c r="G6" s="24">
        <f>SUM(G3:G4)</f>
        <v>167.04400000000001</v>
      </c>
      <c r="H6" s="24">
        <f>SUM(H3:H4)</f>
        <v>178.38499999999999</v>
      </c>
      <c r="I6" s="24">
        <f>SUM(I3:I4)</f>
        <v>199.732</v>
      </c>
      <c r="J6" s="25">
        <f>SUM(J3:J4)</f>
        <v>213.96199999999999</v>
      </c>
      <c r="K6" s="24">
        <f>SUM(K3:K4)</f>
        <v>235.61199999999999</v>
      </c>
      <c r="L6" s="24">
        <f>SUM(L3:L4)</f>
        <v>249.50200000000001</v>
      </c>
      <c r="M6" s="24">
        <f>SUM(M3:M4)</f>
        <v>274.89500000000004</v>
      </c>
      <c r="N6" s="25">
        <f>SUM(N3:N4)</f>
        <v>297.01700000000005</v>
      </c>
      <c r="O6" s="24">
        <f>SUM(O3:O4)</f>
        <v>342.20899999999995</v>
      </c>
      <c r="P6" s="24">
        <f>SUM(P3:P4)</f>
        <v>382.923</v>
      </c>
      <c r="Q6" s="24">
        <f>SUM(Q3:Q4)</f>
        <v>410.66519999999997</v>
      </c>
    </row>
    <row r="7" spans="1:18" s="8" customFormat="1" x14ac:dyDescent="0.15">
      <c r="A7" s="8" t="s">
        <v>1</v>
      </c>
      <c r="B7" s="22">
        <v>27.123999999999999</v>
      </c>
      <c r="C7" s="23">
        <v>28.457999999999998</v>
      </c>
      <c r="D7" s="23">
        <v>31.216000000000001</v>
      </c>
      <c r="E7" s="23">
        <v>31.475000000000001</v>
      </c>
      <c r="F7" s="22">
        <v>58.293999999999997</v>
      </c>
      <c r="G7" s="23">
        <v>36.360999999999997</v>
      </c>
      <c r="H7" s="23">
        <v>45.073</v>
      </c>
      <c r="I7" s="23">
        <v>52.692999999999998</v>
      </c>
      <c r="J7" s="22">
        <v>52.018999999999998</v>
      </c>
      <c r="K7" s="23">
        <v>61.176000000000002</v>
      </c>
      <c r="L7" s="51">
        <v>61.963999999999999</v>
      </c>
      <c r="M7" s="51">
        <v>68.075000000000003</v>
      </c>
      <c r="N7" s="22">
        <v>74.031999999999996</v>
      </c>
      <c r="O7" s="51">
        <v>90.614999999999995</v>
      </c>
      <c r="P7" s="51">
        <v>97.831000000000003</v>
      </c>
      <c r="Q7" s="8">
        <f>Q6-Q8</f>
        <v>104.91870997876856</v>
      </c>
    </row>
    <row r="8" spans="1:18" s="8" customFormat="1" x14ac:dyDescent="0.15">
      <c r="A8" s="8" t="s">
        <v>2</v>
      </c>
      <c r="B8" s="27">
        <f t="shared" ref="B8:D8" si="0">B6-B7</f>
        <v>86.373999999999995</v>
      </c>
      <c r="C8" s="26">
        <f t="shared" si="0"/>
        <v>97.084999999999994</v>
      </c>
      <c r="D8" s="26">
        <f t="shared" si="0"/>
        <v>99.37299999999999</v>
      </c>
      <c r="E8" s="26">
        <f t="shared" ref="E8" si="1">E6-E7</f>
        <v>117.39900000000003</v>
      </c>
      <c r="F8" s="27">
        <f>F6-F7</f>
        <v>97.514000000000024</v>
      </c>
      <c r="G8" s="26">
        <f>G6-G7</f>
        <v>130.68300000000002</v>
      </c>
      <c r="H8" s="26">
        <f t="shared" ref="H8:J8" si="2">H6-H7</f>
        <v>133.31199999999998</v>
      </c>
      <c r="I8" s="26">
        <f t="shared" si="2"/>
        <v>147.03899999999999</v>
      </c>
      <c r="J8" s="27">
        <f t="shared" si="2"/>
        <v>161.94299999999998</v>
      </c>
      <c r="K8" s="26">
        <f t="shared" ref="K8:P8" si="3">K6-K7</f>
        <v>174.43599999999998</v>
      </c>
      <c r="L8" s="26">
        <f t="shared" si="3"/>
        <v>187.53800000000001</v>
      </c>
      <c r="M8" s="26">
        <f t="shared" si="3"/>
        <v>206.82000000000005</v>
      </c>
      <c r="N8" s="27">
        <f t="shared" ref="N8" si="4">N6-N7</f>
        <v>222.98500000000007</v>
      </c>
      <c r="O8" s="26">
        <f t="shared" si="3"/>
        <v>251.59399999999994</v>
      </c>
      <c r="P8" s="26">
        <f t="shared" si="3"/>
        <v>285.09199999999998</v>
      </c>
      <c r="Q8" s="69">
        <f>Q6*P21</f>
        <v>305.74649002123141</v>
      </c>
    </row>
    <row r="9" spans="1:18" s="8" customFormat="1" x14ac:dyDescent="0.15">
      <c r="A9" s="8" t="s">
        <v>3</v>
      </c>
      <c r="B9" s="22">
        <v>23</v>
      </c>
      <c r="C9" s="23">
        <v>24</v>
      </c>
      <c r="D9" s="23">
        <v>23</v>
      </c>
      <c r="E9" s="23">
        <v>23</v>
      </c>
      <c r="F9" s="22">
        <v>71</v>
      </c>
      <c r="G9" s="23">
        <v>34</v>
      </c>
      <c r="H9" s="23">
        <v>38</v>
      </c>
      <c r="I9" s="23">
        <v>43</v>
      </c>
      <c r="J9" s="22">
        <v>37</v>
      </c>
      <c r="K9" s="23">
        <v>48</v>
      </c>
      <c r="L9" s="51">
        <v>49</v>
      </c>
      <c r="M9" s="51">
        <v>52</v>
      </c>
      <c r="N9" s="22">
        <v>54</v>
      </c>
      <c r="O9" s="51">
        <v>64</v>
      </c>
      <c r="P9" s="51">
        <v>73</v>
      </c>
      <c r="Q9" s="8">
        <f>M9*1.5</f>
        <v>78</v>
      </c>
    </row>
    <row r="10" spans="1:18" s="8" customFormat="1" x14ac:dyDescent="0.15">
      <c r="A10" s="8" t="s">
        <v>4</v>
      </c>
      <c r="B10" s="22">
        <v>65</v>
      </c>
      <c r="C10" s="23">
        <v>69</v>
      </c>
      <c r="D10" s="23">
        <v>70</v>
      </c>
      <c r="E10" s="23">
        <v>75</v>
      </c>
      <c r="F10" s="22">
        <v>191</v>
      </c>
      <c r="G10" s="23">
        <v>104</v>
      </c>
      <c r="H10" s="23">
        <v>117</v>
      </c>
      <c r="I10" s="23">
        <v>128</v>
      </c>
      <c r="J10" s="22">
        <v>130</v>
      </c>
      <c r="K10" s="23">
        <v>151</v>
      </c>
      <c r="L10" s="51">
        <v>149</v>
      </c>
      <c r="M10" s="51">
        <v>161</v>
      </c>
      <c r="N10" s="22">
        <v>172</v>
      </c>
      <c r="O10" s="51">
        <v>195</v>
      </c>
      <c r="P10" s="51">
        <v>210</v>
      </c>
      <c r="Q10" s="8">
        <f t="shared" ref="Q10:Q11" si="5">M10*1.5</f>
        <v>241.5</v>
      </c>
    </row>
    <row r="11" spans="1:18" s="8" customFormat="1" x14ac:dyDescent="0.15">
      <c r="A11" s="8" t="s">
        <v>5</v>
      </c>
      <c r="B11" s="22">
        <v>18</v>
      </c>
      <c r="C11" s="23">
        <v>18</v>
      </c>
      <c r="D11" s="23">
        <v>20</v>
      </c>
      <c r="E11" s="23">
        <v>26</v>
      </c>
      <c r="F11" s="22">
        <v>103</v>
      </c>
      <c r="G11" s="23">
        <v>31</v>
      </c>
      <c r="H11" s="23">
        <v>36</v>
      </c>
      <c r="I11" s="23">
        <v>39</v>
      </c>
      <c r="J11" s="22">
        <v>37</v>
      </c>
      <c r="K11" s="23">
        <v>41</v>
      </c>
      <c r="L11" s="51">
        <v>34</v>
      </c>
      <c r="M11" s="51">
        <v>36</v>
      </c>
      <c r="N11" s="22">
        <v>39</v>
      </c>
      <c r="O11" s="51">
        <v>51</v>
      </c>
      <c r="P11" s="51">
        <v>50</v>
      </c>
      <c r="Q11" s="8">
        <f t="shared" si="5"/>
        <v>54</v>
      </c>
    </row>
    <row r="12" spans="1:18" s="8" customFormat="1" x14ac:dyDescent="0.15">
      <c r="A12" s="8" t="s">
        <v>6</v>
      </c>
      <c r="B12" s="27">
        <f t="shared" ref="B12:D12" si="6">SUM(B9:B11)</f>
        <v>106</v>
      </c>
      <c r="C12" s="26">
        <f t="shared" si="6"/>
        <v>111</v>
      </c>
      <c r="D12" s="26">
        <f t="shared" si="6"/>
        <v>113</v>
      </c>
      <c r="E12" s="26">
        <f t="shared" ref="E12:F12" si="7">SUM(E9:E11)</f>
        <v>124</v>
      </c>
      <c r="F12" s="27">
        <f t="shared" si="7"/>
        <v>365</v>
      </c>
      <c r="G12" s="26">
        <f t="shared" ref="G12:H12" si="8">SUM(G9:G11)</f>
        <v>169</v>
      </c>
      <c r="H12" s="26">
        <f t="shared" si="8"/>
        <v>191</v>
      </c>
      <c r="I12" s="26">
        <f t="shared" ref="I12:K12" si="9">SUM(I9:I11)</f>
        <v>210</v>
      </c>
      <c r="J12" s="27">
        <f t="shared" si="9"/>
        <v>204</v>
      </c>
      <c r="K12" s="26">
        <f t="shared" si="9"/>
        <v>240</v>
      </c>
      <c r="L12" s="26">
        <f t="shared" ref="L12:M12" si="10">SUM(L9:L11)</f>
        <v>232</v>
      </c>
      <c r="M12" s="26">
        <f t="shared" si="10"/>
        <v>249</v>
      </c>
      <c r="N12" s="27">
        <f t="shared" ref="N12:O12" si="11">SUM(N9:N11)</f>
        <v>265</v>
      </c>
      <c r="O12" s="26">
        <f t="shared" si="11"/>
        <v>310</v>
      </c>
      <c r="P12" s="26">
        <f t="shared" ref="P12:Q12" si="12">SUM(P9:P11)</f>
        <v>333</v>
      </c>
      <c r="Q12" s="26">
        <f>SUM(Q9:Q11)</f>
        <v>373.5</v>
      </c>
    </row>
    <row r="13" spans="1:18" s="8" customFormat="1" x14ac:dyDescent="0.15">
      <c r="A13" s="8" t="s">
        <v>7</v>
      </c>
      <c r="B13" s="27">
        <f t="shared" ref="B13:H13" si="13">B8-B12</f>
        <v>-19.626000000000005</v>
      </c>
      <c r="C13" s="26">
        <f t="shared" si="13"/>
        <v>-13.915000000000006</v>
      </c>
      <c r="D13" s="26">
        <f t="shared" si="13"/>
        <v>-13.62700000000001</v>
      </c>
      <c r="E13" s="26">
        <f t="shared" si="13"/>
        <v>-6.6009999999999707</v>
      </c>
      <c r="F13" s="27">
        <f t="shared" si="13"/>
        <v>-267.48599999999999</v>
      </c>
      <c r="G13" s="26">
        <f t="shared" si="13"/>
        <v>-38.316999999999979</v>
      </c>
      <c r="H13" s="26">
        <f t="shared" si="13"/>
        <v>-57.688000000000017</v>
      </c>
      <c r="I13" s="26">
        <f t="shared" ref="I13:K13" si="14">I8-I12</f>
        <v>-62.961000000000013</v>
      </c>
      <c r="J13" s="27">
        <f t="shared" si="14"/>
        <v>-42.057000000000016</v>
      </c>
      <c r="K13" s="26">
        <f t="shared" si="14"/>
        <v>-65.564000000000021</v>
      </c>
      <c r="L13" s="26">
        <f t="shared" ref="L13:M13" si="15">L8-L12</f>
        <v>-44.461999999999989</v>
      </c>
      <c r="M13" s="26">
        <f t="shared" si="15"/>
        <v>-42.17999999999995</v>
      </c>
      <c r="N13" s="27">
        <f t="shared" ref="N13:O13" si="16">N8-N12</f>
        <v>-42.01499999999993</v>
      </c>
      <c r="O13" s="26">
        <f t="shared" si="16"/>
        <v>-58.406000000000063</v>
      </c>
      <c r="P13" s="26">
        <f t="shared" ref="P13:Q13" si="17">P8-P12</f>
        <v>-47.908000000000015</v>
      </c>
      <c r="Q13" s="26">
        <f t="shared" si="17"/>
        <v>-67.753509978768591</v>
      </c>
    </row>
    <row r="14" spans="1:18" s="8" customFormat="1" x14ac:dyDescent="0.15">
      <c r="A14" s="8" t="s">
        <v>8</v>
      </c>
      <c r="B14" s="22">
        <v>0</v>
      </c>
      <c r="C14" s="23">
        <v>2</v>
      </c>
      <c r="D14" s="23">
        <f>0-1</f>
        <v>-1</v>
      </c>
      <c r="E14" s="23">
        <v>2</v>
      </c>
      <c r="F14" s="22">
        <v>2</v>
      </c>
      <c r="G14" s="23">
        <v>3</v>
      </c>
      <c r="H14" s="23">
        <f>-4+3</f>
        <v>-1</v>
      </c>
      <c r="I14" s="23">
        <f>-7+5</f>
        <v>-2</v>
      </c>
      <c r="J14" s="22">
        <f>-7+5</f>
        <v>-2</v>
      </c>
      <c r="K14" s="23">
        <f>-7+5</f>
        <v>-2</v>
      </c>
      <c r="L14" s="51">
        <f>-7+6</f>
        <v>-1</v>
      </c>
      <c r="M14" s="51">
        <f>-7+4</f>
        <v>-3</v>
      </c>
      <c r="N14" s="22">
        <f>-8+4</f>
        <v>-4</v>
      </c>
      <c r="O14" s="51">
        <f>-8+3</f>
        <v>-5</v>
      </c>
      <c r="P14" s="51">
        <f>-8-0</f>
        <v>-8</v>
      </c>
      <c r="Q14" s="8">
        <f>P14</f>
        <v>-8</v>
      </c>
    </row>
    <row r="15" spans="1:18" s="8" customFormat="1" x14ac:dyDescent="0.15">
      <c r="A15" s="8" t="s">
        <v>9</v>
      </c>
      <c r="B15" s="27">
        <f t="shared" ref="B15:C15" si="18">B13+B14</f>
        <v>-19.626000000000005</v>
      </c>
      <c r="C15" s="26">
        <f t="shared" si="18"/>
        <v>-11.915000000000006</v>
      </c>
      <c r="D15" s="26">
        <f t="shared" ref="D15:F15" si="19">D13+D14</f>
        <v>-14.62700000000001</v>
      </c>
      <c r="E15" s="26">
        <f>E13+E14</f>
        <v>-4.6009999999999707</v>
      </c>
      <c r="F15" s="27">
        <f t="shared" si="19"/>
        <v>-265.48599999999999</v>
      </c>
      <c r="G15" s="26">
        <f t="shared" ref="G15" si="20">G13+G14</f>
        <v>-35.316999999999979</v>
      </c>
      <c r="H15" s="26">
        <f t="shared" ref="H15:L15" si="21">H13+H14</f>
        <v>-58.688000000000017</v>
      </c>
      <c r="I15" s="26">
        <f t="shared" si="21"/>
        <v>-64.961000000000013</v>
      </c>
      <c r="J15" s="27">
        <f t="shared" si="21"/>
        <v>-44.057000000000016</v>
      </c>
      <c r="K15" s="26">
        <f t="shared" si="21"/>
        <v>-67.564000000000021</v>
      </c>
      <c r="L15" s="26">
        <f t="shared" si="21"/>
        <v>-45.461999999999989</v>
      </c>
      <c r="M15" s="26">
        <f t="shared" ref="M15" si="22">M13+M14</f>
        <v>-45.17999999999995</v>
      </c>
      <c r="N15" s="27">
        <f t="shared" ref="N15:Q15" si="23">N13+N14</f>
        <v>-46.01499999999993</v>
      </c>
      <c r="O15" s="26">
        <f t="shared" si="23"/>
        <v>-63.406000000000063</v>
      </c>
      <c r="P15" s="26">
        <f t="shared" si="23"/>
        <v>-55.908000000000015</v>
      </c>
      <c r="Q15" s="26">
        <f t="shared" si="23"/>
        <v>-75.753509978768591</v>
      </c>
    </row>
    <row r="16" spans="1:18" s="8" customFormat="1" x14ac:dyDescent="0.15">
      <c r="A16" s="8" t="s">
        <v>10</v>
      </c>
      <c r="B16" s="22">
        <v>0</v>
      </c>
      <c r="C16" s="23">
        <v>0</v>
      </c>
      <c r="D16" s="23">
        <v>1</v>
      </c>
      <c r="E16" s="23">
        <v>2</v>
      </c>
      <c r="F16" s="22">
        <v>1</v>
      </c>
      <c r="G16" s="23">
        <v>2</v>
      </c>
      <c r="H16" s="23">
        <v>-6</v>
      </c>
      <c r="I16" s="23">
        <v>1</v>
      </c>
      <c r="J16" s="22">
        <v>1</v>
      </c>
      <c r="K16" s="23">
        <v>1</v>
      </c>
      <c r="L16" s="23">
        <v>1</v>
      </c>
      <c r="M16" s="23">
        <v>1</v>
      </c>
      <c r="N16" s="22">
        <v>2</v>
      </c>
      <c r="O16" s="23">
        <v>1</v>
      </c>
      <c r="P16" s="23">
        <v>2</v>
      </c>
      <c r="Q16" s="8">
        <f>Q15*P23</f>
        <v>2.7099345345484931</v>
      </c>
    </row>
    <row r="17" spans="1:18" s="17" customFormat="1" x14ac:dyDescent="0.15">
      <c r="A17" s="17" t="s">
        <v>11</v>
      </c>
      <c r="B17" s="25">
        <f t="shared" ref="B17:P17" si="24">B15-B16</f>
        <v>-19.626000000000005</v>
      </c>
      <c r="C17" s="24">
        <f t="shared" si="24"/>
        <v>-11.915000000000006</v>
      </c>
      <c r="D17" s="24">
        <f t="shared" si="24"/>
        <v>-15.62700000000001</v>
      </c>
      <c r="E17" s="24">
        <f t="shared" si="24"/>
        <v>-6.6009999999999707</v>
      </c>
      <c r="F17" s="25">
        <f t="shared" si="24"/>
        <v>-266.48599999999999</v>
      </c>
      <c r="G17" s="24">
        <f t="shared" si="24"/>
        <v>-37.316999999999979</v>
      </c>
      <c r="H17" s="24">
        <f t="shared" si="24"/>
        <v>-52.688000000000017</v>
      </c>
      <c r="I17" s="24">
        <f t="shared" si="24"/>
        <v>-65.961000000000013</v>
      </c>
      <c r="J17" s="25">
        <f t="shared" si="24"/>
        <v>-45.057000000000016</v>
      </c>
      <c r="K17" s="24">
        <f t="shared" si="24"/>
        <v>-68.564000000000021</v>
      </c>
      <c r="L17" s="24">
        <f t="shared" si="24"/>
        <v>-46.461999999999989</v>
      </c>
      <c r="M17" s="24">
        <f t="shared" si="24"/>
        <v>-46.17999999999995</v>
      </c>
      <c r="N17" s="25">
        <f t="shared" si="24"/>
        <v>-48.01499999999993</v>
      </c>
      <c r="O17" s="24">
        <f t="shared" si="24"/>
        <v>-64.406000000000063</v>
      </c>
      <c r="P17" s="24">
        <f t="shared" si="24"/>
        <v>-57.908000000000015</v>
      </c>
      <c r="Q17" s="24">
        <f>Q15-Q16</f>
        <v>-78.463444513317086</v>
      </c>
      <c r="R17" s="8"/>
    </row>
    <row r="18" spans="1:18" x14ac:dyDescent="0.15">
      <c r="A18" s="6" t="s">
        <v>12</v>
      </c>
      <c r="B18" s="29">
        <f t="shared" ref="B18:D18" si="25">IFERROR(B17/B19,0)</f>
        <v>0</v>
      </c>
      <c r="C18" s="28">
        <f t="shared" si="25"/>
        <v>0</v>
      </c>
      <c r="D18" s="28">
        <f t="shared" si="25"/>
        <v>-0.46853356519653433</v>
      </c>
      <c r="E18" s="28">
        <f t="shared" ref="E18" si="26">IFERROR(E17/E19,0)</f>
        <v>0</v>
      </c>
      <c r="F18" s="29">
        <f t="shared" ref="F18:K18" si="27">IFERROR(F17/F19,0)</f>
        <v>0</v>
      </c>
      <c r="G18" s="28">
        <f t="shared" si="27"/>
        <v>0</v>
      </c>
      <c r="H18" s="28">
        <f t="shared" si="27"/>
        <v>-0.31411265321696008</v>
      </c>
      <c r="I18" s="28">
        <f t="shared" si="27"/>
        <v>-0.39434085216029274</v>
      </c>
      <c r="J18" s="29">
        <f t="shared" si="27"/>
        <v>-0.26180556766085039</v>
      </c>
      <c r="K18" s="28">
        <f t="shared" si="27"/>
        <v>-0.3909253145864337</v>
      </c>
      <c r="L18" s="28">
        <f t="shared" ref="L18:M18" si="28">IFERROR(L17/L19,0)</f>
        <v>-0.26056282737193931</v>
      </c>
      <c r="M18" s="28">
        <f t="shared" si="28"/>
        <v>-0.2553370305044258</v>
      </c>
      <c r="N18" s="29">
        <f t="shared" ref="N18:P18" si="29">IFERROR(N17/N19,0)</f>
        <v>-0.26240859556886581</v>
      </c>
      <c r="O18" s="28">
        <f t="shared" si="29"/>
        <v>-0.34840042842769237</v>
      </c>
      <c r="P18" s="28">
        <f t="shared" si="29"/>
        <v>-0.31062690762405937</v>
      </c>
      <c r="Q18" s="28">
        <f t="shared" ref="Q18" si="30">IFERROR(Q17/Q19,0)</f>
        <v>-0.42088929216522147</v>
      </c>
    </row>
    <row r="19" spans="1:18" s="8" customFormat="1" x14ac:dyDescent="0.15">
      <c r="A19" s="8" t="s">
        <v>13</v>
      </c>
      <c r="B19" s="22"/>
      <c r="C19" s="23"/>
      <c r="D19" s="23">
        <v>33.353000000000002</v>
      </c>
      <c r="E19" s="23"/>
      <c r="F19" s="22"/>
      <c r="G19" s="23"/>
      <c r="H19" s="23">
        <v>167.73599999999999</v>
      </c>
      <c r="I19" s="23">
        <v>167.26900000000001</v>
      </c>
      <c r="J19" s="22">
        <v>172.101</v>
      </c>
      <c r="K19" s="23">
        <v>175.38900000000001</v>
      </c>
      <c r="L19" s="51">
        <v>178.31399999999999</v>
      </c>
      <c r="M19" s="51">
        <v>180.85900000000001</v>
      </c>
      <c r="N19" s="22">
        <v>182.97800000000001</v>
      </c>
      <c r="O19" s="51">
        <v>184.86199999999999</v>
      </c>
      <c r="P19" s="51">
        <v>186.423</v>
      </c>
      <c r="Q19" s="8">
        <f>P19</f>
        <v>186.423</v>
      </c>
      <c r="R19" s="6"/>
    </row>
    <row r="20" spans="1:18" s="42" customFormat="1" x14ac:dyDescent="0.15">
      <c r="B20" s="41"/>
      <c r="C20" s="40"/>
      <c r="D20" s="40"/>
      <c r="E20" s="40"/>
      <c r="F20" s="56"/>
      <c r="I20" s="40"/>
      <c r="J20" s="56"/>
      <c r="N20" s="56"/>
      <c r="Q20" s="6"/>
      <c r="R20" s="6"/>
    </row>
    <row r="21" spans="1:18" x14ac:dyDescent="0.15">
      <c r="A21" s="6" t="s">
        <v>15</v>
      </c>
      <c r="B21" s="35">
        <f t="shared" ref="B21:N21" si="31">IFERROR(B8/B6,0)</f>
        <v>0.76101781529189949</v>
      </c>
      <c r="C21" s="34">
        <f t="shared" si="31"/>
        <v>0.77332069490134858</v>
      </c>
      <c r="D21" s="34">
        <f t="shared" si="31"/>
        <v>0.76095995834258623</v>
      </c>
      <c r="E21" s="34">
        <f t="shared" si="31"/>
        <v>0.78857960422907969</v>
      </c>
      <c r="F21" s="35">
        <f t="shared" si="31"/>
        <v>0.62586003286095715</v>
      </c>
      <c r="G21" s="34">
        <f t="shared" si="31"/>
        <v>0.78232681209741151</v>
      </c>
      <c r="H21" s="34">
        <f t="shared" si="31"/>
        <v>0.74732740981584767</v>
      </c>
      <c r="I21" s="34">
        <f t="shared" si="31"/>
        <v>0.73618148318747112</v>
      </c>
      <c r="J21" s="35">
        <f t="shared" si="31"/>
        <v>0.75687738944298522</v>
      </c>
      <c r="K21" s="34">
        <f t="shared" si="31"/>
        <v>0.7403527833896405</v>
      </c>
      <c r="L21" s="34">
        <f t="shared" si="31"/>
        <v>0.75164928537646991</v>
      </c>
      <c r="M21" s="34">
        <f t="shared" si="31"/>
        <v>0.75235999199694437</v>
      </c>
      <c r="N21" s="35">
        <f t="shared" si="31"/>
        <v>0.75074827366783725</v>
      </c>
      <c r="O21" s="34">
        <f t="shared" ref="O21:P21" si="32">IFERROR(O8/O6,0)</f>
        <v>0.73520567840121087</v>
      </c>
      <c r="P21" s="34">
        <f t="shared" si="32"/>
        <v>0.74451521585279545</v>
      </c>
      <c r="Q21" s="34">
        <f t="shared" ref="Q21" si="33">IFERROR(Q8/Q6,0)</f>
        <v>0.74451521585279545</v>
      </c>
    </row>
    <row r="22" spans="1:18" x14ac:dyDescent="0.15">
      <c r="A22" s="6" t="s">
        <v>16</v>
      </c>
      <c r="B22" s="37">
        <f t="shared" ref="B22:N22" si="34">IFERROR(B13/B6,0)</f>
        <v>-0.17291934659641586</v>
      </c>
      <c r="C22" s="36">
        <f t="shared" si="34"/>
        <v>-0.11083851748006665</v>
      </c>
      <c r="D22" s="36">
        <f t="shared" si="34"/>
        <v>-0.10435028984064515</v>
      </c>
      <c r="E22" s="36">
        <f t="shared" si="34"/>
        <v>-4.4339508577723237E-2</v>
      </c>
      <c r="F22" s="37">
        <f t="shared" si="34"/>
        <v>-1.7167667898952554</v>
      </c>
      <c r="G22" s="36">
        <f t="shared" si="34"/>
        <v>-0.22938267761787298</v>
      </c>
      <c r="H22" s="36">
        <f t="shared" si="34"/>
        <v>-0.32339041959806047</v>
      </c>
      <c r="I22" s="36">
        <f t="shared" si="34"/>
        <v>-0.31522740472232796</v>
      </c>
      <c r="J22" s="37">
        <f t="shared" si="34"/>
        <v>-0.19656294108299613</v>
      </c>
      <c r="K22" s="36">
        <f t="shared" si="34"/>
        <v>-0.27827105580360945</v>
      </c>
      <c r="L22" s="36">
        <f t="shared" si="34"/>
        <v>-0.17820298033683091</v>
      </c>
      <c r="M22" s="36">
        <f t="shared" si="34"/>
        <v>-0.15344040451808852</v>
      </c>
      <c r="N22" s="37">
        <f t="shared" si="34"/>
        <v>-0.14145654962510537</v>
      </c>
      <c r="O22" s="36">
        <f t="shared" ref="O22:P22" si="35">IFERROR(O13/O6,0)</f>
        <v>-0.17067347731941612</v>
      </c>
      <c r="P22" s="36">
        <f t="shared" si="35"/>
        <v>-0.12511131480741564</v>
      </c>
      <c r="Q22" s="36">
        <f t="shared" ref="Q22" si="36">IFERROR(Q13/Q6,0)</f>
        <v>-0.16498478560824875</v>
      </c>
    </row>
    <row r="23" spans="1:18" x14ac:dyDescent="0.15">
      <c r="A23" s="6" t="s">
        <v>17</v>
      </c>
      <c r="B23" s="37">
        <f t="shared" ref="B23:N23" si="37">IFERROR(B16/B15,0)</f>
        <v>0</v>
      </c>
      <c r="C23" s="36">
        <f t="shared" si="37"/>
        <v>0</v>
      </c>
      <c r="D23" s="36">
        <f t="shared" si="37"/>
        <v>-6.8366719081151245E-2</v>
      </c>
      <c r="E23" s="36">
        <f t="shared" si="37"/>
        <v>-0.43468811128015927</v>
      </c>
      <c r="F23" s="37">
        <f t="shared" si="37"/>
        <v>-3.7666769622503636E-3</v>
      </c>
      <c r="G23" s="36">
        <f t="shared" si="37"/>
        <v>-5.6629951581391433E-2</v>
      </c>
      <c r="H23" s="36">
        <f t="shared" si="37"/>
        <v>0.10223555070883313</v>
      </c>
      <c r="I23" s="36">
        <f t="shared" si="37"/>
        <v>-1.5393851695632762E-2</v>
      </c>
      <c r="J23" s="37">
        <f t="shared" si="37"/>
        <v>-2.2697868670131866E-2</v>
      </c>
      <c r="K23" s="36">
        <f t="shared" si="37"/>
        <v>-1.4800781481262206E-2</v>
      </c>
      <c r="L23" s="36">
        <f t="shared" si="37"/>
        <v>-2.1996392591614979E-2</v>
      </c>
      <c r="M23" s="36">
        <f t="shared" si="37"/>
        <v>-2.2133687472332915E-2</v>
      </c>
      <c r="N23" s="37">
        <f t="shared" si="37"/>
        <v>-4.3464087797457418E-2</v>
      </c>
      <c r="O23" s="36">
        <f t="shared" ref="O23:P23" si="38">IFERROR(O16/O15,0)</f>
        <v>-1.5771378103018627E-2</v>
      </c>
      <c r="P23" s="36">
        <f t="shared" si="38"/>
        <v>-3.5773055734420828E-2</v>
      </c>
      <c r="Q23" s="36">
        <f t="shared" ref="Q23" si="39">IFERROR(Q16/Q15,0)</f>
        <v>-3.5773055734420828E-2</v>
      </c>
    </row>
    <row r="24" spans="1:18" s="42" customFormat="1" x14ac:dyDescent="0.15">
      <c r="B24" s="41"/>
      <c r="C24" s="40"/>
      <c r="D24" s="40"/>
      <c r="E24" s="40"/>
      <c r="F24" s="56"/>
      <c r="I24" s="40"/>
      <c r="J24" s="56"/>
      <c r="N24" s="56"/>
      <c r="R24" s="6"/>
    </row>
    <row r="25" spans="1:18" s="12" customFormat="1" x14ac:dyDescent="0.15">
      <c r="A25" s="12" t="s">
        <v>14</v>
      </c>
      <c r="B25" s="31"/>
      <c r="C25" s="30"/>
      <c r="D25" s="30"/>
      <c r="E25" s="30"/>
      <c r="F25" s="31">
        <f t="shared" ref="F25:Q25" si="40">IFERROR((F6/B6)-1,0)</f>
        <v>0.37278189924051564</v>
      </c>
      <c r="G25" s="30">
        <f t="shared" si="40"/>
        <v>0.33057199525262271</v>
      </c>
      <c r="H25" s="30">
        <f t="shared" si="40"/>
        <v>0.36600326214305956</v>
      </c>
      <c r="I25" s="30">
        <f t="shared" si="40"/>
        <v>0.34161774386393851</v>
      </c>
      <c r="J25" s="31">
        <f t="shared" si="40"/>
        <v>0.37324142534401283</v>
      </c>
      <c r="K25" s="30">
        <f t="shared" si="40"/>
        <v>0.41047867627690904</v>
      </c>
      <c r="L25" s="30">
        <f t="shared" si="40"/>
        <v>0.3986714129551252</v>
      </c>
      <c r="M25" s="30">
        <f t="shared" si="40"/>
        <v>0.37631926781887759</v>
      </c>
      <c r="N25" s="31">
        <f t="shared" si="40"/>
        <v>0.38817640515605611</v>
      </c>
      <c r="O25" s="30">
        <f t="shared" si="40"/>
        <v>0.45242602244367847</v>
      </c>
      <c r="P25" s="30">
        <f t="shared" si="40"/>
        <v>0.53474922044713069</v>
      </c>
      <c r="Q25" s="30">
        <f t="shared" si="40"/>
        <v>0.49389839756998088</v>
      </c>
      <c r="R25" s="6"/>
    </row>
    <row r="26" spans="1:18" s="12" customFormat="1" x14ac:dyDescent="0.15">
      <c r="A26" s="6" t="s">
        <v>30</v>
      </c>
      <c r="B26" s="33"/>
      <c r="C26" s="32"/>
      <c r="D26" s="32"/>
      <c r="E26" s="32"/>
      <c r="F26" s="33">
        <f t="shared" ref="F26:Q29" si="41">F9/B9-1</f>
        <v>2.0869565217391304</v>
      </c>
      <c r="G26" s="32">
        <f t="shared" si="41"/>
        <v>0.41666666666666674</v>
      </c>
      <c r="H26" s="32">
        <f t="shared" si="41"/>
        <v>0.65217391304347827</v>
      </c>
      <c r="I26" s="32">
        <f t="shared" si="41"/>
        <v>0.86956521739130443</v>
      </c>
      <c r="J26" s="33">
        <f t="shared" si="41"/>
        <v>-0.47887323943661975</v>
      </c>
      <c r="K26" s="32">
        <f t="shared" si="41"/>
        <v>0.41176470588235303</v>
      </c>
      <c r="L26" s="32">
        <f t="shared" si="41"/>
        <v>0.28947368421052633</v>
      </c>
      <c r="M26" s="32">
        <f t="shared" si="41"/>
        <v>0.20930232558139528</v>
      </c>
      <c r="N26" s="33">
        <f t="shared" si="41"/>
        <v>0.45945945945945943</v>
      </c>
      <c r="O26" s="32">
        <f t="shared" si="41"/>
        <v>0.33333333333333326</v>
      </c>
      <c r="P26" s="32">
        <f t="shared" si="41"/>
        <v>0.48979591836734704</v>
      </c>
      <c r="Q26" s="32">
        <f t="shared" si="41"/>
        <v>0.5</v>
      </c>
      <c r="R26" s="6"/>
    </row>
    <row r="27" spans="1:18" s="12" customFormat="1" x14ac:dyDescent="0.15">
      <c r="A27" s="6" t="s">
        <v>31</v>
      </c>
      <c r="B27" s="33"/>
      <c r="C27" s="32"/>
      <c r="D27" s="32"/>
      <c r="E27" s="32"/>
      <c r="F27" s="33">
        <f t="shared" si="41"/>
        <v>1.9384615384615387</v>
      </c>
      <c r="G27" s="32">
        <f t="shared" si="41"/>
        <v>0.50724637681159424</v>
      </c>
      <c r="H27" s="32">
        <f t="shared" si="41"/>
        <v>0.67142857142857149</v>
      </c>
      <c r="I27" s="32">
        <f t="shared" si="41"/>
        <v>0.70666666666666678</v>
      </c>
      <c r="J27" s="33">
        <f t="shared" si="41"/>
        <v>-0.31937172774869105</v>
      </c>
      <c r="K27" s="32">
        <f t="shared" si="41"/>
        <v>0.45192307692307687</v>
      </c>
      <c r="L27" s="32">
        <f t="shared" si="41"/>
        <v>0.27350427350427342</v>
      </c>
      <c r="M27" s="32">
        <f t="shared" si="41"/>
        <v>0.2578125</v>
      </c>
      <c r="N27" s="33">
        <f t="shared" si="41"/>
        <v>0.32307692307692304</v>
      </c>
      <c r="O27" s="32">
        <f t="shared" si="41"/>
        <v>0.29139072847682113</v>
      </c>
      <c r="P27" s="32">
        <f t="shared" si="41"/>
        <v>0.40939597315436238</v>
      </c>
      <c r="Q27" s="32">
        <f t="shared" si="41"/>
        <v>0.5</v>
      </c>
      <c r="R27" s="6"/>
    </row>
    <row r="28" spans="1:18" s="12" customFormat="1" x14ac:dyDescent="0.15">
      <c r="A28" s="6" t="s">
        <v>32</v>
      </c>
      <c r="B28" s="33"/>
      <c r="C28" s="32"/>
      <c r="D28" s="32"/>
      <c r="E28" s="32"/>
      <c r="F28" s="33">
        <f t="shared" si="41"/>
        <v>4.7222222222222223</v>
      </c>
      <c r="G28" s="32">
        <f t="shared" si="41"/>
        <v>0.72222222222222232</v>
      </c>
      <c r="H28" s="32">
        <f t="shared" si="41"/>
        <v>0.8</v>
      </c>
      <c r="I28" s="32">
        <f t="shared" si="41"/>
        <v>0.5</v>
      </c>
      <c r="J28" s="33">
        <f t="shared" si="41"/>
        <v>-0.64077669902912615</v>
      </c>
      <c r="K28" s="32">
        <f t="shared" si="41"/>
        <v>0.32258064516129026</v>
      </c>
      <c r="L28" s="32">
        <f t="shared" si="41"/>
        <v>-5.555555555555558E-2</v>
      </c>
      <c r="M28" s="32">
        <f t="shared" si="41"/>
        <v>-7.6923076923076872E-2</v>
      </c>
      <c r="N28" s="33">
        <f t="shared" si="41"/>
        <v>5.4054054054053946E-2</v>
      </c>
      <c r="O28" s="32">
        <f t="shared" si="41"/>
        <v>0.24390243902439024</v>
      </c>
      <c r="P28" s="32">
        <f t="shared" si="41"/>
        <v>0.47058823529411775</v>
      </c>
      <c r="Q28" s="32">
        <f t="shared" si="41"/>
        <v>0.5</v>
      </c>
      <c r="R28" s="6"/>
    </row>
    <row r="29" spans="1:18" x14ac:dyDescent="0.15">
      <c r="A29" s="6" t="s">
        <v>57</v>
      </c>
      <c r="B29" s="35"/>
      <c r="C29" s="34"/>
      <c r="D29" s="34"/>
      <c r="E29" s="34"/>
      <c r="F29" s="35">
        <f t="shared" si="41"/>
        <v>2.4433962264150941</v>
      </c>
      <c r="G29" s="34">
        <f t="shared" si="41"/>
        <v>0.52252252252252251</v>
      </c>
      <c r="H29" s="34">
        <f t="shared" si="41"/>
        <v>0.69026548672566368</v>
      </c>
      <c r="I29" s="34">
        <f t="shared" si="41"/>
        <v>0.69354838709677424</v>
      </c>
      <c r="J29" s="35">
        <f t="shared" si="41"/>
        <v>-0.44109589041095887</v>
      </c>
      <c r="K29" s="34">
        <f t="shared" si="41"/>
        <v>0.4201183431952662</v>
      </c>
      <c r="L29" s="34">
        <f t="shared" si="41"/>
        <v>0.21465968586387429</v>
      </c>
      <c r="M29" s="34">
        <f t="shared" si="41"/>
        <v>0.18571428571428572</v>
      </c>
      <c r="N29" s="35">
        <f t="shared" si="41"/>
        <v>0.2990196078431373</v>
      </c>
      <c r="O29" s="34">
        <f t="shared" si="41"/>
        <v>0.29166666666666674</v>
      </c>
      <c r="P29" s="34">
        <f t="shared" si="41"/>
        <v>0.43534482758620685</v>
      </c>
      <c r="Q29" s="34">
        <f t="shared" si="41"/>
        <v>0.5</v>
      </c>
    </row>
    <row r="30" spans="1:18" x14ac:dyDescent="0.15">
      <c r="B30" s="46"/>
      <c r="C30" s="45"/>
      <c r="D30" s="45"/>
      <c r="E30" s="45"/>
      <c r="F30" s="46"/>
      <c r="G30" s="45"/>
      <c r="H30" s="45"/>
      <c r="I30" s="45"/>
      <c r="K30" s="45"/>
      <c r="Q30" s="6"/>
    </row>
    <row r="31" spans="1:18" s="17" customFormat="1" x14ac:dyDescent="0.15">
      <c r="A31" s="17" t="s">
        <v>18</v>
      </c>
      <c r="B31" s="22"/>
      <c r="C31" s="23"/>
      <c r="D31" s="23"/>
      <c r="E31" s="24">
        <f t="shared" ref="E31" si="42">E32-E33</f>
        <v>257</v>
      </c>
      <c r="F31" s="41"/>
      <c r="G31" s="40"/>
      <c r="H31" s="40"/>
      <c r="I31" s="24">
        <f t="shared" ref="I31" si="43">I32-I33</f>
        <v>406</v>
      </c>
      <c r="J31" s="22"/>
      <c r="K31" s="40"/>
      <c r="L31" s="20"/>
      <c r="M31" s="24">
        <f t="shared" ref="M31" si="44">M32-M33</f>
        <v>431</v>
      </c>
      <c r="N31" s="25">
        <f t="shared" ref="N31:P31" si="45">N32-N33</f>
        <v>426</v>
      </c>
      <c r="O31" s="24">
        <f t="shared" si="45"/>
        <v>261</v>
      </c>
      <c r="P31" s="24">
        <f t="shared" si="45"/>
        <v>190</v>
      </c>
      <c r="Q31" s="6"/>
      <c r="R31" s="6"/>
    </row>
    <row r="32" spans="1:18" s="8" customFormat="1" x14ac:dyDescent="0.15">
      <c r="A32" s="8" t="s">
        <v>19</v>
      </c>
      <c r="B32" s="22"/>
      <c r="C32" s="23"/>
      <c r="D32" s="23"/>
      <c r="E32" s="23">
        <v>257</v>
      </c>
      <c r="F32" s="41"/>
      <c r="G32" s="40"/>
      <c r="H32" s="40"/>
      <c r="I32" s="23">
        <f>518+251+76</f>
        <v>845</v>
      </c>
      <c r="J32" s="22"/>
      <c r="K32" s="40"/>
      <c r="L32" s="20"/>
      <c r="M32" s="23">
        <f>241+415+240</f>
        <v>896</v>
      </c>
      <c r="N32" s="22">
        <f>442+316+140</f>
        <v>898</v>
      </c>
      <c r="O32" s="23">
        <f>404+270+66</f>
        <v>740</v>
      </c>
      <c r="P32" s="23">
        <f>375+224+77</f>
        <v>676</v>
      </c>
      <c r="Q32" s="6"/>
      <c r="R32" s="6"/>
    </row>
    <row r="33" spans="1:18" s="8" customFormat="1" x14ac:dyDescent="0.15">
      <c r="A33" s="8" t="s">
        <v>20</v>
      </c>
      <c r="B33" s="22"/>
      <c r="C33" s="23"/>
      <c r="D33" s="23"/>
      <c r="E33" s="23">
        <v>0</v>
      </c>
      <c r="F33" s="41"/>
      <c r="G33" s="40"/>
      <c r="H33" s="40"/>
      <c r="I33" s="23">
        <v>439</v>
      </c>
      <c r="J33" s="22"/>
      <c r="K33" s="40"/>
      <c r="L33" s="20"/>
      <c r="M33" s="23">
        <v>465</v>
      </c>
      <c r="N33" s="22">
        <v>472</v>
      </c>
      <c r="O33" s="23">
        <v>479</v>
      </c>
      <c r="P33" s="23">
        <v>486</v>
      </c>
      <c r="Q33" s="6"/>
      <c r="R33" s="6"/>
    </row>
    <row r="34" spans="1:18" s="8" customFormat="1" x14ac:dyDescent="0.15">
      <c r="B34" s="22"/>
      <c r="C34" s="23"/>
      <c r="D34" s="23"/>
      <c r="E34" s="23"/>
      <c r="F34" s="41"/>
      <c r="G34" s="40"/>
      <c r="H34" s="40"/>
      <c r="I34" s="23"/>
      <c r="J34" s="22"/>
      <c r="K34" s="40"/>
      <c r="L34" s="20"/>
      <c r="M34" s="23"/>
      <c r="N34" s="22"/>
      <c r="O34" s="23"/>
      <c r="P34" s="23"/>
      <c r="Q34" s="6"/>
      <c r="R34" s="6"/>
    </row>
    <row r="35" spans="1:18" s="8" customFormat="1" x14ac:dyDescent="0.15">
      <c r="A35" s="71" t="s">
        <v>44</v>
      </c>
      <c r="B35" s="22"/>
      <c r="C35" s="23"/>
      <c r="D35" s="23"/>
      <c r="E35" s="23">
        <f>37+14</f>
        <v>51</v>
      </c>
      <c r="F35" s="41"/>
      <c r="G35" s="40"/>
      <c r="H35" s="40"/>
      <c r="I35" s="23">
        <f>195+74</f>
        <v>269</v>
      </c>
      <c r="J35" s="22"/>
      <c r="K35" s="40"/>
      <c r="L35" s="20"/>
      <c r="M35" s="23">
        <f>195+57</f>
        <v>252</v>
      </c>
      <c r="N35" s="22">
        <f>194+52</f>
        <v>246</v>
      </c>
      <c r="O35" s="23">
        <f>349+136</f>
        <v>485</v>
      </c>
      <c r="P35" s="23">
        <f>349+128</f>
        <v>477</v>
      </c>
      <c r="Q35" s="6"/>
      <c r="R35" s="6"/>
    </row>
    <row r="36" spans="1:18" s="8" customFormat="1" x14ac:dyDescent="0.15">
      <c r="A36" s="71" t="s">
        <v>45</v>
      </c>
      <c r="B36" s="22"/>
      <c r="C36" s="23"/>
      <c r="D36" s="23"/>
      <c r="E36" s="23">
        <v>620</v>
      </c>
      <c r="F36" s="41"/>
      <c r="G36" s="40"/>
      <c r="H36" s="40"/>
      <c r="I36" s="23">
        <v>1615</v>
      </c>
      <c r="J36" s="22"/>
      <c r="K36" s="40"/>
      <c r="L36" s="20"/>
      <c r="M36" s="23">
        <v>1891</v>
      </c>
      <c r="N36" s="22">
        <v>1921</v>
      </c>
      <c r="O36" s="23">
        <v>2053</v>
      </c>
      <c r="P36" s="23">
        <v>2051</v>
      </c>
      <c r="Q36" s="6"/>
      <c r="R36" s="6"/>
    </row>
    <row r="37" spans="1:18" s="8" customFormat="1" x14ac:dyDescent="0.15">
      <c r="A37" s="71" t="s">
        <v>46</v>
      </c>
      <c r="B37" s="22"/>
      <c r="C37" s="23"/>
      <c r="D37" s="23"/>
      <c r="E37" s="23">
        <f>411+548</f>
        <v>959</v>
      </c>
      <c r="F37" s="41"/>
      <c r="G37" s="40"/>
      <c r="H37" s="40"/>
      <c r="I37" s="23">
        <v>1001</v>
      </c>
      <c r="J37" s="22"/>
      <c r="K37" s="40"/>
      <c r="L37" s="20"/>
      <c r="M37" s="23">
        <v>1345</v>
      </c>
      <c r="N37" s="22">
        <v>1399</v>
      </c>
      <c r="O37" s="23">
        <v>1551</v>
      </c>
      <c r="P37" s="23">
        <v>1625</v>
      </c>
      <c r="Q37" s="6"/>
      <c r="R37" s="6"/>
    </row>
    <row r="38" spans="1:18" s="8" customFormat="1" x14ac:dyDescent="0.15">
      <c r="B38" s="22"/>
      <c r="C38" s="23"/>
      <c r="D38" s="23"/>
      <c r="E38" s="23"/>
      <c r="F38" s="41"/>
      <c r="G38" s="40"/>
      <c r="H38" s="40"/>
      <c r="I38" s="23"/>
      <c r="J38" s="22"/>
      <c r="K38" s="40"/>
      <c r="L38" s="20"/>
      <c r="M38" s="23"/>
      <c r="N38" s="22"/>
      <c r="O38" s="23"/>
      <c r="P38" s="23"/>
      <c r="Q38" s="6"/>
      <c r="R38" s="6"/>
    </row>
    <row r="39" spans="1:18" s="8" customFormat="1" x14ac:dyDescent="0.15">
      <c r="A39" s="71" t="s">
        <v>47</v>
      </c>
      <c r="B39" s="22"/>
      <c r="C39" s="23"/>
      <c r="D39" s="23"/>
      <c r="E39" s="26">
        <f t="shared" ref="E39" si="46">E36-E32-E35</f>
        <v>312</v>
      </c>
      <c r="F39" s="41"/>
      <c r="G39" s="40"/>
      <c r="H39" s="40"/>
      <c r="I39" s="26">
        <f t="shared" ref="I39:N39" si="47">I36-I32-I35</f>
        <v>501</v>
      </c>
      <c r="J39" s="22"/>
      <c r="K39" s="40"/>
      <c r="L39" s="20"/>
      <c r="M39" s="26">
        <f t="shared" si="47"/>
        <v>743</v>
      </c>
      <c r="N39" s="27">
        <f t="shared" si="47"/>
        <v>777</v>
      </c>
      <c r="O39" s="26">
        <f t="shared" ref="O39:P39" si="48">O36-O32-O35</f>
        <v>828</v>
      </c>
      <c r="P39" s="26">
        <f t="shared" si="48"/>
        <v>898</v>
      </c>
      <c r="Q39" s="6"/>
      <c r="R39" s="6"/>
    </row>
    <row r="40" spans="1:18" s="8" customFormat="1" x14ac:dyDescent="0.15">
      <c r="A40" s="71" t="s">
        <v>48</v>
      </c>
      <c r="B40" s="22"/>
      <c r="C40" s="23"/>
      <c r="D40" s="23"/>
      <c r="E40" s="26">
        <f t="shared" ref="E40" si="49">E36-E37</f>
        <v>-339</v>
      </c>
      <c r="F40" s="41"/>
      <c r="G40" s="40"/>
      <c r="H40" s="40"/>
      <c r="I40" s="26">
        <f t="shared" ref="I40" si="50">I36-I37</f>
        <v>614</v>
      </c>
      <c r="J40" s="22"/>
      <c r="K40" s="40"/>
      <c r="L40" s="20"/>
      <c r="M40" s="26">
        <f>M36-M37</f>
        <v>546</v>
      </c>
      <c r="N40" s="27">
        <f t="shared" ref="N40" si="51">N36-N37</f>
        <v>522</v>
      </c>
      <c r="O40" s="26">
        <f>O36-O37</f>
        <v>502</v>
      </c>
      <c r="P40" s="26">
        <f>P36-P37</f>
        <v>426</v>
      </c>
      <c r="Q40" s="6"/>
      <c r="R40" s="6"/>
    </row>
    <row r="41" spans="1:18" s="8" customFormat="1" x14ac:dyDescent="0.15">
      <c r="B41" s="22"/>
      <c r="C41" s="23"/>
      <c r="D41" s="23"/>
      <c r="E41" s="23"/>
      <c r="F41" s="41"/>
      <c r="G41" s="40"/>
      <c r="H41" s="40"/>
      <c r="I41" s="23"/>
      <c r="J41" s="22"/>
      <c r="K41" s="40"/>
      <c r="L41" s="20"/>
      <c r="M41" s="23"/>
      <c r="N41" s="22"/>
      <c r="O41" s="23"/>
      <c r="P41" s="23"/>
      <c r="Q41" s="6"/>
      <c r="R41" s="6"/>
    </row>
    <row r="42" spans="1:18" s="17" customFormat="1" x14ac:dyDescent="0.15">
      <c r="A42" s="72" t="s">
        <v>49</v>
      </c>
      <c r="B42" s="22"/>
      <c r="C42" s="23"/>
      <c r="D42" s="23"/>
      <c r="E42" s="24">
        <f t="shared" ref="E42" si="52">SUM(B17:E17)</f>
        <v>-53.768999999999991</v>
      </c>
      <c r="F42" s="41"/>
      <c r="G42" s="40"/>
      <c r="H42" s="40"/>
      <c r="I42" s="24">
        <f t="shared" ref="I42:P42" si="53">SUM(F17:I17)</f>
        <v>-422.452</v>
      </c>
      <c r="J42" s="22"/>
      <c r="K42" s="40"/>
      <c r="L42" s="20"/>
      <c r="M42" s="24">
        <f t="shared" si="53"/>
        <v>-206.26299999999998</v>
      </c>
      <c r="N42" s="25">
        <f t="shared" ref="N42" si="54">SUM(K17:N17)</f>
        <v>-209.22099999999989</v>
      </c>
      <c r="O42" s="24">
        <f t="shared" si="53"/>
        <v>-205.06299999999993</v>
      </c>
      <c r="P42" s="24">
        <f>SUM(M17:P17)</f>
        <v>-216.50899999999996</v>
      </c>
      <c r="Q42" s="6"/>
      <c r="R42" s="6"/>
    </row>
    <row r="43" spans="1:18" x14ac:dyDescent="0.15">
      <c r="A43" s="18" t="s">
        <v>50</v>
      </c>
      <c r="B43" s="22"/>
      <c r="C43" s="23"/>
      <c r="D43" s="23"/>
      <c r="E43" s="34">
        <f t="shared" ref="E43" si="55">E42/E40</f>
        <v>0.15861061946902652</v>
      </c>
      <c r="F43" s="46"/>
      <c r="G43" s="45"/>
      <c r="H43" s="45"/>
      <c r="I43" s="34">
        <f t="shared" ref="I43:N43" si="56">I42/I40</f>
        <v>-0.68803257328990231</v>
      </c>
      <c r="K43" s="45"/>
      <c r="M43" s="34">
        <f t="shared" si="56"/>
        <v>-0.37777106227106222</v>
      </c>
      <c r="N43" s="35">
        <f t="shared" si="56"/>
        <v>-0.40080651340996148</v>
      </c>
      <c r="O43" s="34">
        <f t="shared" ref="O43:P43" si="57">O42/O40</f>
        <v>-0.40849203187250982</v>
      </c>
      <c r="P43" s="34">
        <f t="shared" si="57"/>
        <v>-0.50823708920187782</v>
      </c>
      <c r="Q43" s="6"/>
    </row>
    <row r="44" spans="1:18" x14ac:dyDescent="0.15">
      <c r="A44" s="18" t="s">
        <v>51</v>
      </c>
      <c r="B44" s="22"/>
      <c r="C44" s="23"/>
      <c r="D44" s="23"/>
      <c r="E44" s="34">
        <f t="shared" ref="E44" si="58">E42/E36</f>
        <v>-8.6724193548387077E-2</v>
      </c>
      <c r="F44" s="46"/>
      <c r="G44" s="45"/>
      <c r="H44" s="45"/>
      <c r="I44" s="34">
        <f t="shared" ref="I44:N44" si="59">I42/I36</f>
        <v>-0.26158018575851394</v>
      </c>
      <c r="K44" s="45"/>
      <c r="M44" s="34">
        <f t="shared" si="59"/>
        <v>-0.10907615018508725</v>
      </c>
      <c r="N44" s="35">
        <f t="shared" si="59"/>
        <v>-0.10891254554919307</v>
      </c>
      <c r="O44" s="34">
        <f t="shared" ref="O44:P44" si="60">O42/O36</f>
        <v>-9.9884559181685303E-2</v>
      </c>
      <c r="P44" s="34">
        <f t="shared" si="60"/>
        <v>-0.10556265236470012</v>
      </c>
      <c r="Q44" s="6"/>
    </row>
    <row r="45" spans="1:18" x14ac:dyDescent="0.15">
      <c r="A45" s="18" t="s">
        <v>52</v>
      </c>
      <c r="B45" s="22"/>
      <c r="C45" s="23"/>
      <c r="D45" s="23"/>
      <c r="E45" s="34">
        <f t="shared" ref="E45" si="61">E42/(E40-E35)</f>
        <v>0.13786923076923074</v>
      </c>
      <c r="F45" s="46"/>
      <c r="G45" s="45"/>
      <c r="H45" s="45"/>
      <c r="I45" s="34">
        <f t="shared" ref="I45:N45" si="62">I42/(I40-I35)</f>
        <v>-1.2244985507246378</v>
      </c>
      <c r="K45" s="45"/>
      <c r="M45" s="34">
        <f t="shared" si="62"/>
        <v>-0.70157482993197273</v>
      </c>
      <c r="N45" s="35">
        <f t="shared" si="62"/>
        <v>-0.75804710144927501</v>
      </c>
      <c r="O45" s="34">
        <f t="shared" ref="O45:P45" si="63">O42/(O40-O35)</f>
        <v>-12.062529411764702</v>
      </c>
      <c r="P45" s="34">
        <f t="shared" si="63"/>
        <v>4.2452745098039211</v>
      </c>
      <c r="Q45" s="6"/>
    </row>
    <row r="46" spans="1:18" x14ac:dyDescent="0.15">
      <c r="A46" s="18" t="s">
        <v>53</v>
      </c>
      <c r="B46" s="22"/>
      <c r="C46" s="23"/>
      <c r="D46" s="23"/>
      <c r="E46" s="34">
        <f t="shared" ref="E46" si="64">E42/E39</f>
        <v>-0.17233653846153843</v>
      </c>
      <c r="F46" s="46"/>
      <c r="G46" s="45"/>
      <c r="H46" s="45"/>
      <c r="I46" s="34">
        <f t="shared" ref="I46:N46" si="65">I42/I39</f>
        <v>-0.84321756487025945</v>
      </c>
      <c r="K46" s="45"/>
      <c r="M46" s="34">
        <f t="shared" si="65"/>
        <v>-0.27760834454912514</v>
      </c>
      <c r="N46" s="35">
        <f t="shared" si="65"/>
        <v>-0.26926769626769614</v>
      </c>
      <c r="O46" s="34">
        <f t="shared" ref="O46:P46" si="66">O42/O39</f>
        <v>-0.24766062801932359</v>
      </c>
      <c r="P46" s="34">
        <f t="shared" si="66"/>
        <v>-0.24110133630289526</v>
      </c>
      <c r="Q46" s="6"/>
    </row>
    <row r="47" spans="1:18" x14ac:dyDescent="0.15">
      <c r="Q47" s="6"/>
    </row>
    <row r="48" spans="1:18" x14ac:dyDescent="0.15">
      <c r="A48" s="6" t="s">
        <v>56</v>
      </c>
      <c r="B48" s="35"/>
      <c r="C48" s="34"/>
      <c r="D48" s="34"/>
      <c r="E48" s="34"/>
      <c r="F48" s="35">
        <f>F3/B3-1</f>
        <v>0.38701133396351817</v>
      </c>
      <c r="G48" s="34">
        <f>G3/C3-1</f>
        <v>0.34799622298027288</v>
      </c>
      <c r="H48" s="34">
        <f>H3/D3-1</f>
        <v>0.378511858752695</v>
      </c>
      <c r="I48" s="34">
        <f>I3/E3-1</f>
        <v>0.36638596695707903</v>
      </c>
      <c r="J48" s="35">
        <f>J3/F3-1</f>
        <v>0.3593840672613664</v>
      </c>
      <c r="K48" s="34">
        <f>K3/G3-1</f>
        <v>0.39347221082790074</v>
      </c>
      <c r="L48" s="34">
        <f>L3/H3-1</f>
        <v>0.40516803796347678</v>
      </c>
      <c r="M48" s="34">
        <f>M3/I3-1</f>
        <v>0.37612223572814707</v>
      </c>
      <c r="N48" s="35">
        <f>N3/J3-1</f>
        <v>0.39444449959793126</v>
      </c>
      <c r="O48" s="34">
        <f>O3/K3-1</f>
        <v>0.46570143697551281</v>
      </c>
      <c r="P48" s="34">
        <f>P3/L3-1</f>
        <v>0.53994169830975514</v>
      </c>
      <c r="Q48" s="34">
        <f>Q3/M3-1</f>
        <v>0.5</v>
      </c>
    </row>
    <row r="49" spans="1:17" x14ac:dyDescent="0.15">
      <c r="A49" s="6" t="s">
        <v>70</v>
      </c>
      <c r="F49" s="35">
        <f>F4/B4-1</f>
        <v>0.14418884378288976</v>
      </c>
      <c r="G49" s="34">
        <f>G4/C4-1</f>
        <v>7.421777221526904E-2</v>
      </c>
      <c r="H49" s="34">
        <f>H4/D4-1</f>
        <v>0.16592920353982299</v>
      </c>
      <c r="I49" s="34">
        <f>I4/E4-1</f>
        <v>4.8456630453526328E-2</v>
      </c>
      <c r="J49" s="35">
        <f>J4/F4-1</f>
        <v>0.64310118265440197</v>
      </c>
      <c r="K49" s="34">
        <f>K4/G4-1</f>
        <v>0.72445531865315149</v>
      </c>
      <c r="L49" s="34">
        <f>L4/H4-1</f>
        <v>0.27581203259292342</v>
      </c>
      <c r="M49" s="34">
        <f>M4/I4-1</f>
        <v>0.3793585526315788</v>
      </c>
      <c r="N49" s="35">
        <f>N4/J4-1</f>
        <v>0.28718809980806137</v>
      </c>
      <c r="O49" s="34">
        <f>O4/K4-1</f>
        <v>0.25437470441186405</v>
      </c>
      <c r="P49" s="34">
        <f>P4/L4-1</f>
        <v>0.42659667541557322</v>
      </c>
      <c r="Q49" s="34">
        <f>Q4/M4-1</f>
        <v>0.39999999999999991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6"/>
  <sheetViews>
    <sheetView zoomScale="130" zoomScaleNormal="130" workbookViewId="0">
      <selection activeCell="C15" sqref="C15"/>
    </sheetView>
  </sheetViews>
  <sheetFormatPr baseColWidth="10" defaultRowHeight="13" x14ac:dyDescent="0.15"/>
  <cols>
    <col min="1" max="1" width="10.83203125" style="3"/>
    <col min="2" max="2" width="14.6640625" style="3" customWidth="1"/>
    <col min="3" max="3" width="33.83203125" style="3" bestFit="1" customWidth="1"/>
    <col min="4" max="4" width="22.5" style="3" bestFit="1" customWidth="1"/>
    <col min="5" max="16384" width="10.83203125" style="3"/>
  </cols>
  <sheetData>
    <row r="4" spans="2:4" x14ac:dyDescent="0.15">
      <c r="B4" s="73" t="s">
        <v>67</v>
      </c>
    </row>
    <row r="6" spans="2:4" x14ac:dyDescent="0.15">
      <c r="B6" s="64" t="s">
        <v>68</v>
      </c>
      <c r="C6" s="64" t="s">
        <v>74</v>
      </c>
      <c r="D6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2021-02-26T13:13:11Z</dcterms:modified>
</cp:coreProperties>
</file>