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3824E3E6-630B-9F4E-A50A-1D41DC0AF15C}" xr6:coauthVersionLast="46" xr6:coauthVersionMax="46" xr10:uidLastSave="{00000000-0000-0000-0000-000000000000}"/>
  <bookViews>
    <workbookView xWindow="-68640" yWindow="-5680" windowWidth="34000" windowHeight="2668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2" l="1"/>
  <c r="E51" i="2"/>
  <c r="E48" i="2"/>
  <c r="E52" i="2" s="1"/>
  <c r="E47" i="2"/>
  <c r="E53" i="2" s="1"/>
  <c r="E45" i="2"/>
  <c r="E44" i="2"/>
  <c r="E43" i="2"/>
  <c r="E41" i="2"/>
  <c r="E40" i="2"/>
  <c r="H39" i="2"/>
  <c r="G39" i="2"/>
  <c r="F39" i="2"/>
  <c r="M16" i="2"/>
  <c r="L16" i="2"/>
  <c r="K16" i="2"/>
  <c r="J20" i="2"/>
  <c r="K20" i="2" s="1"/>
  <c r="L20" i="2" s="1"/>
  <c r="M20" i="2" s="1"/>
  <c r="I20" i="2"/>
  <c r="J19" i="2"/>
  <c r="K19" i="2" s="1"/>
  <c r="L19" i="2" s="1"/>
  <c r="M19" i="2" s="1"/>
  <c r="I19" i="2"/>
  <c r="H33" i="2"/>
  <c r="G33" i="2"/>
  <c r="F33" i="2"/>
  <c r="E33" i="2"/>
  <c r="D33" i="2"/>
  <c r="C33" i="2"/>
  <c r="I11" i="2"/>
  <c r="J11" i="2" s="1"/>
  <c r="K11" i="2" s="1"/>
  <c r="L11" i="2" s="1"/>
  <c r="M11" i="2" s="1"/>
  <c r="I14" i="2"/>
  <c r="J14" i="2" s="1"/>
  <c r="K14" i="2" s="1"/>
  <c r="L14" i="2" s="1"/>
  <c r="M14" i="2" s="1"/>
  <c r="M59" i="2" s="1"/>
  <c r="I12" i="2"/>
  <c r="J12" i="2" s="1"/>
  <c r="K12" i="2" s="1"/>
  <c r="L12" i="2" s="1"/>
  <c r="M12" i="2" s="1"/>
  <c r="M57" i="2" s="1"/>
  <c r="I10" i="2"/>
  <c r="J10" i="2" s="1"/>
  <c r="K10" i="2" s="1"/>
  <c r="L10" i="2" s="1"/>
  <c r="M10" i="2" s="1"/>
  <c r="M55" i="2" s="1"/>
  <c r="C5" i="2"/>
  <c r="C3" i="2"/>
  <c r="C4" i="2" s="1"/>
  <c r="H45" i="2"/>
  <c r="H44" i="2"/>
  <c r="H48" i="2" s="1"/>
  <c r="H43" i="2"/>
  <c r="H41" i="2"/>
  <c r="H40" i="2"/>
  <c r="H28" i="2"/>
  <c r="H16" i="2"/>
  <c r="H18" i="2" s="1"/>
  <c r="H25" i="2"/>
  <c r="H23" i="2"/>
  <c r="H20" i="2"/>
  <c r="H19" i="2"/>
  <c r="H21" i="2" s="1"/>
  <c r="H17" i="2"/>
  <c r="H14" i="2"/>
  <c r="H13" i="2"/>
  <c r="H12" i="2"/>
  <c r="H11" i="2"/>
  <c r="H10" i="2"/>
  <c r="G45" i="2"/>
  <c r="G44" i="2"/>
  <c r="G47" i="2" s="1"/>
  <c r="G43" i="2"/>
  <c r="G41" i="2"/>
  <c r="G40" i="2"/>
  <c r="G28" i="2"/>
  <c r="G25" i="2"/>
  <c r="G23" i="2"/>
  <c r="G20" i="2"/>
  <c r="G19" i="2"/>
  <c r="G21" i="2" s="1"/>
  <c r="G17" i="2"/>
  <c r="G14" i="2"/>
  <c r="G13" i="2"/>
  <c r="G12" i="2"/>
  <c r="G11" i="2"/>
  <c r="G10" i="2"/>
  <c r="G16" i="2" s="1"/>
  <c r="G18" i="2" s="1"/>
  <c r="X25" i="1"/>
  <c r="X24" i="1"/>
  <c r="Z25" i="1"/>
  <c r="Z24" i="1"/>
  <c r="Z14" i="1"/>
  <c r="Z9" i="1"/>
  <c r="Z11" i="1" s="1"/>
  <c r="Z27" i="1" s="1"/>
  <c r="AA40" i="1"/>
  <c r="AA33" i="1"/>
  <c r="AA32" i="1"/>
  <c r="AA39" i="1" s="1"/>
  <c r="AA31" i="1"/>
  <c r="W25" i="1"/>
  <c r="W24" i="1"/>
  <c r="W14" i="1"/>
  <c r="AA25" i="1"/>
  <c r="AA24" i="1"/>
  <c r="AA14" i="1"/>
  <c r="W9" i="1"/>
  <c r="W11" i="1" s="1"/>
  <c r="AA9" i="1"/>
  <c r="AA23" i="1" s="1"/>
  <c r="AB33" i="1"/>
  <c r="AB32" i="1"/>
  <c r="AB39" i="1" s="1"/>
  <c r="AB40" i="1"/>
  <c r="AB25" i="1"/>
  <c r="AB24" i="1"/>
  <c r="X14" i="1"/>
  <c r="AB14" i="1"/>
  <c r="X9" i="1"/>
  <c r="X23" i="1" s="1"/>
  <c r="AB9" i="1"/>
  <c r="AB11" i="1" s="1"/>
  <c r="AB27" i="1" s="1"/>
  <c r="Y33" i="1"/>
  <c r="Y31" i="1" s="1"/>
  <c r="Y32" i="1"/>
  <c r="AC33" i="1"/>
  <c r="AC32" i="1"/>
  <c r="Y40" i="1"/>
  <c r="Y39" i="1"/>
  <c r="Y25" i="1"/>
  <c r="Y24" i="1"/>
  <c r="Y14" i="1"/>
  <c r="Y11" i="1"/>
  <c r="Y27" i="1" s="1"/>
  <c r="AC40" i="1"/>
  <c r="AC39" i="1"/>
  <c r="AC31" i="1"/>
  <c r="AC25" i="1"/>
  <c r="AC24" i="1"/>
  <c r="AC14" i="1"/>
  <c r="Y9" i="1"/>
  <c r="AC9" i="1"/>
  <c r="AC23" i="1" s="1"/>
  <c r="F10" i="2"/>
  <c r="F11" i="2"/>
  <c r="F12" i="2"/>
  <c r="F13" i="2"/>
  <c r="F14" i="2"/>
  <c r="F17" i="2"/>
  <c r="F19" i="2"/>
  <c r="F20" i="2"/>
  <c r="F23" i="2"/>
  <c r="F25" i="2"/>
  <c r="F44" i="2"/>
  <c r="F43" i="2"/>
  <c r="F45" i="2"/>
  <c r="F4" i="2"/>
  <c r="V40" i="1"/>
  <c r="V33" i="1"/>
  <c r="V32" i="1"/>
  <c r="V39" i="1" s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5" i="1"/>
  <c r="F24" i="1"/>
  <c r="V9" i="1"/>
  <c r="V11" i="1" s="1"/>
  <c r="R9" i="1"/>
  <c r="R23" i="1" s="1"/>
  <c r="V14" i="1"/>
  <c r="S9" i="1"/>
  <c r="S14" i="1"/>
  <c r="T9" i="1"/>
  <c r="T11" i="1" s="1"/>
  <c r="T14" i="1"/>
  <c r="U9" i="1"/>
  <c r="U11" i="1" s="1"/>
  <c r="U14" i="1"/>
  <c r="F9" i="1"/>
  <c r="F11" i="1" s="1"/>
  <c r="B7" i="1"/>
  <c r="B9" i="1" s="1"/>
  <c r="B11" i="1" s="1"/>
  <c r="G9" i="1"/>
  <c r="C7" i="1"/>
  <c r="C9" i="1"/>
  <c r="C11" i="1" s="1"/>
  <c r="H9" i="1"/>
  <c r="H11" i="1" s="1"/>
  <c r="D7" i="1"/>
  <c r="B28" i="2"/>
  <c r="B25" i="2"/>
  <c r="B23" i="2"/>
  <c r="B10" i="2"/>
  <c r="B11" i="2"/>
  <c r="B12" i="2"/>
  <c r="B13" i="2"/>
  <c r="E7" i="1"/>
  <c r="E9" i="1" s="1"/>
  <c r="E11" i="1" s="1"/>
  <c r="B17" i="2"/>
  <c r="B19" i="2"/>
  <c r="B20" i="2"/>
  <c r="R14" i="1"/>
  <c r="U32" i="1"/>
  <c r="U39" i="1" s="1"/>
  <c r="C14" i="1"/>
  <c r="D14" i="1"/>
  <c r="E14" i="1"/>
  <c r="F14" i="1"/>
  <c r="B14" i="1"/>
  <c r="E40" i="1"/>
  <c r="E35" i="1"/>
  <c r="E39" i="1" s="1"/>
  <c r="I3" i="1"/>
  <c r="C10" i="2" s="1"/>
  <c r="I4" i="1"/>
  <c r="C11" i="2" s="1"/>
  <c r="I5" i="1"/>
  <c r="C12" i="2" s="1"/>
  <c r="I6" i="1"/>
  <c r="C13" i="2" s="1"/>
  <c r="I7" i="1"/>
  <c r="I14" i="1"/>
  <c r="J9" i="1"/>
  <c r="J11" i="1" s="1"/>
  <c r="J27" i="1" s="1"/>
  <c r="J14" i="1"/>
  <c r="K9" i="1"/>
  <c r="K11" i="1" s="1"/>
  <c r="K14" i="1"/>
  <c r="L9" i="1"/>
  <c r="L11" i="1"/>
  <c r="L14" i="1"/>
  <c r="R32" i="1"/>
  <c r="R35" i="1"/>
  <c r="N32" i="1"/>
  <c r="N31" i="1" s="1"/>
  <c r="N35" i="1"/>
  <c r="M3" i="1"/>
  <c r="M4" i="1"/>
  <c r="D11" i="2" s="1"/>
  <c r="M5" i="1"/>
  <c r="D12" i="2" s="1"/>
  <c r="M6" i="1"/>
  <c r="D13" i="2" s="1"/>
  <c r="M7" i="1"/>
  <c r="M14" i="1"/>
  <c r="N9" i="1"/>
  <c r="N11" i="1" s="1"/>
  <c r="N14" i="1"/>
  <c r="U40" i="1"/>
  <c r="Q3" i="1"/>
  <c r="E10" i="2" s="1"/>
  <c r="Q4" i="1"/>
  <c r="Q5" i="1"/>
  <c r="E12" i="2" s="1"/>
  <c r="F57" i="2" s="1"/>
  <c r="Q6" i="1"/>
  <c r="E13" i="2" s="1"/>
  <c r="F58" i="2" s="1"/>
  <c r="Q7" i="1"/>
  <c r="E14" i="2" s="1"/>
  <c r="Q14" i="1"/>
  <c r="T32" i="1"/>
  <c r="T39" i="1" s="1"/>
  <c r="T40" i="1"/>
  <c r="P9" i="1"/>
  <c r="P11" i="1" s="1"/>
  <c r="P14" i="1"/>
  <c r="S32" i="1"/>
  <c r="S39" i="1"/>
  <c r="S40" i="1"/>
  <c r="O9" i="1"/>
  <c r="O11" i="1" s="1"/>
  <c r="O14" i="1"/>
  <c r="R40" i="1"/>
  <c r="Q32" i="1"/>
  <c r="Q35" i="1"/>
  <c r="Q40" i="1"/>
  <c r="P32" i="1"/>
  <c r="P31" i="1" s="1"/>
  <c r="P35" i="1"/>
  <c r="P39" i="1" s="1"/>
  <c r="P40" i="1"/>
  <c r="O32" i="1"/>
  <c r="O35" i="1"/>
  <c r="O40" i="1"/>
  <c r="N40" i="1"/>
  <c r="M32" i="1"/>
  <c r="M35" i="1"/>
  <c r="M40" i="1"/>
  <c r="H14" i="1"/>
  <c r="K32" i="1"/>
  <c r="K35" i="1"/>
  <c r="K40" i="1"/>
  <c r="L32" i="1"/>
  <c r="L35" i="1"/>
  <c r="L40" i="1"/>
  <c r="G11" i="1"/>
  <c r="G27" i="1" s="1"/>
  <c r="G14" i="1"/>
  <c r="I32" i="1"/>
  <c r="I35" i="1"/>
  <c r="F40" i="1"/>
  <c r="F35" i="1"/>
  <c r="I40" i="1"/>
  <c r="E32" i="1"/>
  <c r="E31" i="1" s="1"/>
  <c r="J32" i="1"/>
  <c r="J35" i="1"/>
  <c r="H32" i="1"/>
  <c r="H35" i="1"/>
  <c r="H39" i="1" s="1"/>
  <c r="G32" i="1"/>
  <c r="G35" i="1"/>
  <c r="G39" i="1"/>
  <c r="F32" i="1"/>
  <c r="F39" i="1"/>
  <c r="H40" i="1"/>
  <c r="G40" i="1"/>
  <c r="J40" i="1"/>
  <c r="D32" i="1"/>
  <c r="D31" i="1" s="1"/>
  <c r="U33" i="1"/>
  <c r="F41" i="2" s="1"/>
  <c r="D14" i="2"/>
  <c r="C14" i="2"/>
  <c r="D59" i="2" s="1"/>
  <c r="F28" i="2"/>
  <c r="S23" i="1"/>
  <c r="I33" i="1"/>
  <c r="C23" i="2"/>
  <c r="C20" i="2"/>
  <c r="C32" i="2" s="1"/>
  <c r="C19" i="2"/>
  <c r="C31" i="2" s="1"/>
  <c r="D23" i="2"/>
  <c r="M33" i="1"/>
  <c r="M31" i="1"/>
  <c r="C28" i="2"/>
  <c r="B32" i="1"/>
  <c r="B31" i="1" s="1"/>
  <c r="C32" i="1"/>
  <c r="C31" i="1" s="1"/>
  <c r="D17" i="2"/>
  <c r="C17" i="2"/>
  <c r="C25" i="2"/>
  <c r="D28" i="2"/>
  <c r="E28" i="2"/>
  <c r="E23" i="2"/>
  <c r="Q33" i="1"/>
  <c r="F33" i="1"/>
  <c r="G33" i="1"/>
  <c r="H33" i="1"/>
  <c r="J33" i="1"/>
  <c r="K33" i="1"/>
  <c r="E20" i="2"/>
  <c r="D20" i="2"/>
  <c r="L33" i="1"/>
  <c r="N33" i="1"/>
  <c r="P33" i="1"/>
  <c r="O33" i="1"/>
  <c r="E17" i="2"/>
  <c r="E19" i="2"/>
  <c r="E25" i="2"/>
  <c r="J23" i="1"/>
  <c r="D19" i="2"/>
  <c r="D25" i="2"/>
  <c r="T33" i="1"/>
  <c r="S33" i="1"/>
  <c r="S31" i="1"/>
  <c r="R33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O23" i="1"/>
  <c r="N23" i="1"/>
  <c r="E50" i="2" l="1"/>
  <c r="H22" i="2"/>
  <c r="H24" i="2" s="1"/>
  <c r="G48" i="2"/>
  <c r="H47" i="2"/>
  <c r="M56" i="2"/>
  <c r="L56" i="2"/>
  <c r="I28" i="2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G22" i="2"/>
  <c r="G24" i="2" s="1"/>
  <c r="U27" i="1"/>
  <c r="U15" i="1"/>
  <c r="U17" i="1" s="1"/>
  <c r="X11" i="1"/>
  <c r="X27" i="1" s="1"/>
  <c r="I39" i="1"/>
  <c r="AB23" i="1"/>
  <c r="B14" i="2"/>
  <c r="B16" i="2" s="1"/>
  <c r="B61" i="2" s="1"/>
  <c r="D31" i="2"/>
  <c r="I31" i="1"/>
  <c r="R11" i="1"/>
  <c r="B15" i="1"/>
  <c r="B17" i="1" s="1"/>
  <c r="G31" i="1"/>
  <c r="Y23" i="1"/>
  <c r="C27" i="1"/>
  <c r="C15" i="1"/>
  <c r="W27" i="1"/>
  <c r="W15" i="1"/>
  <c r="F15" i="1"/>
  <c r="F28" i="1" s="1"/>
  <c r="F27" i="1"/>
  <c r="N39" i="1"/>
  <c r="F31" i="1"/>
  <c r="Z15" i="1"/>
  <c r="X15" i="1"/>
  <c r="AA11" i="1"/>
  <c r="W23" i="1"/>
  <c r="Z23" i="1"/>
  <c r="Y15" i="1"/>
  <c r="F40" i="2"/>
  <c r="F47" i="2" s="1"/>
  <c r="T23" i="1"/>
  <c r="AB15" i="1"/>
  <c r="AC11" i="1"/>
  <c r="D32" i="2"/>
  <c r="E21" i="2"/>
  <c r="M39" i="1"/>
  <c r="C21" i="2"/>
  <c r="G15" i="1"/>
  <c r="G17" i="1" s="1"/>
  <c r="G19" i="1" s="1"/>
  <c r="M9" i="1"/>
  <c r="D9" i="1"/>
  <c r="D11" i="1" s="1"/>
  <c r="D15" i="1" s="1"/>
  <c r="AB31" i="1"/>
  <c r="C57" i="2"/>
  <c r="C56" i="2"/>
  <c r="C55" i="2"/>
  <c r="F48" i="2"/>
  <c r="D21" i="2"/>
  <c r="E31" i="2"/>
  <c r="B21" i="2"/>
  <c r="E59" i="2"/>
  <c r="G32" i="2"/>
  <c r="V27" i="1"/>
  <c r="V15" i="1"/>
  <c r="F23" i="1"/>
  <c r="C6" i="2"/>
  <c r="C7" i="2" s="1"/>
  <c r="T15" i="1"/>
  <c r="T17" i="1" s="1"/>
  <c r="L39" i="1"/>
  <c r="F21" i="2"/>
  <c r="L15" i="1"/>
  <c r="L17" i="1" s="1"/>
  <c r="R15" i="1"/>
  <c r="R17" i="1" s="1"/>
  <c r="F31" i="2"/>
  <c r="L31" i="1"/>
  <c r="D10" i="2"/>
  <c r="D16" i="2" s="1"/>
  <c r="J39" i="1"/>
  <c r="K39" i="1"/>
  <c r="L23" i="1"/>
  <c r="F16" i="2"/>
  <c r="F18" i="2" s="1"/>
  <c r="F35" i="2" s="1"/>
  <c r="U28" i="1"/>
  <c r="G23" i="1"/>
  <c r="F32" i="2"/>
  <c r="Q9" i="1"/>
  <c r="U23" i="1" s="1"/>
  <c r="E32" i="2"/>
  <c r="J15" i="1"/>
  <c r="J28" i="1" s="1"/>
  <c r="D56" i="2"/>
  <c r="K23" i="1"/>
  <c r="Q39" i="1"/>
  <c r="E11" i="2"/>
  <c r="F56" i="2" s="1"/>
  <c r="O31" i="1"/>
  <c r="R39" i="1"/>
  <c r="V31" i="1"/>
  <c r="V23" i="1"/>
  <c r="R31" i="1"/>
  <c r="H31" i="1"/>
  <c r="O39" i="1"/>
  <c r="C58" i="2"/>
  <c r="C16" i="2"/>
  <c r="C62" i="2" s="1"/>
  <c r="F55" i="2"/>
  <c r="G59" i="2"/>
  <c r="N27" i="1"/>
  <c r="N15" i="1"/>
  <c r="E15" i="1"/>
  <c r="E27" i="1"/>
  <c r="G57" i="2"/>
  <c r="G56" i="2"/>
  <c r="U29" i="1"/>
  <c r="U19" i="1"/>
  <c r="U20" i="1" s="1"/>
  <c r="H15" i="1"/>
  <c r="H27" i="1"/>
  <c r="O27" i="1"/>
  <c r="O15" i="1"/>
  <c r="K27" i="1"/>
  <c r="K15" i="1"/>
  <c r="D58" i="2"/>
  <c r="E58" i="2"/>
  <c r="G55" i="2"/>
  <c r="G29" i="1"/>
  <c r="M11" i="1"/>
  <c r="Q23" i="1"/>
  <c r="D57" i="2"/>
  <c r="E57" i="2"/>
  <c r="P27" i="1"/>
  <c r="P15" i="1"/>
  <c r="I9" i="1"/>
  <c r="T27" i="1"/>
  <c r="S11" i="1"/>
  <c r="G62" i="2"/>
  <c r="Q31" i="1"/>
  <c r="F59" i="2"/>
  <c r="B27" i="1"/>
  <c r="T31" i="1"/>
  <c r="R27" i="1"/>
  <c r="U31" i="1"/>
  <c r="K31" i="1"/>
  <c r="J31" i="1"/>
  <c r="L27" i="1"/>
  <c r="P23" i="1"/>
  <c r="B28" i="1" l="1"/>
  <c r="C59" i="2"/>
  <c r="F63" i="2"/>
  <c r="F65" i="2"/>
  <c r="Q11" i="1"/>
  <c r="Q27" i="1" s="1"/>
  <c r="H32" i="2"/>
  <c r="D17" i="1"/>
  <c r="D28" i="1"/>
  <c r="X28" i="1"/>
  <c r="X17" i="1"/>
  <c r="Y17" i="1"/>
  <c r="Y28" i="1"/>
  <c r="L28" i="1"/>
  <c r="Z28" i="1"/>
  <c r="Z17" i="1"/>
  <c r="G28" i="1"/>
  <c r="D27" i="1"/>
  <c r="AC15" i="1"/>
  <c r="AC27" i="1"/>
  <c r="C28" i="1"/>
  <c r="C17" i="1"/>
  <c r="AA27" i="1"/>
  <c r="AA15" i="1"/>
  <c r="W28" i="1"/>
  <c r="W17" i="1"/>
  <c r="F17" i="1"/>
  <c r="H23" i="1"/>
  <c r="F61" i="2"/>
  <c r="AB28" i="1"/>
  <c r="AB17" i="1"/>
  <c r="F62" i="2"/>
  <c r="G31" i="2"/>
  <c r="B65" i="2"/>
  <c r="F22" i="2"/>
  <c r="F36" i="2" s="1"/>
  <c r="H31" i="2"/>
  <c r="F64" i="2"/>
  <c r="D62" i="2"/>
  <c r="D65" i="2"/>
  <c r="E55" i="2"/>
  <c r="C64" i="2"/>
  <c r="T28" i="1"/>
  <c r="V17" i="1"/>
  <c r="V28" i="1"/>
  <c r="E56" i="2"/>
  <c r="R28" i="1"/>
  <c r="D55" i="2"/>
  <c r="F19" i="1"/>
  <c r="F20" i="1" s="1"/>
  <c r="F29" i="1"/>
  <c r="J17" i="1"/>
  <c r="J29" i="1" s="1"/>
  <c r="E16" i="2"/>
  <c r="F30" i="2" s="1"/>
  <c r="C65" i="2"/>
  <c r="I23" i="1"/>
  <c r="I11" i="1"/>
  <c r="M23" i="1"/>
  <c r="K28" i="1"/>
  <c r="K17" i="1"/>
  <c r="H56" i="2"/>
  <c r="M15" i="1"/>
  <c r="M27" i="1"/>
  <c r="O28" i="1"/>
  <c r="O17" i="1"/>
  <c r="B19" i="1"/>
  <c r="B29" i="1"/>
  <c r="I32" i="2"/>
  <c r="G20" i="1"/>
  <c r="G30" i="2"/>
  <c r="G63" i="2"/>
  <c r="P28" i="1"/>
  <c r="P17" i="1"/>
  <c r="H55" i="2"/>
  <c r="H57" i="2"/>
  <c r="H59" i="2"/>
  <c r="G61" i="2"/>
  <c r="D30" i="2"/>
  <c r="D18" i="2"/>
  <c r="G64" i="2"/>
  <c r="G58" i="2"/>
  <c r="E17" i="1"/>
  <c r="E28" i="1"/>
  <c r="C18" i="2"/>
  <c r="C63" i="2"/>
  <c r="C61" i="2"/>
  <c r="C30" i="2"/>
  <c r="S27" i="1"/>
  <c r="S15" i="1"/>
  <c r="D63" i="2"/>
  <c r="R19" i="1"/>
  <c r="R29" i="1"/>
  <c r="N17" i="1"/>
  <c r="N28" i="1"/>
  <c r="T19" i="1"/>
  <c r="T20" i="1" s="1"/>
  <c r="T29" i="1"/>
  <c r="B64" i="2"/>
  <c r="B63" i="2"/>
  <c r="B62" i="2"/>
  <c r="B18" i="2"/>
  <c r="D61" i="2"/>
  <c r="D64" i="2"/>
  <c r="L29" i="1"/>
  <c r="L19" i="1"/>
  <c r="H28" i="1"/>
  <c r="H17" i="1"/>
  <c r="G65" i="2"/>
  <c r="Q15" i="1" l="1"/>
  <c r="C29" i="1"/>
  <c r="C19" i="1"/>
  <c r="C20" i="1" s="1"/>
  <c r="F24" i="2"/>
  <c r="Z29" i="1"/>
  <c r="Z19" i="1"/>
  <c r="AB19" i="1"/>
  <c r="AB20" i="1" s="1"/>
  <c r="AB29" i="1"/>
  <c r="AC17" i="1"/>
  <c r="AC28" i="1"/>
  <c r="Y19" i="1"/>
  <c r="Y29" i="1"/>
  <c r="X29" i="1"/>
  <c r="X19" i="1"/>
  <c r="W29" i="1"/>
  <c r="W19" i="1"/>
  <c r="W20" i="1" s="1"/>
  <c r="AA28" i="1"/>
  <c r="AA17" i="1"/>
  <c r="D19" i="1"/>
  <c r="D20" i="1" s="1"/>
  <c r="D29" i="1"/>
  <c r="H63" i="2"/>
  <c r="H65" i="2"/>
  <c r="H62" i="2"/>
  <c r="E64" i="2"/>
  <c r="E63" i="2"/>
  <c r="V19" i="1"/>
  <c r="V29" i="1"/>
  <c r="E62" i="2"/>
  <c r="E61" i="2"/>
  <c r="E30" i="2"/>
  <c r="E65" i="2"/>
  <c r="E18" i="2"/>
  <c r="E35" i="2" s="1"/>
  <c r="J19" i="1"/>
  <c r="J20" i="1" s="1"/>
  <c r="G35" i="2"/>
  <c r="M28" i="1"/>
  <c r="M17" i="1"/>
  <c r="R20" i="1"/>
  <c r="B35" i="2"/>
  <c r="B22" i="2"/>
  <c r="F37" i="2"/>
  <c r="F26" i="2"/>
  <c r="S28" i="1"/>
  <c r="S17" i="1"/>
  <c r="I59" i="2"/>
  <c r="I56" i="2"/>
  <c r="I57" i="2"/>
  <c r="K29" i="1"/>
  <c r="K19" i="1"/>
  <c r="Q28" i="1"/>
  <c r="Q17" i="1"/>
  <c r="C35" i="2"/>
  <c r="C22" i="2"/>
  <c r="H30" i="2"/>
  <c r="I31" i="2"/>
  <c r="I21" i="2"/>
  <c r="I33" i="2" s="1"/>
  <c r="I27" i="1"/>
  <c r="I15" i="1"/>
  <c r="E29" i="1"/>
  <c r="E19" i="1"/>
  <c r="I55" i="2"/>
  <c r="J32" i="2"/>
  <c r="H29" i="1"/>
  <c r="H19" i="1"/>
  <c r="H64" i="2"/>
  <c r="I13" i="2"/>
  <c r="H58" i="2"/>
  <c r="H61" i="2"/>
  <c r="P29" i="1"/>
  <c r="P19" i="1"/>
  <c r="B20" i="1"/>
  <c r="L20" i="1"/>
  <c r="N29" i="1"/>
  <c r="N19" i="1"/>
  <c r="O29" i="1"/>
  <c r="O19" i="1"/>
  <c r="D22" i="2"/>
  <c r="D35" i="2"/>
  <c r="I16" i="2" l="1"/>
  <c r="J13" i="2"/>
  <c r="K13" i="2" s="1"/>
  <c r="L13" i="2" s="1"/>
  <c r="Y20" i="1"/>
  <c r="AC19" i="1"/>
  <c r="AC20" i="1" s="1"/>
  <c r="AC29" i="1"/>
  <c r="X20" i="1"/>
  <c r="V20" i="1"/>
  <c r="Y42" i="1"/>
  <c r="Z20" i="1"/>
  <c r="AA29" i="1"/>
  <c r="AA19" i="1"/>
  <c r="AA20" i="1" s="1"/>
  <c r="I61" i="2"/>
  <c r="I65" i="2"/>
  <c r="E22" i="2"/>
  <c r="E36" i="2" s="1"/>
  <c r="O20" i="1"/>
  <c r="F27" i="2"/>
  <c r="F52" i="2"/>
  <c r="F51" i="2"/>
  <c r="F50" i="2"/>
  <c r="F53" i="2"/>
  <c r="P20" i="1"/>
  <c r="I17" i="1"/>
  <c r="I28" i="1"/>
  <c r="B36" i="2"/>
  <c r="B24" i="2"/>
  <c r="K32" i="2"/>
  <c r="I30" i="2"/>
  <c r="S19" i="1"/>
  <c r="S29" i="1"/>
  <c r="E20" i="1"/>
  <c r="H42" i="1"/>
  <c r="F42" i="1"/>
  <c r="G42" i="1"/>
  <c r="E42" i="1"/>
  <c r="I63" i="2"/>
  <c r="C24" i="2"/>
  <c r="C36" i="2"/>
  <c r="Q29" i="1"/>
  <c r="Q19" i="1"/>
  <c r="R42" i="1" s="1"/>
  <c r="K20" i="1"/>
  <c r="J31" i="2"/>
  <c r="J21" i="2"/>
  <c r="J33" i="2" s="1"/>
  <c r="L57" i="2"/>
  <c r="J57" i="2"/>
  <c r="J59" i="2"/>
  <c r="L59" i="2"/>
  <c r="I64" i="2"/>
  <c r="J16" i="2"/>
  <c r="I58" i="2"/>
  <c r="J56" i="2"/>
  <c r="I62" i="2"/>
  <c r="N20" i="1"/>
  <c r="J55" i="2"/>
  <c r="L55" i="2"/>
  <c r="M19" i="1"/>
  <c r="N42" i="1" s="1"/>
  <c r="M29" i="1"/>
  <c r="H20" i="1"/>
  <c r="H35" i="2"/>
  <c r="I18" i="2" s="1"/>
  <c r="D24" i="2"/>
  <c r="D36" i="2"/>
  <c r="G36" i="2"/>
  <c r="M13" i="2" l="1"/>
  <c r="M58" i="2" s="1"/>
  <c r="L58" i="2"/>
  <c r="AC42" i="1"/>
  <c r="Y46" i="1"/>
  <c r="Y45" i="1"/>
  <c r="Y44" i="1"/>
  <c r="Y43" i="1"/>
  <c r="AA42" i="1"/>
  <c r="AB42" i="1"/>
  <c r="E24" i="2"/>
  <c r="E26" i="2" s="1"/>
  <c r="E27" i="2" s="1"/>
  <c r="Q42" i="1"/>
  <c r="Q46" i="1" s="1"/>
  <c r="S42" i="1"/>
  <c r="S45" i="1" s="1"/>
  <c r="R46" i="1"/>
  <c r="R45" i="1"/>
  <c r="R43" i="1"/>
  <c r="R44" i="1"/>
  <c r="I35" i="2"/>
  <c r="J18" i="2" s="1"/>
  <c r="J17" i="2" s="1"/>
  <c r="I22" i="2"/>
  <c r="I17" i="2"/>
  <c r="J30" i="2"/>
  <c r="J62" i="2"/>
  <c r="J61" i="2"/>
  <c r="J63" i="2"/>
  <c r="J65" i="2"/>
  <c r="N45" i="1"/>
  <c r="N44" i="1"/>
  <c r="N46" i="1"/>
  <c r="N43" i="1"/>
  <c r="I19" i="1"/>
  <c r="I29" i="1"/>
  <c r="E44" i="1"/>
  <c r="E45" i="1"/>
  <c r="E46" i="1"/>
  <c r="E43" i="1"/>
  <c r="C26" i="2"/>
  <c r="C27" i="2" s="1"/>
  <c r="C37" i="2"/>
  <c r="B26" i="2"/>
  <c r="B27" i="2" s="1"/>
  <c r="B37" i="2"/>
  <c r="G44" i="1"/>
  <c r="G45" i="1"/>
  <c r="G43" i="1"/>
  <c r="G46" i="1"/>
  <c r="F44" i="1"/>
  <c r="F45" i="1"/>
  <c r="F43" i="1"/>
  <c r="F46" i="1"/>
  <c r="H45" i="1"/>
  <c r="H44" i="1"/>
  <c r="H46" i="1"/>
  <c r="H43" i="1"/>
  <c r="K59" i="2"/>
  <c r="K55" i="2"/>
  <c r="K57" i="2"/>
  <c r="S20" i="1"/>
  <c r="V42" i="1"/>
  <c r="U42" i="1"/>
  <c r="K21" i="2"/>
  <c r="K33" i="2" s="1"/>
  <c r="K31" i="2"/>
  <c r="J58" i="2"/>
  <c r="K65" i="2"/>
  <c r="J64" i="2"/>
  <c r="M42" i="1"/>
  <c r="G37" i="2"/>
  <c r="D37" i="2"/>
  <c r="D26" i="2"/>
  <c r="D27" i="2" s="1"/>
  <c r="M20" i="1"/>
  <c r="P42" i="1"/>
  <c r="O42" i="1"/>
  <c r="H36" i="2"/>
  <c r="K56" i="2"/>
  <c r="Q20" i="1"/>
  <c r="T42" i="1"/>
  <c r="L32" i="2"/>
  <c r="G26" i="2" l="1"/>
  <c r="AB44" i="1"/>
  <c r="AB45" i="1"/>
  <c r="AB43" i="1"/>
  <c r="AB46" i="1"/>
  <c r="AA46" i="1"/>
  <c r="AA44" i="1"/>
  <c r="AA45" i="1"/>
  <c r="AA43" i="1"/>
  <c r="E37" i="2"/>
  <c r="Q43" i="1"/>
  <c r="S43" i="1"/>
  <c r="Q44" i="1"/>
  <c r="S46" i="1"/>
  <c r="Q45" i="1"/>
  <c r="S44" i="1"/>
  <c r="AC46" i="1"/>
  <c r="AC45" i="1"/>
  <c r="AC44" i="1"/>
  <c r="AC43" i="1"/>
  <c r="T46" i="1"/>
  <c r="T45" i="1"/>
  <c r="T44" i="1"/>
  <c r="T43" i="1"/>
  <c r="J22" i="2"/>
  <c r="J35" i="2"/>
  <c r="K18" i="2" s="1"/>
  <c r="K17" i="2" s="1"/>
  <c r="K58" i="2"/>
  <c r="K64" i="2"/>
  <c r="K30" i="2"/>
  <c r="K62" i="2"/>
  <c r="O46" i="1"/>
  <c r="O45" i="1"/>
  <c r="O44" i="1"/>
  <c r="O43" i="1"/>
  <c r="U45" i="1"/>
  <c r="U44" i="1"/>
  <c r="U43" i="1"/>
  <c r="U46" i="1"/>
  <c r="I36" i="2"/>
  <c r="V46" i="1"/>
  <c r="V45" i="1"/>
  <c r="V44" i="1"/>
  <c r="V43" i="1"/>
  <c r="K63" i="2"/>
  <c r="L42" i="1"/>
  <c r="I20" i="1"/>
  <c r="I42" i="1"/>
  <c r="K42" i="1"/>
  <c r="J42" i="1"/>
  <c r="P44" i="1"/>
  <c r="P43" i="1"/>
  <c r="P45" i="1"/>
  <c r="P46" i="1"/>
  <c r="L21" i="2"/>
  <c r="L33" i="2" s="1"/>
  <c r="L31" i="2"/>
  <c r="M46" i="1"/>
  <c r="M45" i="1"/>
  <c r="M44" i="1"/>
  <c r="M43" i="1"/>
  <c r="M32" i="2"/>
  <c r="N20" i="2"/>
  <c r="K61" i="2"/>
  <c r="G51" i="2" l="1"/>
  <c r="G50" i="2"/>
  <c r="G53" i="2"/>
  <c r="G27" i="2"/>
  <c r="G52" i="2"/>
  <c r="L62" i="2"/>
  <c r="L65" i="2"/>
  <c r="L63" i="2"/>
  <c r="L61" i="2"/>
  <c r="L64" i="2"/>
  <c r="I45" i="1"/>
  <c r="I44" i="1"/>
  <c r="I46" i="1"/>
  <c r="I43" i="1"/>
  <c r="K46" i="1"/>
  <c r="K45" i="1"/>
  <c r="K44" i="1"/>
  <c r="K43" i="1"/>
  <c r="K35" i="2"/>
  <c r="L18" i="2" s="1"/>
  <c r="L17" i="2" s="1"/>
  <c r="K22" i="2"/>
  <c r="L30" i="2"/>
  <c r="M31" i="2"/>
  <c r="M21" i="2"/>
  <c r="M33" i="2" s="1"/>
  <c r="N19" i="2"/>
  <c r="L44" i="1"/>
  <c r="L46" i="1"/>
  <c r="L45" i="1"/>
  <c r="L43" i="1"/>
  <c r="J36" i="2"/>
  <c r="N32" i="2"/>
  <c r="O20" i="2"/>
  <c r="J43" i="1"/>
  <c r="J45" i="1"/>
  <c r="J46" i="1"/>
  <c r="J44" i="1"/>
  <c r="M61" i="2" l="1"/>
  <c r="M65" i="2"/>
  <c r="M64" i="2"/>
  <c r="M62" i="2"/>
  <c r="M63" i="2"/>
  <c r="M30" i="2"/>
  <c r="N16" i="2"/>
  <c r="K36" i="2"/>
  <c r="O32" i="2"/>
  <c r="P20" i="2"/>
  <c r="L35" i="2"/>
  <c r="M18" i="2" s="1"/>
  <c r="L22" i="2"/>
  <c r="H37" i="2"/>
  <c r="N31" i="2"/>
  <c r="N21" i="2"/>
  <c r="N33" i="2" s="1"/>
  <c r="O19" i="2"/>
  <c r="H26" i="2" l="1"/>
  <c r="M22" i="2"/>
  <c r="M35" i="2"/>
  <c r="N18" i="2" s="1"/>
  <c r="N17" i="2" s="1"/>
  <c r="M17" i="2"/>
  <c r="L36" i="2"/>
  <c r="O31" i="2"/>
  <c r="P19" i="2"/>
  <c r="O21" i="2"/>
  <c r="O33" i="2" s="1"/>
  <c r="Q20" i="2"/>
  <c r="P32" i="2"/>
  <c r="N30" i="2"/>
  <c r="O16" i="2"/>
  <c r="H51" i="2" l="1"/>
  <c r="H52" i="2"/>
  <c r="H27" i="2"/>
  <c r="H50" i="2"/>
  <c r="H53" i="2"/>
  <c r="I23" i="2"/>
  <c r="I24" i="2" s="1"/>
  <c r="Q32" i="2"/>
  <c r="R20" i="2"/>
  <c r="Q19" i="2"/>
  <c r="P31" i="2"/>
  <c r="P21" i="2"/>
  <c r="P33" i="2" s="1"/>
  <c r="N22" i="2"/>
  <c r="N35" i="2"/>
  <c r="O18" i="2" s="1"/>
  <c r="O17" i="2" s="1"/>
  <c r="O30" i="2"/>
  <c r="P16" i="2"/>
  <c r="M36" i="2"/>
  <c r="R32" i="2" l="1"/>
  <c r="S20" i="2"/>
  <c r="O22" i="2"/>
  <c r="O35" i="2"/>
  <c r="P18" i="2" s="1"/>
  <c r="P17" i="2" s="1"/>
  <c r="I25" i="2"/>
  <c r="I37" i="2" s="1"/>
  <c r="Q16" i="2"/>
  <c r="P30" i="2"/>
  <c r="N36" i="2"/>
  <c r="Q21" i="2"/>
  <c r="Q33" i="2" s="1"/>
  <c r="R19" i="2"/>
  <c r="S19" i="2" s="1"/>
  <c r="Q31" i="2"/>
  <c r="S21" i="2" l="1"/>
  <c r="T19" i="2"/>
  <c r="S31" i="2"/>
  <c r="S32" i="2"/>
  <c r="T20" i="2"/>
  <c r="R21" i="2"/>
  <c r="R33" i="2" s="1"/>
  <c r="R31" i="2"/>
  <c r="R16" i="2"/>
  <c r="S16" i="2" s="1"/>
  <c r="Q30" i="2"/>
  <c r="P35" i="2"/>
  <c r="Q18" i="2" s="1"/>
  <c r="P22" i="2"/>
  <c r="I26" i="2"/>
  <c r="O36" i="2"/>
  <c r="S33" i="2" l="1"/>
  <c r="S30" i="2"/>
  <c r="T16" i="2"/>
  <c r="T21" i="2"/>
  <c r="T33" i="2" s="1"/>
  <c r="U20" i="2"/>
  <c r="T32" i="2"/>
  <c r="U19" i="2"/>
  <c r="T31" i="2"/>
  <c r="Q35" i="2"/>
  <c r="R18" i="2" s="1"/>
  <c r="R17" i="2" s="1"/>
  <c r="Q22" i="2"/>
  <c r="Q17" i="2"/>
  <c r="P36" i="2"/>
  <c r="I27" i="2"/>
  <c r="I39" i="2"/>
  <c r="R30" i="2"/>
  <c r="U21" i="2" l="1"/>
  <c r="U33" i="2" s="1"/>
  <c r="V20" i="2"/>
  <c r="U32" i="2"/>
  <c r="V19" i="2"/>
  <c r="U31" i="2"/>
  <c r="U16" i="2"/>
  <c r="T30" i="2"/>
  <c r="R35" i="2"/>
  <c r="S18" i="2" s="1"/>
  <c r="R22" i="2"/>
  <c r="J23" i="2"/>
  <c r="J24" i="2" s="1"/>
  <c r="Q36" i="2"/>
  <c r="V31" i="2" l="1"/>
  <c r="W19" i="2"/>
  <c r="S35" i="2"/>
  <c r="T18" i="2" s="1"/>
  <c r="S22" i="2"/>
  <c r="S17" i="2"/>
  <c r="U30" i="2"/>
  <c r="V16" i="2"/>
  <c r="V21" i="2"/>
  <c r="V33" i="2" s="1"/>
  <c r="W20" i="2"/>
  <c r="W32" i="2" s="1"/>
  <c r="V32" i="2"/>
  <c r="R36" i="2"/>
  <c r="J25" i="2"/>
  <c r="J37" i="2" s="1"/>
  <c r="S36" i="2" l="1"/>
  <c r="W16" i="2"/>
  <c r="V30" i="2"/>
  <c r="T22" i="2"/>
  <c r="T35" i="2"/>
  <c r="U18" i="2" s="1"/>
  <c r="T17" i="2"/>
  <c r="W31" i="2"/>
  <c r="W21" i="2"/>
  <c r="W33" i="2" s="1"/>
  <c r="J26" i="2"/>
  <c r="W30" i="2" l="1"/>
  <c r="T36" i="2"/>
  <c r="U35" i="2"/>
  <c r="V18" i="2" s="1"/>
  <c r="U22" i="2"/>
  <c r="U17" i="2"/>
  <c r="J27" i="2"/>
  <c r="J39" i="2"/>
  <c r="K23" i="2" s="1"/>
  <c r="K24" i="2" s="1"/>
  <c r="U36" i="2" l="1"/>
  <c r="V35" i="2"/>
  <c r="W18" i="2" s="1"/>
  <c r="V22" i="2"/>
  <c r="V17" i="2"/>
  <c r="K25" i="2"/>
  <c r="K37" i="2" s="1"/>
  <c r="W35" i="2" l="1"/>
  <c r="W17" i="2"/>
  <c r="W22" i="2"/>
  <c r="V36" i="2"/>
  <c r="K26" i="2"/>
  <c r="W36" i="2" l="1"/>
  <c r="K27" i="2"/>
  <c r="K39" i="2"/>
  <c r="L23" i="2" s="1"/>
  <c r="L24" i="2" s="1"/>
  <c r="L25" i="2" l="1"/>
  <c r="L37" i="2" s="1"/>
  <c r="L26" i="2" l="1"/>
  <c r="L27" i="2" s="1"/>
  <c r="L39" i="2"/>
  <c r="M23" i="2" l="1"/>
  <c r="M24" i="2" s="1"/>
  <c r="M25" i="2" l="1"/>
  <c r="M37" i="2" s="1"/>
  <c r="M26" i="2" l="1"/>
  <c r="M27" i="2" s="1"/>
  <c r="M39" i="2" l="1"/>
  <c r="N23" i="2"/>
  <c r="N24" i="2" s="1"/>
  <c r="N25" i="2" l="1"/>
  <c r="N37" i="2" s="1"/>
  <c r="N26" i="2" l="1"/>
  <c r="N27" i="2" s="1"/>
  <c r="N39" i="2"/>
  <c r="O23" i="2" l="1"/>
  <c r="O24" i="2" s="1"/>
  <c r="O25" i="2" l="1"/>
  <c r="O37" i="2" s="1"/>
  <c r="O26" i="2" l="1"/>
  <c r="O27" i="2"/>
  <c r="O39" i="2"/>
  <c r="P23" i="2" l="1"/>
  <c r="P24" i="2" s="1"/>
  <c r="P25" i="2" l="1"/>
  <c r="P37" i="2" s="1"/>
  <c r="P26" i="2"/>
  <c r="P27" i="2" l="1"/>
  <c r="P39" i="2"/>
  <c r="Q23" i="2" l="1"/>
  <c r="Q24" i="2" s="1"/>
  <c r="Q25" i="2" l="1"/>
  <c r="Q37" i="2" s="1"/>
  <c r="Q26" i="2" l="1"/>
  <c r="Q27" i="2" l="1"/>
  <c r="Q39" i="2"/>
  <c r="R23" i="2" l="1"/>
  <c r="R24" i="2" s="1"/>
  <c r="R25" i="2" l="1"/>
  <c r="R37" i="2" s="1"/>
  <c r="R26" i="2"/>
  <c r="R27" i="2" l="1"/>
  <c r="R39" i="2"/>
  <c r="S23" i="2" l="1"/>
  <c r="S24" i="2" s="1"/>
  <c r="S25" i="2" l="1"/>
  <c r="S37" i="2" s="1"/>
  <c r="S26" i="2"/>
  <c r="S27" i="2" l="1"/>
  <c r="S39" i="2"/>
  <c r="T23" i="2" l="1"/>
  <c r="T24" i="2" s="1"/>
  <c r="T25" i="2" l="1"/>
  <c r="T37" i="2" s="1"/>
  <c r="T26" i="2"/>
  <c r="T27" i="2" l="1"/>
  <c r="T39" i="2"/>
  <c r="U23" i="2" l="1"/>
  <c r="U24" i="2" s="1"/>
  <c r="U25" i="2" l="1"/>
  <c r="U37" i="2" s="1"/>
  <c r="U26" i="2" l="1"/>
  <c r="U27" i="2"/>
  <c r="U39" i="2"/>
  <c r="V23" i="2" l="1"/>
  <c r="V24" i="2" s="1"/>
  <c r="V25" i="2" l="1"/>
  <c r="V37" i="2" s="1"/>
  <c r="V26" i="2" l="1"/>
  <c r="V27" i="2"/>
  <c r="V39" i="2"/>
  <c r="W23" i="2" l="1"/>
  <c r="W24" i="2" s="1"/>
  <c r="W25" i="2" l="1"/>
  <c r="W37" i="2" s="1"/>
  <c r="W26" i="2"/>
  <c r="W27" i="2" l="1"/>
  <c r="X26" i="2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W39" i="2"/>
  <c r="DT26" i="2" l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5" i="2" s="1"/>
  <c r="F6" i="2" s="1"/>
  <c r="F7" i="2" s="1"/>
  <c r="G7" i="2" s="1"/>
</calcChain>
</file>

<file path=xl/sharedStrings.xml><?xml version="1.0" encoding="utf-8"?>
<sst xmlns="http://schemas.openxmlformats.org/spreadsheetml/2006/main" count="159" uniqueCount="120">
  <si>
    <t>Revenue</t>
  </si>
  <si>
    <t>Q115</t>
  </si>
  <si>
    <t>Q215</t>
  </si>
  <si>
    <t>Q315</t>
  </si>
  <si>
    <t>Q415</t>
  </si>
  <si>
    <t>Q116</t>
  </si>
  <si>
    <t>Q216</t>
  </si>
  <si>
    <t>Q316</t>
  </si>
  <si>
    <t>Q416</t>
  </si>
  <si>
    <t>COGS</t>
  </si>
  <si>
    <t>Gross Profit</t>
  </si>
  <si>
    <t>Gross Margin</t>
  </si>
  <si>
    <t>R&amp;D</t>
  </si>
  <si>
    <t>Operating Expenses</t>
  </si>
  <si>
    <t>Operating Income</t>
  </si>
  <si>
    <t>Operating Margin</t>
  </si>
  <si>
    <t>Interest Income</t>
  </si>
  <si>
    <t>Pretax Income</t>
  </si>
  <si>
    <t>Taxes</t>
  </si>
  <si>
    <t>Net Income</t>
  </si>
  <si>
    <t>EPS</t>
  </si>
  <si>
    <t>Shares</t>
  </si>
  <si>
    <t>Tax Rate</t>
  </si>
  <si>
    <t>Revenue y/y</t>
  </si>
  <si>
    <t>Net Cash</t>
  </si>
  <si>
    <t>Cash</t>
  </si>
  <si>
    <t>Other</t>
  </si>
  <si>
    <t>Debt</t>
  </si>
  <si>
    <t>Q117</t>
  </si>
  <si>
    <t>Q217</t>
  </si>
  <si>
    <t>Q317</t>
  </si>
  <si>
    <t>Q417</t>
  </si>
  <si>
    <t>ROIC</t>
  </si>
  <si>
    <t>Discount</t>
  </si>
  <si>
    <t>NPV</t>
  </si>
  <si>
    <t>Maturity</t>
  </si>
  <si>
    <t>Value</t>
  </si>
  <si>
    <t>Q118</t>
  </si>
  <si>
    <t>Q218</t>
  </si>
  <si>
    <t>31/12/2016</t>
  </si>
  <si>
    <t>30/9/2017</t>
  </si>
  <si>
    <t>Q318</t>
  </si>
  <si>
    <t>31/3/2018</t>
  </si>
  <si>
    <t>Q418</t>
  </si>
  <si>
    <t>30/6/2018</t>
  </si>
  <si>
    <t>S&amp;M+G&amp;A</t>
  </si>
  <si>
    <t>1/7/2017</t>
  </si>
  <si>
    <t>iPhone</t>
  </si>
  <si>
    <t>iPad</t>
  </si>
  <si>
    <t>Mac</t>
  </si>
  <si>
    <t>Services</t>
  </si>
  <si>
    <t>1/4/2017</t>
  </si>
  <si>
    <t>26/3/2016</t>
  </si>
  <si>
    <t>26/12/2015</t>
  </si>
  <si>
    <t>25/6/2016</t>
  </si>
  <si>
    <t>24/9/2016</t>
  </si>
  <si>
    <t>26/9/2015</t>
  </si>
  <si>
    <t>27/6/2015</t>
  </si>
  <si>
    <t>28/3/2015</t>
  </si>
  <si>
    <t>27/12/2014</t>
  </si>
  <si>
    <t>30/12/2017</t>
  </si>
  <si>
    <t>29/9/2018</t>
  </si>
  <si>
    <t>R&amp;D y/y</t>
  </si>
  <si>
    <t>S&amp;M+G&amp;M y/y</t>
  </si>
  <si>
    <t>Q119</t>
  </si>
  <si>
    <t>Q219</t>
  </si>
  <si>
    <t>Q319</t>
  </si>
  <si>
    <t>Q419</t>
  </si>
  <si>
    <t>EV</t>
  </si>
  <si>
    <t>Price</t>
  </si>
  <si>
    <t>Market Cap</t>
  </si>
  <si>
    <t>per share</t>
  </si>
  <si>
    <t>EDGAR</t>
  </si>
  <si>
    <t>CEO</t>
  </si>
  <si>
    <t>Tim Cook</t>
  </si>
  <si>
    <t>Founder</t>
  </si>
  <si>
    <t>Steve Jobs</t>
  </si>
  <si>
    <t>Steve Wozniak</t>
  </si>
  <si>
    <t>iPhone y/y</t>
  </si>
  <si>
    <t>iPad y/y</t>
  </si>
  <si>
    <t>Mac y/y</t>
  </si>
  <si>
    <t>Services y/y</t>
  </si>
  <si>
    <t>Other y/y</t>
  </si>
  <si>
    <t>Q414</t>
  </si>
  <si>
    <t>Q314</t>
  </si>
  <si>
    <t>Q214</t>
  </si>
  <si>
    <t>Q114</t>
  </si>
  <si>
    <t>27/9/2014</t>
  </si>
  <si>
    <t>28/6/2014</t>
  </si>
  <si>
    <t>29/3/2014</t>
  </si>
  <si>
    <t>28/12/2013</t>
  </si>
  <si>
    <t>iPhone SOT</t>
  </si>
  <si>
    <t>iPad SOT</t>
  </si>
  <si>
    <t>Mac SOT</t>
  </si>
  <si>
    <t>Services SOT</t>
  </si>
  <si>
    <t>Other SOT</t>
  </si>
  <si>
    <t>Total assets</t>
  </si>
  <si>
    <t>ROA</t>
  </si>
  <si>
    <t>Equity</t>
  </si>
  <si>
    <t>ROE</t>
  </si>
  <si>
    <t>Intangibles</t>
  </si>
  <si>
    <t>ROTB</t>
  </si>
  <si>
    <t>NI 12M</t>
  </si>
  <si>
    <t>Total liabilities</t>
  </si>
  <si>
    <t>TWC</t>
  </si>
  <si>
    <t>ROTWC</t>
  </si>
  <si>
    <t>Apple Inc (AAPL)</t>
  </si>
  <si>
    <t>Investor Relations</t>
  </si>
  <si>
    <t>29/12/2018</t>
  </si>
  <si>
    <t>Q120</t>
  </si>
  <si>
    <t>Q220</t>
  </si>
  <si>
    <t>Q320</t>
  </si>
  <si>
    <t>Q420</t>
  </si>
  <si>
    <t>SG&amp;A</t>
  </si>
  <si>
    <t>SG&amp;A y/y</t>
  </si>
  <si>
    <t>Q121</t>
  </si>
  <si>
    <t>Q221</t>
  </si>
  <si>
    <t>Q321</t>
  </si>
  <si>
    <t>Q421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</si>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</sst>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2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Border="1"/>
    <xf numFmtId="10" fontId="5" fillId="0" borderId="0" xfId="0" applyNumberFormat="1" applyFont="1"/>
    <xf numFmtId="3" fontId="5" fillId="0" borderId="0" xfId="0" applyNumberFormat="1" applyFont="1"/>
    <xf numFmtId="3" fontId="5" fillId="2" borderId="0" xfId="0" applyNumberFormat="1" applyFont="1" applyFill="1"/>
    <xf numFmtId="164" fontId="5" fillId="2" borderId="0" xfId="0" applyNumberFormat="1" applyFont="1" applyFill="1"/>
    <xf numFmtId="0" fontId="4" fillId="0" borderId="0" xfId="0" applyFont="1" applyBorder="1"/>
    <xf numFmtId="164" fontId="4" fillId="2" borderId="0" xfId="0" applyNumberFormat="1" applyFont="1" applyFill="1"/>
    <xf numFmtId="0" fontId="3" fillId="0" borderId="0" xfId="2" applyFont="1" applyBorder="1"/>
    <xf numFmtId="2" fontId="5" fillId="2" borderId="0" xfId="0" applyNumberFormat="1" applyFont="1" applyFill="1"/>
    <xf numFmtId="0" fontId="6" fillId="0" borderId="0" xfId="0" applyFont="1" applyBorder="1"/>
    <xf numFmtId="10" fontId="5" fillId="0" borderId="0" xfId="1" applyNumberFormat="1" applyFont="1"/>
    <xf numFmtId="0" fontId="5" fillId="0" borderId="0" xfId="0" applyFont="1" applyAlignment="1">
      <alignment horizontal="right"/>
    </xf>
    <xf numFmtId="3" fontId="5" fillId="0" borderId="0" xfId="0" applyNumberFormat="1" applyFont="1" applyBorder="1"/>
    <xf numFmtId="3" fontId="7" fillId="2" borderId="0" xfId="0" applyNumberFormat="1" applyFont="1" applyFill="1" applyBorder="1"/>
    <xf numFmtId="3" fontId="7" fillId="0" borderId="0" xfId="0" applyNumberFormat="1" applyFont="1" applyBorder="1"/>
    <xf numFmtId="3" fontId="4" fillId="0" borderId="0" xfId="0" applyNumberFormat="1" applyFont="1"/>
    <xf numFmtId="3" fontId="8" fillId="0" borderId="0" xfId="0" applyNumberFormat="1" applyFont="1" applyBorder="1"/>
    <xf numFmtId="3" fontId="8" fillId="2" borderId="0" xfId="0" applyNumberFormat="1" applyFont="1" applyFill="1" applyBorder="1"/>
    <xf numFmtId="3" fontId="4" fillId="2" borderId="0" xfId="0" applyNumberFormat="1" applyFont="1" applyFill="1" applyBorder="1"/>
    <xf numFmtId="9" fontId="4" fillId="0" borderId="0" xfId="1" applyFont="1" applyBorder="1"/>
    <xf numFmtId="9" fontId="5" fillId="0" borderId="0" xfId="1" applyFont="1" applyBorder="1"/>
    <xf numFmtId="9" fontId="5" fillId="0" borderId="0" xfId="0" applyNumberFormat="1" applyFont="1" applyBorder="1"/>
    <xf numFmtId="3" fontId="4" fillId="2" borderId="0" xfId="0" applyNumberFormat="1" applyFont="1" applyFill="1"/>
    <xf numFmtId="165" fontId="5" fillId="0" borderId="0" xfId="1" applyNumberFormat="1" applyFont="1"/>
    <xf numFmtId="9" fontId="8" fillId="0" borderId="0" xfId="0" applyNumberFormat="1" applyFont="1" applyBorder="1"/>
    <xf numFmtId="9" fontId="8" fillId="0" borderId="0" xfId="0" applyNumberFormat="1" applyFont="1" applyFill="1" applyBorder="1"/>
    <xf numFmtId="3" fontId="5" fillId="0" borderId="0" xfId="0" applyNumberFormat="1" applyFont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5" fillId="0" borderId="1" xfId="0" applyNumberFormat="1" applyFont="1" applyFill="1" applyBorder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5" fillId="0" borderId="0" xfId="1" applyFont="1" applyFill="1" applyAlignment="1">
      <alignment horizontal="right"/>
    </xf>
    <xf numFmtId="9" fontId="5" fillId="0" borderId="1" xfId="1" applyFont="1" applyFill="1" applyBorder="1" applyAlignment="1">
      <alignment horizontal="right"/>
    </xf>
    <xf numFmtId="9" fontId="5" fillId="0" borderId="0" xfId="1" applyFont="1" applyFill="1" applyBorder="1" applyAlignment="1">
      <alignment horizontal="right"/>
    </xf>
    <xf numFmtId="9" fontId="4" fillId="0" borderId="1" xfId="1" applyNumberFormat="1" applyFont="1" applyFill="1" applyBorder="1" applyAlignment="1">
      <alignment horizontal="right"/>
    </xf>
    <xf numFmtId="9" fontId="4" fillId="0" borderId="0" xfId="1" applyNumberFormat="1" applyFont="1" applyFill="1" applyBorder="1" applyAlignment="1">
      <alignment horizontal="right"/>
    </xf>
    <xf numFmtId="9" fontId="5" fillId="0" borderId="1" xfId="1" applyNumberFormat="1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9" fontId="5" fillId="0" borderId="0" xfId="0" applyNumberFormat="1" applyFont="1"/>
    <xf numFmtId="3" fontId="5" fillId="0" borderId="0" xfId="1" applyNumberFormat="1" applyFont="1"/>
    <xf numFmtId="4" fontId="5" fillId="0" borderId="0" xfId="0" applyNumberFormat="1" applyFont="1"/>
    <xf numFmtId="4" fontId="8" fillId="2" borderId="0" xfId="0" applyNumberFormat="1" applyFont="1" applyFill="1" applyBorder="1"/>
    <xf numFmtId="4" fontId="5" fillId="0" borderId="0" xfId="0" applyNumberFormat="1" applyFont="1" applyBorder="1"/>
    <xf numFmtId="14" fontId="5" fillId="0" borderId="0" xfId="0" applyNumberFormat="1" applyFont="1" applyAlignment="1">
      <alignment horizontal="left"/>
    </xf>
    <xf numFmtId="0" fontId="3" fillId="0" borderId="0" xfId="2" applyFont="1" applyAlignment="1">
      <alignment horizontal="left"/>
    </xf>
    <xf numFmtId="3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/>
    <xf numFmtId="0" fontId="5" fillId="0" borderId="1" xfId="0" applyFont="1" applyBorder="1"/>
    <xf numFmtId="3" fontId="4" fillId="0" borderId="1" xfId="0" applyNumberFormat="1" applyFont="1" applyBorder="1"/>
    <xf numFmtId="9" fontId="5" fillId="0" borderId="0" xfId="1" applyNumberFormat="1" applyFont="1"/>
    <xf numFmtId="0" fontId="9" fillId="0" borderId="0" xfId="0" applyFont="1" applyBorder="1"/>
    <xf numFmtId="9" fontId="6" fillId="0" borderId="0" xfId="1" applyFont="1" applyBorder="1"/>
    <xf numFmtId="0" fontId="9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8</xdr:row>
      <xdr:rowOff>12700</xdr:rowOff>
    </xdr:from>
    <xdr:to>
      <xdr:col>8</xdr:col>
      <xdr:colOff>114300</xdr:colOff>
      <xdr:row>66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7265377" y="1341315"/>
          <a:ext cx="0" cy="945368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260839</xdr:colOff>
      <xdr:row>1</xdr:row>
      <xdr:rowOff>12700</xdr:rowOff>
    </xdr:from>
    <xdr:to>
      <xdr:col>29</xdr:col>
      <xdr:colOff>260839</xdr:colOff>
      <xdr:row>47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4849993" y="178777"/>
          <a:ext cx="0" cy="763953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teve_Wozniak" TargetMode="External"/><Relationship Id="rId2" Type="http://schemas.openxmlformats.org/officeDocument/2006/relationships/hyperlink" Target="https://en.wikipedia.org/wiki/Steve_Jobs" TargetMode="External"/><Relationship Id="rId1" Type="http://schemas.openxmlformats.org/officeDocument/2006/relationships/hyperlink" Target="https://en.wikipedia.org/wiki/Tim_Cook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investor.apple.com/investor-relation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0320193&amp;owner=exclude&amp;count=40&amp;hidefilings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65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K42" sqref="K42"/>
    </sheetView>
  </sheetViews>
  <sheetFormatPr baseColWidth="10" defaultRowHeight="13" x14ac:dyDescent="0.15"/>
  <cols>
    <col min="1" max="1" width="17.1640625" style="3" bestFit="1" customWidth="1"/>
    <col min="2" max="5" width="10.83203125" style="3"/>
    <col min="6" max="6" width="11.33203125" style="3" bestFit="1" customWidth="1"/>
    <col min="7" max="16384" width="10.83203125" style="3"/>
  </cols>
  <sheetData>
    <row r="1" spans="1:23" x14ac:dyDescent="0.15">
      <c r="A1" s="1" t="s">
        <v>107</v>
      </c>
      <c r="B1" s="2" t="s">
        <v>106</v>
      </c>
      <c r="E1" s="4"/>
      <c r="F1" s="5"/>
      <c r="I1" s="2"/>
    </row>
    <row r="2" spans="1:23" x14ac:dyDescent="0.15">
      <c r="B2" s="3" t="s">
        <v>69</v>
      </c>
      <c r="C2" s="3">
        <v>142.96</v>
      </c>
      <c r="D2" s="64">
        <v>44221</v>
      </c>
      <c r="E2" s="7" t="s">
        <v>35</v>
      </c>
      <c r="F2" s="8">
        <v>-0.02</v>
      </c>
      <c r="I2" s="9"/>
    </row>
    <row r="3" spans="1:23" x14ac:dyDescent="0.15">
      <c r="A3" s="2" t="s">
        <v>73</v>
      </c>
      <c r="B3" s="3" t="s">
        <v>21</v>
      </c>
      <c r="C3" s="9">
        <f>Reports!AC21</f>
        <v>17256.521000000001</v>
      </c>
      <c r="D3" s="3" t="s">
        <v>112</v>
      </c>
      <c r="E3" s="7" t="s">
        <v>32</v>
      </c>
      <c r="F3" s="8">
        <v>0.01</v>
      </c>
      <c r="G3" s="6"/>
      <c r="I3" s="9"/>
    </row>
    <row r="4" spans="1:23" x14ac:dyDescent="0.15">
      <c r="A4" s="1" t="s">
        <v>74</v>
      </c>
      <c r="B4" s="3" t="s">
        <v>70</v>
      </c>
      <c r="C4" s="10">
        <f>C3*C2</f>
        <v>2466992.2421600004</v>
      </c>
      <c r="E4" s="7" t="s">
        <v>33</v>
      </c>
      <c r="F4" s="8">
        <f>2%+3%</f>
        <v>0.05</v>
      </c>
      <c r="G4" s="6"/>
      <c r="I4" s="59"/>
    </row>
    <row r="5" spans="1:23" x14ac:dyDescent="0.15">
      <c r="A5" s="7"/>
      <c r="B5" s="3" t="s">
        <v>24</v>
      </c>
      <c r="C5" s="9">
        <f>Reports!AC31</f>
        <v>84390</v>
      </c>
      <c r="D5" s="3" t="s">
        <v>112</v>
      </c>
      <c r="E5" s="7" t="s">
        <v>34</v>
      </c>
      <c r="F5" s="11">
        <f>NPV(F4,I26:FU26)</f>
        <v>1686649.4069370108</v>
      </c>
      <c r="G5" s="6"/>
      <c r="I5" s="59"/>
    </row>
    <row r="6" spans="1:23" x14ac:dyDescent="0.15">
      <c r="A6" s="12" t="s">
        <v>75</v>
      </c>
      <c r="B6" s="3" t="s">
        <v>68</v>
      </c>
      <c r="C6" s="10">
        <f>C4-C5</f>
        <v>2382602.2421600004</v>
      </c>
      <c r="E6" s="12" t="s">
        <v>36</v>
      </c>
      <c r="F6" s="13">
        <f>F5+C5</f>
        <v>1771039.4069370108</v>
      </c>
      <c r="I6" s="59"/>
    </row>
    <row r="7" spans="1:23" x14ac:dyDescent="0.15">
      <c r="A7" s="14" t="s">
        <v>76</v>
      </c>
      <c r="B7" s="6" t="s">
        <v>71</v>
      </c>
      <c r="C7" s="15">
        <f>C6/C3</f>
        <v>138.06967477164142</v>
      </c>
      <c r="E7" s="16" t="s">
        <v>71</v>
      </c>
      <c r="F7" s="15">
        <f>F6/C3</f>
        <v>102.63015395380162</v>
      </c>
      <c r="G7" s="17">
        <f>F7/C2-1</f>
        <v>-0.28210580614296576</v>
      </c>
    </row>
    <row r="8" spans="1:23" x14ac:dyDescent="0.15">
      <c r="A8" s="1" t="s">
        <v>77</v>
      </c>
    </row>
    <row r="9" spans="1:23" s="18" customFormat="1" x14ac:dyDescent="0.15">
      <c r="B9" s="18">
        <v>2014</v>
      </c>
      <c r="C9" s="18">
        <v>2015</v>
      </c>
      <c r="D9" s="18">
        <v>2016</v>
      </c>
      <c r="E9" s="18">
        <f>D9+1</f>
        <v>2017</v>
      </c>
      <c r="F9" s="18">
        <f t="shared" ref="F9:Q9" si="0">E9+1</f>
        <v>2018</v>
      </c>
      <c r="G9" s="18">
        <f t="shared" si="0"/>
        <v>2019</v>
      </c>
      <c r="H9" s="18">
        <f t="shared" si="0"/>
        <v>2020</v>
      </c>
      <c r="I9" s="18">
        <f t="shared" si="0"/>
        <v>2021</v>
      </c>
      <c r="J9" s="18">
        <f t="shared" si="0"/>
        <v>2022</v>
      </c>
      <c r="K9" s="18">
        <f t="shared" si="0"/>
        <v>2023</v>
      </c>
      <c r="L9" s="18">
        <f t="shared" si="0"/>
        <v>2024</v>
      </c>
      <c r="M9" s="18">
        <f t="shared" si="0"/>
        <v>2025</v>
      </c>
      <c r="N9" s="18">
        <f t="shared" si="0"/>
        <v>2026</v>
      </c>
      <c r="O9" s="18">
        <f t="shared" si="0"/>
        <v>2027</v>
      </c>
      <c r="P9" s="18">
        <f t="shared" si="0"/>
        <v>2028</v>
      </c>
      <c r="Q9" s="18">
        <f t="shared" si="0"/>
        <v>2029</v>
      </c>
      <c r="R9" s="18">
        <v>2030</v>
      </c>
      <c r="S9" s="18">
        <v>2030</v>
      </c>
      <c r="T9" s="18">
        <v>2030</v>
      </c>
      <c r="U9" s="18">
        <v>2030</v>
      </c>
      <c r="V9" s="18">
        <v>2030</v>
      </c>
      <c r="W9" s="18">
        <v>2030</v>
      </c>
    </row>
    <row r="10" spans="1:23" x14ac:dyDescent="0.15">
      <c r="A10" s="3" t="s">
        <v>47</v>
      </c>
      <c r="B10" s="19">
        <f>SUM(Reports!B3:E3)</f>
        <v>101991</v>
      </c>
      <c r="C10" s="19">
        <f>SUM(Reports!F3:I3)</f>
        <v>155041</v>
      </c>
      <c r="D10" s="19">
        <f>SUM(Reports!J3:M3)</f>
        <v>136700</v>
      </c>
      <c r="E10" s="9">
        <f>SUM(Reports!N3:Q3)</f>
        <v>141319</v>
      </c>
      <c r="F10" s="9">
        <f>SUM(Reports!R3:U3)</f>
        <v>166699</v>
      </c>
      <c r="G10" s="9">
        <f>SUM(Reports!V3:Y3)</f>
        <v>142381</v>
      </c>
      <c r="H10" s="9">
        <f>SUM(Reports!Z3:AC3)</f>
        <v>137781</v>
      </c>
      <c r="I10" s="9">
        <f>H10*0.98</f>
        <v>135025.38</v>
      </c>
      <c r="J10" s="9">
        <f t="shared" ref="J10:M10" si="1">I10*0.98</f>
        <v>132324.87239999999</v>
      </c>
      <c r="K10" s="9">
        <f t="shared" si="1"/>
        <v>129678.37495199998</v>
      </c>
      <c r="L10" s="9">
        <f t="shared" si="1"/>
        <v>127084.80745295998</v>
      </c>
      <c r="M10" s="9">
        <f t="shared" si="1"/>
        <v>124543.11130390078</v>
      </c>
    </row>
    <row r="11" spans="1:23" x14ac:dyDescent="0.15">
      <c r="A11" s="3" t="s">
        <v>48</v>
      </c>
      <c r="B11" s="19">
        <f>SUM(Reports!B4:E4)</f>
        <v>30283</v>
      </c>
      <c r="C11" s="19">
        <f>SUM(Reports!F4:I4)</f>
        <v>23227</v>
      </c>
      <c r="D11" s="19">
        <f>SUM(Reports!J4:M4)</f>
        <v>20628</v>
      </c>
      <c r="E11" s="9">
        <f>SUM(Reports!N4:Q4)</f>
        <v>19222</v>
      </c>
      <c r="F11" s="9">
        <f>SUM(Reports!R4:U4)</f>
        <v>18805</v>
      </c>
      <c r="G11" s="9">
        <f>SUM(Reports!V4:Y4)</f>
        <v>21280</v>
      </c>
      <c r="H11" s="9">
        <f>SUM(Reports!Z4:AC4)</f>
        <v>23724</v>
      </c>
      <c r="I11" s="9">
        <f>H11*0.98</f>
        <v>23249.52</v>
      </c>
      <c r="J11" s="9">
        <f t="shared" ref="J11:M11" si="2">I11*0.98</f>
        <v>22784.529600000002</v>
      </c>
      <c r="K11" s="9">
        <f t="shared" si="2"/>
        <v>22328.839008000003</v>
      </c>
      <c r="L11" s="9">
        <f t="shared" si="2"/>
        <v>21882.262227840001</v>
      </c>
      <c r="M11" s="9">
        <f t="shared" si="2"/>
        <v>21444.616983283202</v>
      </c>
    </row>
    <row r="12" spans="1:23" x14ac:dyDescent="0.15">
      <c r="A12" s="3" t="s">
        <v>49</v>
      </c>
      <c r="B12" s="19">
        <f>SUM(Reports!B5:E5)</f>
        <v>24079</v>
      </c>
      <c r="C12" s="19">
        <f>SUM(Reports!F5:I5)</f>
        <v>25471</v>
      </c>
      <c r="D12" s="19">
        <f>SUM(Reports!J5:M5)</f>
        <v>22831</v>
      </c>
      <c r="E12" s="9">
        <f>SUM(Reports!N5:Q5)</f>
        <v>25850</v>
      </c>
      <c r="F12" s="9">
        <f>SUM(Reports!R5:U5)</f>
        <v>25484</v>
      </c>
      <c r="G12" s="9">
        <f>SUM(Reports!V5:Y5)</f>
        <v>25740</v>
      </c>
      <c r="H12" s="9">
        <f>SUM(Reports!Z5:AC5)</f>
        <v>28622</v>
      </c>
      <c r="I12" s="9">
        <f>H12*1.05</f>
        <v>30053.100000000002</v>
      </c>
      <c r="J12" s="9">
        <f t="shared" ref="J12:M12" si="3">I12*1.05</f>
        <v>31555.755000000005</v>
      </c>
      <c r="K12" s="9">
        <f t="shared" si="3"/>
        <v>33133.542750000008</v>
      </c>
      <c r="L12" s="9">
        <f t="shared" si="3"/>
        <v>34790.21988750001</v>
      </c>
      <c r="M12" s="9">
        <f t="shared" si="3"/>
        <v>36529.73088187501</v>
      </c>
    </row>
    <row r="13" spans="1:23" x14ac:dyDescent="0.15">
      <c r="A13" s="3" t="s">
        <v>50</v>
      </c>
      <c r="B13" s="19">
        <f>SUM(Reports!B6:E6)</f>
        <v>18063</v>
      </c>
      <c r="C13" s="19">
        <f>SUM(Reports!F6:I6)</f>
        <v>19909</v>
      </c>
      <c r="D13" s="19">
        <f>SUM(Reports!J6:M6)</f>
        <v>24348</v>
      </c>
      <c r="E13" s="9">
        <f>SUM(Reports!N6:Q6)</f>
        <v>29980</v>
      </c>
      <c r="F13" s="9">
        <f>SUM(Reports!R6:U6)</f>
        <v>37190</v>
      </c>
      <c r="G13" s="9">
        <f>SUM(Reports!V6:Y6)</f>
        <v>46291</v>
      </c>
      <c r="H13" s="9">
        <f>SUM(Reports!Z6:AC6)</f>
        <v>53768</v>
      </c>
      <c r="I13" s="9">
        <f t="shared" ref="I13" si="4">H13*1.2</f>
        <v>64521.599999999999</v>
      </c>
      <c r="J13" s="9">
        <f t="shared" ref="J13" si="5">I13*1.2</f>
        <v>77425.919999999998</v>
      </c>
      <c r="K13" s="9">
        <f t="shared" ref="K13" si="6">J13*1.2</f>
        <v>92911.103999999992</v>
      </c>
      <c r="L13" s="9">
        <f t="shared" ref="L13" si="7">K13*1.2</f>
        <v>111493.32479999999</v>
      </c>
      <c r="M13" s="9">
        <f t="shared" ref="M13" si="8">L13*1.2</f>
        <v>133791.98975999997</v>
      </c>
    </row>
    <row r="14" spans="1:23" x14ac:dyDescent="0.15">
      <c r="A14" s="3" t="s">
        <v>26</v>
      </c>
      <c r="B14" s="19">
        <f>SUM(Reports!B7:E7)</f>
        <v>8379</v>
      </c>
      <c r="C14" s="19">
        <f>SUM(Reports!F7:I7)</f>
        <v>10067</v>
      </c>
      <c r="D14" s="19">
        <f>SUM(Reports!J7:M7)</f>
        <v>11132</v>
      </c>
      <c r="E14" s="9">
        <f>SUM(Reports!N7:Q7)</f>
        <v>12863</v>
      </c>
      <c r="F14" s="9">
        <f>SUM(Reports!R7:U7)</f>
        <v>17417</v>
      </c>
      <c r="G14" s="9">
        <f>SUM(Reports!V7:Y7)</f>
        <v>24482</v>
      </c>
      <c r="H14" s="9">
        <f>SUM(Reports!Z7:AC7)</f>
        <v>30620</v>
      </c>
      <c r="I14" s="9">
        <f>H14*1.25</f>
        <v>38275</v>
      </c>
      <c r="J14" s="9">
        <f t="shared" ref="J14:M14" si="9">I14*1.25</f>
        <v>47843.75</v>
      </c>
      <c r="K14" s="9">
        <f t="shared" si="9"/>
        <v>59804.6875</v>
      </c>
      <c r="L14" s="9">
        <f t="shared" si="9"/>
        <v>74755.859375</v>
      </c>
      <c r="M14" s="9">
        <f t="shared" si="9"/>
        <v>93444.82421875</v>
      </c>
    </row>
    <row r="15" spans="1:23" x14ac:dyDescent="0.15">
      <c r="F15" s="9"/>
    </row>
    <row r="16" spans="1:23" s="2" customFormat="1" x14ac:dyDescent="0.15">
      <c r="A16" s="2" t="s">
        <v>0</v>
      </c>
      <c r="B16" s="20">
        <f>SUM(B10:B14)</f>
        <v>182795</v>
      </c>
      <c r="C16" s="20">
        <f t="shared" ref="C16:E16" si="10">SUM(C10:C14)</f>
        <v>233715</v>
      </c>
      <c r="D16" s="20">
        <f t="shared" si="10"/>
        <v>215639</v>
      </c>
      <c r="E16" s="20">
        <f t="shared" si="10"/>
        <v>229234</v>
      </c>
      <c r="F16" s="20">
        <f>SUM(F10:F14)</f>
        <v>265595</v>
      </c>
      <c r="G16" s="20">
        <f>SUM(G10:G14)</f>
        <v>260174</v>
      </c>
      <c r="H16" s="20">
        <f>SUM(H10:H14)</f>
        <v>274515</v>
      </c>
      <c r="I16" s="21">
        <f t="shared" ref="I16:M16" si="11">SUM(I10:I14)</f>
        <v>291124.59999999998</v>
      </c>
      <c r="J16" s="21">
        <f t="shared" si="11"/>
        <v>311934.82699999999</v>
      </c>
      <c r="K16" s="21">
        <f t="shared" si="11"/>
        <v>337856.54820999998</v>
      </c>
      <c r="L16" s="21">
        <f t="shared" si="11"/>
        <v>370006.47374330001</v>
      </c>
      <c r="M16" s="21">
        <f t="shared" si="11"/>
        <v>409754.27314780897</v>
      </c>
      <c r="N16" s="22">
        <f t="shared" ref="M16:W16" si="12">M16*1.02</f>
        <v>417949.35861076514</v>
      </c>
      <c r="O16" s="22">
        <f t="shared" si="12"/>
        <v>426308.34578298044</v>
      </c>
      <c r="P16" s="22">
        <f t="shared" si="12"/>
        <v>434834.51269864006</v>
      </c>
      <c r="Q16" s="22">
        <f t="shared" si="12"/>
        <v>443531.20295261289</v>
      </c>
      <c r="R16" s="22">
        <f t="shared" si="12"/>
        <v>452401.82701166515</v>
      </c>
      <c r="S16" s="22">
        <f t="shared" si="12"/>
        <v>461449.86355189845</v>
      </c>
      <c r="T16" s="22">
        <f t="shared" si="12"/>
        <v>470678.8608229364</v>
      </c>
      <c r="U16" s="22">
        <f t="shared" si="12"/>
        <v>480092.43803939514</v>
      </c>
      <c r="V16" s="22">
        <f t="shared" si="12"/>
        <v>489694.28680018306</v>
      </c>
      <c r="W16" s="22">
        <f t="shared" si="12"/>
        <v>499488.17253618676</v>
      </c>
    </row>
    <row r="17" spans="1:177" x14ac:dyDescent="0.15">
      <c r="A17" s="3" t="s">
        <v>9</v>
      </c>
      <c r="B17" s="23">
        <f>SUM(Reports!B10:E10)</f>
        <v>112258</v>
      </c>
      <c r="C17" s="23">
        <f>SUM(Reports!F10:I10)</f>
        <v>140089</v>
      </c>
      <c r="D17" s="23">
        <f>SUM(Reports!J10:M10)</f>
        <v>131376</v>
      </c>
      <c r="E17" s="23">
        <f>SUM(Reports!N10:Q10)</f>
        <v>141048</v>
      </c>
      <c r="F17" s="23">
        <f>SUM(Reports!R10:U10)</f>
        <v>163756</v>
      </c>
      <c r="G17" s="9">
        <f>SUM(Reports!V10:Y10)</f>
        <v>161782</v>
      </c>
      <c r="H17" s="9">
        <f>SUM(Reports!Z10:AC10)</f>
        <v>169559</v>
      </c>
      <c r="I17" s="9">
        <f t="shared" ref="I17:Q17" si="13">I16-I18</f>
        <v>179818.21048540151</v>
      </c>
      <c r="J17" s="9">
        <f t="shared" si="13"/>
        <v>192672.01184377173</v>
      </c>
      <c r="K17" s="9">
        <f>K16-K18</f>
        <v>208683.01716823992</v>
      </c>
      <c r="L17" s="9">
        <f t="shared" si="13"/>
        <v>228540.98202808664</v>
      </c>
      <c r="M17" s="9">
        <f t="shared" si="13"/>
        <v>253091.90681991636</v>
      </c>
      <c r="N17" s="9">
        <f t="shared" si="13"/>
        <v>258153.74495631468</v>
      </c>
      <c r="O17" s="9">
        <f t="shared" si="13"/>
        <v>263316.81985544099</v>
      </c>
      <c r="P17" s="9">
        <f t="shared" si="13"/>
        <v>268583.15625254984</v>
      </c>
      <c r="Q17" s="9">
        <f t="shared" si="13"/>
        <v>273954.8193776008</v>
      </c>
      <c r="R17" s="9">
        <f t="shared" ref="R17:S17" si="14">R16-R18</f>
        <v>279433.91576515284</v>
      </c>
      <c r="S17" s="9">
        <f t="shared" si="14"/>
        <v>285022.59408045589</v>
      </c>
      <c r="T17" s="9">
        <f t="shared" ref="T17:W17" si="15">T16-T18</f>
        <v>290723.04596206499</v>
      </c>
      <c r="U17" s="9">
        <f t="shared" si="15"/>
        <v>296537.5068813063</v>
      </c>
      <c r="V17" s="9">
        <f t="shared" si="15"/>
        <v>302468.25701893243</v>
      </c>
      <c r="W17" s="9">
        <f t="shared" si="15"/>
        <v>308517.62215931108</v>
      </c>
    </row>
    <row r="18" spans="1:177" x14ac:dyDescent="0.15">
      <c r="A18" s="3" t="s">
        <v>10</v>
      </c>
      <c r="B18" s="24">
        <f>B16-B17</f>
        <v>70537</v>
      </c>
      <c r="C18" s="24">
        <f>C16-C17</f>
        <v>93626</v>
      </c>
      <c r="D18" s="24">
        <f t="shared" ref="D18:E18" si="16">D16-D17</f>
        <v>84263</v>
      </c>
      <c r="E18" s="24">
        <f t="shared" si="16"/>
        <v>88186</v>
      </c>
      <c r="F18" s="24">
        <f>F16-F17</f>
        <v>101839</v>
      </c>
      <c r="G18" s="24">
        <f>G16-G17</f>
        <v>98392</v>
      </c>
      <c r="H18" s="24">
        <f>H16-H17</f>
        <v>104956</v>
      </c>
      <c r="I18" s="9">
        <f t="shared" ref="I18:Q18" si="17">I16*H35</f>
        <v>111306.38951459846</v>
      </c>
      <c r="J18" s="9">
        <f t="shared" si="17"/>
        <v>119262.81515622824</v>
      </c>
      <c r="K18" s="9">
        <f t="shared" si="17"/>
        <v>129173.53104176004</v>
      </c>
      <c r="L18" s="9">
        <f t="shared" si="17"/>
        <v>141465.49171521337</v>
      </c>
      <c r="M18" s="9">
        <f t="shared" si="17"/>
        <v>156662.36632789261</v>
      </c>
      <c r="N18" s="9">
        <f t="shared" si="17"/>
        <v>159795.61365445046</v>
      </c>
      <c r="O18" s="9">
        <f t="shared" si="17"/>
        <v>162991.52592753945</v>
      </c>
      <c r="P18" s="9">
        <f t="shared" si="17"/>
        <v>166251.35644609024</v>
      </c>
      <c r="Q18" s="9">
        <f t="shared" si="17"/>
        <v>169576.38357501206</v>
      </c>
      <c r="R18" s="9">
        <f t="shared" ref="R18:W18" si="18">R16*Q35</f>
        <v>172967.91124651232</v>
      </c>
      <c r="S18" s="9">
        <f t="shared" si="18"/>
        <v>176427.26947144256</v>
      </c>
      <c r="T18" s="9">
        <f t="shared" si="18"/>
        <v>179955.81486087141</v>
      </c>
      <c r="U18" s="9">
        <f t="shared" si="18"/>
        <v>183554.93115808885</v>
      </c>
      <c r="V18" s="9">
        <f t="shared" si="18"/>
        <v>187226.02978125063</v>
      </c>
      <c r="W18" s="9">
        <f t="shared" si="18"/>
        <v>190970.55037687568</v>
      </c>
    </row>
    <row r="19" spans="1:177" x14ac:dyDescent="0.15">
      <c r="A19" s="3" t="s">
        <v>12</v>
      </c>
      <c r="B19" s="23">
        <f>SUM(Reports!B12:E12)</f>
        <v>6041</v>
      </c>
      <c r="C19" s="23">
        <f>SUM(Reports!F12:I12)</f>
        <v>8067</v>
      </c>
      <c r="D19" s="23">
        <f>SUM(Reports!J12:M12)</f>
        <v>10045</v>
      </c>
      <c r="E19" s="23">
        <f>SUM(Reports!N12:Q12)</f>
        <v>11581</v>
      </c>
      <c r="F19" s="23">
        <f>SUM(Reports!R12:U12)</f>
        <v>14236</v>
      </c>
      <c r="G19" s="9">
        <f>SUM(Reports!V12:Y12)</f>
        <v>16217</v>
      </c>
      <c r="H19" s="9">
        <f>SUM(Reports!Z12:AC12)</f>
        <v>18752</v>
      </c>
      <c r="I19" s="9">
        <f>H19*1.15</f>
        <v>21564.799999999999</v>
      </c>
      <c r="J19" s="9">
        <f t="shared" ref="J19:M19" si="19">I19*1.15</f>
        <v>24799.519999999997</v>
      </c>
      <c r="K19" s="9">
        <f t="shared" si="19"/>
        <v>28519.447999999993</v>
      </c>
      <c r="L19" s="9">
        <f t="shared" si="19"/>
        <v>32797.365199999993</v>
      </c>
      <c r="M19" s="9">
        <f t="shared" si="19"/>
        <v>37716.969979999987</v>
      </c>
      <c r="N19" s="9">
        <f t="shared" ref="M19:W19" si="20">M19*0.98</f>
        <v>36962.630580399986</v>
      </c>
      <c r="O19" s="9">
        <f t="shared" si="20"/>
        <v>36223.377968791989</v>
      </c>
      <c r="P19" s="9">
        <f t="shared" si="20"/>
        <v>35498.910409416145</v>
      </c>
      <c r="Q19" s="9">
        <f t="shared" si="20"/>
        <v>34788.932201227821</v>
      </c>
      <c r="R19" s="9">
        <f t="shared" si="20"/>
        <v>34093.153557203266</v>
      </c>
      <c r="S19" s="9">
        <f t="shared" si="20"/>
        <v>33411.290486059203</v>
      </c>
      <c r="T19" s="9">
        <f t="shared" si="20"/>
        <v>32743.064676338017</v>
      </c>
      <c r="U19" s="9">
        <f t="shared" si="20"/>
        <v>32088.203382811258</v>
      </c>
      <c r="V19" s="9">
        <f t="shared" si="20"/>
        <v>31446.439315155032</v>
      </c>
      <c r="W19" s="9">
        <f t="shared" si="20"/>
        <v>30817.51052885193</v>
      </c>
    </row>
    <row r="20" spans="1:177" x14ac:dyDescent="0.15">
      <c r="A20" s="3" t="s">
        <v>45</v>
      </c>
      <c r="B20" s="23">
        <f>SUM(Reports!B13:E13)</f>
        <v>11993</v>
      </c>
      <c r="C20" s="23">
        <f>SUM(Reports!F13:I13)</f>
        <v>14329</v>
      </c>
      <c r="D20" s="23">
        <f>SUM(Reports!J13:M13)</f>
        <v>14194</v>
      </c>
      <c r="E20" s="23">
        <f>SUM(Reports!N13:Q13)</f>
        <v>15261</v>
      </c>
      <c r="F20" s="23">
        <f>SUM(Reports!R13:U13)</f>
        <v>16705</v>
      </c>
      <c r="G20" s="9">
        <f>SUM(Reports!V13:Y13)</f>
        <v>18245</v>
      </c>
      <c r="H20" s="9">
        <f>SUM(Reports!Z13:AC13)</f>
        <v>19916</v>
      </c>
      <c r="I20" s="9">
        <f>H20*1.1</f>
        <v>21907.600000000002</v>
      </c>
      <c r="J20" s="9">
        <f t="shared" ref="J20:M20" si="21">I20*1.1</f>
        <v>24098.360000000004</v>
      </c>
      <c r="K20" s="9">
        <f t="shared" si="21"/>
        <v>26508.196000000007</v>
      </c>
      <c r="L20" s="9">
        <f t="shared" si="21"/>
        <v>29159.01560000001</v>
      </c>
      <c r="M20" s="9">
        <f t="shared" si="21"/>
        <v>32074.917160000012</v>
      </c>
      <c r="N20" s="9">
        <f t="shared" ref="M20:W20" si="22">M20*0.95</f>
        <v>30471.17130200001</v>
      </c>
      <c r="O20" s="9">
        <f t="shared" si="22"/>
        <v>28947.61273690001</v>
      </c>
      <c r="P20" s="9">
        <f t="shared" si="22"/>
        <v>27500.232100055007</v>
      </c>
      <c r="Q20" s="9">
        <f t="shared" si="22"/>
        <v>26125.220495052257</v>
      </c>
      <c r="R20" s="9">
        <f t="shared" si="22"/>
        <v>24818.959470299644</v>
      </c>
      <c r="S20" s="9">
        <f t="shared" si="22"/>
        <v>23578.01149678466</v>
      </c>
      <c r="T20" s="9">
        <f t="shared" si="22"/>
        <v>22399.110921945427</v>
      </c>
      <c r="U20" s="9">
        <f t="shared" si="22"/>
        <v>21279.155375848153</v>
      </c>
      <c r="V20" s="9">
        <f t="shared" si="22"/>
        <v>20215.197607055743</v>
      </c>
      <c r="W20" s="9">
        <f t="shared" si="22"/>
        <v>19204.437726702956</v>
      </c>
    </row>
    <row r="21" spans="1:177" x14ac:dyDescent="0.15">
      <c r="A21" s="3" t="s">
        <v>13</v>
      </c>
      <c r="B21" s="24">
        <f>SUM(B19:B20)</f>
        <v>18034</v>
      </c>
      <c r="C21" s="24">
        <f>SUM(C19:C20)</f>
        <v>22396</v>
      </c>
      <c r="D21" s="24">
        <f t="shared" ref="D21:E21" si="23">SUM(D19:D20)</f>
        <v>24239</v>
      </c>
      <c r="E21" s="24">
        <f t="shared" si="23"/>
        <v>26842</v>
      </c>
      <c r="F21" s="24">
        <f t="shared" ref="F21:G21" si="24">SUM(F19:F20)</f>
        <v>30941</v>
      </c>
      <c r="G21" s="24">
        <f t="shared" si="24"/>
        <v>34462</v>
      </c>
      <c r="H21" s="24">
        <f t="shared" ref="H21" si="25">SUM(H19:H20)</f>
        <v>38668</v>
      </c>
      <c r="I21" s="19">
        <f t="shared" ref="I21:Q21" si="26">SUM(I19:I20)</f>
        <v>43472.4</v>
      </c>
      <c r="J21" s="19">
        <f t="shared" si="26"/>
        <v>48897.880000000005</v>
      </c>
      <c r="K21" s="19">
        <f t="shared" si="26"/>
        <v>55027.644</v>
      </c>
      <c r="L21" s="19">
        <f t="shared" si="26"/>
        <v>61956.380799999999</v>
      </c>
      <c r="M21" s="19">
        <f t="shared" si="26"/>
        <v>69791.887140000006</v>
      </c>
      <c r="N21" s="19">
        <f t="shared" si="26"/>
        <v>67433.801882400003</v>
      </c>
      <c r="O21" s="19">
        <f t="shared" si="26"/>
        <v>65170.990705691998</v>
      </c>
      <c r="P21" s="19">
        <f t="shared" si="26"/>
        <v>62999.142509471152</v>
      </c>
      <c r="Q21" s="19">
        <f t="shared" si="26"/>
        <v>60914.152696280078</v>
      </c>
      <c r="R21" s="19">
        <f t="shared" ref="R21:S21" si="27">SUM(R19:R20)</f>
        <v>58912.113027502914</v>
      </c>
      <c r="S21" s="19">
        <f t="shared" si="27"/>
        <v>56989.301982843863</v>
      </c>
      <c r="T21" s="19">
        <f t="shared" ref="T21:W21" si="28">SUM(T19:T20)</f>
        <v>55142.175598283444</v>
      </c>
      <c r="U21" s="19">
        <f t="shared" si="28"/>
        <v>53367.358758659408</v>
      </c>
      <c r="V21" s="19">
        <f t="shared" si="28"/>
        <v>51661.636922210775</v>
      </c>
      <c r="W21" s="19">
        <f t="shared" si="28"/>
        <v>50021.948255554889</v>
      </c>
    </row>
    <row r="22" spans="1:177" x14ac:dyDescent="0.15">
      <c r="A22" s="3" t="s">
        <v>14</v>
      </c>
      <c r="B22" s="24">
        <f>B18-B21</f>
        <v>52503</v>
      </c>
      <c r="C22" s="24">
        <f>C18-C21</f>
        <v>71230</v>
      </c>
      <c r="D22" s="24">
        <f t="shared" ref="D22:E22" si="29">D18-D21</f>
        <v>60024</v>
      </c>
      <c r="E22" s="24">
        <f t="shared" si="29"/>
        <v>61344</v>
      </c>
      <c r="F22" s="24">
        <f t="shared" ref="F22:G22" si="30">F18-F21</f>
        <v>70898</v>
      </c>
      <c r="G22" s="24">
        <f t="shared" si="30"/>
        <v>63930</v>
      </c>
      <c r="H22" s="24">
        <f t="shared" ref="H22" si="31">H18-H21</f>
        <v>66288</v>
      </c>
      <c r="I22" s="19">
        <f t="shared" ref="I22:Q22" si="32">I18-I21</f>
        <v>67833.989514598448</v>
      </c>
      <c r="J22" s="19">
        <f t="shared" si="32"/>
        <v>70364.935156228239</v>
      </c>
      <c r="K22" s="19">
        <f t="shared" si="32"/>
        <v>74145.887041760041</v>
      </c>
      <c r="L22" s="19">
        <f t="shared" si="32"/>
        <v>79509.110915213372</v>
      </c>
      <c r="M22" s="19">
        <f t="shared" si="32"/>
        <v>86870.479187892604</v>
      </c>
      <c r="N22" s="19">
        <f t="shared" si="32"/>
        <v>92361.811772050452</v>
      </c>
      <c r="O22" s="19">
        <f t="shared" si="32"/>
        <v>97820.535221847444</v>
      </c>
      <c r="P22" s="19">
        <f t="shared" si="32"/>
        <v>103252.21393661908</v>
      </c>
      <c r="Q22" s="19">
        <f t="shared" si="32"/>
        <v>108662.23087873199</v>
      </c>
      <c r="R22" s="19">
        <f t="shared" ref="R22:S22" si="33">R18-R21</f>
        <v>114055.7982190094</v>
      </c>
      <c r="S22" s="19">
        <f t="shared" si="33"/>
        <v>119437.96748859869</v>
      </c>
      <c r="T22" s="19">
        <f t="shared" ref="T22:W22" si="34">T18-T21</f>
        <v>124813.63926258797</v>
      </c>
      <c r="U22" s="19">
        <f t="shared" si="34"/>
        <v>130187.57239942944</v>
      </c>
      <c r="V22" s="19">
        <f t="shared" si="34"/>
        <v>135564.39285903986</v>
      </c>
      <c r="W22" s="19">
        <f t="shared" si="34"/>
        <v>140948.60212132079</v>
      </c>
    </row>
    <row r="23" spans="1:177" x14ac:dyDescent="0.15">
      <c r="A23" s="3" t="s">
        <v>16</v>
      </c>
      <c r="B23" s="23">
        <f>SUM(Reports!B16:E16)</f>
        <v>980</v>
      </c>
      <c r="C23" s="23">
        <f>SUM(Reports!F16:I16)</f>
        <v>1285</v>
      </c>
      <c r="D23" s="23">
        <f>SUM(Reports!J16:M16)</f>
        <v>1348</v>
      </c>
      <c r="E23" s="23">
        <f>SUM(Reports!N16:Q16)</f>
        <v>2745</v>
      </c>
      <c r="F23" s="23">
        <f>SUM(Reports!R16:U16)</f>
        <v>2005</v>
      </c>
      <c r="G23" s="9">
        <f>SUM(Reports!V16:Y16)</f>
        <v>1807</v>
      </c>
      <c r="H23" s="9">
        <f>SUM(Reports!Z16:AC16)</f>
        <v>803</v>
      </c>
      <c r="I23" s="9">
        <f>H39*$F$3</f>
        <v>843.9</v>
      </c>
      <c r="J23" s="9">
        <f>I39*$F$3</f>
        <v>1393.3231161167876</v>
      </c>
      <c r="K23" s="9">
        <f t="shared" ref="K23:Q23" si="35">J39*$F$3</f>
        <v>1967.3891822955479</v>
      </c>
      <c r="L23" s="9">
        <f t="shared" si="35"/>
        <v>2576.2953920879927</v>
      </c>
      <c r="M23" s="9">
        <f t="shared" si="35"/>
        <v>3232.9786425464035</v>
      </c>
      <c r="N23" s="9">
        <f t="shared" si="35"/>
        <v>3953.8063051899157</v>
      </c>
      <c r="O23" s="9">
        <f t="shared" si="35"/>
        <v>4724.3312498078385</v>
      </c>
      <c r="P23" s="9">
        <f t="shared" si="35"/>
        <v>5544.6901815810816</v>
      </c>
      <c r="Q23" s="9">
        <f t="shared" si="35"/>
        <v>6415.0654145266826</v>
      </c>
      <c r="R23" s="9">
        <f t="shared" ref="R23:W23" si="36">Q39*$F$3</f>
        <v>7335.6837848727519</v>
      </c>
      <c r="S23" s="9">
        <f t="shared" si="36"/>
        <v>8306.8156409038093</v>
      </c>
      <c r="T23" s="9">
        <f t="shared" si="36"/>
        <v>9328.7739059398282</v>
      </c>
      <c r="U23" s="9">
        <f t="shared" si="36"/>
        <v>10401.913211288052</v>
      </c>
      <c r="V23" s="9">
        <f t="shared" si="36"/>
        <v>11526.62909617379</v>
      </c>
      <c r="W23" s="9">
        <f t="shared" si="36"/>
        <v>12703.357271815501</v>
      </c>
    </row>
    <row r="24" spans="1:177" x14ac:dyDescent="0.15">
      <c r="A24" s="3" t="s">
        <v>17</v>
      </c>
      <c r="B24" s="24">
        <f>B22+B23</f>
        <v>53483</v>
      </c>
      <c r="C24" s="24">
        <f>C22+C23</f>
        <v>72515</v>
      </c>
      <c r="D24" s="24">
        <f t="shared" ref="D24:E24" si="37">D22+D23</f>
        <v>61372</v>
      </c>
      <c r="E24" s="24">
        <f t="shared" si="37"/>
        <v>64089</v>
      </c>
      <c r="F24" s="24">
        <f>F22+F23</f>
        <v>72903</v>
      </c>
      <c r="G24" s="24">
        <f>G22+G23</f>
        <v>65737</v>
      </c>
      <c r="H24" s="24">
        <f>H22+H23</f>
        <v>67091</v>
      </c>
      <c r="I24" s="19">
        <f t="shared" ref="I24:Q24" si="38">I22+I23</f>
        <v>68677.889514598442</v>
      </c>
      <c r="J24" s="19">
        <f t="shared" si="38"/>
        <v>71758.258272345032</v>
      </c>
      <c r="K24" s="19">
        <f t="shared" si="38"/>
        <v>76113.276224055589</v>
      </c>
      <c r="L24" s="19">
        <f t="shared" si="38"/>
        <v>82085.406307301368</v>
      </c>
      <c r="M24" s="19">
        <f t="shared" si="38"/>
        <v>90103.457830439002</v>
      </c>
      <c r="N24" s="19">
        <f t="shared" si="38"/>
        <v>96315.618077240375</v>
      </c>
      <c r="O24" s="19">
        <f t="shared" si="38"/>
        <v>102544.86647165529</v>
      </c>
      <c r="P24" s="19">
        <f t="shared" si="38"/>
        <v>108796.90411820017</v>
      </c>
      <c r="Q24" s="19">
        <f t="shared" si="38"/>
        <v>115077.29629325868</v>
      </c>
      <c r="R24" s="19">
        <f t="shared" ref="R24:S24" si="39">R22+R23</f>
        <v>121391.48200388215</v>
      </c>
      <c r="S24" s="19">
        <f t="shared" si="39"/>
        <v>127744.7831295025</v>
      </c>
      <c r="T24" s="19">
        <f t="shared" ref="T24:W24" si="40">T22+T23</f>
        <v>134142.4131685278</v>
      </c>
      <c r="U24" s="19">
        <f t="shared" si="40"/>
        <v>140589.4856107175</v>
      </c>
      <c r="V24" s="19">
        <f t="shared" si="40"/>
        <v>147091.02195521366</v>
      </c>
      <c r="W24" s="19">
        <f t="shared" si="40"/>
        <v>153651.95939313629</v>
      </c>
    </row>
    <row r="25" spans="1:177" x14ac:dyDescent="0.15">
      <c r="A25" s="3" t="s">
        <v>18</v>
      </c>
      <c r="B25" s="23">
        <f>SUM(Reports!B18:E18)</f>
        <v>13973</v>
      </c>
      <c r="C25" s="23">
        <f>SUM(Reports!F18:I18)</f>
        <v>19121</v>
      </c>
      <c r="D25" s="23">
        <f>SUM(Reports!J18:M18)</f>
        <v>15685</v>
      </c>
      <c r="E25" s="23">
        <f>SUM(Reports!N18:Q18)</f>
        <v>15738</v>
      </c>
      <c r="F25" s="23">
        <f>SUM(Reports!R18:U18)</f>
        <v>13372</v>
      </c>
      <c r="G25" s="9">
        <f>SUM(Reports!V18:Y18)</f>
        <v>10481</v>
      </c>
      <c r="H25" s="9">
        <f>SUM(Reports!Z18:AC18)</f>
        <v>9680</v>
      </c>
      <c r="I25" s="9">
        <f t="shared" ref="I25:Q25" si="41">I24*0.2</f>
        <v>13735.577902919689</v>
      </c>
      <c r="J25" s="9">
        <f t="shared" si="41"/>
        <v>14351.651654469008</v>
      </c>
      <c r="K25" s="9">
        <f t="shared" si="41"/>
        <v>15222.655244811118</v>
      </c>
      <c r="L25" s="9">
        <f t="shared" si="41"/>
        <v>16417.081261460273</v>
      </c>
      <c r="M25" s="9">
        <f t="shared" si="41"/>
        <v>18020.6915660878</v>
      </c>
      <c r="N25" s="9">
        <f t="shared" si="41"/>
        <v>19263.123615448076</v>
      </c>
      <c r="O25" s="9">
        <f t="shared" si="41"/>
        <v>20508.973294331059</v>
      </c>
      <c r="P25" s="9">
        <f t="shared" si="41"/>
        <v>21759.380823640036</v>
      </c>
      <c r="Q25" s="9">
        <f t="shared" si="41"/>
        <v>23015.459258651739</v>
      </c>
      <c r="R25" s="9">
        <f t="shared" ref="R25:S25" si="42">R24*0.2</f>
        <v>24278.296400776431</v>
      </c>
      <c r="S25" s="9">
        <f t="shared" si="42"/>
        <v>25548.956625900501</v>
      </c>
      <c r="T25" s="9">
        <f t="shared" ref="T25:W25" si="43">T24*0.2</f>
        <v>26828.48263370556</v>
      </c>
      <c r="U25" s="9">
        <f t="shared" si="43"/>
        <v>28117.897122143502</v>
      </c>
      <c r="V25" s="9">
        <f t="shared" si="43"/>
        <v>29418.204391042731</v>
      </c>
      <c r="W25" s="9">
        <f t="shared" si="43"/>
        <v>30730.391878627259</v>
      </c>
    </row>
    <row r="26" spans="1:177" s="2" customFormat="1" x14ac:dyDescent="0.15">
      <c r="A26" s="2" t="s">
        <v>19</v>
      </c>
      <c r="B26" s="20">
        <f t="shared" ref="B26:E26" si="44">B24-B25</f>
        <v>39510</v>
      </c>
      <c r="C26" s="20">
        <f t="shared" si="44"/>
        <v>53394</v>
      </c>
      <c r="D26" s="20">
        <f t="shared" si="44"/>
        <v>45687</v>
      </c>
      <c r="E26" s="20">
        <f t="shared" si="44"/>
        <v>48351</v>
      </c>
      <c r="F26" s="20">
        <f>F24-F25</f>
        <v>59531</v>
      </c>
      <c r="G26" s="25">
        <f>G24-G25</f>
        <v>55256</v>
      </c>
      <c r="H26" s="25">
        <f>H24-H25</f>
        <v>57411</v>
      </c>
      <c r="I26" s="25">
        <f t="shared" ref="I26:Q26" si="45">I24-I25</f>
        <v>54942.311611678757</v>
      </c>
      <c r="J26" s="25">
        <f t="shared" si="45"/>
        <v>57406.606617876023</v>
      </c>
      <c r="K26" s="25">
        <f t="shared" si="45"/>
        <v>60890.620979244472</v>
      </c>
      <c r="L26" s="25">
        <f t="shared" si="45"/>
        <v>65668.325045841091</v>
      </c>
      <c r="M26" s="25">
        <f t="shared" si="45"/>
        <v>72082.766264351201</v>
      </c>
      <c r="N26" s="25">
        <f t="shared" si="45"/>
        <v>77052.494461792303</v>
      </c>
      <c r="O26" s="25">
        <f t="shared" si="45"/>
        <v>82035.893177324237</v>
      </c>
      <c r="P26" s="25">
        <f t="shared" si="45"/>
        <v>87037.523294560131</v>
      </c>
      <c r="Q26" s="25">
        <f t="shared" si="45"/>
        <v>92061.837034606942</v>
      </c>
      <c r="R26" s="25">
        <f>R24-R25</f>
        <v>97113.185603105725</v>
      </c>
      <c r="S26" s="25">
        <f>S24-S25</f>
        <v>102195.826503602</v>
      </c>
      <c r="T26" s="25">
        <f>T24-T25</f>
        <v>107313.93053482224</v>
      </c>
      <c r="U26" s="25">
        <f>U24-U25</f>
        <v>112471.58848857399</v>
      </c>
      <c r="V26" s="25">
        <f>V24-V25</f>
        <v>117672.81756417092</v>
      </c>
      <c r="W26" s="25">
        <f>W24-W25</f>
        <v>122921.56751450904</v>
      </c>
      <c r="X26" s="25">
        <f t="shared" ref="X26:AW26" si="46">W26*($F$2+1)</f>
        <v>120463.13616421886</v>
      </c>
      <c r="Y26" s="25">
        <f t="shared" si="46"/>
        <v>118053.87344093448</v>
      </c>
      <c r="Z26" s="25">
        <f t="shared" si="46"/>
        <v>115692.79597211578</v>
      </c>
      <c r="AA26" s="25">
        <f t="shared" si="46"/>
        <v>113378.94005267347</v>
      </c>
      <c r="AB26" s="25">
        <f t="shared" si="46"/>
        <v>111111.36125161999</v>
      </c>
      <c r="AC26" s="25">
        <f t="shared" si="46"/>
        <v>108889.13402658759</v>
      </c>
      <c r="AD26" s="25">
        <f t="shared" si="46"/>
        <v>106711.35134605583</v>
      </c>
      <c r="AE26" s="25">
        <f t="shared" si="46"/>
        <v>104577.12431913472</v>
      </c>
      <c r="AF26" s="25">
        <f t="shared" si="46"/>
        <v>102485.58183275202</v>
      </c>
      <c r="AG26" s="25">
        <f t="shared" si="46"/>
        <v>100435.87019609698</v>
      </c>
      <c r="AH26" s="25">
        <f t="shared" si="46"/>
        <v>98427.152792175038</v>
      </c>
      <c r="AI26" s="25">
        <f t="shared" si="46"/>
        <v>96458.609736331535</v>
      </c>
      <c r="AJ26" s="25">
        <f t="shared" si="46"/>
        <v>94529.437541604901</v>
      </c>
      <c r="AK26" s="25">
        <f t="shared" si="46"/>
        <v>92638.848790772798</v>
      </c>
      <c r="AL26" s="25">
        <f t="shared" si="46"/>
        <v>90786.071814957337</v>
      </c>
      <c r="AM26" s="25">
        <f t="shared" si="46"/>
        <v>88970.350378658186</v>
      </c>
      <c r="AN26" s="25">
        <f t="shared" si="46"/>
        <v>87190.943371085013</v>
      </c>
      <c r="AO26" s="25">
        <f t="shared" si="46"/>
        <v>85447.124503663304</v>
      </c>
      <c r="AP26" s="25">
        <f t="shared" si="46"/>
        <v>83738.182013590034</v>
      </c>
      <c r="AQ26" s="25">
        <f t="shared" si="46"/>
        <v>82063.418373318229</v>
      </c>
      <c r="AR26" s="25">
        <f t="shared" si="46"/>
        <v>80422.150005851858</v>
      </c>
      <c r="AS26" s="25">
        <f t="shared" si="46"/>
        <v>78813.707005734817</v>
      </c>
      <c r="AT26" s="25">
        <f t="shared" si="46"/>
        <v>77237.432865620125</v>
      </c>
      <c r="AU26" s="25">
        <f t="shared" si="46"/>
        <v>75692.684208307721</v>
      </c>
      <c r="AV26" s="25">
        <f t="shared" si="46"/>
        <v>74178.830524141566</v>
      </c>
      <c r="AW26" s="25">
        <f t="shared" si="46"/>
        <v>72695.253913658729</v>
      </c>
      <c r="AX26" s="25">
        <f t="shared" ref="AX26:CC26" si="47">AW26*($F$2+1)</f>
        <v>71241.34883538555</v>
      </c>
      <c r="AY26" s="25">
        <f t="shared" si="47"/>
        <v>69816.521858677836</v>
      </c>
      <c r="AZ26" s="25">
        <f t="shared" si="47"/>
        <v>68420.191421504278</v>
      </c>
      <c r="BA26" s="25">
        <f t="shared" si="47"/>
        <v>67051.787593074187</v>
      </c>
      <c r="BB26" s="25">
        <f t="shared" si="47"/>
        <v>65710.751841212696</v>
      </c>
      <c r="BC26" s="25">
        <f t="shared" si="47"/>
        <v>64396.536804388437</v>
      </c>
      <c r="BD26" s="25">
        <f t="shared" si="47"/>
        <v>63108.606068300665</v>
      </c>
      <c r="BE26" s="25">
        <f t="shared" si="47"/>
        <v>61846.433946934652</v>
      </c>
      <c r="BF26" s="25">
        <f t="shared" si="47"/>
        <v>60609.505267995955</v>
      </c>
      <c r="BG26" s="25">
        <f t="shared" si="47"/>
        <v>59397.315162636034</v>
      </c>
      <c r="BH26" s="25">
        <f t="shared" si="47"/>
        <v>58209.368859383314</v>
      </c>
      <c r="BI26" s="25">
        <f t="shared" si="47"/>
        <v>57045.181482195643</v>
      </c>
      <c r="BJ26" s="25">
        <f t="shared" si="47"/>
        <v>55904.277852551728</v>
      </c>
      <c r="BK26" s="25">
        <f t="shared" si="47"/>
        <v>54786.192295500696</v>
      </c>
      <c r="BL26" s="25">
        <f t="shared" si="47"/>
        <v>53690.468449590684</v>
      </c>
      <c r="BM26" s="25">
        <f t="shared" si="47"/>
        <v>52616.659080598867</v>
      </c>
      <c r="BN26" s="25">
        <f t="shared" si="47"/>
        <v>51564.325898986892</v>
      </c>
      <c r="BO26" s="25">
        <f t="shared" si="47"/>
        <v>50533.039381007155</v>
      </c>
      <c r="BP26" s="25">
        <f t="shared" si="47"/>
        <v>49522.378593387009</v>
      </c>
      <c r="BQ26" s="25">
        <f t="shared" si="47"/>
        <v>48531.931021519267</v>
      </c>
      <c r="BR26" s="25">
        <f t="shared" si="47"/>
        <v>47561.292401088882</v>
      </c>
      <c r="BS26" s="25">
        <f t="shared" si="47"/>
        <v>46610.066553067103</v>
      </c>
      <c r="BT26" s="25">
        <f t="shared" si="47"/>
        <v>45677.865222005763</v>
      </c>
      <c r="BU26" s="25">
        <f t="shared" si="47"/>
        <v>44764.307917565646</v>
      </c>
      <c r="BV26" s="25">
        <f t="shared" si="47"/>
        <v>43869.021759214331</v>
      </c>
      <c r="BW26" s="25">
        <f t="shared" si="47"/>
        <v>42991.641324030046</v>
      </c>
      <c r="BX26" s="25">
        <f t="shared" si="47"/>
        <v>42131.808497549442</v>
      </c>
      <c r="BY26" s="25">
        <f t="shared" si="47"/>
        <v>41289.172327598455</v>
      </c>
      <c r="BZ26" s="25">
        <f t="shared" si="47"/>
        <v>40463.388881046485</v>
      </c>
      <c r="CA26" s="25">
        <f t="shared" si="47"/>
        <v>39654.121103425554</v>
      </c>
      <c r="CB26" s="25">
        <f t="shared" si="47"/>
        <v>38861.038681357044</v>
      </c>
      <c r="CC26" s="25">
        <f t="shared" si="47"/>
        <v>38083.817907729899</v>
      </c>
      <c r="CD26" s="25">
        <f t="shared" ref="CD26:DI26" si="48">CC26*($F$2+1)</f>
        <v>37322.141549575303</v>
      </c>
      <c r="CE26" s="25">
        <f t="shared" si="48"/>
        <v>36575.698718583793</v>
      </c>
      <c r="CF26" s="25">
        <f t="shared" si="48"/>
        <v>35844.184744212114</v>
      </c>
      <c r="CG26" s="25">
        <f t="shared" si="48"/>
        <v>35127.301049327871</v>
      </c>
      <c r="CH26" s="25">
        <f t="shared" si="48"/>
        <v>34424.755028341315</v>
      </c>
      <c r="CI26" s="25">
        <f t="shared" si="48"/>
        <v>33736.259927774488</v>
      </c>
      <c r="CJ26" s="25">
        <f t="shared" si="48"/>
        <v>33061.534729218998</v>
      </c>
      <c r="CK26" s="25">
        <f t="shared" si="48"/>
        <v>32400.304034634617</v>
      </c>
      <c r="CL26" s="25">
        <f t="shared" si="48"/>
        <v>31752.297953941925</v>
      </c>
      <c r="CM26" s="25">
        <f t="shared" si="48"/>
        <v>31117.251994863087</v>
      </c>
      <c r="CN26" s="25">
        <f t="shared" si="48"/>
        <v>30494.906954965823</v>
      </c>
      <c r="CO26" s="25">
        <f t="shared" si="48"/>
        <v>29885.008815866506</v>
      </c>
      <c r="CP26" s="25">
        <f t="shared" si="48"/>
        <v>29287.308639549174</v>
      </c>
      <c r="CQ26" s="25">
        <f t="shared" si="48"/>
        <v>28701.562466758191</v>
      </c>
      <c r="CR26" s="25">
        <f t="shared" si="48"/>
        <v>28127.531217423028</v>
      </c>
      <c r="CS26" s="25">
        <f t="shared" si="48"/>
        <v>27564.980593074568</v>
      </c>
      <c r="CT26" s="25">
        <f t="shared" si="48"/>
        <v>27013.680981213078</v>
      </c>
      <c r="CU26" s="25">
        <f t="shared" si="48"/>
        <v>26473.407361588816</v>
      </c>
      <c r="CV26" s="25">
        <f t="shared" si="48"/>
        <v>25943.93921435704</v>
      </c>
      <c r="CW26" s="25">
        <f t="shared" si="48"/>
        <v>25425.060430069898</v>
      </c>
      <c r="CX26" s="25">
        <f t="shared" si="48"/>
        <v>24916.559221468498</v>
      </c>
      <c r="CY26" s="25">
        <f t="shared" si="48"/>
        <v>24418.228037039127</v>
      </c>
      <c r="CZ26" s="25">
        <f t="shared" si="48"/>
        <v>23929.863476298346</v>
      </c>
      <c r="DA26" s="25">
        <f t="shared" si="48"/>
        <v>23451.26620677238</v>
      </c>
      <c r="DB26" s="25">
        <f t="shared" si="48"/>
        <v>22982.240882636932</v>
      </c>
      <c r="DC26" s="25">
        <f t="shared" si="48"/>
        <v>22522.596064984195</v>
      </c>
      <c r="DD26" s="25">
        <f t="shared" si="48"/>
        <v>22072.144143684509</v>
      </c>
      <c r="DE26" s="25">
        <f t="shared" si="48"/>
        <v>21630.70126081082</v>
      </c>
      <c r="DF26" s="25">
        <f t="shared" si="48"/>
        <v>21198.087235594601</v>
      </c>
      <c r="DG26" s="25">
        <f t="shared" si="48"/>
        <v>20774.12549088271</v>
      </c>
      <c r="DH26" s="25">
        <f t="shared" si="48"/>
        <v>20358.642981065055</v>
      </c>
      <c r="DI26" s="25">
        <f t="shared" si="48"/>
        <v>19951.470121443755</v>
      </c>
      <c r="DJ26" s="25">
        <f t="shared" ref="DJ26:DS26" si="49">DI26*($F$2+1)</f>
        <v>19552.440719014881</v>
      </c>
      <c r="DK26" s="25">
        <f t="shared" si="49"/>
        <v>19161.391904634584</v>
      </c>
      <c r="DL26" s="25">
        <f t="shared" si="49"/>
        <v>18778.164066541893</v>
      </c>
      <c r="DM26" s="25">
        <f t="shared" si="49"/>
        <v>18402.600785211056</v>
      </c>
      <c r="DN26" s="25">
        <f t="shared" si="49"/>
        <v>18034.548769506833</v>
      </c>
      <c r="DO26" s="25">
        <f t="shared" si="49"/>
        <v>17673.857794116695</v>
      </c>
      <c r="DP26" s="25">
        <f t="shared" si="49"/>
        <v>17320.380638234361</v>
      </c>
      <c r="DQ26" s="25">
        <f t="shared" si="49"/>
        <v>16973.973025469673</v>
      </c>
      <c r="DR26" s="25">
        <f t="shared" si="49"/>
        <v>16634.493564960281</v>
      </c>
      <c r="DS26" s="25">
        <f t="shared" si="49"/>
        <v>16301.803693661075</v>
      </c>
      <c r="DT26" s="25">
        <f t="shared" ref="DT26" si="50">DS26*($F$2+1)</f>
        <v>15975.767619787854</v>
      </c>
      <c r="DU26" s="25">
        <f t="shared" ref="DU26" si="51">DT26*($F$2+1)</f>
        <v>15656.252267392096</v>
      </c>
      <c r="DV26" s="25">
        <f t="shared" ref="DV26" si="52">DU26*($F$2+1)</f>
        <v>15343.127222044253</v>
      </c>
      <c r="DW26" s="25">
        <f t="shared" ref="DW26" si="53">DV26*($F$2+1)</f>
        <v>15036.264677603369</v>
      </c>
      <c r="DX26" s="25">
        <f t="shared" ref="DX26" si="54">DW26*($F$2+1)</f>
        <v>14735.539384051301</v>
      </c>
      <c r="DY26" s="25">
        <f t="shared" ref="DY26" si="55">DX26*($F$2+1)</f>
        <v>14440.828596370275</v>
      </c>
      <c r="DZ26" s="25">
        <f t="shared" ref="DZ26" si="56">DY26*($F$2+1)</f>
        <v>14152.012024442869</v>
      </c>
      <c r="EA26" s="25">
        <f t="shared" ref="EA26" si="57">DZ26*($F$2+1)</f>
        <v>13868.971783954012</v>
      </c>
      <c r="EB26" s="25">
        <f t="shared" ref="EB26" si="58">EA26*($F$2+1)</f>
        <v>13591.592348274931</v>
      </c>
      <c r="EC26" s="25">
        <f t="shared" ref="EC26" si="59">EB26*($F$2+1)</f>
        <v>13319.760501309433</v>
      </c>
      <c r="ED26" s="25">
        <f t="shared" ref="ED26" si="60">EC26*($F$2+1)</f>
        <v>13053.365291283244</v>
      </c>
      <c r="EE26" s="25">
        <f t="shared" ref="EE26" si="61">ED26*($F$2+1)</f>
        <v>12792.297985457579</v>
      </c>
      <c r="EF26" s="25">
        <f t="shared" ref="EF26" si="62">EE26*($F$2+1)</f>
        <v>12536.452025748427</v>
      </c>
      <c r="EG26" s="25">
        <f t="shared" ref="EG26" si="63">EF26*($F$2+1)</f>
        <v>12285.722985233459</v>
      </c>
      <c r="EH26" s="25">
        <f t="shared" ref="EH26" si="64">EG26*($F$2+1)</f>
        <v>12040.008525528789</v>
      </c>
      <c r="EI26" s="25">
        <f t="shared" ref="EI26" si="65">EH26*($F$2+1)</f>
        <v>11799.208355018212</v>
      </c>
      <c r="EJ26" s="25">
        <f t="shared" ref="EJ26" si="66">EI26*($F$2+1)</f>
        <v>11563.224187917847</v>
      </c>
      <c r="EK26" s="25">
        <f t="shared" ref="EK26" si="67">EJ26*($F$2+1)</f>
        <v>11331.95970415949</v>
      </c>
      <c r="EL26" s="25">
        <f t="shared" ref="EL26" si="68">EK26*($F$2+1)</f>
        <v>11105.320510076299</v>
      </c>
      <c r="EM26" s="25">
        <f t="shared" ref="EM26" si="69">EL26*($F$2+1)</f>
        <v>10883.214099874773</v>
      </c>
      <c r="EN26" s="25">
        <f t="shared" ref="EN26" si="70">EM26*($F$2+1)</f>
        <v>10665.549817877278</v>
      </c>
      <c r="EO26" s="25">
        <f t="shared" ref="EO26" si="71">EN26*($F$2+1)</f>
        <v>10452.238821519732</v>
      </c>
      <c r="EP26" s="25">
        <f t="shared" ref="EP26" si="72">EO26*($F$2+1)</f>
        <v>10243.194045089336</v>
      </c>
      <c r="EQ26" s="25">
        <f t="shared" ref="EQ26" si="73">EP26*($F$2+1)</f>
        <v>10038.33016418755</v>
      </c>
      <c r="ER26" s="25">
        <f t="shared" ref="ER26" si="74">EQ26*($F$2+1)</f>
        <v>9837.5635609037981</v>
      </c>
      <c r="ES26" s="25">
        <f t="shared" ref="ES26" si="75">ER26*($F$2+1)</f>
        <v>9640.8122896857221</v>
      </c>
      <c r="ET26" s="25">
        <f t="shared" ref="ET26" si="76">ES26*($F$2+1)</f>
        <v>9447.9960438920079</v>
      </c>
      <c r="EU26" s="25">
        <f t="shared" ref="EU26" si="77">ET26*($F$2+1)</f>
        <v>9259.036123014168</v>
      </c>
      <c r="EV26" s="25">
        <f t="shared" ref="EV26" si="78">EU26*($F$2+1)</f>
        <v>9073.8554005538845</v>
      </c>
      <c r="EW26" s="25">
        <f t="shared" ref="EW26" si="79">EV26*($F$2+1)</f>
        <v>8892.3782925428059</v>
      </c>
      <c r="EX26" s="25">
        <f t="shared" ref="EX26" si="80">EW26*($F$2+1)</f>
        <v>8714.5307266919499</v>
      </c>
      <c r="EY26" s="25">
        <f t="shared" ref="EY26" si="81">EX26*($F$2+1)</f>
        <v>8540.2401121581115</v>
      </c>
      <c r="EZ26" s="25">
        <f t="shared" ref="EZ26" si="82">EY26*($F$2+1)</f>
        <v>8369.4353099149484</v>
      </c>
      <c r="FA26" s="25">
        <f t="shared" ref="FA26" si="83">EZ26*($F$2+1)</f>
        <v>8202.0466037166498</v>
      </c>
      <c r="FB26" s="25">
        <f t="shared" ref="FB26" si="84">FA26*($F$2+1)</f>
        <v>8038.0056716423169</v>
      </c>
      <c r="FC26" s="25">
        <f t="shared" ref="FC26" si="85">FB26*($F$2+1)</f>
        <v>7877.2455582094708</v>
      </c>
      <c r="FD26" s="25">
        <f t="shared" ref="FD26" si="86">FC26*($F$2+1)</f>
        <v>7719.7006470452816</v>
      </c>
      <c r="FE26" s="25">
        <f t="shared" ref="FE26" si="87">FD26*($F$2+1)</f>
        <v>7565.3066341043759</v>
      </c>
      <c r="FF26" s="25">
        <f t="shared" ref="FF26" si="88">FE26*($F$2+1)</f>
        <v>7414.0005014222879</v>
      </c>
      <c r="FG26" s="25">
        <f t="shared" ref="FG26" si="89">FF26*($F$2+1)</f>
        <v>7265.7204913938422</v>
      </c>
      <c r="FH26" s="25">
        <f t="shared" ref="FH26" si="90">FG26*($F$2+1)</f>
        <v>7120.406081565965</v>
      </c>
      <c r="FI26" s="25">
        <f t="shared" ref="FI26" si="91">FH26*($F$2+1)</f>
        <v>6977.9979599346452</v>
      </c>
      <c r="FJ26" s="25">
        <f t="shared" ref="FJ26" si="92">FI26*($F$2+1)</f>
        <v>6838.4380007359523</v>
      </c>
      <c r="FK26" s="25">
        <f t="shared" ref="FK26" si="93">FJ26*($F$2+1)</f>
        <v>6701.6692407212331</v>
      </c>
      <c r="FL26" s="25">
        <f t="shared" ref="FL26" si="94">FK26*($F$2+1)</f>
        <v>6567.6358559068085</v>
      </c>
      <c r="FM26" s="25">
        <f t="shared" ref="FM26" si="95">FL26*($F$2+1)</f>
        <v>6436.2831387886727</v>
      </c>
      <c r="FN26" s="25">
        <f t="shared" ref="FN26" si="96">FM26*($F$2+1)</f>
        <v>6307.5574760128993</v>
      </c>
      <c r="FO26" s="25">
        <f t="shared" ref="FO26" si="97">FN26*($F$2+1)</f>
        <v>6181.4063264926408</v>
      </c>
      <c r="FP26" s="25">
        <f t="shared" ref="FP26" si="98">FO26*($F$2+1)</f>
        <v>6057.7781999627878</v>
      </c>
      <c r="FQ26" s="25">
        <f t="shared" ref="FQ26" si="99">FP26*($F$2+1)</f>
        <v>5936.622635963532</v>
      </c>
      <c r="FR26" s="25">
        <f t="shared" ref="FR26" si="100">FQ26*($F$2+1)</f>
        <v>5817.8901832442616</v>
      </c>
      <c r="FS26" s="25">
        <f t="shared" ref="FS26" si="101">FR26*($F$2+1)</f>
        <v>5701.5323795793765</v>
      </c>
      <c r="FT26" s="25">
        <f t="shared" ref="FT26" si="102">FS26*($F$2+1)</f>
        <v>5587.5017319877888</v>
      </c>
      <c r="FU26" s="25">
        <f t="shared" ref="FU26" si="103">FT26*($F$2+1)</f>
        <v>5475.7516973480333</v>
      </c>
    </row>
    <row r="27" spans="1:177" s="61" customFormat="1" x14ac:dyDescent="0.15">
      <c r="A27" s="61" t="s">
        <v>20</v>
      </c>
      <c r="B27" s="62">
        <f>B26/B28</f>
        <v>6.6158740790354988</v>
      </c>
      <c r="C27" s="62">
        <f>C26/C28</f>
        <v>9.3953897589301434</v>
      </c>
      <c r="D27" s="62">
        <f t="shared" ref="D27:E27" si="104">D26/D28</f>
        <v>8.4715371778231034</v>
      </c>
      <c r="E27" s="62">
        <f t="shared" si="104"/>
        <v>9.3287671232876708</v>
      </c>
      <c r="F27" s="62">
        <f t="shared" ref="F27:H27" si="105">F26/F28</f>
        <v>12.279496699669966</v>
      </c>
      <c r="G27" s="62">
        <f t="shared" si="105"/>
        <v>3.0559423383898667</v>
      </c>
      <c r="H27" s="62">
        <f t="shared" si="105"/>
        <v>3.3269162422715448</v>
      </c>
      <c r="I27" s="63">
        <f t="shared" ref="I27:Q27" si="106">I26/I28</f>
        <v>3.1838579521143777</v>
      </c>
      <c r="J27" s="63">
        <f t="shared" si="106"/>
        <v>3.3266616496961365</v>
      </c>
      <c r="K27" s="63">
        <f t="shared" si="106"/>
        <v>3.5285571743716169</v>
      </c>
      <c r="L27" s="63">
        <f t="shared" si="106"/>
        <v>3.80542086355883</v>
      </c>
      <c r="M27" s="63">
        <f t="shared" si="106"/>
        <v>4.1771320108120982</v>
      </c>
      <c r="N27" s="63">
        <f t="shared" si="106"/>
        <v>4.4651233271058688</v>
      </c>
      <c r="O27" s="63">
        <f t="shared" si="106"/>
        <v>4.7539068377295886</v>
      </c>
      <c r="P27" s="63">
        <f t="shared" si="106"/>
        <v>5.0437468418205578</v>
      </c>
      <c r="Q27" s="63">
        <f t="shared" si="106"/>
        <v>5.3349013416207667</v>
      </c>
      <c r="R27" s="63">
        <f t="shared" ref="R27:S27" si="107">R26/R28</f>
        <v>5.627622485616059</v>
      </c>
      <c r="S27" s="63">
        <f t="shared" si="107"/>
        <v>5.9221569923394179</v>
      </c>
      <c r="T27" s="63">
        <f t="shared" ref="T27:W27" si="108">T26/T28</f>
        <v>6.2187465558568986</v>
      </c>
      <c r="U27" s="63">
        <f t="shared" si="108"/>
        <v>6.5176282339049676</v>
      </c>
      <c r="V27" s="63">
        <f t="shared" si="108"/>
        <v>6.8190348196007129</v>
      </c>
      <c r="W27" s="63">
        <f t="shared" si="108"/>
        <v>7.1231951976014765</v>
      </c>
    </row>
    <row r="28" spans="1:177" x14ac:dyDescent="0.15">
      <c r="A28" s="3" t="s">
        <v>21</v>
      </c>
      <c r="B28" s="23">
        <f>Reports!E21</f>
        <v>5972</v>
      </c>
      <c r="C28" s="23">
        <f>Reports!I21</f>
        <v>5683</v>
      </c>
      <c r="D28" s="23">
        <f>Reports!M21</f>
        <v>5393</v>
      </c>
      <c r="E28" s="23">
        <f>Reports!Q21</f>
        <v>5183</v>
      </c>
      <c r="F28" s="23">
        <f>Reports!U21</f>
        <v>4848</v>
      </c>
      <c r="G28" s="9">
        <f>Reports!Y21</f>
        <v>18081.492999999999</v>
      </c>
      <c r="H28" s="9">
        <f>Reports!AC21</f>
        <v>17256.521000000001</v>
      </c>
      <c r="I28" s="9">
        <f>H28</f>
        <v>17256.521000000001</v>
      </c>
      <c r="J28" s="9">
        <f t="shared" ref="J28:W28" si="109">I28</f>
        <v>17256.521000000001</v>
      </c>
      <c r="K28" s="9">
        <f t="shared" si="109"/>
        <v>17256.521000000001</v>
      </c>
      <c r="L28" s="9">
        <f t="shared" si="109"/>
        <v>17256.521000000001</v>
      </c>
      <c r="M28" s="9">
        <f t="shared" si="109"/>
        <v>17256.521000000001</v>
      </c>
      <c r="N28" s="9">
        <f t="shared" si="109"/>
        <v>17256.521000000001</v>
      </c>
      <c r="O28" s="9">
        <f t="shared" si="109"/>
        <v>17256.521000000001</v>
      </c>
      <c r="P28" s="9">
        <f t="shared" si="109"/>
        <v>17256.521000000001</v>
      </c>
      <c r="Q28" s="9">
        <f t="shared" si="109"/>
        <v>17256.521000000001</v>
      </c>
      <c r="R28" s="9">
        <f t="shared" si="109"/>
        <v>17256.521000000001</v>
      </c>
      <c r="S28" s="9">
        <f t="shared" si="109"/>
        <v>17256.521000000001</v>
      </c>
      <c r="T28" s="9">
        <f t="shared" si="109"/>
        <v>17256.521000000001</v>
      </c>
      <c r="U28" s="9">
        <f t="shared" si="109"/>
        <v>17256.521000000001</v>
      </c>
      <c r="V28" s="9">
        <f t="shared" si="109"/>
        <v>17256.521000000001</v>
      </c>
      <c r="W28" s="9">
        <f t="shared" si="109"/>
        <v>17256.521000000001</v>
      </c>
    </row>
    <row r="29" spans="1:177" x14ac:dyDescent="0.15">
      <c r="B29" s="23"/>
      <c r="C29" s="23"/>
      <c r="D29" s="23"/>
      <c r="E29" s="23"/>
      <c r="F29" s="2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77" s="2" customFormat="1" x14ac:dyDescent="0.15">
      <c r="A30" s="2" t="s">
        <v>23</v>
      </c>
      <c r="B30" s="12"/>
      <c r="C30" s="26">
        <f t="shared" ref="C30:W30" si="110">C16/B16-1</f>
        <v>0.27856341803659834</v>
      </c>
      <c r="D30" s="26">
        <f t="shared" si="110"/>
        <v>-7.7342061913013738E-2</v>
      </c>
      <c r="E30" s="26">
        <f t="shared" si="110"/>
        <v>6.304518199398057E-2</v>
      </c>
      <c r="F30" s="26">
        <f t="shared" si="110"/>
        <v>0.15861957650261305</v>
      </c>
      <c r="G30" s="26">
        <f t="shared" si="110"/>
        <v>-2.04107758052674E-2</v>
      </c>
      <c r="H30" s="26">
        <f t="shared" si="110"/>
        <v>5.5120803769784787E-2</v>
      </c>
      <c r="I30" s="26">
        <f t="shared" si="110"/>
        <v>6.0505254721963997E-2</v>
      </c>
      <c r="J30" s="26">
        <f t="shared" si="110"/>
        <v>7.1482200404912488E-2</v>
      </c>
      <c r="K30" s="26">
        <f t="shared" si="110"/>
        <v>8.3099798311395245E-2</v>
      </c>
      <c r="L30" s="26">
        <f t="shared" si="110"/>
        <v>9.5158509443235006E-2</v>
      </c>
      <c r="M30" s="26">
        <f t="shared" si="110"/>
        <v>0.10742460531132458</v>
      </c>
      <c r="N30" s="26">
        <f t="shared" si="110"/>
        <v>2.0000000000000018E-2</v>
      </c>
      <c r="O30" s="26">
        <f t="shared" si="110"/>
        <v>2.0000000000000018E-2</v>
      </c>
      <c r="P30" s="26">
        <f t="shared" si="110"/>
        <v>2.0000000000000018E-2</v>
      </c>
      <c r="Q30" s="26">
        <f t="shared" si="110"/>
        <v>2.0000000000000018E-2</v>
      </c>
      <c r="R30" s="26">
        <f t="shared" si="110"/>
        <v>2.0000000000000018E-2</v>
      </c>
      <c r="S30" s="26">
        <f t="shared" si="110"/>
        <v>2.0000000000000018E-2</v>
      </c>
      <c r="T30" s="26">
        <f t="shared" si="110"/>
        <v>2.0000000000000018E-2</v>
      </c>
      <c r="U30" s="26">
        <f t="shared" si="110"/>
        <v>2.0000000000000018E-2</v>
      </c>
      <c r="V30" s="26">
        <f t="shared" si="110"/>
        <v>2.0000000000000018E-2</v>
      </c>
      <c r="W30" s="26">
        <f t="shared" si="110"/>
        <v>2.0000000000000018E-2</v>
      </c>
    </row>
    <row r="31" spans="1:177" x14ac:dyDescent="0.15">
      <c r="A31" s="3" t="s">
        <v>62</v>
      </c>
      <c r="B31" s="7"/>
      <c r="C31" s="27">
        <f t="shared" ref="C31:W31" si="111">C19/B19-1</f>
        <v>0.33537493792418482</v>
      </c>
      <c r="D31" s="27">
        <f t="shared" si="111"/>
        <v>0.24519647948431889</v>
      </c>
      <c r="E31" s="27">
        <f t="shared" si="111"/>
        <v>0.15291189646590353</v>
      </c>
      <c r="F31" s="27">
        <f t="shared" si="111"/>
        <v>0.22925481391935065</v>
      </c>
      <c r="G31" s="27">
        <f t="shared" si="111"/>
        <v>0.13915425681371163</v>
      </c>
      <c r="H31" s="27">
        <f t="shared" si="111"/>
        <v>0.15631744465684161</v>
      </c>
      <c r="I31" s="27">
        <f t="shared" si="111"/>
        <v>0.14999999999999991</v>
      </c>
      <c r="J31" s="27">
        <f t="shared" si="111"/>
        <v>0.14999999999999991</v>
      </c>
      <c r="K31" s="27">
        <f t="shared" si="111"/>
        <v>0.14999999999999991</v>
      </c>
      <c r="L31" s="27">
        <f t="shared" si="111"/>
        <v>0.15000000000000013</v>
      </c>
      <c r="M31" s="27">
        <f t="shared" si="111"/>
        <v>0.14999999999999991</v>
      </c>
      <c r="N31" s="27">
        <f t="shared" si="111"/>
        <v>-2.0000000000000018E-2</v>
      </c>
      <c r="O31" s="27">
        <f t="shared" si="111"/>
        <v>-1.9999999999999907E-2</v>
      </c>
      <c r="P31" s="27">
        <f t="shared" si="111"/>
        <v>-2.0000000000000129E-2</v>
      </c>
      <c r="Q31" s="27">
        <f t="shared" si="111"/>
        <v>-2.0000000000000018E-2</v>
      </c>
      <c r="R31" s="27">
        <f t="shared" si="111"/>
        <v>-1.9999999999999907E-2</v>
      </c>
      <c r="S31" s="27">
        <f t="shared" si="111"/>
        <v>-1.9999999999999907E-2</v>
      </c>
      <c r="T31" s="27">
        <f t="shared" si="111"/>
        <v>-2.0000000000000018E-2</v>
      </c>
      <c r="U31" s="27">
        <f t="shared" si="111"/>
        <v>-2.0000000000000018E-2</v>
      </c>
      <c r="V31" s="27">
        <f t="shared" si="111"/>
        <v>-2.0000000000000018E-2</v>
      </c>
      <c r="W31" s="27">
        <f t="shared" si="111"/>
        <v>-2.0000000000000018E-2</v>
      </c>
    </row>
    <row r="32" spans="1:177" s="2" customFormat="1" x14ac:dyDescent="0.15">
      <c r="A32" s="3" t="s">
        <v>63</v>
      </c>
      <c r="B32" s="12"/>
      <c r="C32" s="27">
        <f t="shared" ref="C32:W32" si="112">C20/B20-1</f>
        <v>0.19478028850162588</v>
      </c>
      <c r="D32" s="27">
        <f t="shared" si="112"/>
        <v>-9.4214529974178118E-3</v>
      </c>
      <c r="E32" s="27">
        <f t="shared" si="112"/>
        <v>7.5172608144286279E-2</v>
      </c>
      <c r="F32" s="27">
        <f t="shared" si="112"/>
        <v>9.4620273900792862E-2</v>
      </c>
      <c r="G32" s="27">
        <f t="shared" si="112"/>
        <v>9.2187967674348892E-2</v>
      </c>
      <c r="H32" s="27">
        <f t="shared" si="112"/>
        <v>9.1586736092080123E-2</v>
      </c>
      <c r="I32" s="27">
        <f t="shared" si="112"/>
        <v>0.10000000000000009</v>
      </c>
      <c r="J32" s="27">
        <f t="shared" si="112"/>
        <v>0.10000000000000009</v>
      </c>
      <c r="K32" s="27">
        <f t="shared" si="112"/>
        <v>0.10000000000000009</v>
      </c>
      <c r="L32" s="27">
        <f t="shared" si="112"/>
        <v>0.10000000000000009</v>
      </c>
      <c r="M32" s="27">
        <f t="shared" si="112"/>
        <v>0.10000000000000009</v>
      </c>
      <c r="N32" s="27">
        <f t="shared" si="112"/>
        <v>-5.0000000000000044E-2</v>
      </c>
      <c r="O32" s="27">
        <f t="shared" si="112"/>
        <v>-4.9999999999999933E-2</v>
      </c>
      <c r="P32" s="27">
        <f t="shared" si="112"/>
        <v>-5.0000000000000044E-2</v>
      </c>
      <c r="Q32" s="27">
        <f t="shared" si="112"/>
        <v>-4.9999999999999933E-2</v>
      </c>
      <c r="R32" s="27">
        <f t="shared" si="112"/>
        <v>-5.0000000000000044E-2</v>
      </c>
      <c r="S32" s="27">
        <f t="shared" si="112"/>
        <v>-5.0000000000000044E-2</v>
      </c>
      <c r="T32" s="27">
        <f t="shared" si="112"/>
        <v>-5.0000000000000044E-2</v>
      </c>
      <c r="U32" s="27">
        <f t="shared" si="112"/>
        <v>-5.0000000000000044E-2</v>
      </c>
      <c r="V32" s="27">
        <f t="shared" si="112"/>
        <v>-5.0000000000000155E-2</v>
      </c>
      <c r="W32" s="27">
        <f t="shared" si="112"/>
        <v>-5.0000000000000044E-2</v>
      </c>
    </row>
    <row r="33" spans="1:23" s="77" customFormat="1" x14ac:dyDescent="0.15">
      <c r="A33" s="6" t="s">
        <v>119</v>
      </c>
      <c r="B33" s="75"/>
      <c r="C33" s="76">
        <f>C21/B21-1</f>
        <v>0.24187645558389703</v>
      </c>
      <c r="D33" s="76">
        <f t="shared" ref="D33:W33" si="113">D21/C21-1</f>
        <v>8.229148062153957E-2</v>
      </c>
      <c r="E33" s="76">
        <f t="shared" si="113"/>
        <v>0.1073889186847643</v>
      </c>
      <c r="F33" s="76">
        <f t="shared" si="113"/>
        <v>0.15270844199389022</v>
      </c>
      <c r="G33" s="76">
        <f t="shared" si="113"/>
        <v>0.11379722698038197</v>
      </c>
      <c r="H33" s="76">
        <f t="shared" si="113"/>
        <v>0.12204747257849236</v>
      </c>
      <c r="I33" s="76">
        <f t="shared" si="113"/>
        <v>0.1242474397434572</v>
      </c>
      <c r="J33" s="76">
        <f t="shared" si="113"/>
        <v>0.1248028634259899</v>
      </c>
      <c r="K33" s="76">
        <f t="shared" si="113"/>
        <v>0.12535848179921083</v>
      </c>
      <c r="L33" s="76">
        <f t="shared" si="113"/>
        <v>0.12591374618909712</v>
      </c>
      <c r="M33" s="76">
        <f t="shared" si="113"/>
        <v>0.12646810931861285</v>
      </c>
      <c r="N33" s="76">
        <f t="shared" si="113"/>
        <v>-3.3787383523098735E-2</v>
      </c>
      <c r="O33" s="76">
        <f t="shared" si="113"/>
        <v>-3.3556037380988779E-2</v>
      </c>
      <c r="P33" s="76">
        <f t="shared" si="113"/>
        <v>-3.3325382546795623E-2</v>
      </c>
      <c r="Q33" s="76">
        <f t="shared" si="113"/>
        <v>-3.3095526861776303E-2</v>
      </c>
      <c r="R33" s="76">
        <f t="shared" si="113"/>
        <v>-3.2866576651889079E-2</v>
      </c>
      <c r="S33" s="76">
        <f t="shared" si="113"/>
        <v>-3.2638636535773147E-2</v>
      </c>
      <c r="T33" s="76">
        <f t="shared" si="113"/>
        <v>-3.241180923950393E-2</v>
      </c>
      <c r="U33" s="76">
        <f t="shared" si="113"/>
        <v>-3.2186195418798191E-2</v>
      </c>
      <c r="V33" s="76">
        <f t="shared" si="113"/>
        <v>-3.1961893489283133E-2</v>
      </c>
      <c r="W33" s="76">
        <f t="shared" si="113"/>
        <v>-3.1738999465402928E-2</v>
      </c>
    </row>
    <row r="34" spans="1:23" x14ac:dyDescent="0.15">
      <c r="B34" s="23"/>
      <c r="C34" s="23"/>
      <c r="D34" s="23"/>
      <c r="E34" s="23"/>
      <c r="F34" s="2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15">
      <c r="A35" s="3" t="s">
        <v>11</v>
      </c>
      <c r="B35" s="28">
        <f t="shared" ref="B35:Q35" si="114">B18/B16</f>
        <v>0.38588035777783858</v>
      </c>
      <c r="C35" s="28">
        <f t="shared" si="114"/>
        <v>0.40059902017414373</v>
      </c>
      <c r="D35" s="28">
        <f t="shared" si="114"/>
        <v>0.39075955648097049</v>
      </c>
      <c r="E35" s="28">
        <f t="shared" si="114"/>
        <v>0.38469860491899105</v>
      </c>
      <c r="F35" s="28">
        <f t="shared" si="114"/>
        <v>0.38343718820007905</v>
      </c>
      <c r="G35" s="28">
        <f>G18/G16</f>
        <v>0.37817768109034722</v>
      </c>
      <c r="H35" s="28">
        <f>H18/H16</f>
        <v>0.38233247727810865</v>
      </c>
      <c r="I35" s="28">
        <f t="shared" si="114"/>
        <v>0.38233247727810865</v>
      </c>
      <c r="J35" s="28">
        <f t="shared" si="114"/>
        <v>0.38233247727810865</v>
      </c>
      <c r="K35" s="28">
        <f t="shared" si="114"/>
        <v>0.38233247727810865</v>
      </c>
      <c r="L35" s="28">
        <f t="shared" si="114"/>
        <v>0.38233247727810871</v>
      </c>
      <c r="M35" s="28">
        <f t="shared" si="114"/>
        <v>0.38233247727810871</v>
      </c>
      <c r="N35" s="28">
        <f t="shared" si="114"/>
        <v>0.38233247727810865</v>
      </c>
      <c r="O35" s="28">
        <f t="shared" si="114"/>
        <v>0.38233247727810865</v>
      </c>
      <c r="P35" s="28">
        <f t="shared" si="114"/>
        <v>0.38233247727810865</v>
      </c>
      <c r="Q35" s="28">
        <f t="shared" si="114"/>
        <v>0.38233247727810865</v>
      </c>
      <c r="R35" s="28">
        <f t="shared" ref="R35:S35" si="115">R18/R16</f>
        <v>0.38233247727810865</v>
      </c>
      <c r="S35" s="28">
        <f t="shared" si="115"/>
        <v>0.38233247727810865</v>
      </c>
      <c r="T35" s="28">
        <f t="shared" ref="T35:W35" si="116">T18/T16</f>
        <v>0.38233247727810871</v>
      </c>
      <c r="U35" s="28">
        <f t="shared" si="116"/>
        <v>0.38233247727810871</v>
      </c>
      <c r="V35" s="28">
        <f t="shared" si="116"/>
        <v>0.38233247727810871</v>
      </c>
      <c r="W35" s="28">
        <f t="shared" si="116"/>
        <v>0.38233247727810871</v>
      </c>
    </row>
    <row r="36" spans="1:23" x14ac:dyDescent="0.15">
      <c r="A36" s="3" t="s">
        <v>15</v>
      </c>
      <c r="B36" s="27">
        <f t="shared" ref="B36:Q36" si="117">B22/B16</f>
        <v>0.28722339232473537</v>
      </c>
      <c r="C36" s="27">
        <f t="shared" si="117"/>
        <v>0.30477290717326661</v>
      </c>
      <c r="D36" s="27">
        <f t="shared" si="117"/>
        <v>0.27835410106706115</v>
      </c>
      <c r="E36" s="27">
        <f t="shared" si="117"/>
        <v>0.26760428208729942</v>
      </c>
      <c r="F36" s="27">
        <f t="shared" si="117"/>
        <v>0.26694026619477024</v>
      </c>
      <c r="G36" s="27">
        <f t="shared" si="117"/>
        <v>0.24572017188496928</v>
      </c>
      <c r="H36" s="27">
        <f t="shared" si="117"/>
        <v>0.24147314354406862</v>
      </c>
      <c r="I36" s="27">
        <f t="shared" si="117"/>
        <v>0.23300672466221836</v>
      </c>
      <c r="J36" s="27">
        <f t="shared" si="117"/>
        <v>0.22557575834976656</v>
      </c>
      <c r="K36" s="27">
        <f t="shared" si="117"/>
        <v>0.21945967137411679</v>
      </c>
      <c r="L36" s="27">
        <f t="shared" si="117"/>
        <v>0.21488572918963178</v>
      </c>
      <c r="M36" s="27">
        <f t="shared" si="117"/>
        <v>0.2120062800578926</v>
      </c>
      <c r="N36" s="27">
        <f t="shared" si="117"/>
        <v>0.22098804524800505</v>
      </c>
      <c r="O36" s="27">
        <f t="shared" si="117"/>
        <v>0.22945958292743501</v>
      </c>
      <c r="P36" s="27">
        <f t="shared" si="117"/>
        <v>0.23745174525320517</v>
      </c>
      <c r="Q36" s="27">
        <f t="shared" si="117"/>
        <v>0.24499343035024645</v>
      </c>
      <c r="R36" s="27">
        <f t="shared" ref="R36:S36" si="118">R22/R16</f>
        <v>0.25211171000878491</v>
      </c>
      <c r="S36" s="27">
        <f t="shared" si="118"/>
        <v>0.25883194886927452</v>
      </c>
      <c r="T36" s="27">
        <f t="shared" ref="T36:W36" si="119">T22/T16</f>
        <v>0.26517791566921745</v>
      </c>
      <c r="U36" s="27">
        <f t="shared" si="119"/>
        <v>0.27117188708718337</v>
      </c>
      <c r="V36" s="27">
        <f t="shared" si="119"/>
        <v>0.27683474468297425</v>
      </c>
      <c r="W36" s="27">
        <f t="shared" si="119"/>
        <v>0.28218606539899477</v>
      </c>
    </row>
    <row r="37" spans="1:23" x14ac:dyDescent="0.15">
      <c r="A37" s="3" t="s">
        <v>22</v>
      </c>
      <c r="B37" s="27">
        <f>B25/B24</f>
        <v>0.26126058747639436</v>
      </c>
      <c r="C37" s="27">
        <f>C25/C24</f>
        <v>0.26368337585327173</v>
      </c>
      <c r="D37" s="27">
        <f t="shared" ref="D37:E37" si="120">D25/D24</f>
        <v>0.25557257381216192</v>
      </c>
      <c r="E37" s="27">
        <f t="shared" si="120"/>
        <v>0.24556476150353415</v>
      </c>
      <c r="F37" s="27">
        <f>F25/F24</f>
        <v>0.18342180705869443</v>
      </c>
      <c r="G37" s="27">
        <f>G25/G24</f>
        <v>0.15943836804235059</v>
      </c>
      <c r="H37" s="27">
        <f t="shared" ref="H37:Q37" si="121">H25/H24</f>
        <v>0.14428164731484103</v>
      </c>
      <c r="I37" s="27">
        <f t="shared" si="121"/>
        <v>0.2</v>
      </c>
      <c r="J37" s="27">
        <f t="shared" si="121"/>
        <v>0.2</v>
      </c>
      <c r="K37" s="27">
        <f t="shared" si="121"/>
        <v>0.2</v>
      </c>
      <c r="L37" s="27">
        <f t="shared" si="121"/>
        <v>0.19999999999999998</v>
      </c>
      <c r="M37" s="27">
        <f t="shared" si="121"/>
        <v>0.2</v>
      </c>
      <c r="N37" s="27">
        <f t="shared" si="121"/>
        <v>0.2</v>
      </c>
      <c r="O37" s="27">
        <f t="shared" si="121"/>
        <v>0.2</v>
      </c>
      <c r="P37" s="27">
        <f t="shared" si="121"/>
        <v>0.20000000000000004</v>
      </c>
      <c r="Q37" s="27">
        <f t="shared" si="121"/>
        <v>0.20000000000000004</v>
      </c>
      <c r="R37" s="27">
        <f t="shared" ref="R37:S37" si="122">R25/R24</f>
        <v>0.2</v>
      </c>
      <c r="S37" s="27">
        <f t="shared" si="122"/>
        <v>0.2</v>
      </c>
      <c r="T37" s="27">
        <f t="shared" ref="T37:W37" si="123">T25/T24</f>
        <v>0.2</v>
      </c>
      <c r="U37" s="27">
        <f t="shared" si="123"/>
        <v>0.2</v>
      </c>
      <c r="V37" s="27">
        <f t="shared" si="123"/>
        <v>0.2</v>
      </c>
      <c r="W37" s="27">
        <f t="shared" si="123"/>
        <v>0.2</v>
      </c>
    </row>
    <row r="38" spans="1:23" x14ac:dyDescent="0.15">
      <c r="B38" s="7"/>
      <c r="C38" s="7"/>
      <c r="D38" s="7"/>
    </row>
    <row r="39" spans="1:23" s="2" customFormat="1" x14ac:dyDescent="0.15">
      <c r="A39" s="2" t="s">
        <v>24</v>
      </c>
      <c r="B39" s="60"/>
      <c r="C39" s="60"/>
      <c r="D39" s="60"/>
      <c r="E39" s="29">
        <f>E40-E41</f>
        <v>165192</v>
      </c>
      <c r="F39" s="29">
        <f>F40-F41</f>
        <v>134561</v>
      </c>
      <c r="G39" s="29">
        <f>G40-G41</f>
        <v>103831</v>
      </c>
      <c r="H39" s="29">
        <f>H40-H41</f>
        <v>84390</v>
      </c>
      <c r="I39" s="29">
        <f t="shared" ref="I39:Q39" si="124">H39+I26</f>
        <v>139332.31161167874</v>
      </c>
      <c r="J39" s="29">
        <f t="shared" si="124"/>
        <v>196738.91822955478</v>
      </c>
      <c r="K39" s="29">
        <f t="shared" si="124"/>
        <v>257629.53920879925</v>
      </c>
      <c r="L39" s="29">
        <f t="shared" si="124"/>
        <v>323297.86425464036</v>
      </c>
      <c r="M39" s="29">
        <f t="shared" si="124"/>
        <v>395380.63051899156</v>
      </c>
      <c r="N39" s="29">
        <f t="shared" si="124"/>
        <v>472433.12498078385</v>
      </c>
      <c r="O39" s="29">
        <f t="shared" si="124"/>
        <v>554469.01815810811</v>
      </c>
      <c r="P39" s="29">
        <f t="shared" si="124"/>
        <v>641506.54145266826</v>
      </c>
      <c r="Q39" s="29">
        <f t="shared" si="124"/>
        <v>733568.37848727521</v>
      </c>
      <c r="R39" s="29">
        <f t="shared" ref="R39:W39" si="125">Q39+R26</f>
        <v>830681.56409038091</v>
      </c>
      <c r="S39" s="29">
        <f t="shared" si="125"/>
        <v>932877.39059398288</v>
      </c>
      <c r="T39" s="29">
        <f t="shared" si="125"/>
        <v>1040191.3211288052</v>
      </c>
      <c r="U39" s="29">
        <f t="shared" si="125"/>
        <v>1152662.9096173791</v>
      </c>
      <c r="V39" s="29">
        <f t="shared" si="125"/>
        <v>1270335.7271815501</v>
      </c>
      <c r="W39" s="29">
        <f t="shared" si="125"/>
        <v>1393257.2946960591</v>
      </c>
    </row>
    <row r="40" spans="1:23" s="9" customFormat="1" x14ac:dyDescent="0.15">
      <c r="A40" s="9" t="s">
        <v>25</v>
      </c>
      <c r="B40" s="60"/>
      <c r="C40" s="60"/>
      <c r="D40" s="60"/>
      <c r="E40" s="60">
        <f>Reports!Q32</f>
        <v>268895</v>
      </c>
      <c r="F40" s="60">
        <f>Reports!U32</f>
        <v>237080</v>
      </c>
      <c r="G40" s="60">
        <f>Reports!Y32</f>
        <v>205898</v>
      </c>
      <c r="H40" s="60">
        <f>Reports!AC32</f>
        <v>191830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spans="1:23" s="9" customFormat="1" x14ac:dyDescent="0.15">
      <c r="A41" s="9" t="s">
        <v>27</v>
      </c>
      <c r="B41" s="60"/>
      <c r="C41" s="60"/>
      <c r="D41" s="60"/>
      <c r="E41" s="60">
        <f>Reports!Q33</f>
        <v>103703</v>
      </c>
      <c r="F41" s="60">
        <f>Reports!U33</f>
        <v>102519</v>
      </c>
      <c r="G41" s="60">
        <f>Reports!Y33</f>
        <v>102067</v>
      </c>
      <c r="H41" s="60">
        <f>Reports!AC33</f>
        <v>107440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</row>
    <row r="42" spans="1:23" s="9" customFormat="1" x14ac:dyDescent="0.15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9" customFormat="1" x14ac:dyDescent="0.15">
      <c r="A43" s="9" t="s">
        <v>100</v>
      </c>
      <c r="B43" s="60"/>
      <c r="C43" s="60"/>
      <c r="D43" s="60"/>
      <c r="E43" s="60">
        <f>Reports!Q35</f>
        <v>8015</v>
      </c>
      <c r="F43" s="60">
        <f>Reports!U35</f>
        <v>0</v>
      </c>
      <c r="G43" s="60">
        <f>Reports!Y35</f>
        <v>0</v>
      </c>
      <c r="H43" s="60">
        <f>Reports!AC35</f>
        <v>0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</row>
    <row r="44" spans="1:23" s="9" customFormat="1" x14ac:dyDescent="0.15">
      <c r="A44" s="9" t="s">
        <v>96</v>
      </c>
      <c r="B44" s="60"/>
      <c r="C44" s="60"/>
      <c r="D44" s="60"/>
      <c r="E44" s="60">
        <f>Reports!Q36</f>
        <v>375319</v>
      </c>
      <c r="F44" s="60">
        <f>Reports!U36</f>
        <v>365725</v>
      </c>
      <c r="G44" s="60">
        <f>Reports!Y36</f>
        <v>338516</v>
      </c>
      <c r="H44" s="60">
        <f>Reports!AC36</f>
        <v>323888</v>
      </c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</row>
    <row r="45" spans="1:23" s="9" customFormat="1" x14ac:dyDescent="0.15">
      <c r="A45" s="9" t="s">
        <v>103</v>
      </c>
      <c r="B45" s="60"/>
      <c r="C45" s="60"/>
      <c r="D45" s="60"/>
      <c r="E45" s="60">
        <f>Reports!Q37</f>
        <v>100814</v>
      </c>
      <c r="F45" s="60">
        <f>Reports!U37</f>
        <v>116866</v>
      </c>
      <c r="G45" s="60">
        <f>Reports!Y37</f>
        <v>248028</v>
      </c>
      <c r="H45" s="60">
        <f>Reports!AC37</f>
        <v>258549</v>
      </c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</row>
    <row r="46" spans="1:23" x14ac:dyDescent="0.1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3" x14ac:dyDescent="0.15">
      <c r="A47" s="3" t="s">
        <v>104</v>
      </c>
      <c r="B47" s="30"/>
      <c r="C47" s="30"/>
      <c r="D47" s="30"/>
      <c r="E47" s="41">
        <f>E44-E40-E43</f>
        <v>98409</v>
      </c>
      <c r="F47" s="41">
        <f>F44-F40-F43</f>
        <v>128645</v>
      </c>
      <c r="G47" s="41">
        <f>G44-G40-G43</f>
        <v>132618</v>
      </c>
      <c r="H47" s="41">
        <f>H44-H40-H43</f>
        <v>132058</v>
      </c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spans="1:23" x14ac:dyDescent="0.15">
      <c r="A48" s="3" t="s">
        <v>98</v>
      </c>
      <c r="B48" s="30"/>
      <c r="C48" s="30"/>
      <c r="D48" s="30"/>
      <c r="E48" s="41">
        <f t="shared" ref="E48" si="126">E44-E45</f>
        <v>274505</v>
      </c>
      <c r="F48" s="41">
        <f t="shared" ref="F48:G48" si="127">F44-F45</f>
        <v>248859</v>
      </c>
      <c r="G48" s="41">
        <f t="shared" si="127"/>
        <v>90488</v>
      </c>
      <c r="H48" s="41">
        <f t="shared" ref="H48" si="128">H44-H45</f>
        <v>65339</v>
      </c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spans="1:23" x14ac:dyDescent="0.15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spans="1:23" s="59" customFormat="1" x14ac:dyDescent="0.15">
      <c r="A50" s="59" t="s">
        <v>99</v>
      </c>
      <c r="B50" s="74"/>
      <c r="C50" s="74"/>
      <c r="D50" s="74"/>
      <c r="E50" s="74">
        <f>E26/E48</f>
        <v>0.17613886814447824</v>
      </c>
      <c r="F50" s="74">
        <f>F26/F48</f>
        <v>0.23921578082367928</v>
      </c>
      <c r="G50" s="74">
        <f>G26/G48</f>
        <v>0.61064450534877557</v>
      </c>
      <c r="H50" s="74">
        <f>H26/H48</f>
        <v>0.87866358530127486</v>
      </c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</row>
    <row r="51" spans="1:23" s="59" customFormat="1" x14ac:dyDescent="0.15">
      <c r="A51" s="59" t="s">
        <v>97</v>
      </c>
      <c r="B51" s="74"/>
      <c r="C51" s="74"/>
      <c r="D51" s="74"/>
      <c r="E51" s="74">
        <f>E26/E44</f>
        <v>0.12882641166580963</v>
      </c>
      <c r="F51" s="74">
        <f>F26/F44</f>
        <v>0.16277530931710985</v>
      </c>
      <c r="G51" s="74">
        <f>G26/G44</f>
        <v>0.16323009842961633</v>
      </c>
      <c r="H51" s="74">
        <f>H26/H44</f>
        <v>0.1772557180259843</v>
      </c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</row>
    <row r="52" spans="1:23" s="59" customFormat="1" x14ac:dyDescent="0.15">
      <c r="A52" s="59" t="s">
        <v>101</v>
      </c>
      <c r="B52" s="74"/>
      <c r="C52" s="74"/>
      <c r="D52" s="74"/>
      <c r="E52" s="74">
        <f>E26/(E48-E43)</f>
        <v>0.18143645164921759</v>
      </c>
      <c r="F52" s="74">
        <f>F26/(F48-F43)</f>
        <v>0.23921578082367928</v>
      </c>
      <c r="G52" s="74">
        <f>G26/(G48-G43)</f>
        <v>0.61064450534877557</v>
      </c>
      <c r="H52" s="74">
        <f>H26/(H48-H43)</f>
        <v>0.87866358530127486</v>
      </c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</row>
    <row r="53" spans="1:23" s="59" customFormat="1" x14ac:dyDescent="0.15">
      <c r="A53" s="59" t="s">
        <v>105</v>
      </c>
      <c r="B53" s="74"/>
      <c r="C53" s="74"/>
      <c r="D53" s="74"/>
      <c r="E53" s="74">
        <f>E26/E47</f>
        <v>0.49132701277322194</v>
      </c>
      <c r="F53" s="74">
        <f>F26/F47</f>
        <v>0.46275409071475765</v>
      </c>
      <c r="G53" s="74">
        <f>G26/G47</f>
        <v>0.41665535598485876</v>
      </c>
      <c r="H53" s="74">
        <f>H26/H47</f>
        <v>0.43474079571097546</v>
      </c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</row>
    <row r="54" spans="1:23" s="59" customFormat="1" x14ac:dyDescent="0.15"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</row>
    <row r="55" spans="1:23" s="59" customFormat="1" x14ac:dyDescent="0.15">
      <c r="A55" s="59" t="s">
        <v>78</v>
      </c>
      <c r="B55" s="31"/>
      <c r="C55" s="31">
        <f t="shared" ref="C55:F59" si="129">C10/B10-1</f>
        <v>0.52014393426870997</v>
      </c>
      <c r="D55" s="31">
        <f t="shared" si="129"/>
        <v>-0.11829774059764842</v>
      </c>
      <c r="E55" s="31">
        <f t="shared" si="129"/>
        <v>3.3789319678127372E-2</v>
      </c>
      <c r="F55" s="31">
        <f t="shared" si="129"/>
        <v>0.1795936852086415</v>
      </c>
      <c r="G55" s="31">
        <f t="shared" ref="G55:M55" si="130">G10/F10-1</f>
        <v>-0.14587969933832834</v>
      </c>
      <c r="H55" s="31">
        <f t="shared" si="130"/>
        <v>-3.2307681502447672E-2</v>
      </c>
      <c r="I55" s="31">
        <f t="shared" si="130"/>
        <v>-2.0000000000000018E-2</v>
      </c>
      <c r="J55" s="31">
        <f t="shared" si="130"/>
        <v>-2.0000000000000129E-2</v>
      </c>
      <c r="K55" s="31">
        <f t="shared" si="130"/>
        <v>-2.0000000000000018E-2</v>
      </c>
      <c r="L55" s="31">
        <f t="shared" si="130"/>
        <v>-2.0000000000000018E-2</v>
      </c>
      <c r="M55" s="31">
        <f t="shared" si="130"/>
        <v>-2.0000000000000018E-2</v>
      </c>
    </row>
    <row r="56" spans="1:23" s="59" customFormat="1" x14ac:dyDescent="0.15">
      <c r="A56" s="59" t="s">
        <v>79</v>
      </c>
      <c r="B56" s="31"/>
      <c r="C56" s="31">
        <f t="shared" si="129"/>
        <v>-0.23300201433147305</v>
      </c>
      <c r="D56" s="31">
        <f t="shared" si="129"/>
        <v>-0.11189563869634478</v>
      </c>
      <c r="E56" s="31">
        <f t="shared" si="129"/>
        <v>-6.8159782819468662E-2</v>
      </c>
      <c r="F56" s="31">
        <f t="shared" si="129"/>
        <v>-2.169389241494124E-2</v>
      </c>
      <c r="G56" s="31">
        <f t="shared" ref="G56:M56" si="131">G11/F11-1</f>
        <v>0.13161393246477004</v>
      </c>
      <c r="H56" s="31">
        <f t="shared" si="131"/>
        <v>0.11484962406015042</v>
      </c>
      <c r="I56" s="31">
        <f t="shared" si="131"/>
        <v>-2.0000000000000018E-2</v>
      </c>
      <c r="J56" s="31">
        <f t="shared" si="131"/>
        <v>-1.9999999999999907E-2</v>
      </c>
      <c r="K56" s="31">
        <f t="shared" si="131"/>
        <v>-1.9999999999999907E-2</v>
      </c>
      <c r="L56" s="31">
        <f t="shared" si="131"/>
        <v>-2.0000000000000018E-2</v>
      </c>
      <c r="M56" s="31">
        <f t="shared" si="131"/>
        <v>-2.0000000000000018E-2</v>
      </c>
    </row>
    <row r="57" spans="1:23" s="59" customFormat="1" x14ac:dyDescent="0.15">
      <c r="A57" s="59" t="s">
        <v>80</v>
      </c>
      <c r="B57" s="31"/>
      <c r="C57" s="31">
        <f t="shared" si="129"/>
        <v>5.7809709705552548E-2</v>
      </c>
      <c r="D57" s="31">
        <f t="shared" si="129"/>
        <v>-0.10364728514781518</v>
      </c>
      <c r="E57" s="31">
        <f t="shared" si="129"/>
        <v>0.13223249091148004</v>
      </c>
      <c r="F57" s="31">
        <f t="shared" si="129"/>
        <v>-1.4158607350096664E-2</v>
      </c>
      <c r="G57" s="31">
        <f t="shared" ref="G57:M57" si="132">G12/F12-1</f>
        <v>1.00455187568671E-2</v>
      </c>
      <c r="H57" s="31">
        <f t="shared" si="132"/>
        <v>0.11196581196581201</v>
      </c>
      <c r="I57" s="31">
        <f t="shared" si="132"/>
        <v>5.0000000000000044E-2</v>
      </c>
      <c r="J57" s="31">
        <f t="shared" si="132"/>
        <v>5.0000000000000044E-2</v>
      </c>
      <c r="K57" s="31">
        <f t="shared" si="132"/>
        <v>5.0000000000000044E-2</v>
      </c>
      <c r="L57" s="31">
        <f t="shared" si="132"/>
        <v>5.0000000000000044E-2</v>
      </c>
      <c r="M57" s="31">
        <f t="shared" si="132"/>
        <v>5.0000000000000044E-2</v>
      </c>
    </row>
    <row r="58" spans="1:23" s="59" customFormat="1" x14ac:dyDescent="0.15">
      <c r="A58" s="59" t="s">
        <v>81</v>
      </c>
      <c r="B58" s="31"/>
      <c r="C58" s="31">
        <f t="shared" si="129"/>
        <v>0.10219786303493339</v>
      </c>
      <c r="D58" s="31">
        <f t="shared" si="129"/>
        <v>0.22296448842232164</v>
      </c>
      <c r="E58" s="31">
        <f t="shared" si="129"/>
        <v>0.23131263348118947</v>
      </c>
      <c r="F58" s="31">
        <f t="shared" si="129"/>
        <v>0.24049366244162784</v>
      </c>
      <c r="G58" s="31">
        <f t="shared" ref="G58:M58" si="133">G13/F13-1</f>
        <v>0.24471632159182577</v>
      </c>
      <c r="H58" s="31">
        <f t="shared" si="133"/>
        <v>0.16152167807997242</v>
      </c>
      <c r="I58" s="31">
        <f t="shared" si="133"/>
        <v>0.19999999999999996</v>
      </c>
      <c r="J58" s="31">
        <f t="shared" si="133"/>
        <v>0.19999999999999996</v>
      </c>
      <c r="K58" s="31">
        <f t="shared" si="133"/>
        <v>0.19999999999999996</v>
      </c>
      <c r="L58" s="31">
        <f t="shared" si="133"/>
        <v>0.19999999999999996</v>
      </c>
      <c r="M58" s="31">
        <f t="shared" si="133"/>
        <v>0.19999999999999973</v>
      </c>
    </row>
    <row r="59" spans="1:23" s="59" customFormat="1" x14ac:dyDescent="0.15">
      <c r="A59" s="59" t="s">
        <v>82</v>
      </c>
      <c r="B59" s="31"/>
      <c r="C59" s="31">
        <f t="shared" si="129"/>
        <v>0.20145602100489324</v>
      </c>
      <c r="D59" s="31">
        <f t="shared" si="129"/>
        <v>0.10579119896692157</v>
      </c>
      <c r="E59" s="31">
        <f t="shared" si="129"/>
        <v>0.15549766439094492</v>
      </c>
      <c r="F59" s="31">
        <f t="shared" si="129"/>
        <v>0.35403871569618284</v>
      </c>
      <c r="G59" s="31">
        <f t="shared" ref="G59:M59" si="134">G14/F14-1</f>
        <v>0.40563816960440957</v>
      </c>
      <c r="H59" s="31">
        <f t="shared" si="134"/>
        <v>0.25071481088146386</v>
      </c>
      <c r="I59" s="31">
        <f t="shared" si="134"/>
        <v>0.25</v>
      </c>
      <c r="J59" s="31">
        <f t="shared" si="134"/>
        <v>0.25</v>
      </c>
      <c r="K59" s="31">
        <f t="shared" si="134"/>
        <v>0.25</v>
      </c>
      <c r="L59" s="31">
        <f t="shared" si="134"/>
        <v>0.25</v>
      </c>
      <c r="M59" s="31">
        <f t="shared" si="134"/>
        <v>0.25</v>
      </c>
    </row>
    <row r="60" spans="1:23" s="59" customFormat="1" x14ac:dyDescent="0.15"/>
    <row r="61" spans="1:23" s="59" customFormat="1" x14ac:dyDescent="0.15">
      <c r="A61" s="59" t="s">
        <v>91</v>
      </c>
      <c r="B61" s="32">
        <f>B10/B16</f>
        <v>0.55795289805519843</v>
      </c>
      <c r="C61" s="32">
        <f>C10/C16</f>
        <v>0.6633763344244058</v>
      </c>
      <c r="D61" s="32">
        <f t="shared" ref="D61:F61" si="135">D10/D16</f>
        <v>0.63392985498912535</v>
      </c>
      <c r="E61" s="32">
        <f t="shared" si="135"/>
        <v>0.61648359318425716</v>
      </c>
      <c r="F61" s="32">
        <f t="shared" si="135"/>
        <v>0.62764359268811531</v>
      </c>
      <c r="G61" s="32">
        <f t="shared" ref="G61:K61" si="136">G10/G16</f>
        <v>0.54725299222827795</v>
      </c>
      <c r="H61" s="32">
        <f t="shared" si="136"/>
        <v>0.50190699961750729</v>
      </c>
      <c r="I61" s="32">
        <f t="shared" si="136"/>
        <v>0.46380615035623929</v>
      </c>
      <c r="J61" s="32">
        <f t="shared" si="136"/>
        <v>0.42420679240154224</v>
      </c>
      <c r="K61" s="32">
        <f t="shared" si="136"/>
        <v>0.38382673249652804</v>
      </c>
      <c r="L61" s="32">
        <f t="shared" ref="L61:M61" si="137">L10/L16</f>
        <v>0.34346644307939278</v>
      </c>
      <c r="M61" s="32">
        <f t="shared" si="137"/>
        <v>0.3039458511247175</v>
      </c>
    </row>
    <row r="62" spans="1:23" s="59" customFormat="1" x14ac:dyDescent="0.15">
      <c r="A62" s="59" t="s">
        <v>92</v>
      </c>
      <c r="B62" s="32">
        <f>B11/B16</f>
        <v>0.1656664569599825</v>
      </c>
      <c r="C62" s="32">
        <f>C11/C16</f>
        <v>9.9381725605973081E-2</v>
      </c>
      <c r="D62" s="32">
        <f t="shared" ref="D62:F62" si="138">D11/D16</f>
        <v>9.5659875996457047E-2</v>
      </c>
      <c r="E62" s="32">
        <f t="shared" si="138"/>
        <v>8.3853180592756746E-2</v>
      </c>
      <c r="F62" s="32">
        <f t="shared" si="138"/>
        <v>7.0803290724599482E-2</v>
      </c>
      <c r="G62" s="32">
        <f t="shared" ref="G62:K62" si="139">G11/G16</f>
        <v>8.1791416513564003E-2</v>
      </c>
      <c r="H62" s="32">
        <f t="shared" si="139"/>
        <v>8.6421507021474234E-2</v>
      </c>
      <c r="I62" s="32">
        <f t="shared" si="139"/>
        <v>7.9861062926320905E-2</v>
      </c>
      <c r="J62" s="32">
        <f t="shared" si="139"/>
        <v>7.3042596170257074E-2</v>
      </c>
      <c r="K62" s="32">
        <f t="shared" si="139"/>
        <v>6.6089703237366779E-2</v>
      </c>
      <c r="L62" s="32">
        <f t="shared" ref="L62:M62" si="140">L11/L16</f>
        <v>5.9140214511547419E-2</v>
      </c>
      <c r="M62" s="32">
        <f t="shared" si="140"/>
        <v>5.2335310181249955E-2</v>
      </c>
    </row>
    <row r="63" spans="1:23" s="59" customFormat="1" x14ac:dyDescent="0.15">
      <c r="A63" s="59" t="s">
        <v>93</v>
      </c>
      <c r="B63" s="32">
        <f>B12/B16</f>
        <v>0.13172679777893267</v>
      </c>
      <c r="C63" s="32">
        <f>C12/C16</f>
        <v>0.10898316325439103</v>
      </c>
      <c r="D63" s="32">
        <f t="shared" ref="D63:E63" si="141">D12/D16</f>
        <v>0.10587602428132202</v>
      </c>
      <c r="E63" s="32">
        <f t="shared" si="141"/>
        <v>0.11276686704415576</v>
      </c>
      <c r="F63" s="32">
        <f>F12/F16</f>
        <v>9.5950601479696529E-2</v>
      </c>
      <c r="G63" s="32">
        <f t="shared" ref="G63:K63" si="142">G12/G16</f>
        <v>9.8933790463305332E-2</v>
      </c>
      <c r="H63" s="32">
        <f t="shared" si="142"/>
        <v>0.10426388357648944</v>
      </c>
      <c r="I63" s="32">
        <f t="shared" si="142"/>
        <v>0.10323105639303586</v>
      </c>
      <c r="J63" s="32">
        <f t="shared" si="142"/>
        <v>0.10116137176308308</v>
      </c>
      <c r="K63" s="32">
        <f t="shared" si="142"/>
        <v>9.8069855166475386E-2</v>
      </c>
      <c r="L63" s="32">
        <f t="shared" ref="L63:M63" si="143">L12/L16</f>
        <v>9.4025976182342361E-2</v>
      </c>
      <c r="M63" s="32">
        <f t="shared" si="143"/>
        <v>8.9150335397961286E-2</v>
      </c>
    </row>
    <row r="64" spans="1:23" s="59" customFormat="1" x14ac:dyDescent="0.15">
      <c r="A64" s="59" t="s">
        <v>94</v>
      </c>
      <c r="B64" s="32">
        <f>B13/B16</f>
        <v>9.8815613118520745E-2</v>
      </c>
      <c r="C64" s="32">
        <f>C13/C16</f>
        <v>8.518494747876687E-2</v>
      </c>
      <c r="D64" s="32">
        <f t="shared" ref="D64:F64" si="144">D13/D16</f>
        <v>0.11291092984107698</v>
      </c>
      <c r="E64" s="32">
        <f t="shared" si="144"/>
        <v>0.13078339164347347</v>
      </c>
      <c r="F64" s="32">
        <f t="shared" si="144"/>
        <v>0.14002522637850864</v>
      </c>
      <c r="G64" s="32">
        <f t="shared" ref="G64:K64" si="145">G13/G16</f>
        <v>0.17792323598822327</v>
      </c>
      <c r="H64" s="32">
        <f t="shared" si="145"/>
        <v>0.19586543540425841</v>
      </c>
      <c r="I64" s="32">
        <f t="shared" si="145"/>
        <v>0.22162881460378134</v>
      </c>
      <c r="J64" s="32">
        <f t="shared" si="145"/>
        <v>0.24821184843204444</v>
      </c>
      <c r="K64" s="32">
        <f t="shared" si="145"/>
        <v>0.27500163750637047</v>
      </c>
      <c r="L64" s="32">
        <f t="shared" ref="L64:M64" si="146">L13/L16</f>
        <v>0.30132803805306091</v>
      </c>
      <c r="M64" s="32">
        <f t="shared" si="146"/>
        <v>0.3265176192848091</v>
      </c>
    </row>
    <row r="65" spans="1:13" s="59" customFormat="1" x14ac:dyDescent="0.15">
      <c r="A65" s="59" t="s">
        <v>95</v>
      </c>
      <c r="B65" s="32">
        <f>B14/B16</f>
        <v>4.5838234087365627E-2</v>
      </c>
      <c r="C65" s="32">
        <f>C14/C16</f>
        <v>4.3073829236463211E-2</v>
      </c>
      <c r="D65" s="32">
        <f t="shared" ref="D65:F65" si="147">D14/D16</f>
        <v>5.1623314892018608E-2</v>
      </c>
      <c r="E65" s="32">
        <f t="shared" si="147"/>
        <v>5.6112967535356884E-2</v>
      </c>
      <c r="F65" s="32">
        <f t="shared" si="147"/>
        <v>6.5577288729079988E-2</v>
      </c>
      <c r="G65" s="32">
        <f t="shared" ref="G65:K65" si="148">G14/G16</f>
        <v>9.4098564806629412E-2</v>
      </c>
      <c r="H65" s="32">
        <f t="shared" si="148"/>
        <v>0.11154217438027066</v>
      </c>
      <c r="I65" s="32">
        <f t="shared" si="148"/>
        <v>0.13147291572062272</v>
      </c>
      <c r="J65" s="32">
        <f t="shared" si="148"/>
        <v>0.1533773912330732</v>
      </c>
      <c r="K65" s="32">
        <f t="shared" si="148"/>
        <v>0.17701207159325935</v>
      </c>
      <c r="L65" s="32">
        <f t="shared" ref="L65:M65" si="149">L14/L16</f>
        <v>0.20203932817365647</v>
      </c>
      <c r="M65" s="32">
        <f t="shared" si="149"/>
        <v>0.22805088401126211</v>
      </c>
    </row>
  </sheetData>
  <hyperlinks>
    <hyperlink ref="A4" r:id="rId1" xr:uid="{00000000-0004-0000-0000-000000000000}"/>
    <hyperlink ref="A7" r:id="rId2" xr:uid="{00000000-0004-0000-0000-000001000000}"/>
    <hyperlink ref="A8" r:id="rId3" xr:uid="{00000000-0004-0000-0000-000002000000}"/>
    <hyperlink ref="A1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6"/>
  <sheetViews>
    <sheetView zoomScale="130" zoomScaleNormal="130" workbookViewId="0">
      <pane xSplit="1" ySplit="2" topLeftCell="P3" activePane="bottomRight" state="frozen"/>
      <selection pane="topRight" activeCell="C1" sqref="C1"/>
      <selection pane="bottomLeft" activeCell="A3" sqref="A3"/>
      <selection pane="bottomRight" activeCell="AE27" sqref="AE27"/>
    </sheetView>
  </sheetViews>
  <sheetFormatPr baseColWidth="10" defaultRowHeight="13" x14ac:dyDescent="0.15"/>
  <cols>
    <col min="1" max="1" width="17.5" style="5" customWidth="1"/>
    <col min="2" max="5" width="10.83203125" style="18"/>
    <col min="6" max="6" width="10.83203125" style="35"/>
    <col min="7" max="9" width="10.83203125" style="18"/>
    <col min="10" max="10" width="10.83203125" style="35"/>
    <col min="11" max="13" width="10.83203125" style="18"/>
    <col min="14" max="14" width="10.83203125" style="35" customWidth="1"/>
    <col min="15" max="17" width="10.83203125" style="18"/>
    <col min="18" max="18" width="10.83203125" style="35"/>
    <col min="19" max="21" width="10.83203125" style="18"/>
    <col min="22" max="22" width="10.83203125" style="35"/>
    <col min="23" max="25" width="10.83203125" style="18"/>
    <col min="26" max="26" width="10.83203125" style="72"/>
    <col min="27" max="16384" width="10.83203125" style="3"/>
  </cols>
  <sheetData>
    <row r="1" spans="1:33" s="18" customFormat="1" x14ac:dyDescent="0.15">
      <c r="A1" s="65" t="s">
        <v>72</v>
      </c>
      <c r="B1" s="33" t="s">
        <v>86</v>
      </c>
      <c r="C1" s="33" t="s">
        <v>85</v>
      </c>
      <c r="D1" s="33" t="s">
        <v>84</v>
      </c>
      <c r="E1" s="33" t="s">
        <v>83</v>
      </c>
      <c r="F1" s="34" t="s">
        <v>1</v>
      </c>
      <c r="G1" s="33" t="s">
        <v>2</v>
      </c>
      <c r="H1" s="33" t="s">
        <v>3</v>
      </c>
      <c r="I1" s="33" t="s">
        <v>4</v>
      </c>
      <c r="J1" s="34" t="s">
        <v>5</v>
      </c>
      <c r="K1" s="33" t="s">
        <v>6</v>
      </c>
      <c r="L1" s="33" t="s">
        <v>7</v>
      </c>
      <c r="M1" s="33" t="s">
        <v>8</v>
      </c>
      <c r="N1" s="34" t="s">
        <v>28</v>
      </c>
      <c r="O1" s="33" t="s">
        <v>29</v>
      </c>
      <c r="P1" s="33" t="s">
        <v>30</v>
      </c>
      <c r="Q1" s="33" t="s">
        <v>31</v>
      </c>
      <c r="R1" s="34" t="s">
        <v>37</v>
      </c>
      <c r="S1" s="33" t="s">
        <v>38</v>
      </c>
      <c r="T1" s="33" t="s">
        <v>41</v>
      </c>
      <c r="U1" s="33" t="s">
        <v>43</v>
      </c>
      <c r="V1" s="34" t="s">
        <v>64</v>
      </c>
      <c r="W1" s="33" t="s">
        <v>65</v>
      </c>
      <c r="X1" s="33" t="s">
        <v>66</v>
      </c>
      <c r="Y1" s="33" t="s">
        <v>67</v>
      </c>
      <c r="Z1" s="35" t="s">
        <v>109</v>
      </c>
      <c r="AA1" s="18" t="s">
        <v>110</v>
      </c>
      <c r="AB1" s="18" t="s">
        <v>111</v>
      </c>
      <c r="AC1" s="18" t="s">
        <v>112</v>
      </c>
      <c r="AD1" s="18" t="s">
        <v>115</v>
      </c>
      <c r="AE1" s="18" t="s">
        <v>116</v>
      </c>
      <c r="AF1" s="18" t="s">
        <v>117</v>
      </c>
      <c r="AG1" s="18" t="s">
        <v>118</v>
      </c>
    </row>
    <row r="2" spans="1:33" s="18" customFormat="1" x14ac:dyDescent="0.15">
      <c r="A2" s="65"/>
      <c r="B2" s="18" t="s">
        <v>90</v>
      </c>
      <c r="C2" s="18" t="s">
        <v>89</v>
      </c>
      <c r="D2" s="18" t="s">
        <v>88</v>
      </c>
      <c r="E2" s="18" t="s">
        <v>87</v>
      </c>
      <c r="F2" s="35" t="s">
        <v>59</v>
      </c>
      <c r="G2" s="18" t="s">
        <v>58</v>
      </c>
      <c r="H2" s="18" t="s">
        <v>57</v>
      </c>
      <c r="I2" s="18" t="s">
        <v>56</v>
      </c>
      <c r="J2" s="35" t="s">
        <v>53</v>
      </c>
      <c r="K2" s="18" t="s">
        <v>52</v>
      </c>
      <c r="L2" s="18" t="s">
        <v>54</v>
      </c>
      <c r="M2" s="18" t="s">
        <v>55</v>
      </c>
      <c r="N2" s="35" t="s">
        <v>39</v>
      </c>
      <c r="O2" s="18" t="s">
        <v>51</v>
      </c>
      <c r="P2" s="18" t="s">
        <v>46</v>
      </c>
      <c r="Q2" s="18" t="s">
        <v>40</v>
      </c>
      <c r="R2" s="35" t="s">
        <v>60</v>
      </c>
      <c r="S2" s="18" t="s">
        <v>42</v>
      </c>
      <c r="T2" s="18" t="s">
        <v>44</v>
      </c>
      <c r="U2" s="18" t="s">
        <v>61</v>
      </c>
      <c r="V2" s="35" t="s">
        <v>108</v>
      </c>
      <c r="W2" s="67">
        <v>43554</v>
      </c>
      <c r="X2" s="67">
        <v>43645</v>
      </c>
      <c r="Y2" s="67">
        <v>43736</v>
      </c>
      <c r="Z2" s="70">
        <v>43827</v>
      </c>
      <c r="AA2" s="67">
        <v>43918</v>
      </c>
      <c r="AB2" s="67">
        <v>44009</v>
      </c>
      <c r="AC2" s="67">
        <v>44100</v>
      </c>
    </row>
    <row r="3" spans="1:33" s="9" customFormat="1" x14ac:dyDescent="0.15">
      <c r="A3" s="66" t="s">
        <v>47</v>
      </c>
      <c r="B3" s="33">
        <v>32498</v>
      </c>
      <c r="C3" s="33">
        <v>26064</v>
      </c>
      <c r="D3" s="33">
        <v>19751</v>
      </c>
      <c r="E3" s="33">
        <v>23678</v>
      </c>
      <c r="F3" s="34">
        <v>51182</v>
      </c>
      <c r="G3" s="33">
        <v>40282</v>
      </c>
      <c r="H3" s="33">
        <v>31368</v>
      </c>
      <c r="I3" s="33">
        <f>155041-SUM(F3:H3)</f>
        <v>32209</v>
      </c>
      <c r="J3" s="34">
        <v>51635</v>
      </c>
      <c r="K3" s="36">
        <v>32857</v>
      </c>
      <c r="L3" s="36">
        <v>24048</v>
      </c>
      <c r="M3" s="36">
        <f>136700-SUM(J3:L3)</f>
        <v>28160</v>
      </c>
      <c r="N3" s="34">
        <v>54378</v>
      </c>
      <c r="O3" s="36">
        <v>33249</v>
      </c>
      <c r="P3" s="36">
        <v>24846</v>
      </c>
      <c r="Q3" s="36">
        <f>141319-SUM(N3:P3)</f>
        <v>28846</v>
      </c>
      <c r="R3" s="34">
        <v>61576</v>
      </c>
      <c r="S3" s="36">
        <v>38032</v>
      </c>
      <c r="T3" s="36">
        <v>29906</v>
      </c>
      <c r="U3" s="36">
        <v>37185</v>
      </c>
      <c r="V3" s="34">
        <v>51982</v>
      </c>
      <c r="W3" s="33">
        <v>31051</v>
      </c>
      <c r="X3" s="33">
        <v>25986</v>
      </c>
      <c r="Y3" s="33">
        <v>33362</v>
      </c>
      <c r="Z3" s="71">
        <v>55957</v>
      </c>
      <c r="AA3" s="9">
        <v>28962</v>
      </c>
      <c r="AB3" s="9">
        <v>26418</v>
      </c>
      <c r="AC3" s="9">
        <v>26444</v>
      </c>
    </row>
    <row r="4" spans="1:33" s="9" customFormat="1" x14ac:dyDescent="0.15">
      <c r="A4" s="66" t="s">
        <v>48</v>
      </c>
      <c r="B4" s="33">
        <v>11468</v>
      </c>
      <c r="C4" s="33">
        <v>7610</v>
      </c>
      <c r="D4" s="33">
        <v>5889</v>
      </c>
      <c r="E4" s="33">
        <v>5316</v>
      </c>
      <c r="F4" s="34">
        <v>8985</v>
      </c>
      <c r="G4" s="33">
        <v>5428</v>
      </c>
      <c r="H4" s="33">
        <v>4538</v>
      </c>
      <c r="I4" s="33">
        <f>23227-SUM(F4:H4)</f>
        <v>4276</v>
      </c>
      <c r="J4" s="34">
        <v>7084</v>
      </c>
      <c r="K4" s="36">
        <v>4413</v>
      </c>
      <c r="L4" s="36">
        <v>4876</v>
      </c>
      <c r="M4" s="36">
        <f>20628-SUM(J4:L4)</f>
        <v>4255</v>
      </c>
      <c r="N4" s="34">
        <v>5533</v>
      </c>
      <c r="O4" s="36">
        <v>3889</v>
      </c>
      <c r="P4" s="36">
        <v>4969</v>
      </c>
      <c r="Q4" s="36">
        <f>19222-SUM(N4:P4)</f>
        <v>4831</v>
      </c>
      <c r="R4" s="34">
        <v>5862</v>
      </c>
      <c r="S4" s="36">
        <v>4113</v>
      </c>
      <c r="T4" s="36">
        <v>4741</v>
      </c>
      <c r="U4" s="36">
        <v>4089</v>
      </c>
      <c r="V4" s="34">
        <v>6729</v>
      </c>
      <c r="W4" s="33">
        <v>4872</v>
      </c>
      <c r="X4" s="33">
        <v>5023</v>
      </c>
      <c r="Y4" s="33">
        <v>4656</v>
      </c>
      <c r="Z4" s="71">
        <v>5977</v>
      </c>
      <c r="AA4" s="9">
        <v>4368</v>
      </c>
      <c r="AB4" s="9">
        <v>6582</v>
      </c>
      <c r="AC4" s="9">
        <v>6797</v>
      </c>
    </row>
    <row r="5" spans="1:33" s="9" customFormat="1" x14ac:dyDescent="0.15">
      <c r="A5" s="66" t="s">
        <v>49</v>
      </c>
      <c r="B5" s="33">
        <v>6395</v>
      </c>
      <c r="C5" s="33">
        <v>5519</v>
      </c>
      <c r="D5" s="33">
        <v>5540</v>
      </c>
      <c r="E5" s="33">
        <v>6625</v>
      </c>
      <c r="F5" s="34">
        <v>6944</v>
      </c>
      <c r="G5" s="33">
        <v>5615</v>
      </c>
      <c r="H5" s="33">
        <v>6030</v>
      </c>
      <c r="I5" s="33">
        <f>25471-SUM(F5:H5)</f>
        <v>6882</v>
      </c>
      <c r="J5" s="34">
        <v>6746</v>
      </c>
      <c r="K5" s="36">
        <v>5107</v>
      </c>
      <c r="L5" s="36">
        <v>5239</v>
      </c>
      <c r="M5" s="36">
        <f>22831-SUM(J5:L5)</f>
        <v>5739</v>
      </c>
      <c r="N5" s="34">
        <v>7244</v>
      </c>
      <c r="O5" s="36">
        <v>5844</v>
      </c>
      <c r="P5" s="36">
        <v>5592</v>
      </c>
      <c r="Q5" s="36">
        <f>25850-SUM(N5:P5)</f>
        <v>7170</v>
      </c>
      <c r="R5" s="34">
        <v>6895</v>
      </c>
      <c r="S5" s="36">
        <v>5848</v>
      </c>
      <c r="T5" s="36">
        <v>5330</v>
      </c>
      <c r="U5" s="36">
        <v>7411</v>
      </c>
      <c r="V5" s="34">
        <v>7416</v>
      </c>
      <c r="W5" s="33">
        <v>5513</v>
      </c>
      <c r="X5" s="33">
        <v>5820</v>
      </c>
      <c r="Y5" s="33">
        <v>6991</v>
      </c>
      <c r="Z5" s="71">
        <v>7160</v>
      </c>
      <c r="AA5" s="9">
        <v>5351</v>
      </c>
      <c r="AB5" s="9">
        <v>7079</v>
      </c>
      <c r="AC5" s="9">
        <v>9032</v>
      </c>
    </row>
    <row r="6" spans="1:33" s="9" customFormat="1" x14ac:dyDescent="0.15">
      <c r="A6" s="66" t="s">
        <v>50</v>
      </c>
      <c r="B6" s="33">
        <v>4397</v>
      </c>
      <c r="C6" s="33">
        <v>4573</v>
      </c>
      <c r="D6" s="33">
        <v>4485</v>
      </c>
      <c r="E6" s="33">
        <v>4608</v>
      </c>
      <c r="F6" s="34">
        <v>4799</v>
      </c>
      <c r="G6" s="33">
        <v>4996</v>
      </c>
      <c r="H6" s="33">
        <v>5028</v>
      </c>
      <c r="I6" s="33">
        <f>19909-SUM(F6:H6)</f>
        <v>5086</v>
      </c>
      <c r="J6" s="34">
        <v>6056</v>
      </c>
      <c r="K6" s="36">
        <v>5991</v>
      </c>
      <c r="L6" s="36">
        <v>5976</v>
      </c>
      <c r="M6" s="36">
        <f>24348-SUM(J6:L6)</f>
        <v>6325</v>
      </c>
      <c r="N6" s="34">
        <v>7172</v>
      </c>
      <c r="O6" s="36">
        <v>7041</v>
      </c>
      <c r="P6" s="36">
        <v>7266</v>
      </c>
      <c r="Q6" s="36">
        <f>29980-SUM(N6:P6)</f>
        <v>8501</v>
      </c>
      <c r="R6" s="34">
        <v>8471</v>
      </c>
      <c r="S6" s="36">
        <v>9190</v>
      </c>
      <c r="T6" s="36">
        <v>9548</v>
      </c>
      <c r="U6" s="36">
        <v>9981</v>
      </c>
      <c r="V6" s="34">
        <v>10875</v>
      </c>
      <c r="W6" s="33">
        <v>11450</v>
      </c>
      <c r="X6" s="33">
        <v>11455</v>
      </c>
      <c r="Y6" s="33">
        <v>12511</v>
      </c>
      <c r="Z6" s="71">
        <v>12715</v>
      </c>
      <c r="AA6" s="9">
        <v>13348</v>
      </c>
      <c r="AB6" s="9">
        <v>13156</v>
      </c>
      <c r="AC6" s="9">
        <v>14549</v>
      </c>
    </row>
    <row r="7" spans="1:33" s="9" customFormat="1" x14ac:dyDescent="0.15">
      <c r="A7" s="66" t="s">
        <v>26</v>
      </c>
      <c r="B7" s="33">
        <f>973+1863</f>
        <v>2836</v>
      </c>
      <c r="C7" s="33">
        <f>461+1419</f>
        <v>1880</v>
      </c>
      <c r="D7" s="33">
        <f>442+1325</f>
        <v>1767</v>
      </c>
      <c r="E7" s="33">
        <f>410+1486</f>
        <v>1896</v>
      </c>
      <c r="F7" s="34">
        <v>2689</v>
      </c>
      <c r="G7" s="33">
        <v>1689</v>
      </c>
      <c r="H7" s="33">
        <v>2641</v>
      </c>
      <c r="I7" s="33">
        <f>10067-SUM(F7:H7)</f>
        <v>3048</v>
      </c>
      <c r="J7" s="34">
        <v>4351</v>
      </c>
      <c r="K7" s="36">
        <v>2189</v>
      </c>
      <c r="L7" s="36">
        <v>2219</v>
      </c>
      <c r="M7" s="36">
        <f>11132-SUM(J7:L7)</f>
        <v>2373</v>
      </c>
      <c r="N7" s="34">
        <v>4024</v>
      </c>
      <c r="O7" s="36">
        <v>2873</v>
      </c>
      <c r="P7" s="36">
        <v>2735</v>
      </c>
      <c r="Q7" s="36">
        <f>12863-SUM(N7:P7)</f>
        <v>3231</v>
      </c>
      <c r="R7" s="34">
        <v>5489</v>
      </c>
      <c r="S7" s="36">
        <v>3954</v>
      </c>
      <c r="T7" s="36">
        <v>3740</v>
      </c>
      <c r="U7" s="36">
        <v>4234</v>
      </c>
      <c r="V7" s="34">
        <v>7308</v>
      </c>
      <c r="W7" s="33">
        <v>5129</v>
      </c>
      <c r="X7" s="33">
        <v>5525</v>
      </c>
      <c r="Y7" s="33">
        <v>6520</v>
      </c>
      <c r="Z7" s="71">
        <v>10010</v>
      </c>
      <c r="AA7" s="9">
        <v>6284</v>
      </c>
      <c r="AB7" s="9">
        <v>6450</v>
      </c>
      <c r="AC7" s="9">
        <v>7876</v>
      </c>
    </row>
    <row r="8" spans="1:33" s="9" customFormat="1" x14ac:dyDescent="0.15">
      <c r="A8" s="66"/>
      <c r="B8" s="33"/>
      <c r="C8" s="33"/>
      <c r="D8" s="33"/>
      <c r="E8" s="33"/>
      <c r="F8" s="34"/>
      <c r="G8" s="33"/>
      <c r="H8" s="33"/>
      <c r="I8" s="33"/>
      <c r="J8" s="34"/>
      <c r="K8" s="36"/>
      <c r="L8" s="36"/>
      <c r="M8" s="36"/>
      <c r="N8" s="34"/>
      <c r="O8" s="36"/>
      <c r="P8" s="36"/>
      <c r="Q8" s="36"/>
      <c r="R8" s="34"/>
      <c r="S8" s="36"/>
      <c r="T8" s="36"/>
      <c r="U8" s="36"/>
      <c r="V8" s="34"/>
      <c r="W8" s="33">
        <v>55000</v>
      </c>
      <c r="X8" s="33"/>
      <c r="Y8" s="33"/>
      <c r="Z8" s="71"/>
    </row>
    <row r="9" spans="1:33" s="22" customFormat="1" x14ac:dyDescent="0.15">
      <c r="A9" s="68" t="s">
        <v>0</v>
      </c>
      <c r="B9" s="38">
        <f>SUM(B3:B7)</f>
        <v>57594</v>
      </c>
      <c r="C9" s="38">
        <f t="shared" ref="C9:E9" si="0">SUM(C3:C7)</f>
        <v>45646</v>
      </c>
      <c r="D9" s="38">
        <f t="shared" si="0"/>
        <v>37432</v>
      </c>
      <c r="E9" s="38">
        <f t="shared" si="0"/>
        <v>42123</v>
      </c>
      <c r="F9" s="39">
        <f>SUM(F3:F7)</f>
        <v>74599</v>
      </c>
      <c r="G9" s="38">
        <f t="shared" ref="G9:R9" si="1">SUM(G3:G7)</f>
        <v>58010</v>
      </c>
      <c r="H9" s="38">
        <f t="shared" si="1"/>
        <v>49605</v>
      </c>
      <c r="I9" s="38">
        <f t="shared" si="1"/>
        <v>51501</v>
      </c>
      <c r="J9" s="39">
        <f t="shared" si="1"/>
        <v>75872</v>
      </c>
      <c r="K9" s="40">
        <f t="shared" si="1"/>
        <v>50557</v>
      </c>
      <c r="L9" s="40">
        <f>SUM(L3:L7)</f>
        <v>42358</v>
      </c>
      <c r="M9" s="40">
        <f>SUM(M3:M7)</f>
        <v>46852</v>
      </c>
      <c r="N9" s="39">
        <f t="shared" si="1"/>
        <v>78351</v>
      </c>
      <c r="O9" s="40">
        <f t="shared" si="1"/>
        <v>52896</v>
      </c>
      <c r="P9" s="40">
        <f t="shared" si="1"/>
        <v>45408</v>
      </c>
      <c r="Q9" s="40">
        <f t="shared" si="1"/>
        <v>52579</v>
      </c>
      <c r="R9" s="39">
        <f t="shared" si="1"/>
        <v>88293</v>
      </c>
      <c r="S9" s="40">
        <f>SUM(S3:S7)</f>
        <v>61137</v>
      </c>
      <c r="T9" s="40">
        <f>SUM(T3:T7)</f>
        <v>53265</v>
      </c>
      <c r="U9" s="40">
        <f>SUM(U3:U7)</f>
        <v>62900</v>
      </c>
      <c r="V9" s="39">
        <f>SUM(V3:V7)</f>
        <v>84310</v>
      </c>
      <c r="W9" s="40">
        <f>SUM(W3:W7)</f>
        <v>58015</v>
      </c>
      <c r="X9" s="40">
        <f>SUM(X3:X7)</f>
        <v>53809</v>
      </c>
      <c r="Y9" s="40">
        <f>SUM(Y3:Y7)</f>
        <v>64040</v>
      </c>
      <c r="Z9" s="39">
        <f>SUM(Z3:Z7)</f>
        <v>91819</v>
      </c>
      <c r="AA9" s="40">
        <f>SUM(AA3:AA7)</f>
        <v>58313</v>
      </c>
      <c r="AB9" s="40">
        <f>SUM(AB3:AB7)</f>
        <v>59685</v>
      </c>
      <c r="AC9" s="40">
        <f>SUM(AC3:AC7)</f>
        <v>64698</v>
      </c>
    </row>
    <row r="10" spans="1:33" s="9" customFormat="1" x14ac:dyDescent="0.15">
      <c r="A10" s="66" t="s">
        <v>9</v>
      </c>
      <c r="B10" s="33">
        <v>35748</v>
      </c>
      <c r="C10" s="33">
        <v>27699</v>
      </c>
      <c r="D10" s="33">
        <v>22697</v>
      </c>
      <c r="E10" s="33">
        <v>26114</v>
      </c>
      <c r="F10" s="34">
        <v>44858</v>
      </c>
      <c r="G10" s="33">
        <v>34354</v>
      </c>
      <c r="H10" s="33">
        <v>29924</v>
      </c>
      <c r="I10" s="33">
        <v>30953</v>
      </c>
      <c r="J10" s="34">
        <v>45449</v>
      </c>
      <c r="K10" s="36">
        <v>30636</v>
      </c>
      <c r="L10" s="36">
        <v>26252</v>
      </c>
      <c r="M10" s="36">
        <v>29039</v>
      </c>
      <c r="N10" s="34">
        <v>48175</v>
      </c>
      <c r="O10" s="36">
        <v>32305</v>
      </c>
      <c r="P10" s="36">
        <v>27920</v>
      </c>
      <c r="Q10" s="36">
        <v>32648</v>
      </c>
      <c r="R10" s="34">
        <v>54381</v>
      </c>
      <c r="S10" s="36">
        <v>37715</v>
      </c>
      <c r="T10" s="36">
        <v>32844</v>
      </c>
      <c r="U10" s="36">
        <v>38816</v>
      </c>
      <c r="V10" s="34">
        <v>52279</v>
      </c>
      <c r="W10" s="33">
        <v>36194</v>
      </c>
      <c r="X10" s="33">
        <v>33582</v>
      </c>
      <c r="Y10" s="33">
        <v>39727</v>
      </c>
      <c r="Z10" s="71">
        <v>56602</v>
      </c>
      <c r="AA10" s="9">
        <v>35943</v>
      </c>
      <c r="AB10" s="9">
        <v>37005</v>
      </c>
      <c r="AC10" s="9">
        <v>40009</v>
      </c>
    </row>
    <row r="11" spans="1:33" s="9" customFormat="1" x14ac:dyDescent="0.15">
      <c r="A11" s="66" t="s">
        <v>10</v>
      </c>
      <c r="B11" s="41">
        <f>B9-B10</f>
        <v>21846</v>
      </c>
      <c r="C11" s="41">
        <f t="shared" ref="C11:E11" si="2">C9-C10</f>
        <v>17947</v>
      </c>
      <c r="D11" s="41">
        <f t="shared" si="2"/>
        <v>14735</v>
      </c>
      <c r="E11" s="41">
        <f t="shared" si="2"/>
        <v>16009</v>
      </c>
      <c r="F11" s="42">
        <f>F9-F10</f>
        <v>29741</v>
      </c>
      <c r="G11" s="41">
        <f t="shared" ref="G11:I11" si="3">G9-G10</f>
        <v>23656</v>
      </c>
      <c r="H11" s="41">
        <f t="shared" si="3"/>
        <v>19681</v>
      </c>
      <c r="I11" s="41">
        <f t="shared" si="3"/>
        <v>20548</v>
      </c>
      <c r="J11" s="42">
        <f t="shared" ref="J11:U11" si="4">J9-J10</f>
        <v>30423</v>
      </c>
      <c r="K11" s="41">
        <f t="shared" si="4"/>
        <v>19921</v>
      </c>
      <c r="L11" s="41">
        <f t="shared" si="4"/>
        <v>16106</v>
      </c>
      <c r="M11" s="41">
        <f t="shared" si="4"/>
        <v>17813</v>
      </c>
      <c r="N11" s="42">
        <f t="shared" si="4"/>
        <v>30176</v>
      </c>
      <c r="O11" s="41">
        <f t="shared" si="4"/>
        <v>20591</v>
      </c>
      <c r="P11" s="41">
        <f t="shared" si="4"/>
        <v>17488</v>
      </c>
      <c r="Q11" s="41">
        <f>Q9-Q10</f>
        <v>19931</v>
      </c>
      <c r="R11" s="42">
        <f>R9-R10</f>
        <v>33912</v>
      </c>
      <c r="S11" s="41">
        <f t="shared" si="4"/>
        <v>23422</v>
      </c>
      <c r="T11" s="41">
        <f t="shared" si="4"/>
        <v>20421</v>
      </c>
      <c r="U11" s="41">
        <f t="shared" si="4"/>
        <v>24084</v>
      </c>
      <c r="V11" s="42">
        <f t="shared" ref="V11" si="5">V9-V10</f>
        <v>32031</v>
      </c>
      <c r="W11" s="41">
        <f t="shared" ref="W11:Y11" si="6">W9-W10</f>
        <v>21821</v>
      </c>
      <c r="X11" s="41">
        <f t="shared" si="6"/>
        <v>20227</v>
      </c>
      <c r="Y11" s="41">
        <f t="shared" si="6"/>
        <v>24313</v>
      </c>
      <c r="Z11" s="42">
        <f t="shared" ref="Z11:AC11" si="7">Z9-Z10</f>
        <v>35217</v>
      </c>
      <c r="AA11" s="41">
        <f t="shared" si="7"/>
        <v>22370</v>
      </c>
      <c r="AB11" s="41">
        <f t="shared" si="7"/>
        <v>22680</v>
      </c>
      <c r="AC11" s="41">
        <f t="shared" si="7"/>
        <v>24689</v>
      </c>
    </row>
    <row r="12" spans="1:33" s="9" customFormat="1" x14ac:dyDescent="0.15">
      <c r="A12" s="66" t="s">
        <v>12</v>
      </c>
      <c r="B12" s="33">
        <v>1330</v>
      </c>
      <c r="C12" s="33">
        <v>1422</v>
      </c>
      <c r="D12" s="33">
        <v>1603</v>
      </c>
      <c r="E12" s="33">
        <v>1686</v>
      </c>
      <c r="F12" s="34">
        <v>1895</v>
      </c>
      <c r="G12" s="33">
        <v>1918</v>
      </c>
      <c r="H12" s="33">
        <v>2034</v>
      </c>
      <c r="I12" s="33">
        <v>2220</v>
      </c>
      <c r="J12" s="34">
        <v>2404</v>
      </c>
      <c r="K12" s="36">
        <v>2511</v>
      </c>
      <c r="L12" s="36">
        <v>2560</v>
      </c>
      <c r="M12" s="36">
        <v>2570</v>
      </c>
      <c r="N12" s="34">
        <v>2871</v>
      </c>
      <c r="O12" s="36">
        <v>2776</v>
      </c>
      <c r="P12" s="36">
        <v>2937</v>
      </c>
      <c r="Q12" s="36">
        <v>2997</v>
      </c>
      <c r="R12" s="34">
        <v>3407</v>
      </c>
      <c r="S12" s="36">
        <v>3378</v>
      </c>
      <c r="T12" s="36">
        <v>3701</v>
      </c>
      <c r="U12" s="36">
        <v>3750</v>
      </c>
      <c r="V12" s="34">
        <v>3902</v>
      </c>
      <c r="W12" s="33">
        <v>3948</v>
      </c>
      <c r="X12" s="33">
        <v>4257</v>
      </c>
      <c r="Y12" s="33">
        <v>4110</v>
      </c>
      <c r="Z12" s="71">
        <v>4451</v>
      </c>
      <c r="AA12" s="9">
        <v>4565</v>
      </c>
      <c r="AB12" s="9">
        <v>4758</v>
      </c>
      <c r="AC12" s="9">
        <v>4978</v>
      </c>
    </row>
    <row r="13" spans="1:33" s="9" customFormat="1" x14ac:dyDescent="0.15">
      <c r="A13" s="66" t="s">
        <v>113</v>
      </c>
      <c r="B13" s="33">
        <v>3053</v>
      </c>
      <c r="C13" s="33">
        <v>2932</v>
      </c>
      <c r="D13" s="33">
        <v>2850</v>
      </c>
      <c r="E13" s="33">
        <v>3158</v>
      </c>
      <c r="F13" s="34">
        <v>3600</v>
      </c>
      <c r="G13" s="33">
        <v>3460</v>
      </c>
      <c r="H13" s="33">
        <v>3564</v>
      </c>
      <c r="I13" s="33">
        <v>3705</v>
      </c>
      <c r="J13" s="34">
        <v>3848</v>
      </c>
      <c r="K13" s="36">
        <v>3423</v>
      </c>
      <c r="L13" s="36">
        <v>3441</v>
      </c>
      <c r="M13" s="36">
        <v>3482</v>
      </c>
      <c r="N13" s="34">
        <v>3946</v>
      </c>
      <c r="O13" s="36">
        <v>3718</v>
      </c>
      <c r="P13" s="36">
        <v>3783</v>
      </c>
      <c r="Q13" s="36">
        <v>3814</v>
      </c>
      <c r="R13" s="34">
        <v>4231</v>
      </c>
      <c r="S13" s="36">
        <v>4150</v>
      </c>
      <c r="T13" s="36">
        <v>4108</v>
      </c>
      <c r="U13" s="36">
        <v>4216</v>
      </c>
      <c r="V13" s="34">
        <v>4783</v>
      </c>
      <c r="W13" s="33">
        <v>4458</v>
      </c>
      <c r="X13" s="33">
        <v>4426</v>
      </c>
      <c r="Y13" s="33">
        <v>4578</v>
      </c>
      <c r="Z13" s="71">
        <v>5197</v>
      </c>
      <c r="AA13" s="9">
        <v>4952</v>
      </c>
      <c r="AB13" s="9">
        <v>4831</v>
      </c>
      <c r="AC13" s="9">
        <v>4936</v>
      </c>
    </row>
    <row r="14" spans="1:33" s="9" customFormat="1" x14ac:dyDescent="0.15">
      <c r="A14" s="66" t="s">
        <v>13</v>
      </c>
      <c r="B14" s="43">
        <f t="shared" ref="B14:E14" si="8">SUM(B12:B13)</f>
        <v>4383</v>
      </c>
      <c r="C14" s="43">
        <f t="shared" si="8"/>
        <v>4354</v>
      </c>
      <c r="D14" s="43">
        <f t="shared" si="8"/>
        <v>4453</v>
      </c>
      <c r="E14" s="43">
        <f t="shared" si="8"/>
        <v>4844</v>
      </c>
      <c r="F14" s="42">
        <f t="shared" ref="F14:T14" si="9">SUM(F12:F13)</f>
        <v>5495</v>
      </c>
      <c r="G14" s="43">
        <f t="shared" si="9"/>
        <v>5378</v>
      </c>
      <c r="H14" s="43">
        <f t="shared" si="9"/>
        <v>5598</v>
      </c>
      <c r="I14" s="43">
        <f t="shared" si="9"/>
        <v>5925</v>
      </c>
      <c r="J14" s="42">
        <f t="shared" si="9"/>
        <v>6252</v>
      </c>
      <c r="K14" s="41">
        <f t="shared" si="9"/>
        <v>5934</v>
      </c>
      <c r="L14" s="41">
        <f t="shared" si="9"/>
        <v>6001</v>
      </c>
      <c r="M14" s="41">
        <f t="shared" si="9"/>
        <v>6052</v>
      </c>
      <c r="N14" s="42">
        <f t="shared" si="9"/>
        <v>6817</v>
      </c>
      <c r="O14" s="41">
        <f t="shared" si="9"/>
        <v>6494</v>
      </c>
      <c r="P14" s="41">
        <f t="shared" si="9"/>
        <v>6720</v>
      </c>
      <c r="Q14" s="41">
        <f t="shared" si="9"/>
        <v>6811</v>
      </c>
      <c r="R14" s="42">
        <f t="shared" si="9"/>
        <v>7638</v>
      </c>
      <c r="S14" s="41">
        <f t="shared" si="9"/>
        <v>7528</v>
      </c>
      <c r="T14" s="41">
        <f t="shared" si="9"/>
        <v>7809</v>
      </c>
      <c r="U14" s="41">
        <f>SUM(U12:U13)</f>
        <v>7966</v>
      </c>
      <c r="V14" s="42">
        <f t="shared" ref="V14:W14" si="10">SUM(V12:V13)</f>
        <v>8685</v>
      </c>
      <c r="W14" s="41">
        <f t="shared" si="10"/>
        <v>8406</v>
      </c>
      <c r="X14" s="41">
        <f t="shared" ref="X14:Y14" si="11">SUM(X12:X13)</f>
        <v>8683</v>
      </c>
      <c r="Y14" s="41">
        <f t="shared" si="11"/>
        <v>8688</v>
      </c>
      <c r="Z14" s="42">
        <f t="shared" ref="Z14:AA14" si="12">SUM(Z12:Z13)</f>
        <v>9648</v>
      </c>
      <c r="AA14" s="41">
        <f t="shared" si="12"/>
        <v>9517</v>
      </c>
      <c r="AB14" s="41">
        <f t="shared" ref="AB14:AC14" si="13">SUM(AB12:AB13)</f>
        <v>9589</v>
      </c>
      <c r="AC14" s="41">
        <f t="shared" si="13"/>
        <v>9914</v>
      </c>
    </row>
    <row r="15" spans="1:33" s="9" customFormat="1" x14ac:dyDescent="0.15">
      <c r="A15" s="66" t="s">
        <v>14</v>
      </c>
      <c r="B15" s="43">
        <f t="shared" ref="B15:E15" si="14">B11-B14</f>
        <v>17463</v>
      </c>
      <c r="C15" s="43">
        <f t="shared" si="14"/>
        <v>13593</v>
      </c>
      <c r="D15" s="43">
        <f t="shared" si="14"/>
        <v>10282</v>
      </c>
      <c r="E15" s="43">
        <f t="shared" si="14"/>
        <v>11165</v>
      </c>
      <c r="F15" s="42">
        <f t="shared" ref="F15:U15" si="15">F11-F14</f>
        <v>24246</v>
      </c>
      <c r="G15" s="43">
        <f t="shared" si="15"/>
        <v>18278</v>
      </c>
      <c r="H15" s="43">
        <f t="shared" si="15"/>
        <v>14083</v>
      </c>
      <c r="I15" s="43">
        <f t="shared" si="15"/>
        <v>14623</v>
      </c>
      <c r="J15" s="42">
        <f t="shared" si="15"/>
        <v>24171</v>
      </c>
      <c r="K15" s="41">
        <f t="shared" si="15"/>
        <v>13987</v>
      </c>
      <c r="L15" s="41">
        <f t="shared" si="15"/>
        <v>10105</v>
      </c>
      <c r="M15" s="41">
        <f t="shared" si="15"/>
        <v>11761</v>
      </c>
      <c r="N15" s="42">
        <f t="shared" si="15"/>
        <v>23359</v>
      </c>
      <c r="O15" s="41">
        <f t="shared" si="15"/>
        <v>14097</v>
      </c>
      <c r="P15" s="41">
        <f t="shared" si="15"/>
        <v>10768</v>
      </c>
      <c r="Q15" s="41">
        <f t="shared" si="15"/>
        <v>13120</v>
      </c>
      <c r="R15" s="42">
        <f t="shared" si="15"/>
        <v>26274</v>
      </c>
      <c r="S15" s="41">
        <f t="shared" si="15"/>
        <v>15894</v>
      </c>
      <c r="T15" s="41">
        <f t="shared" si="15"/>
        <v>12612</v>
      </c>
      <c r="U15" s="41">
        <f t="shared" si="15"/>
        <v>16118</v>
      </c>
      <c r="V15" s="42">
        <f t="shared" ref="V15:W15" si="16">V11-V14</f>
        <v>23346</v>
      </c>
      <c r="W15" s="41">
        <f t="shared" si="16"/>
        <v>13415</v>
      </c>
      <c r="X15" s="41">
        <f t="shared" ref="X15:Y15" si="17">X11-X14</f>
        <v>11544</v>
      </c>
      <c r="Y15" s="41">
        <f t="shared" si="17"/>
        <v>15625</v>
      </c>
      <c r="Z15" s="42">
        <f t="shared" ref="Z15:AA15" si="18">Z11-Z14</f>
        <v>25569</v>
      </c>
      <c r="AA15" s="41">
        <f t="shared" si="18"/>
        <v>12853</v>
      </c>
      <c r="AB15" s="41">
        <f t="shared" ref="AB15:AC15" si="19">AB11-AB14</f>
        <v>13091</v>
      </c>
      <c r="AC15" s="41">
        <f t="shared" si="19"/>
        <v>14775</v>
      </c>
    </row>
    <row r="16" spans="1:33" s="9" customFormat="1" x14ac:dyDescent="0.15">
      <c r="A16" s="66" t="s">
        <v>16</v>
      </c>
      <c r="B16" s="33">
        <v>246</v>
      </c>
      <c r="C16" s="33">
        <v>225</v>
      </c>
      <c r="D16" s="33">
        <v>202</v>
      </c>
      <c r="E16" s="33">
        <v>307</v>
      </c>
      <c r="F16" s="34">
        <v>170</v>
      </c>
      <c r="G16" s="33">
        <v>286</v>
      </c>
      <c r="H16" s="33">
        <v>390</v>
      </c>
      <c r="I16" s="33">
        <v>439</v>
      </c>
      <c r="J16" s="34">
        <v>402</v>
      </c>
      <c r="K16" s="36">
        <v>155</v>
      </c>
      <c r="L16" s="36">
        <v>364</v>
      </c>
      <c r="M16" s="36">
        <v>427</v>
      </c>
      <c r="N16" s="34">
        <v>821</v>
      </c>
      <c r="O16" s="36">
        <v>587</v>
      </c>
      <c r="P16" s="36">
        <v>540</v>
      </c>
      <c r="Q16" s="36">
        <v>797</v>
      </c>
      <c r="R16" s="34">
        <v>756</v>
      </c>
      <c r="S16" s="36">
        <v>274</v>
      </c>
      <c r="T16" s="36">
        <v>672</v>
      </c>
      <c r="U16" s="36">
        <v>303</v>
      </c>
      <c r="V16" s="34">
        <v>560</v>
      </c>
      <c r="W16" s="33">
        <v>378</v>
      </c>
      <c r="X16" s="33">
        <v>367</v>
      </c>
      <c r="Y16" s="33">
        <v>502</v>
      </c>
      <c r="Z16" s="71">
        <v>349</v>
      </c>
      <c r="AA16" s="9">
        <v>282</v>
      </c>
      <c r="AB16" s="9">
        <v>46</v>
      </c>
      <c r="AC16" s="9">
        <v>126</v>
      </c>
    </row>
    <row r="17" spans="1:29" s="9" customFormat="1" x14ac:dyDescent="0.15">
      <c r="A17" s="66" t="s">
        <v>17</v>
      </c>
      <c r="B17" s="43">
        <f t="shared" ref="B17:E17" si="20">B15+B16</f>
        <v>17709</v>
      </c>
      <c r="C17" s="43">
        <f t="shared" si="20"/>
        <v>13818</v>
      </c>
      <c r="D17" s="43">
        <f t="shared" si="20"/>
        <v>10484</v>
      </c>
      <c r="E17" s="43">
        <f t="shared" si="20"/>
        <v>11472</v>
      </c>
      <c r="F17" s="42">
        <f t="shared" ref="F17:M17" si="21">F15+F16</f>
        <v>24416</v>
      </c>
      <c r="G17" s="43">
        <f t="shared" si="21"/>
        <v>18564</v>
      </c>
      <c r="H17" s="43">
        <f t="shared" si="21"/>
        <v>14473</v>
      </c>
      <c r="I17" s="43">
        <f t="shared" si="21"/>
        <v>15062</v>
      </c>
      <c r="J17" s="42">
        <f t="shared" si="21"/>
        <v>24573</v>
      </c>
      <c r="K17" s="41">
        <f t="shared" si="21"/>
        <v>14142</v>
      </c>
      <c r="L17" s="41">
        <f t="shared" si="21"/>
        <v>10469</v>
      </c>
      <c r="M17" s="41">
        <f t="shared" si="21"/>
        <v>12188</v>
      </c>
      <c r="N17" s="42">
        <f t="shared" ref="N17:P17" si="22">N15+N16</f>
        <v>24180</v>
      </c>
      <c r="O17" s="41">
        <f t="shared" si="22"/>
        <v>14684</v>
      </c>
      <c r="P17" s="41">
        <f t="shared" si="22"/>
        <v>11308</v>
      </c>
      <c r="Q17" s="41">
        <f>Q15+Q16</f>
        <v>13917</v>
      </c>
      <c r="R17" s="42">
        <f>R15+R16</f>
        <v>27030</v>
      </c>
      <c r="S17" s="41">
        <f t="shared" ref="S17:T17" si="23">S15+S16</f>
        <v>16168</v>
      </c>
      <c r="T17" s="41">
        <f t="shared" si="23"/>
        <v>13284</v>
      </c>
      <c r="U17" s="41">
        <f t="shared" ref="U17:V17" si="24">U15+U16</f>
        <v>16421</v>
      </c>
      <c r="V17" s="42">
        <f t="shared" si="24"/>
        <v>23906</v>
      </c>
      <c r="W17" s="41">
        <f t="shared" ref="W17:Y17" si="25">W15+W16</f>
        <v>13793</v>
      </c>
      <c r="X17" s="41">
        <f t="shared" si="25"/>
        <v>11911</v>
      </c>
      <c r="Y17" s="41">
        <f t="shared" si="25"/>
        <v>16127</v>
      </c>
      <c r="Z17" s="42">
        <f t="shared" ref="Z17:AC17" si="26">Z15+Z16</f>
        <v>25918</v>
      </c>
      <c r="AA17" s="41">
        <f t="shared" si="26"/>
        <v>13135</v>
      </c>
      <c r="AB17" s="41">
        <f t="shared" si="26"/>
        <v>13137</v>
      </c>
      <c r="AC17" s="41">
        <f t="shared" si="26"/>
        <v>14901</v>
      </c>
    </row>
    <row r="18" spans="1:29" s="9" customFormat="1" x14ac:dyDescent="0.15">
      <c r="A18" s="66" t="s">
        <v>18</v>
      </c>
      <c r="B18" s="33">
        <v>4637</v>
      </c>
      <c r="C18" s="33">
        <v>3595</v>
      </c>
      <c r="D18" s="33">
        <v>2736</v>
      </c>
      <c r="E18" s="33">
        <v>3005</v>
      </c>
      <c r="F18" s="34">
        <v>6392</v>
      </c>
      <c r="G18" s="33">
        <v>4995</v>
      </c>
      <c r="H18" s="33">
        <v>3796</v>
      </c>
      <c r="I18" s="33">
        <v>3938</v>
      </c>
      <c r="J18" s="34">
        <v>6212</v>
      </c>
      <c r="K18" s="36">
        <v>3626</v>
      </c>
      <c r="L18" s="36">
        <v>2673</v>
      </c>
      <c r="M18" s="36">
        <v>3174</v>
      </c>
      <c r="N18" s="34">
        <v>6289</v>
      </c>
      <c r="O18" s="36">
        <v>3655</v>
      </c>
      <c r="P18" s="36">
        <v>2591</v>
      </c>
      <c r="Q18" s="36">
        <v>3203</v>
      </c>
      <c r="R18" s="34">
        <v>6965</v>
      </c>
      <c r="S18" s="36">
        <v>2346</v>
      </c>
      <c r="T18" s="36">
        <v>1765</v>
      </c>
      <c r="U18" s="36">
        <v>2296</v>
      </c>
      <c r="V18" s="34">
        <v>3941</v>
      </c>
      <c r="W18" s="33">
        <v>2232</v>
      </c>
      <c r="X18" s="33">
        <v>1867</v>
      </c>
      <c r="Y18" s="33">
        <v>2441</v>
      </c>
      <c r="Z18" s="71">
        <v>3682</v>
      </c>
      <c r="AA18" s="9">
        <v>1886</v>
      </c>
      <c r="AB18" s="9">
        <v>1884</v>
      </c>
      <c r="AC18" s="9">
        <v>2228</v>
      </c>
    </row>
    <row r="19" spans="1:29" s="22" customFormat="1" x14ac:dyDescent="0.15">
      <c r="A19" s="68" t="s">
        <v>19</v>
      </c>
      <c r="B19" s="38">
        <f>B17-B18</f>
        <v>13072</v>
      </c>
      <c r="C19" s="38">
        <f t="shared" ref="C19:E19" si="27">C17-C18</f>
        <v>10223</v>
      </c>
      <c r="D19" s="38">
        <f t="shared" si="27"/>
        <v>7748</v>
      </c>
      <c r="E19" s="38">
        <f t="shared" si="27"/>
        <v>8467</v>
      </c>
      <c r="F19" s="39">
        <f>F17-F18</f>
        <v>18024</v>
      </c>
      <c r="G19" s="38">
        <f t="shared" ref="G19:L19" si="28">G17-G18</f>
        <v>13569</v>
      </c>
      <c r="H19" s="38">
        <f t="shared" si="28"/>
        <v>10677</v>
      </c>
      <c r="I19" s="38">
        <f t="shared" si="28"/>
        <v>11124</v>
      </c>
      <c r="J19" s="39">
        <f t="shared" si="28"/>
        <v>18361</v>
      </c>
      <c r="K19" s="40">
        <f t="shared" si="28"/>
        <v>10516</v>
      </c>
      <c r="L19" s="40">
        <f t="shared" si="28"/>
        <v>7796</v>
      </c>
      <c r="M19" s="40">
        <f t="shared" ref="M19:Q19" si="29">M17-M18</f>
        <v>9014</v>
      </c>
      <c r="N19" s="39">
        <f t="shared" si="29"/>
        <v>17891</v>
      </c>
      <c r="O19" s="40">
        <f t="shared" si="29"/>
        <v>11029</v>
      </c>
      <c r="P19" s="40">
        <f t="shared" si="29"/>
        <v>8717</v>
      </c>
      <c r="Q19" s="40">
        <f t="shared" si="29"/>
        <v>10714</v>
      </c>
      <c r="R19" s="39">
        <f t="shared" ref="R19:S19" si="30">R17-R18</f>
        <v>20065</v>
      </c>
      <c r="S19" s="40">
        <f t="shared" si="30"/>
        <v>13822</v>
      </c>
      <c r="T19" s="40">
        <f t="shared" ref="T19:W19" si="31">T17-T18</f>
        <v>11519</v>
      </c>
      <c r="U19" s="40">
        <f>U17-U18</f>
        <v>14125</v>
      </c>
      <c r="V19" s="39">
        <f t="shared" si="31"/>
        <v>19965</v>
      </c>
      <c r="W19" s="40">
        <f t="shared" si="31"/>
        <v>11561</v>
      </c>
      <c r="X19" s="40">
        <f t="shared" ref="X19:Y19" si="32">X17-X18</f>
        <v>10044</v>
      </c>
      <c r="Y19" s="40">
        <f t="shared" si="32"/>
        <v>13686</v>
      </c>
      <c r="Z19" s="39">
        <f t="shared" ref="Z19:AA19" si="33">Z17-Z18</f>
        <v>22236</v>
      </c>
      <c r="AA19" s="40">
        <f t="shared" si="33"/>
        <v>11249</v>
      </c>
      <c r="AB19" s="40">
        <f t="shared" ref="AB19:AC19" si="34">AB17-AB18</f>
        <v>11253</v>
      </c>
      <c r="AC19" s="40">
        <f t="shared" si="34"/>
        <v>12673</v>
      </c>
    </row>
    <row r="20" spans="1:29" x14ac:dyDescent="0.15">
      <c r="A20" s="5" t="s">
        <v>20</v>
      </c>
      <c r="B20" s="44">
        <f>B19/B21</f>
        <v>14.508324084350722</v>
      </c>
      <c r="C20" s="44">
        <f t="shared" ref="C20:E20" si="35">C19/C21</f>
        <v>11.617045454545455</v>
      </c>
      <c r="D20" s="44">
        <f t="shared" si="35"/>
        <v>1.2802379378717779</v>
      </c>
      <c r="E20" s="44">
        <f t="shared" si="35"/>
        <v>1.4177829872739451</v>
      </c>
      <c r="F20" s="45">
        <f>F19/F21</f>
        <v>3.0642638558313497</v>
      </c>
      <c r="G20" s="44">
        <f t="shared" ref="G20:L20" si="36">G19/G21</f>
        <v>2.3254498714652958</v>
      </c>
      <c r="H20" s="44">
        <f t="shared" si="36"/>
        <v>1.8494716785033778</v>
      </c>
      <c r="I20" s="44">
        <f t="shared" si="36"/>
        <v>1.957416857293683</v>
      </c>
      <c r="J20" s="45">
        <f t="shared" si="36"/>
        <v>3.2822667143367896</v>
      </c>
      <c r="K20" s="46">
        <f t="shared" si="36"/>
        <v>1.8978523732178307</v>
      </c>
      <c r="L20" s="46">
        <f t="shared" si="36"/>
        <v>1.4244472866800657</v>
      </c>
      <c r="M20" s="46">
        <f t="shared" ref="M20:Q20" si="37">M19/M21</f>
        <v>1.6714259224921195</v>
      </c>
      <c r="N20" s="45">
        <f t="shared" si="37"/>
        <v>3.3579204204204203</v>
      </c>
      <c r="O20" s="46">
        <f t="shared" si="37"/>
        <v>2.0959711136450019</v>
      </c>
      <c r="P20" s="46">
        <f t="shared" si="37"/>
        <v>1.6657748901203899</v>
      </c>
      <c r="Q20" s="46">
        <f t="shared" si="37"/>
        <v>2.0671425815164963</v>
      </c>
      <c r="R20" s="45">
        <f t="shared" ref="R20:S20" si="38">R19/R21</f>
        <v>3.8900736719658782</v>
      </c>
      <c r="S20" s="46">
        <f t="shared" si="38"/>
        <v>2.7273086029992109</v>
      </c>
      <c r="T20" s="46">
        <f t="shared" ref="T20:U20" si="39">T19/T21</f>
        <v>2.3379338339760505</v>
      </c>
      <c r="U20" s="46">
        <f t="shared" si="39"/>
        <v>2.913572607260726</v>
      </c>
      <c r="V20" s="45">
        <f t="shared" ref="V20:W20" si="40">V19/V21</f>
        <v>4.182683001023201</v>
      </c>
      <c r="W20" s="46">
        <f t="shared" si="40"/>
        <v>2.4594491906006111</v>
      </c>
      <c r="X20" s="46">
        <f t="shared" ref="X20:Y20" si="41">X19/X21</f>
        <v>2.1828234138454117</v>
      </c>
      <c r="Y20" s="46">
        <f t="shared" si="41"/>
        <v>0.75690652315049434</v>
      </c>
      <c r="Z20" s="45">
        <f t="shared" ref="Z20:AA20" si="42">Z19/Z21</f>
        <v>4.9916894969788554</v>
      </c>
      <c r="AA20" s="46">
        <f t="shared" si="42"/>
        <v>2.5538681374016932</v>
      </c>
      <c r="AB20" s="46">
        <f t="shared" ref="AB20:AC20" si="43">AB19/AB21</f>
        <v>2.5840523120758121</v>
      </c>
      <c r="AC20" s="46">
        <f t="shared" si="43"/>
        <v>0.73438904632051849</v>
      </c>
    </row>
    <row r="21" spans="1:29" s="9" customFormat="1" x14ac:dyDescent="0.15">
      <c r="A21" s="66" t="s">
        <v>21</v>
      </c>
      <c r="B21" s="33">
        <v>901</v>
      </c>
      <c r="C21" s="33">
        <v>880</v>
      </c>
      <c r="D21" s="33">
        <v>6052</v>
      </c>
      <c r="E21" s="33">
        <v>5972</v>
      </c>
      <c r="F21" s="34">
        <v>5882</v>
      </c>
      <c r="G21" s="33">
        <v>5835</v>
      </c>
      <c r="H21" s="33">
        <v>5773</v>
      </c>
      <c r="I21" s="33">
        <v>5683</v>
      </c>
      <c r="J21" s="34">
        <v>5594</v>
      </c>
      <c r="K21" s="36">
        <v>5541</v>
      </c>
      <c r="L21" s="36">
        <v>5473</v>
      </c>
      <c r="M21" s="36">
        <v>5393</v>
      </c>
      <c r="N21" s="34">
        <v>5328</v>
      </c>
      <c r="O21" s="36">
        <v>5262</v>
      </c>
      <c r="P21" s="36">
        <v>5233</v>
      </c>
      <c r="Q21" s="36">
        <v>5183</v>
      </c>
      <c r="R21" s="34">
        <v>5158</v>
      </c>
      <c r="S21" s="36">
        <v>5068</v>
      </c>
      <c r="T21" s="36">
        <v>4927</v>
      </c>
      <c r="U21" s="36">
        <v>4848</v>
      </c>
      <c r="V21" s="34">
        <v>4773.2520000000004</v>
      </c>
      <c r="W21" s="33">
        <v>4700.6459999999997</v>
      </c>
      <c r="X21" s="33">
        <v>4601.38</v>
      </c>
      <c r="Y21" s="33">
        <v>18081.492999999999</v>
      </c>
      <c r="Z21" s="71">
        <v>4454.6040000000003</v>
      </c>
      <c r="AA21" s="9">
        <v>4404.6909999999998</v>
      </c>
      <c r="AB21" s="9">
        <v>4354.7879999999996</v>
      </c>
      <c r="AC21" s="36">
        <v>17256.521000000001</v>
      </c>
    </row>
    <row r="22" spans="1:29" x14ac:dyDescent="0.15">
      <c r="C22" s="33"/>
      <c r="D22" s="33"/>
      <c r="E22" s="33"/>
      <c r="G22" s="33"/>
      <c r="H22" s="33"/>
      <c r="I22" s="33"/>
      <c r="J22" s="34"/>
      <c r="K22" s="36"/>
      <c r="L22" s="37"/>
      <c r="M22" s="37"/>
      <c r="O22" s="37"/>
      <c r="P22" s="37"/>
      <c r="Q22" s="37"/>
      <c r="S22" s="37"/>
      <c r="T22" s="37"/>
      <c r="U22" s="37"/>
      <c r="AC22" s="37"/>
    </row>
    <row r="23" spans="1:29" s="2" customFormat="1" x14ac:dyDescent="0.15">
      <c r="A23" s="4" t="s">
        <v>23</v>
      </c>
      <c r="B23" s="18"/>
      <c r="C23" s="18"/>
      <c r="D23" s="18"/>
      <c r="E23" s="18"/>
      <c r="F23" s="55">
        <f>(F9/B9)-1</f>
        <v>0.29525645032468661</v>
      </c>
      <c r="G23" s="56">
        <f>(G9/C9)-1</f>
        <v>0.27086710774218981</v>
      </c>
      <c r="H23" s="56">
        <f t="shared" ref="H23" si="44">(H9/D9)-1</f>
        <v>0.32520303483650359</v>
      </c>
      <c r="I23" s="56">
        <f>(I9/E9)-1</f>
        <v>0.22263371554732569</v>
      </c>
      <c r="J23" s="55">
        <f>(J9/F9)-1</f>
        <v>1.7064571911151516E-2</v>
      </c>
      <c r="K23" s="56">
        <f>(K9/G9)-1</f>
        <v>-0.12847784864678502</v>
      </c>
      <c r="L23" s="56">
        <f t="shared" ref="L23:P23" si="45">(L9/H9)-1</f>
        <v>-0.14609414373551055</v>
      </c>
      <c r="M23" s="56">
        <f t="shared" si="45"/>
        <v>-9.0270091842876821E-2</v>
      </c>
      <c r="N23" s="55">
        <f t="shared" si="45"/>
        <v>3.2673450021088124E-2</v>
      </c>
      <c r="O23" s="56">
        <f t="shared" si="45"/>
        <v>4.626461221987066E-2</v>
      </c>
      <c r="P23" s="56">
        <f t="shared" si="45"/>
        <v>7.2005288257235955E-2</v>
      </c>
      <c r="Q23" s="56">
        <f t="shared" ref="Q23:X23" si="46">(Q9/M9)-1</f>
        <v>0.1222359771194399</v>
      </c>
      <c r="R23" s="55">
        <f t="shared" si="46"/>
        <v>0.12689053107171566</v>
      </c>
      <c r="S23" s="56">
        <f t="shared" si="46"/>
        <v>0.15579627949183306</v>
      </c>
      <c r="T23" s="56">
        <f t="shared" si="46"/>
        <v>0.17303118393234662</v>
      </c>
      <c r="U23" s="56">
        <f t="shared" si="46"/>
        <v>0.19629509880370488</v>
      </c>
      <c r="V23" s="55">
        <f t="shared" si="46"/>
        <v>-4.5111163965433243E-2</v>
      </c>
      <c r="W23" s="56">
        <f t="shared" si="46"/>
        <v>-5.1065639465462831E-2</v>
      </c>
      <c r="X23" s="56">
        <f t="shared" si="46"/>
        <v>1.0213085515817122E-2</v>
      </c>
      <c r="Y23" s="56">
        <f t="shared" ref="Y23" si="47">(Y9/U9)-1</f>
        <v>1.8124006359300449E-2</v>
      </c>
      <c r="Z23" s="55">
        <f t="shared" ref="Z23:AB23" si="48">(Z9/V9)-1</f>
        <v>8.9064167951607098E-2</v>
      </c>
      <c r="AA23" s="56">
        <f t="shared" si="48"/>
        <v>5.1366026027750422E-3</v>
      </c>
      <c r="AB23" s="56">
        <f t="shared" si="48"/>
        <v>0.10920106301919752</v>
      </c>
      <c r="AC23" s="56">
        <f t="shared" ref="AC23" si="49">(AC9/Y9)-1</f>
        <v>1.0274828232354816E-2</v>
      </c>
    </row>
    <row r="24" spans="1:29" x14ac:dyDescent="0.15">
      <c r="A24" s="5" t="s">
        <v>62</v>
      </c>
      <c r="F24" s="57">
        <f>F12/B12-1</f>
        <v>0.42481203007518786</v>
      </c>
      <c r="G24" s="58">
        <f>G12/C12-1</f>
        <v>0.34880450070323499</v>
      </c>
      <c r="H24" s="58">
        <f t="shared" ref="H24:X25" si="50">H12/D12-1</f>
        <v>0.26887086712414221</v>
      </c>
      <c r="I24" s="58">
        <f t="shared" si="50"/>
        <v>0.31672597864768681</v>
      </c>
      <c r="J24" s="57">
        <f t="shared" si="50"/>
        <v>0.2686015831134565</v>
      </c>
      <c r="K24" s="58">
        <f t="shared" si="50"/>
        <v>0.3091762252346193</v>
      </c>
      <c r="L24" s="58">
        <f t="shared" si="50"/>
        <v>0.25860373647984258</v>
      </c>
      <c r="M24" s="58">
        <f t="shared" si="50"/>
        <v>0.1576576576576576</v>
      </c>
      <c r="N24" s="57">
        <f t="shared" si="50"/>
        <v>0.19425956738768724</v>
      </c>
      <c r="O24" s="58">
        <f t="shared" si="50"/>
        <v>0.10553564317005182</v>
      </c>
      <c r="P24" s="58">
        <f t="shared" si="50"/>
        <v>0.14726562499999996</v>
      </c>
      <c r="Q24" s="58">
        <f t="shared" si="50"/>
        <v>0.16614785992217906</v>
      </c>
      <c r="R24" s="57">
        <f t="shared" si="50"/>
        <v>0.18669453152211779</v>
      </c>
      <c r="S24" s="58">
        <f t="shared" si="50"/>
        <v>0.2168587896253602</v>
      </c>
      <c r="T24" s="58">
        <f t="shared" si="50"/>
        <v>0.26012938372488925</v>
      </c>
      <c r="U24" s="58">
        <f t="shared" si="50"/>
        <v>0.25125125125125125</v>
      </c>
      <c r="V24" s="57">
        <f t="shared" si="50"/>
        <v>0.14528911065453487</v>
      </c>
      <c r="W24" s="58">
        <f t="shared" si="50"/>
        <v>0.1687388987566607</v>
      </c>
      <c r="X24" s="58">
        <f t="shared" si="50"/>
        <v>0.15022966765738999</v>
      </c>
      <c r="Y24" s="58">
        <f t="shared" ref="Y24:Y25" si="51">Y12/U12-1</f>
        <v>9.6000000000000085E-2</v>
      </c>
      <c r="Z24" s="57">
        <f t="shared" ref="Z24:AB25" si="52">Z12/V12-1</f>
        <v>0.1406970784213224</v>
      </c>
      <c r="AA24" s="58">
        <f t="shared" si="52"/>
        <v>0.15628166160081047</v>
      </c>
      <c r="AB24" s="58">
        <f t="shared" si="52"/>
        <v>0.11768851303735017</v>
      </c>
      <c r="AC24" s="58">
        <f t="shared" ref="AC24:AC25" si="53">AC12/Y12-1</f>
        <v>0.21119221411192224</v>
      </c>
    </row>
    <row r="25" spans="1:29" x14ac:dyDescent="0.15">
      <c r="A25" s="5" t="s">
        <v>114</v>
      </c>
      <c r="F25" s="57">
        <f>F13/B13-1</f>
        <v>0.17916803144448079</v>
      </c>
      <c r="G25" s="58">
        <f t="shared" ref="G25:V25" si="54">G13/C13-1</f>
        <v>0.18008185538881305</v>
      </c>
      <c r="H25" s="58">
        <f t="shared" si="54"/>
        <v>0.25052631578947371</v>
      </c>
      <c r="I25" s="58">
        <f t="shared" si="54"/>
        <v>0.17321089297023429</v>
      </c>
      <c r="J25" s="57">
        <f t="shared" si="54"/>
        <v>6.8888888888888999E-2</v>
      </c>
      <c r="K25" s="58">
        <f t="shared" si="54"/>
        <v>-1.0693641618497063E-2</v>
      </c>
      <c r="L25" s="58">
        <f t="shared" si="54"/>
        <v>-3.4511784511784493E-2</v>
      </c>
      <c r="M25" s="58">
        <f t="shared" si="54"/>
        <v>-6.018893387314439E-2</v>
      </c>
      <c r="N25" s="57">
        <f t="shared" si="54"/>
        <v>2.5467775467775455E-2</v>
      </c>
      <c r="O25" s="58">
        <f t="shared" si="54"/>
        <v>8.618171194858304E-2</v>
      </c>
      <c r="P25" s="58">
        <f t="shared" si="54"/>
        <v>9.9389712292938137E-2</v>
      </c>
      <c r="Q25" s="58">
        <f t="shared" si="54"/>
        <v>9.5347501435956383E-2</v>
      </c>
      <c r="R25" s="57">
        <f t="shared" si="54"/>
        <v>7.2225038013177922E-2</v>
      </c>
      <c r="S25" s="58">
        <f t="shared" si="54"/>
        <v>0.11619150080688545</v>
      </c>
      <c r="T25" s="58">
        <f t="shared" si="54"/>
        <v>8.5910652920962116E-2</v>
      </c>
      <c r="U25" s="58">
        <f t="shared" si="54"/>
        <v>0.10540115364446767</v>
      </c>
      <c r="V25" s="57">
        <f t="shared" si="54"/>
        <v>0.13046561096667464</v>
      </c>
      <c r="W25" s="58">
        <f t="shared" si="50"/>
        <v>7.4216867469879544E-2</v>
      </c>
      <c r="X25" s="58">
        <f t="shared" si="50"/>
        <v>7.7409931840311641E-2</v>
      </c>
      <c r="Y25" s="58">
        <f t="shared" si="51"/>
        <v>8.5863377609108227E-2</v>
      </c>
      <c r="Z25" s="57">
        <f t="shared" si="52"/>
        <v>8.6556554463725677E-2</v>
      </c>
      <c r="AA25" s="58">
        <f t="shared" si="52"/>
        <v>0.11081202332884699</v>
      </c>
      <c r="AB25" s="58">
        <f t="shared" si="52"/>
        <v>9.1504744690465323E-2</v>
      </c>
      <c r="AC25" s="58">
        <f t="shared" si="53"/>
        <v>7.8200087374399319E-2</v>
      </c>
    </row>
    <row r="26" spans="1:29" x14ac:dyDescent="0.15">
      <c r="K26" s="37"/>
      <c r="L26" s="37"/>
      <c r="M26" s="37"/>
      <c r="O26" s="37"/>
      <c r="P26" s="37"/>
      <c r="Q26" s="37"/>
      <c r="S26" s="37"/>
      <c r="T26" s="37"/>
      <c r="U26" s="37"/>
      <c r="W26" s="37"/>
      <c r="X26" s="37"/>
      <c r="Y26" s="37"/>
      <c r="Z26" s="35"/>
      <c r="AA26" s="37"/>
      <c r="AB26" s="37"/>
      <c r="AC26" s="37"/>
    </row>
    <row r="27" spans="1:29" x14ac:dyDescent="0.15">
      <c r="A27" s="5" t="s">
        <v>11</v>
      </c>
      <c r="B27" s="49">
        <f t="shared" ref="B27:W27" si="55">B11/B9</f>
        <v>0.37931034482758619</v>
      </c>
      <c r="C27" s="49">
        <f t="shared" si="55"/>
        <v>0.39317793453971872</v>
      </c>
      <c r="D27" s="49">
        <f t="shared" si="55"/>
        <v>0.39364714682624491</v>
      </c>
      <c r="E27" s="49">
        <f t="shared" si="55"/>
        <v>0.38005365239892697</v>
      </c>
      <c r="F27" s="50">
        <f t="shared" si="55"/>
        <v>0.39867826646469789</v>
      </c>
      <c r="G27" s="49">
        <f t="shared" si="55"/>
        <v>0.40779176004137219</v>
      </c>
      <c r="H27" s="49">
        <f t="shared" si="55"/>
        <v>0.3967543594395726</v>
      </c>
      <c r="I27" s="49">
        <f t="shared" si="55"/>
        <v>0.39898254402827127</v>
      </c>
      <c r="J27" s="50">
        <f t="shared" si="55"/>
        <v>0.40097796288485871</v>
      </c>
      <c r="K27" s="51">
        <f t="shared" si="55"/>
        <v>0.39403050022746605</v>
      </c>
      <c r="L27" s="51">
        <f t="shared" si="55"/>
        <v>0.38023513858066954</v>
      </c>
      <c r="M27" s="51">
        <f t="shared" si="55"/>
        <v>0.38019721676769402</v>
      </c>
      <c r="N27" s="50">
        <f t="shared" si="55"/>
        <v>0.38513867085295656</v>
      </c>
      <c r="O27" s="51">
        <f t="shared" si="55"/>
        <v>0.38927329098608593</v>
      </c>
      <c r="P27" s="51">
        <f t="shared" si="55"/>
        <v>0.38513037350246654</v>
      </c>
      <c r="Q27" s="51">
        <f t="shared" si="55"/>
        <v>0.37906768862093232</v>
      </c>
      <c r="R27" s="50">
        <f t="shared" si="55"/>
        <v>0.38408480853521798</v>
      </c>
      <c r="S27" s="51">
        <f t="shared" si="55"/>
        <v>0.38310679294044525</v>
      </c>
      <c r="T27" s="51">
        <f t="shared" si="55"/>
        <v>0.38338496198254013</v>
      </c>
      <c r="U27" s="51">
        <f t="shared" si="55"/>
        <v>0.38289348171701115</v>
      </c>
      <c r="V27" s="50">
        <f t="shared" si="55"/>
        <v>0.37991934527339583</v>
      </c>
      <c r="W27" s="51">
        <f t="shared" si="55"/>
        <v>0.37612686374213566</v>
      </c>
      <c r="X27" s="51">
        <f t="shared" ref="X27" si="56">X11/X9</f>
        <v>0.37590365923916075</v>
      </c>
      <c r="Y27" s="51">
        <f t="shared" ref="Y27:Z27" si="57">Y11/Y9</f>
        <v>0.37965334166146159</v>
      </c>
      <c r="Z27" s="50">
        <f t="shared" si="57"/>
        <v>0.38354806739345887</v>
      </c>
      <c r="AA27" s="51">
        <f t="shared" ref="AA27:AB27" si="58">AA11/AA9</f>
        <v>0.38361943305952362</v>
      </c>
      <c r="AB27" s="51">
        <f t="shared" si="58"/>
        <v>0.37999497361146017</v>
      </c>
      <c r="AC27" s="51">
        <f t="shared" ref="AC27" si="59">AC11/AC9</f>
        <v>0.38160375900336951</v>
      </c>
    </row>
    <row r="28" spans="1:29" x14ac:dyDescent="0.15">
      <c r="A28" s="5" t="s">
        <v>15</v>
      </c>
      <c r="B28" s="52">
        <f t="shared" ref="B28:W28" si="60">B15/B9</f>
        <v>0.30320866756953851</v>
      </c>
      <c r="C28" s="52">
        <f t="shared" si="60"/>
        <v>0.29779170135389738</v>
      </c>
      <c r="D28" s="52">
        <f t="shared" si="60"/>
        <v>0.27468476170121819</v>
      </c>
      <c r="E28" s="52">
        <f t="shared" si="60"/>
        <v>0.26505709469885813</v>
      </c>
      <c r="F28" s="53">
        <f t="shared" si="60"/>
        <v>0.32501776163219348</v>
      </c>
      <c r="G28" s="52">
        <f t="shared" si="60"/>
        <v>0.31508360627478021</v>
      </c>
      <c r="H28" s="52">
        <f t="shared" si="60"/>
        <v>0.28390283237576858</v>
      </c>
      <c r="I28" s="52">
        <f t="shared" si="60"/>
        <v>0.28393623424787867</v>
      </c>
      <c r="J28" s="53">
        <f t="shared" si="60"/>
        <v>0.31857602277520036</v>
      </c>
      <c r="K28" s="54">
        <f t="shared" si="60"/>
        <v>0.27665802955080404</v>
      </c>
      <c r="L28" s="54">
        <f t="shared" si="60"/>
        <v>0.23856178289815383</v>
      </c>
      <c r="M28" s="54">
        <f t="shared" si="60"/>
        <v>0.25102450268931958</v>
      </c>
      <c r="N28" s="53">
        <f t="shared" si="60"/>
        <v>0.29813276154739571</v>
      </c>
      <c r="O28" s="54">
        <f t="shared" si="60"/>
        <v>0.2665040834845735</v>
      </c>
      <c r="P28" s="54">
        <f t="shared" si="60"/>
        <v>0.23713883016208598</v>
      </c>
      <c r="Q28" s="54">
        <f t="shared" si="60"/>
        <v>0.24952927975047073</v>
      </c>
      <c r="R28" s="53">
        <f t="shared" si="60"/>
        <v>0.29757738439060855</v>
      </c>
      <c r="S28" s="54">
        <f t="shared" si="60"/>
        <v>0.25997350213455028</v>
      </c>
      <c r="T28" s="54">
        <f t="shared" si="60"/>
        <v>0.23677837228949591</v>
      </c>
      <c r="U28" s="54">
        <f t="shared" si="60"/>
        <v>0.25624801271860098</v>
      </c>
      <c r="V28" s="53">
        <f t="shared" si="60"/>
        <v>0.27690665401494485</v>
      </c>
      <c r="W28" s="54">
        <f t="shared" si="60"/>
        <v>0.2312333017323106</v>
      </c>
      <c r="X28" s="54">
        <f t="shared" ref="X28" si="61">X15/X9</f>
        <v>0.2145366016837332</v>
      </c>
      <c r="Y28" s="54">
        <f t="shared" ref="Y28:Z28" si="62">Y15/Y9</f>
        <v>0.24398813241723921</v>
      </c>
      <c r="Z28" s="53">
        <f t="shared" si="62"/>
        <v>0.2784717759940753</v>
      </c>
      <c r="AA28" s="54">
        <f t="shared" ref="AA28:AB28" si="63">AA15/AA9</f>
        <v>0.22041397287054346</v>
      </c>
      <c r="AB28" s="54">
        <f t="shared" si="63"/>
        <v>0.21933484124989527</v>
      </c>
      <c r="AC28" s="54">
        <f t="shared" ref="AC28" si="64">AC15/AC9</f>
        <v>0.2283687285542057</v>
      </c>
    </row>
    <row r="29" spans="1:29" x14ac:dyDescent="0.15">
      <c r="A29" s="5" t="s">
        <v>22</v>
      </c>
      <c r="B29" s="52">
        <f t="shared" ref="B29:W29" si="65">B18/B17</f>
        <v>0.26184425998080074</v>
      </c>
      <c r="C29" s="52">
        <f t="shared" si="65"/>
        <v>0.26016789694601244</v>
      </c>
      <c r="D29" s="52">
        <f t="shared" si="65"/>
        <v>0.26096909576497518</v>
      </c>
      <c r="E29" s="52">
        <f t="shared" si="65"/>
        <v>0.26194211994421202</v>
      </c>
      <c r="F29" s="53">
        <f t="shared" si="65"/>
        <v>0.26179554390563564</v>
      </c>
      <c r="G29" s="52">
        <f t="shared" si="65"/>
        <v>0.26906916612798965</v>
      </c>
      <c r="H29" s="52">
        <f t="shared" si="65"/>
        <v>0.26228148967042081</v>
      </c>
      <c r="I29" s="52">
        <f t="shared" si="65"/>
        <v>0.26145266232903996</v>
      </c>
      <c r="J29" s="53">
        <f t="shared" si="65"/>
        <v>0.25279778618809262</v>
      </c>
      <c r="K29" s="54">
        <f t="shared" si="65"/>
        <v>0.25639937774006505</v>
      </c>
      <c r="L29" s="54">
        <f t="shared" si="65"/>
        <v>0.25532524596427547</v>
      </c>
      <c r="M29" s="54">
        <f t="shared" si="65"/>
        <v>0.26042008532983263</v>
      </c>
      <c r="N29" s="53">
        <f t="shared" si="65"/>
        <v>0.26009098428453264</v>
      </c>
      <c r="O29" s="54">
        <f t="shared" si="65"/>
        <v>0.24891037864342141</v>
      </c>
      <c r="P29" s="54">
        <f t="shared" si="65"/>
        <v>0.22912981959674567</v>
      </c>
      <c r="Q29" s="54">
        <f t="shared" si="65"/>
        <v>0.23015017604368757</v>
      </c>
      <c r="R29" s="53">
        <f t="shared" si="65"/>
        <v>0.25767665556788755</v>
      </c>
      <c r="S29" s="54">
        <f t="shared" si="65"/>
        <v>0.14510143493320138</v>
      </c>
      <c r="T29" s="54">
        <f t="shared" si="65"/>
        <v>0.13286660644384221</v>
      </c>
      <c r="U29" s="54">
        <f t="shared" si="65"/>
        <v>0.13982096096461846</v>
      </c>
      <c r="V29" s="53">
        <f t="shared" si="65"/>
        <v>0.16485401154521878</v>
      </c>
      <c r="W29" s="54">
        <f t="shared" si="65"/>
        <v>0.16182121365910243</v>
      </c>
      <c r="X29" s="54">
        <f t="shared" ref="X29" si="66">X18/X17</f>
        <v>0.15674586516665268</v>
      </c>
      <c r="Y29" s="54">
        <f t="shared" ref="Y29:Z29" si="67">Y18/Y17</f>
        <v>0.15136107149500838</v>
      </c>
      <c r="Z29" s="53">
        <f t="shared" si="67"/>
        <v>0.14206343082027933</v>
      </c>
      <c r="AA29" s="54">
        <f t="shared" ref="AA29:AB29" si="68">AA18/AA17</f>
        <v>0.14358583936048724</v>
      </c>
      <c r="AB29" s="54">
        <f t="shared" si="68"/>
        <v>0.14341173783968944</v>
      </c>
      <c r="AC29" s="54">
        <f t="shared" ref="AC29" si="69">AC18/AC17</f>
        <v>0.14952016643178309</v>
      </c>
    </row>
    <row r="30" spans="1:29" x14ac:dyDescent="0.15">
      <c r="K30" s="37"/>
      <c r="L30" s="37"/>
      <c r="M30" s="37"/>
      <c r="O30" s="37"/>
      <c r="P30" s="37"/>
      <c r="Q30" s="37"/>
      <c r="S30" s="37"/>
      <c r="T30" s="37"/>
      <c r="U30" s="37"/>
      <c r="Y30" s="37"/>
      <c r="AB30" s="37"/>
      <c r="AC30" s="37"/>
    </row>
    <row r="31" spans="1:29" s="22" customFormat="1" x14ac:dyDescent="0.15">
      <c r="A31" s="68" t="s">
        <v>24</v>
      </c>
      <c r="B31" s="38">
        <f t="shared" ref="B31:Q31" si="70">B32-B33</f>
        <v>141881</v>
      </c>
      <c r="C31" s="38">
        <f t="shared" si="70"/>
        <v>133627</v>
      </c>
      <c r="D31" s="38">
        <f>D32-D33</f>
        <v>135460</v>
      </c>
      <c r="E31" s="38">
        <f t="shared" si="70"/>
        <v>126252</v>
      </c>
      <c r="F31" s="39">
        <f t="shared" si="70"/>
        <v>145451</v>
      </c>
      <c r="G31" s="38">
        <f t="shared" si="70"/>
        <v>153467</v>
      </c>
      <c r="H31" s="38">
        <f t="shared" si="70"/>
        <v>152929</v>
      </c>
      <c r="I31" s="38">
        <f t="shared" si="70"/>
        <v>149837</v>
      </c>
      <c r="J31" s="39">
        <f t="shared" si="70"/>
        <v>160035</v>
      </c>
      <c r="K31" s="38">
        <f t="shared" si="70"/>
        <v>161054</v>
      </c>
      <c r="L31" s="38">
        <f t="shared" si="70"/>
        <v>159081</v>
      </c>
      <c r="M31" s="38">
        <f t="shared" si="70"/>
        <v>158658</v>
      </c>
      <c r="N31" s="39">
        <f t="shared" si="70"/>
        <v>169034</v>
      </c>
      <c r="O31" s="38">
        <f t="shared" si="70"/>
        <v>168311</v>
      </c>
      <c r="P31" s="38">
        <f t="shared" si="70"/>
        <v>165157</v>
      </c>
      <c r="Q31" s="38">
        <f t="shared" si="70"/>
        <v>165192</v>
      </c>
      <c r="R31" s="39">
        <f t="shared" ref="R31" si="71">R32-R33</f>
        <v>174677</v>
      </c>
      <c r="S31" s="38">
        <f>S32-S33</f>
        <v>157366</v>
      </c>
      <c r="T31" s="38">
        <f>T32-T33</f>
        <v>141117</v>
      </c>
      <c r="U31" s="38">
        <f>U32-U33</f>
        <v>134561</v>
      </c>
      <c r="V31" s="39">
        <f>V32-V33</f>
        <v>130305</v>
      </c>
      <c r="W31" s="69"/>
      <c r="X31" s="69"/>
      <c r="Y31" s="38">
        <f>Y32-Y33</f>
        <v>103831</v>
      </c>
      <c r="Z31" s="73"/>
      <c r="AA31" s="38">
        <f>AA32-AA33</f>
        <v>93366</v>
      </c>
      <c r="AB31" s="38">
        <f>AB32-AB33</f>
        <v>92060</v>
      </c>
      <c r="AC31" s="38">
        <f>AC32-AC33</f>
        <v>84390</v>
      </c>
    </row>
    <row r="32" spans="1:29" s="9" customFormat="1" x14ac:dyDescent="0.15">
      <c r="A32" s="66" t="s">
        <v>25</v>
      </c>
      <c r="B32" s="33">
        <f>14077+26634+118131</f>
        <v>158842</v>
      </c>
      <c r="C32" s="33">
        <f>18949+22401+109239</f>
        <v>150589</v>
      </c>
      <c r="D32" s="33">
        <f>12977+24828+126685</f>
        <v>164490</v>
      </c>
      <c r="E32" s="33">
        <f>13844+11233+130162</f>
        <v>155239</v>
      </c>
      <c r="F32" s="34">
        <f>19478+12985+145492</f>
        <v>177955</v>
      </c>
      <c r="G32" s="33">
        <f>14489+18607+160443</f>
        <v>193539</v>
      </c>
      <c r="H32" s="33">
        <f>15319+19384+168145</f>
        <v>202848</v>
      </c>
      <c r="I32" s="33">
        <f>21120+20481+164065</f>
        <v>205666</v>
      </c>
      <c r="J32" s="34">
        <f>16689+21385+177665</f>
        <v>215739</v>
      </c>
      <c r="K32" s="33">
        <f>21514+33769+177645</f>
        <v>232928</v>
      </c>
      <c r="L32" s="33">
        <f>18237+43519+169764</f>
        <v>231520</v>
      </c>
      <c r="M32" s="33">
        <f>20484+46671+170430</f>
        <v>237585</v>
      </c>
      <c r="N32" s="34">
        <f>16371+44081+185638</f>
        <v>246090</v>
      </c>
      <c r="O32" s="33">
        <f>15157+51944+189740</f>
        <v>256841</v>
      </c>
      <c r="P32" s="33">
        <f>18571+58188+184757</f>
        <v>261516</v>
      </c>
      <c r="Q32" s="33">
        <f>20289+53892+194714</f>
        <v>268895</v>
      </c>
      <c r="R32" s="34">
        <f>27491+49662+207944</f>
        <v>285097</v>
      </c>
      <c r="S32" s="33">
        <f>45059+42881+179286</f>
        <v>267226</v>
      </c>
      <c r="T32" s="33">
        <f>31971+38999+172773</f>
        <v>243743</v>
      </c>
      <c r="U32" s="33">
        <f>25913+40388+170779</f>
        <v>237080</v>
      </c>
      <c r="V32" s="34">
        <f>44771+41656+158608</f>
        <v>245035</v>
      </c>
      <c r="W32" s="33"/>
      <c r="X32" s="33"/>
      <c r="Y32" s="33">
        <f>48844+51713+105341</f>
        <v>205898</v>
      </c>
      <c r="Z32" s="71"/>
      <c r="AA32" s="33">
        <f>40174+53877+98793</f>
        <v>192844</v>
      </c>
      <c r="AB32" s="33">
        <f>33383+59642+100592</f>
        <v>193617</v>
      </c>
      <c r="AC32" s="33">
        <f>38016+52927+100887</f>
        <v>191830</v>
      </c>
    </row>
    <row r="33" spans="1:29" s="9" customFormat="1" x14ac:dyDescent="0.15">
      <c r="A33" s="66" t="s">
        <v>27</v>
      </c>
      <c r="B33" s="33">
        <v>16961</v>
      </c>
      <c r="C33" s="33">
        <v>16962</v>
      </c>
      <c r="D33" s="33">
        <v>29030</v>
      </c>
      <c r="E33" s="33">
        <v>28987</v>
      </c>
      <c r="F33" s="34">
        <f>32504</f>
        <v>32504</v>
      </c>
      <c r="G33" s="33">
        <f>40072</f>
        <v>40072</v>
      </c>
      <c r="H33" s="33">
        <f>2500+47419</f>
        <v>49919</v>
      </c>
      <c r="I33" s="33">
        <f>2500+53329</f>
        <v>55829</v>
      </c>
      <c r="J33" s="34">
        <f>2500+53204</f>
        <v>55704</v>
      </c>
      <c r="K33" s="33">
        <f>2500+69374</f>
        <v>71874</v>
      </c>
      <c r="L33" s="33">
        <f>3500+68939</f>
        <v>72439</v>
      </c>
      <c r="M33" s="33">
        <f>3500+75427</f>
        <v>78927</v>
      </c>
      <c r="N33" s="34">
        <f>3499+73557</f>
        <v>77056</v>
      </c>
      <c r="O33" s="33">
        <f>3999+84531</f>
        <v>88530</v>
      </c>
      <c r="P33" s="33">
        <f>6495+89864</f>
        <v>96359</v>
      </c>
      <c r="Q33" s="33">
        <f>6496+97207</f>
        <v>103703</v>
      </c>
      <c r="R33" s="34">
        <f>6498+103922</f>
        <v>110420</v>
      </c>
      <c r="S33" s="33">
        <f>8498+101362</f>
        <v>109860</v>
      </c>
      <c r="T33" s="33">
        <f>5498+97128</f>
        <v>102626</v>
      </c>
      <c r="U33" s="33">
        <f>8784+93735</f>
        <v>102519</v>
      </c>
      <c r="V33" s="34">
        <f>11969+9772+92989</f>
        <v>114730</v>
      </c>
      <c r="W33" s="33"/>
      <c r="X33" s="33"/>
      <c r="Y33" s="33">
        <f>10260+91807</f>
        <v>102067</v>
      </c>
      <c r="Z33" s="71"/>
      <c r="AA33" s="33">
        <f>10392+89086</f>
        <v>99478</v>
      </c>
      <c r="AB33" s="33">
        <f>7509+94048</f>
        <v>101557</v>
      </c>
      <c r="AC33" s="33">
        <f>8773+98667</f>
        <v>107440</v>
      </c>
    </row>
    <row r="34" spans="1:29" s="9" customFormat="1" x14ac:dyDescent="0.15">
      <c r="A34" s="66"/>
      <c r="B34" s="33"/>
      <c r="C34" s="33"/>
      <c r="D34" s="33"/>
      <c r="E34" s="33"/>
      <c r="F34" s="34"/>
      <c r="G34" s="33"/>
      <c r="H34" s="33"/>
      <c r="I34" s="33"/>
      <c r="J34" s="34"/>
      <c r="K34" s="33"/>
      <c r="L34" s="33"/>
      <c r="M34" s="33"/>
      <c r="N34" s="34"/>
      <c r="O34" s="33"/>
      <c r="P34" s="33"/>
      <c r="Q34" s="33"/>
      <c r="R34" s="34"/>
      <c r="S34" s="33"/>
      <c r="T34" s="33"/>
      <c r="U34" s="33"/>
      <c r="V34" s="34"/>
      <c r="W34" s="33"/>
      <c r="X34" s="33"/>
      <c r="Y34" s="33"/>
      <c r="Z34" s="71"/>
      <c r="AB34" s="33"/>
      <c r="AC34" s="33"/>
    </row>
    <row r="35" spans="1:29" s="9" customFormat="1" x14ac:dyDescent="0.15">
      <c r="A35" s="66" t="s">
        <v>100</v>
      </c>
      <c r="B35" s="33"/>
      <c r="C35" s="33"/>
      <c r="D35" s="33"/>
      <c r="E35" s="33">
        <f>4616+4142</f>
        <v>8758</v>
      </c>
      <c r="F35" s="34">
        <f>4629+4370</f>
        <v>8999</v>
      </c>
      <c r="G35" s="33">
        <f>4711+4061</f>
        <v>8772</v>
      </c>
      <c r="H35" s="33">
        <f>5044+3779</f>
        <v>8823</v>
      </c>
      <c r="I35" s="33">
        <f>5116+3893</f>
        <v>9009</v>
      </c>
      <c r="J35" s="34">
        <f>5202+3924</f>
        <v>9126</v>
      </c>
      <c r="K35" s="33">
        <f>5249+3843</f>
        <v>9092</v>
      </c>
      <c r="L35" s="33">
        <f>5261+3506</f>
        <v>8767</v>
      </c>
      <c r="M35" s="33">
        <f>5414+3206</f>
        <v>8620</v>
      </c>
      <c r="N35" s="34">
        <f>5423+2848</f>
        <v>8271</v>
      </c>
      <c r="O35" s="33">
        <f>5473+2617</f>
        <v>8090</v>
      </c>
      <c r="P35" s="33">
        <f>5661+2444</f>
        <v>8105</v>
      </c>
      <c r="Q35" s="33">
        <f>5717+2298</f>
        <v>8015</v>
      </c>
      <c r="R35" s="34">
        <f>5889+2149</f>
        <v>8038</v>
      </c>
      <c r="S35" s="33">
        <v>0</v>
      </c>
      <c r="T35" s="33">
        <v>0</v>
      </c>
      <c r="U35" s="33">
        <v>0</v>
      </c>
      <c r="V35" s="34">
        <v>0</v>
      </c>
      <c r="W35" s="33"/>
      <c r="X35" s="33"/>
      <c r="Y35" s="33">
        <v>0</v>
      </c>
      <c r="Z35" s="71"/>
      <c r="AA35" s="9">
        <v>0</v>
      </c>
      <c r="AB35" s="33">
        <v>0</v>
      </c>
      <c r="AC35" s="33">
        <v>0</v>
      </c>
    </row>
    <row r="36" spans="1:29" s="9" customFormat="1" x14ac:dyDescent="0.15">
      <c r="A36" s="66" t="s">
        <v>96</v>
      </c>
      <c r="B36" s="33"/>
      <c r="C36" s="33"/>
      <c r="D36" s="33"/>
      <c r="E36" s="33">
        <v>231839</v>
      </c>
      <c r="F36" s="34">
        <v>261894</v>
      </c>
      <c r="G36" s="33">
        <v>261194</v>
      </c>
      <c r="H36" s="33">
        <v>273151</v>
      </c>
      <c r="I36" s="33">
        <v>290479</v>
      </c>
      <c r="J36" s="34">
        <v>293284</v>
      </c>
      <c r="K36" s="33">
        <v>305277</v>
      </c>
      <c r="L36" s="33">
        <v>305602</v>
      </c>
      <c r="M36" s="33">
        <v>321686</v>
      </c>
      <c r="N36" s="34">
        <v>331141</v>
      </c>
      <c r="O36" s="33">
        <v>334532</v>
      </c>
      <c r="P36" s="33">
        <v>345173</v>
      </c>
      <c r="Q36" s="33">
        <v>375319</v>
      </c>
      <c r="R36" s="34">
        <v>406794</v>
      </c>
      <c r="S36" s="33">
        <v>367502</v>
      </c>
      <c r="T36" s="33">
        <v>349197</v>
      </c>
      <c r="U36" s="33">
        <v>365725</v>
      </c>
      <c r="V36" s="34">
        <v>373719</v>
      </c>
      <c r="W36" s="33"/>
      <c r="X36" s="33"/>
      <c r="Y36" s="33">
        <v>338516</v>
      </c>
      <c r="Z36" s="71"/>
      <c r="AA36" s="9">
        <v>320400</v>
      </c>
      <c r="AB36" s="33">
        <v>317344</v>
      </c>
      <c r="AC36" s="33">
        <v>323888</v>
      </c>
    </row>
    <row r="37" spans="1:29" s="9" customFormat="1" x14ac:dyDescent="0.15">
      <c r="A37" s="66" t="s">
        <v>103</v>
      </c>
      <c r="B37" s="33"/>
      <c r="C37" s="33"/>
      <c r="D37" s="33"/>
      <c r="E37" s="33">
        <v>120292</v>
      </c>
      <c r="F37" s="34">
        <v>138566</v>
      </c>
      <c r="G37" s="33">
        <v>132188</v>
      </c>
      <c r="H37" s="33">
        <v>147474</v>
      </c>
      <c r="I37" s="33">
        <v>171124</v>
      </c>
      <c r="J37" s="34">
        <v>165017</v>
      </c>
      <c r="K37" s="33">
        <v>174820</v>
      </c>
      <c r="L37" s="33">
        <v>71486</v>
      </c>
      <c r="M37" s="33">
        <v>79006</v>
      </c>
      <c r="N37" s="34">
        <v>84130</v>
      </c>
      <c r="O37" s="33">
        <v>73342</v>
      </c>
      <c r="P37" s="33">
        <v>81302</v>
      </c>
      <c r="Q37" s="33">
        <v>100814</v>
      </c>
      <c r="R37" s="34">
        <v>115788</v>
      </c>
      <c r="S37" s="33">
        <v>89320</v>
      </c>
      <c r="T37" s="33">
        <v>88548</v>
      </c>
      <c r="U37" s="33">
        <v>116866</v>
      </c>
      <c r="V37" s="34">
        <v>255827</v>
      </c>
      <c r="W37" s="33"/>
      <c r="X37" s="33"/>
      <c r="Y37" s="33">
        <v>248028</v>
      </c>
      <c r="Z37" s="71"/>
      <c r="AA37" s="9">
        <v>241975</v>
      </c>
      <c r="AB37" s="33">
        <v>245062</v>
      </c>
      <c r="AC37" s="33">
        <v>258549</v>
      </c>
    </row>
    <row r="38" spans="1:29" s="9" customFormat="1" x14ac:dyDescent="0.15">
      <c r="A38" s="66"/>
      <c r="B38" s="33"/>
      <c r="C38" s="33"/>
      <c r="D38" s="33"/>
      <c r="E38" s="33"/>
      <c r="F38" s="34"/>
      <c r="G38" s="33"/>
      <c r="H38" s="33"/>
      <c r="I38" s="33"/>
      <c r="J38" s="34"/>
      <c r="K38" s="33"/>
      <c r="L38" s="33"/>
      <c r="M38" s="33"/>
      <c r="N38" s="34"/>
      <c r="O38" s="33"/>
      <c r="P38" s="33"/>
      <c r="Q38" s="33"/>
      <c r="R38" s="34"/>
      <c r="S38" s="33"/>
      <c r="T38" s="33"/>
      <c r="U38" s="33"/>
      <c r="V38" s="34"/>
      <c r="W38" s="33"/>
      <c r="X38" s="33"/>
      <c r="Y38" s="33"/>
      <c r="Z38" s="71"/>
      <c r="AB38" s="33"/>
      <c r="AC38" s="33"/>
    </row>
    <row r="39" spans="1:29" s="9" customFormat="1" x14ac:dyDescent="0.15">
      <c r="A39" s="66" t="s">
        <v>104</v>
      </c>
      <c r="B39" s="33"/>
      <c r="C39" s="33"/>
      <c r="D39" s="33"/>
      <c r="E39" s="41">
        <f>E36-E32-E35</f>
        <v>67842</v>
      </c>
      <c r="F39" s="42">
        <f t="shared" ref="F39" si="72">F36-F32-F35</f>
        <v>74940</v>
      </c>
      <c r="G39" s="41">
        <f t="shared" ref="G39:U39" si="73">G36-G32-G35</f>
        <v>58883</v>
      </c>
      <c r="H39" s="41">
        <f t="shared" si="73"/>
        <v>61480</v>
      </c>
      <c r="I39" s="41">
        <f t="shared" si="73"/>
        <v>75804</v>
      </c>
      <c r="J39" s="42">
        <f t="shared" si="73"/>
        <v>68419</v>
      </c>
      <c r="K39" s="41">
        <f t="shared" si="73"/>
        <v>63257</v>
      </c>
      <c r="L39" s="41">
        <f t="shared" si="73"/>
        <v>65315</v>
      </c>
      <c r="M39" s="41">
        <f t="shared" si="73"/>
        <v>75481</v>
      </c>
      <c r="N39" s="42">
        <f t="shared" si="73"/>
        <v>76780</v>
      </c>
      <c r="O39" s="41">
        <f t="shared" si="73"/>
        <v>69601</v>
      </c>
      <c r="P39" s="41">
        <f t="shared" si="73"/>
        <v>75552</v>
      </c>
      <c r="Q39" s="41">
        <f t="shared" si="73"/>
        <v>98409</v>
      </c>
      <c r="R39" s="42">
        <f t="shared" si="73"/>
        <v>113659</v>
      </c>
      <c r="S39" s="41">
        <f t="shared" si="73"/>
        <v>100276</v>
      </c>
      <c r="T39" s="41">
        <f t="shared" si="73"/>
        <v>105454</v>
      </c>
      <c r="U39" s="41">
        <f t="shared" si="73"/>
        <v>128645</v>
      </c>
      <c r="V39" s="42">
        <f t="shared" ref="V39" si="74">V36-V32-V35</f>
        <v>128684</v>
      </c>
      <c r="W39" s="33"/>
      <c r="X39" s="33"/>
      <c r="Y39" s="41">
        <f t="shared" ref="Y39" si="75">Y36-Y32-Y35</f>
        <v>132618</v>
      </c>
      <c r="Z39" s="71"/>
      <c r="AA39" s="41">
        <f t="shared" ref="AA39:AB39" si="76">AA36-AA32-AA35</f>
        <v>127556</v>
      </c>
      <c r="AB39" s="41">
        <f t="shared" si="76"/>
        <v>123727</v>
      </c>
      <c r="AC39" s="41">
        <f t="shared" ref="AC39" si="77">AC36-AC32-AC35</f>
        <v>132058</v>
      </c>
    </row>
    <row r="40" spans="1:29" s="9" customFormat="1" x14ac:dyDescent="0.15">
      <c r="A40" s="66" t="s">
        <v>98</v>
      </c>
      <c r="B40" s="33"/>
      <c r="C40" s="33"/>
      <c r="D40" s="33"/>
      <c r="E40" s="41">
        <f>E36-E37</f>
        <v>111547</v>
      </c>
      <c r="F40" s="42">
        <f t="shared" ref="F40" si="78">F36-F37</f>
        <v>123328</v>
      </c>
      <c r="G40" s="41">
        <f t="shared" ref="G40:U40" si="79">G36-G37</f>
        <v>129006</v>
      </c>
      <c r="H40" s="41">
        <f t="shared" si="79"/>
        <v>125677</v>
      </c>
      <c r="I40" s="41">
        <f t="shared" si="79"/>
        <v>119355</v>
      </c>
      <c r="J40" s="42">
        <f t="shared" si="79"/>
        <v>128267</v>
      </c>
      <c r="K40" s="41">
        <f t="shared" si="79"/>
        <v>130457</v>
      </c>
      <c r="L40" s="41">
        <f t="shared" si="79"/>
        <v>234116</v>
      </c>
      <c r="M40" s="41">
        <f t="shared" si="79"/>
        <v>242680</v>
      </c>
      <c r="N40" s="42">
        <f t="shared" si="79"/>
        <v>247011</v>
      </c>
      <c r="O40" s="41">
        <f t="shared" si="79"/>
        <v>261190</v>
      </c>
      <c r="P40" s="41">
        <f t="shared" si="79"/>
        <v>263871</v>
      </c>
      <c r="Q40" s="41">
        <f t="shared" si="79"/>
        <v>274505</v>
      </c>
      <c r="R40" s="42">
        <f t="shared" si="79"/>
        <v>291006</v>
      </c>
      <c r="S40" s="41">
        <f t="shared" si="79"/>
        <v>278182</v>
      </c>
      <c r="T40" s="41">
        <f t="shared" si="79"/>
        <v>260649</v>
      </c>
      <c r="U40" s="41">
        <f t="shared" si="79"/>
        <v>248859</v>
      </c>
      <c r="V40" s="42">
        <f>V36-V37</f>
        <v>117892</v>
      </c>
      <c r="W40" s="33"/>
      <c r="X40" s="33"/>
      <c r="Y40" s="41">
        <f t="shared" ref="Y40" si="80">Y36-Y37</f>
        <v>90488</v>
      </c>
      <c r="Z40" s="71"/>
      <c r="AA40" s="41">
        <f t="shared" ref="AA40:AB40" si="81">AA36-AA37</f>
        <v>78425</v>
      </c>
      <c r="AB40" s="41">
        <f t="shared" si="81"/>
        <v>72282</v>
      </c>
      <c r="AC40" s="41">
        <f t="shared" ref="AC40" si="82">AC36-AC37</f>
        <v>65339</v>
      </c>
    </row>
    <row r="41" spans="1:29" s="9" customFormat="1" x14ac:dyDescent="0.15">
      <c r="A41" s="66"/>
      <c r="B41" s="33"/>
      <c r="C41" s="33"/>
      <c r="D41" s="33"/>
      <c r="E41" s="33"/>
      <c r="F41" s="34"/>
      <c r="G41" s="33"/>
      <c r="H41" s="33"/>
      <c r="I41" s="33"/>
      <c r="J41" s="34"/>
      <c r="K41" s="33"/>
      <c r="L41" s="33"/>
      <c r="M41" s="33"/>
      <c r="N41" s="34"/>
      <c r="O41" s="33"/>
      <c r="P41" s="33"/>
      <c r="Q41" s="33"/>
      <c r="R41" s="34"/>
      <c r="S41" s="33"/>
      <c r="T41" s="33"/>
      <c r="U41" s="33"/>
      <c r="V41" s="34"/>
      <c r="W41" s="33"/>
      <c r="X41" s="33"/>
      <c r="Y41" s="33"/>
      <c r="Z41" s="71"/>
      <c r="AA41" s="33"/>
      <c r="AB41" s="33"/>
      <c r="AC41" s="33"/>
    </row>
    <row r="42" spans="1:29" s="22" customFormat="1" x14ac:dyDescent="0.15">
      <c r="A42" s="68" t="s">
        <v>102</v>
      </c>
      <c r="B42" s="69"/>
      <c r="C42" s="69"/>
      <c r="D42" s="69"/>
      <c r="E42" s="40">
        <f t="shared" ref="E42:V42" si="83">SUM(B19:E19)</f>
        <v>39510</v>
      </c>
      <c r="F42" s="39">
        <f t="shared" si="83"/>
        <v>44462</v>
      </c>
      <c r="G42" s="40">
        <f t="shared" si="83"/>
        <v>47808</v>
      </c>
      <c r="H42" s="40">
        <f t="shared" si="83"/>
        <v>50737</v>
      </c>
      <c r="I42" s="40">
        <f t="shared" si="83"/>
        <v>53394</v>
      </c>
      <c r="J42" s="39">
        <f t="shared" si="83"/>
        <v>53731</v>
      </c>
      <c r="K42" s="40">
        <f t="shared" si="83"/>
        <v>50678</v>
      </c>
      <c r="L42" s="40">
        <f t="shared" si="83"/>
        <v>47797</v>
      </c>
      <c r="M42" s="40">
        <f t="shared" si="83"/>
        <v>45687</v>
      </c>
      <c r="N42" s="39">
        <f t="shared" si="83"/>
        <v>45217</v>
      </c>
      <c r="O42" s="40">
        <f t="shared" si="83"/>
        <v>45730</v>
      </c>
      <c r="P42" s="40">
        <f t="shared" si="83"/>
        <v>46651</v>
      </c>
      <c r="Q42" s="40">
        <f t="shared" si="83"/>
        <v>48351</v>
      </c>
      <c r="R42" s="39">
        <f t="shared" si="83"/>
        <v>50525</v>
      </c>
      <c r="S42" s="40">
        <f t="shared" si="83"/>
        <v>53318</v>
      </c>
      <c r="T42" s="40">
        <f t="shared" si="83"/>
        <v>56120</v>
      </c>
      <c r="U42" s="40">
        <f t="shared" si="83"/>
        <v>59531</v>
      </c>
      <c r="V42" s="39">
        <f t="shared" si="83"/>
        <v>59431</v>
      </c>
      <c r="W42" s="69"/>
      <c r="X42" s="69"/>
      <c r="Y42" s="40">
        <f t="shared" ref="Y42" si="84">SUM(V19:Y19)</f>
        <v>55256</v>
      </c>
      <c r="Z42" s="73"/>
      <c r="AA42" s="40">
        <f t="shared" ref="AA42:AB42" si="85">SUM(X19:AA19)</f>
        <v>57215</v>
      </c>
      <c r="AB42" s="40">
        <f t="shared" si="85"/>
        <v>58424</v>
      </c>
      <c r="AC42" s="40">
        <f t="shared" ref="AC42" si="86">SUM(Z19:AC19)</f>
        <v>57411</v>
      </c>
    </row>
    <row r="43" spans="1:29" x14ac:dyDescent="0.15">
      <c r="A43" s="5" t="s">
        <v>99</v>
      </c>
      <c r="E43" s="47">
        <f>E42/E40</f>
        <v>0.35420047155010892</v>
      </c>
      <c r="F43" s="48">
        <f t="shared" ref="F43:I43" si="87">F42/F40</f>
        <v>0.36051829268292684</v>
      </c>
      <c r="G43" s="47">
        <f t="shared" si="87"/>
        <v>0.37058741453885868</v>
      </c>
      <c r="H43" s="47">
        <f t="shared" si="87"/>
        <v>0.40370950929764399</v>
      </c>
      <c r="I43" s="47">
        <f t="shared" si="87"/>
        <v>0.44735453060198566</v>
      </c>
      <c r="J43" s="48">
        <f>J42/J40</f>
        <v>0.41889963903420208</v>
      </c>
      <c r="K43" s="47">
        <f t="shared" ref="K43:U43" si="88">K42/K40</f>
        <v>0.38846516476693471</v>
      </c>
      <c r="L43" s="47">
        <f t="shared" si="88"/>
        <v>0.20415947649882965</v>
      </c>
      <c r="M43" s="47">
        <f t="shared" si="88"/>
        <v>0.18826026042525135</v>
      </c>
      <c r="N43" s="48">
        <f t="shared" si="88"/>
        <v>0.18305662500860287</v>
      </c>
      <c r="O43" s="47">
        <f t="shared" si="88"/>
        <v>0.17508327271335045</v>
      </c>
      <c r="P43" s="47">
        <f t="shared" si="88"/>
        <v>0.17679472166323695</v>
      </c>
      <c r="Q43" s="47">
        <f t="shared" si="88"/>
        <v>0.17613886814447824</v>
      </c>
      <c r="R43" s="48">
        <f t="shared" si="88"/>
        <v>0.17362184972131159</v>
      </c>
      <c r="S43" s="47">
        <f t="shared" si="88"/>
        <v>0.19166588780007332</v>
      </c>
      <c r="T43" s="47">
        <f t="shared" si="88"/>
        <v>0.2153087101811248</v>
      </c>
      <c r="U43" s="47">
        <f t="shared" si="88"/>
        <v>0.23921578082367928</v>
      </c>
      <c r="V43" s="48">
        <f t="shared" ref="V43" si="89">V42/V40</f>
        <v>0.50411393478777189</v>
      </c>
      <c r="Y43" s="47">
        <f t="shared" ref="Y43" si="90">Y42/Y40</f>
        <v>0.61064450534877557</v>
      </c>
      <c r="AA43" s="47">
        <f t="shared" ref="AA43:AB43" si="91">AA42/AA40</f>
        <v>0.72955052598023584</v>
      </c>
      <c r="AB43" s="47">
        <f t="shared" si="91"/>
        <v>0.80827868625660604</v>
      </c>
      <c r="AC43" s="47">
        <f t="shared" ref="AC43" si="92">AC42/AC40</f>
        <v>0.87866358530127486</v>
      </c>
    </row>
    <row r="44" spans="1:29" x14ac:dyDescent="0.15">
      <c r="A44" s="5" t="s">
        <v>97</v>
      </c>
      <c r="E44" s="47">
        <f>E42/E36</f>
        <v>0.17041998973425523</v>
      </c>
      <c r="F44" s="48">
        <f t="shared" ref="F44:I44" si="93">F42/F36</f>
        <v>0.16977097604374289</v>
      </c>
      <c r="G44" s="47">
        <f>G42/G36</f>
        <v>0.18303636377558444</v>
      </c>
      <c r="H44" s="47">
        <f t="shared" si="93"/>
        <v>0.18574707762373194</v>
      </c>
      <c r="I44" s="47">
        <f t="shared" si="93"/>
        <v>0.18381363196651049</v>
      </c>
      <c r="J44" s="48">
        <f>J42/J36</f>
        <v>0.18320467533176035</v>
      </c>
      <c r="K44" s="47">
        <f t="shared" ref="K44" si="94">K42/K36</f>
        <v>0.16600661038990819</v>
      </c>
      <c r="L44" s="47">
        <f>L42/L36</f>
        <v>0.15640277223316601</v>
      </c>
      <c r="M44" s="47">
        <f t="shared" ref="M44:N44" si="95">M42/M36</f>
        <v>0.14202358821956815</v>
      </c>
      <c r="N44" s="48">
        <f t="shared" si="95"/>
        <v>0.13654908332100224</v>
      </c>
      <c r="O44" s="47">
        <f t="shared" ref="O44:P44" si="96">O42/O36</f>
        <v>0.1366984324369567</v>
      </c>
      <c r="P44" s="47">
        <f t="shared" si="96"/>
        <v>0.13515251772299688</v>
      </c>
      <c r="Q44" s="47">
        <f t="shared" ref="Q44:R44" si="97">Q42/Q36</f>
        <v>0.12882641166580963</v>
      </c>
      <c r="R44" s="48">
        <f t="shared" si="97"/>
        <v>0.1242029135139653</v>
      </c>
      <c r="S44" s="47">
        <f t="shared" ref="S44:T44" si="98">S42/S36</f>
        <v>0.14508220363426594</v>
      </c>
      <c r="T44" s="47">
        <f t="shared" si="98"/>
        <v>0.16071157541445086</v>
      </c>
      <c r="U44" s="47">
        <f t="shared" ref="U44:V44" si="99">U42/U36</f>
        <v>0.16277530931710985</v>
      </c>
      <c r="V44" s="48">
        <f t="shared" si="99"/>
        <v>0.15902589913812248</v>
      </c>
      <c r="Y44" s="47">
        <f t="shared" ref="Y44" si="100">Y42/Y36</f>
        <v>0.16323009842961633</v>
      </c>
      <c r="AA44" s="47">
        <f t="shared" ref="AA44:AB44" si="101">AA42/AA36</f>
        <v>0.1785736579275905</v>
      </c>
      <c r="AB44" s="47">
        <f t="shared" si="101"/>
        <v>0.18410305535948371</v>
      </c>
      <c r="AC44" s="47">
        <f t="shared" ref="AC44" si="102">AC42/AC36</f>
        <v>0.1772557180259843</v>
      </c>
    </row>
    <row r="45" spans="1:29" x14ac:dyDescent="0.15">
      <c r="A45" s="5" t="s">
        <v>101</v>
      </c>
      <c r="E45" s="47">
        <f>E42/(E40-E35)</f>
        <v>0.38437965151913145</v>
      </c>
      <c r="F45" s="48">
        <f>F42/(F40-F35)</f>
        <v>0.38889520594074994</v>
      </c>
      <c r="G45" s="47">
        <f t="shared" ref="G45:I45" si="103">G42/(G40-G35)</f>
        <v>0.39762463196766307</v>
      </c>
      <c r="H45" s="47">
        <f t="shared" si="103"/>
        <v>0.43419138412035529</v>
      </c>
      <c r="I45" s="47">
        <f t="shared" si="103"/>
        <v>0.48387798379642216</v>
      </c>
      <c r="J45" s="48">
        <f>J42/(J40-J35)</f>
        <v>0.45098664607481892</v>
      </c>
      <c r="K45" s="47">
        <f t="shared" ref="K45:L45" si="104">K42/(K40-K35)</f>
        <v>0.41756684381823428</v>
      </c>
      <c r="L45" s="47">
        <f t="shared" si="104"/>
        <v>0.21210211716049329</v>
      </c>
      <c r="M45" s="47">
        <f t="shared" ref="M45:N45" si="105">M42/(M40-M35)</f>
        <v>0.19519354011791848</v>
      </c>
      <c r="N45" s="48">
        <f t="shared" si="105"/>
        <v>0.18939850883806653</v>
      </c>
      <c r="O45" s="47">
        <f t="shared" ref="O45:P45" si="106">O42/(O40-O35)</f>
        <v>0.18067957329118925</v>
      </c>
      <c r="P45" s="47">
        <f t="shared" si="106"/>
        <v>0.18239719118256531</v>
      </c>
      <c r="Q45" s="47">
        <f t="shared" ref="Q45:R45" si="107">Q42/(Q40-Q35)</f>
        <v>0.18143645164921759</v>
      </c>
      <c r="R45" s="48">
        <f t="shared" si="107"/>
        <v>0.1785537587289022</v>
      </c>
      <c r="S45" s="47">
        <f t="shared" ref="S45:T45" si="108">S42/(S40-S35)</f>
        <v>0.19166588780007332</v>
      </c>
      <c r="T45" s="47">
        <f t="shared" si="108"/>
        <v>0.2153087101811248</v>
      </c>
      <c r="U45" s="47">
        <f t="shared" ref="U45:V45" si="109">U42/(U40-U35)</f>
        <v>0.23921578082367928</v>
      </c>
      <c r="V45" s="48">
        <f t="shared" si="109"/>
        <v>0.50411393478777189</v>
      </c>
      <c r="Y45" s="47">
        <f t="shared" ref="Y45" si="110">Y42/(Y40-Y35)</f>
        <v>0.61064450534877557</v>
      </c>
      <c r="AA45" s="47">
        <f t="shared" ref="AA45:AB45" si="111">AA42/(AA40-AA35)</f>
        <v>0.72955052598023584</v>
      </c>
      <c r="AB45" s="47">
        <f t="shared" si="111"/>
        <v>0.80827868625660604</v>
      </c>
      <c r="AC45" s="47">
        <f t="shared" ref="AC45" si="112">AC42/(AC40-AC35)</f>
        <v>0.87866358530127486</v>
      </c>
    </row>
    <row r="46" spans="1:29" x14ac:dyDescent="0.15">
      <c r="A46" s="5" t="s">
        <v>105</v>
      </c>
      <c r="E46" s="47">
        <f>E42/E39</f>
        <v>0.58238259485274613</v>
      </c>
      <c r="F46" s="48">
        <f t="shared" ref="F46:H46" si="113">F42/F39</f>
        <v>0.59330130771283696</v>
      </c>
      <c r="G46" s="47">
        <f t="shared" si="113"/>
        <v>0.81191515377952894</v>
      </c>
      <c r="H46" s="47">
        <f t="shared" si="113"/>
        <v>0.82526024723487312</v>
      </c>
      <c r="I46" s="47">
        <f t="shared" ref="I46:U46" si="114">I42/I39</f>
        <v>0.70436916257717275</v>
      </c>
      <c r="J46" s="48">
        <f t="shared" si="114"/>
        <v>0.7853227904529444</v>
      </c>
      <c r="K46" s="47">
        <f t="shared" si="114"/>
        <v>0.80114453736345381</v>
      </c>
      <c r="L46" s="47">
        <f t="shared" si="114"/>
        <v>0.73179208451351141</v>
      </c>
      <c r="M46" s="47">
        <f t="shared" si="114"/>
        <v>0.60527814946807801</v>
      </c>
      <c r="N46" s="48">
        <f t="shared" si="114"/>
        <v>0.58891638447512373</v>
      </c>
      <c r="O46" s="47">
        <f t="shared" si="114"/>
        <v>0.65703078978750307</v>
      </c>
      <c r="P46" s="47">
        <f t="shared" si="114"/>
        <v>0.61746876323591704</v>
      </c>
      <c r="Q46" s="47">
        <f t="shared" si="114"/>
        <v>0.49132701277322194</v>
      </c>
      <c r="R46" s="48">
        <f t="shared" si="114"/>
        <v>0.44453144933529243</v>
      </c>
      <c r="S46" s="47">
        <f t="shared" si="114"/>
        <v>0.53171247357293872</v>
      </c>
      <c r="T46" s="47">
        <f t="shared" si="114"/>
        <v>0.53217516642327456</v>
      </c>
      <c r="U46" s="47">
        <f t="shared" si="114"/>
        <v>0.46275409071475765</v>
      </c>
      <c r="V46" s="48">
        <f t="shared" ref="V46" si="115">V42/V39</f>
        <v>0.4618367473811818</v>
      </c>
      <c r="Y46" s="47">
        <f t="shared" ref="Y46" si="116">Y42/Y39</f>
        <v>0.41665535598485876</v>
      </c>
      <c r="AA46" s="47">
        <f t="shared" ref="AA46:AB46" si="117">AA42/AA39</f>
        <v>0.44854808868261781</v>
      </c>
      <c r="AB46" s="47">
        <f t="shared" si="117"/>
        <v>0.47220089390351339</v>
      </c>
      <c r="AC46" s="47">
        <f t="shared" ref="AC46" si="118">AC42/AC39</f>
        <v>0.43474079571097546</v>
      </c>
    </row>
  </sheetData>
  <hyperlinks>
    <hyperlink ref="A1" r:id="rId1" display="SEC" xr:uid="{00000000-0004-0000-0100-000000000000}"/>
  </hyperlinks>
  <pageMargins left="0.7" right="0.7" top="0.75" bottom="0.75" header="0.3" footer="0.3"/>
  <pageSetup paperSize="9" orientation="portrait" horizontalDpi="0" verticalDpi="0"/>
  <ignoredErrors>
    <ignoredError sqref="R14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2" sqref="E12"/>
    </sheetView>
  </sheetViews>
  <sheetFormatPr baseColWidth="10" defaultRowHeight="13" x14ac:dyDescent="0.15"/>
  <cols>
    <col min="1" max="16384" width="10.832031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2017-11-18T19:10:10Z</dcterms:created>
  <dcterms:modified xsi:type="dcterms:W3CDTF">2021-01-25T19:00:01Z</dcterms:modified>
</cp:coreProperties>
</file>