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D4625A3D-A6E0-BB45-8BE2-E9DAEB310D93}" xr6:coauthVersionLast="46" xr6:coauthVersionMax="46" xr10:uidLastSave="{00000000-0000-0000-0000-000000000000}"/>
  <bookViews>
    <workbookView xWindow="-52260" yWindow="-5940" windowWidth="26120" windowHeight="26740" tabRatio="500" activeTab="1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2" l="1"/>
  <c r="I21" i="2"/>
  <c r="J21" i="2" s="1"/>
  <c r="K21" i="2" s="1"/>
  <c r="L21" i="2" s="1"/>
  <c r="I19" i="2"/>
  <c r="J19" i="2" s="1"/>
  <c r="K19" i="2" s="1"/>
  <c r="L19" i="2" s="1"/>
  <c r="I20" i="2"/>
  <c r="J20" i="2" s="1"/>
  <c r="K20" i="2" s="1"/>
  <c r="L20" i="2" s="1"/>
  <c r="H20" i="2"/>
  <c r="H21" i="2"/>
  <c r="L16" i="2"/>
  <c r="K16" i="2"/>
  <c r="J16" i="2"/>
  <c r="I16" i="2"/>
  <c r="I14" i="2"/>
  <c r="J14" i="2" s="1"/>
  <c r="K14" i="2" s="1"/>
  <c r="L14" i="2" s="1"/>
  <c r="I13" i="2"/>
  <c r="J13" i="2" s="1"/>
  <c r="K13" i="2" s="1"/>
  <c r="L13" i="2" s="1"/>
  <c r="C5" i="2"/>
  <c r="G53" i="2"/>
  <c r="G50" i="2"/>
  <c r="G54" i="2" s="1"/>
  <c r="G49" i="2"/>
  <c r="G55" i="2" s="1"/>
  <c r="G47" i="2"/>
  <c r="G46" i="2"/>
  <c r="G45" i="2"/>
  <c r="G43" i="2"/>
  <c r="G42" i="2"/>
  <c r="G29" i="2"/>
  <c r="G28" i="2" s="1"/>
  <c r="G25" i="2"/>
  <c r="G22" i="2"/>
  <c r="G23" i="2" s="1"/>
  <c r="G18" i="2"/>
  <c r="G14" i="2"/>
  <c r="G16" i="2"/>
  <c r="G13" i="2"/>
  <c r="G26" i="2"/>
  <c r="G24" i="2"/>
  <c r="G21" i="2"/>
  <c r="G34" i="2" s="1"/>
  <c r="G20" i="2"/>
  <c r="G19" i="2"/>
  <c r="G17" i="2"/>
  <c r="G11" i="2"/>
  <c r="G10" i="2"/>
  <c r="Y34" i="1"/>
  <c r="C3" i="2"/>
  <c r="I51" i="1"/>
  <c r="M51" i="1"/>
  <c r="L51" i="1"/>
  <c r="K51" i="1"/>
  <c r="J51" i="1"/>
  <c r="Q51" i="1"/>
  <c r="P51" i="1"/>
  <c r="O51" i="1"/>
  <c r="N51" i="1"/>
  <c r="U51" i="1"/>
  <c r="T51" i="1"/>
  <c r="S51" i="1"/>
  <c r="R51" i="1"/>
  <c r="V51" i="1"/>
  <c r="W51" i="1"/>
  <c r="X51" i="1"/>
  <c r="Y51" i="1"/>
  <c r="E50" i="1"/>
  <c r="I50" i="1"/>
  <c r="H50" i="1"/>
  <c r="G50" i="1"/>
  <c r="F50" i="1"/>
  <c r="M50" i="1"/>
  <c r="L50" i="1"/>
  <c r="K50" i="1"/>
  <c r="J50" i="1"/>
  <c r="Q50" i="1"/>
  <c r="P50" i="1"/>
  <c r="O50" i="1"/>
  <c r="N50" i="1"/>
  <c r="U50" i="1"/>
  <c r="T50" i="1"/>
  <c r="S50" i="1"/>
  <c r="R50" i="1"/>
  <c r="V50" i="1"/>
  <c r="W50" i="1"/>
  <c r="X50" i="1"/>
  <c r="Y50" i="1"/>
  <c r="Y27" i="1"/>
  <c r="Y26" i="1"/>
  <c r="Y25" i="1"/>
  <c r="Y15" i="1"/>
  <c r="Y9" i="1"/>
  <c r="Y11" i="1" s="1"/>
  <c r="Y29" i="1" s="1"/>
  <c r="Y7" i="1"/>
  <c r="Y42" i="1"/>
  <c r="Y41" i="1"/>
  <c r="Y37" i="1"/>
  <c r="Y53" i="1"/>
  <c r="Y33" i="1"/>
  <c r="R9" i="2"/>
  <c r="S9" i="2" s="1"/>
  <c r="T9" i="2" s="1"/>
  <c r="U9" i="2" s="1"/>
  <c r="V9" i="2" s="1"/>
  <c r="G52" i="2" l="1"/>
  <c r="G41" i="2"/>
  <c r="Y16" i="1"/>
  <c r="F4" i="2"/>
  <c r="F47" i="2"/>
  <c r="F46" i="2"/>
  <c r="F43" i="2"/>
  <c r="E47" i="2"/>
  <c r="E46" i="2"/>
  <c r="E50" i="2" s="1"/>
  <c r="E43" i="2"/>
  <c r="D50" i="2"/>
  <c r="M41" i="1"/>
  <c r="D47" i="2"/>
  <c r="D46" i="2"/>
  <c r="D43" i="2"/>
  <c r="C43" i="2"/>
  <c r="B43" i="2"/>
  <c r="F29" i="2"/>
  <c r="F26" i="2"/>
  <c r="F24" i="2"/>
  <c r="F21" i="2"/>
  <c r="F20" i="2"/>
  <c r="F19" i="2"/>
  <c r="F17" i="2"/>
  <c r="F13" i="2"/>
  <c r="H13" i="2" s="1"/>
  <c r="F11" i="2"/>
  <c r="F10" i="2"/>
  <c r="R53" i="1"/>
  <c r="R42" i="1"/>
  <c r="R41" i="1"/>
  <c r="R37" i="1"/>
  <c r="R34" i="1"/>
  <c r="R33" i="1" s="1"/>
  <c r="S53" i="1"/>
  <c r="S42" i="1"/>
  <c r="S41" i="1"/>
  <c r="S37" i="1"/>
  <c r="S34" i="1"/>
  <c r="S33" i="1" s="1"/>
  <c r="S7" i="1"/>
  <c r="T42" i="1"/>
  <c r="T37" i="1"/>
  <c r="T41" i="1" s="1"/>
  <c r="T34" i="1"/>
  <c r="T33" i="1" s="1"/>
  <c r="U27" i="1"/>
  <c r="U26" i="1"/>
  <c r="U25" i="1"/>
  <c r="U24" i="1"/>
  <c r="U15" i="1"/>
  <c r="U7" i="1"/>
  <c r="U9" i="1"/>
  <c r="Y24" i="1" s="1"/>
  <c r="V53" i="1"/>
  <c r="V42" i="1"/>
  <c r="V41" i="1"/>
  <c r="V37" i="1"/>
  <c r="V34" i="1"/>
  <c r="V33" i="1" s="1"/>
  <c r="V29" i="1"/>
  <c r="V27" i="1"/>
  <c r="V26" i="1"/>
  <c r="V25" i="1"/>
  <c r="V15" i="1"/>
  <c r="V11" i="1"/>
  <c r="V9" i="1"/>
  <c r="V24" i="1" s="1"/>
  <c r="R29" i="1"/>
  <c r="R27" i="1"/>
  <c r="R26" i="1"/>
  <c r="R25" i="1"/>
  <c r="R24" i="1"/>
  <c r="R15" i="1"/>
  <c r="R11" i="1"/>
  <c r="R16" i="1" s="1"/>
  <c r="V7" i="1"/>
  <c r="V54" i="1" s="1"/>
  <c r="W53" i="1"/>
  <c r="W42" i="1"/>
  <c r="W37" i="1"/>
  <c r="W41" i="1" s="1"/>
  <c r="W34" i="1"/>
  <c r="W33" i="1" s="1"/>
  <c r="W31" i="1"/>
  <c r="W30" i="1"/>
  <c r="W27" i="1"/>
  <c r="W26" i="1"/>
  <c r="W25" i="1"/>
  <c r="W18" i="1"/>
  <c r="W20" i="1" s="1"/>
  <c r="W21" i="1" s="1"/>
  <c r="W15" i="1"/>
  <c r="W16" i="1" s="1"/>
  <c r="W11" i="1"/>
  <c r="W29" i="1" s="1"/>
  <c r="S27" i="1"/>
  <c r="S26" i="1"/>
  <c r="S25" i="1"/>
  <c r="S24" i="1"/>
  <c r="S15" i="1"/>
  <c r="S9" i="1"/>
  <c r="S11" i="1" s="1"/>
  <c r="S29" i="1" s="1"/>
  <c r="W9" i="1"/>
  <c r="W7" i="1"/>
  <c r="W54" i="1" s="1"/>
  <c r="U53" i="1"/>
  <c r="U42" i="1"/>
  <c r="U41" i="1"/>
  <c r="U37" i="1"/>
  <c r="F45" i="2" s="1"/>
  <c r="U34" i="1"/>
  <c r="F42" i="2" s="1"/>
  <c r="F41" i="2" s="1"/>
  <c r="U33" i="1"/>
  <c r="X53" i="1"/>
  <c r="X42" i="1"/>
  <c r="X37" i="1"/>
  <c r="X41" i="1" s="1"/>
  <c r="X34" i="1"/>
  <c r="X33" i="1" s="1"/>
  <c r="X27" i="1"/>
  <c r="X26" i="1"/>
  <c r="X25" i="1"/>
  <c r="X15" i="1"/>
  <c r="T53" i="1"/>
  <c r="T27" i="1"/>
  <c r="T26" i="1"/>
  <c r="T25" i="1"/>
  <c r="T15" i="1"/>
  <c r="T9" i="1"/>
  <c r="T24" i="1" s="1"/>
  <c r="T7" i="1"/>
  <c r="T54" i="1" s="1"/>
  <c r="X9" i="1"/>
  <c r="X24" i="1" s="1"/>
  <c r="X7" i="1"/>
  <c r="R9" i="1"/>
  <c r="R7" i="1"/>
  <c r="R54" i="1" s="1"/>
  <c r="C4" i="2"/>
  <c r="E29" i="2"/>
  <c r="E26" i="2"/>
  <c r="E24" i="2"/>
  <c r="E21" i="2"/>
  <c r="M21" i="2" s="1"/>
  <c r="N21" i="2" s="1"/>
  <c r="O21" i="2" s="1"/>
  <c r="P21" i="2" s="1"/>
  <c r="Q21" i="2" s="1"/>
  <c r="R21" i="2" s="1"/>
  <c r="S21" i="2" s="1"/>
  <c r="T21" i="2" s="1"/>
  <c r="U21" i="2" s="1"/>
  <c r="V21" i="2" s="1"/>
  <c r="E20" i="2"/>
  <c r="E19" i="2"/>
  <c r="E17" i="2"/>
  <c r="E11" i="2"/>
  <c r="E10" i="2"/>
  <c r="Q42" i="1"/>
  <c r="Q37" i="1"/>
  <c r="E45" i="2" s="1"/>
  <c r="Q34" i="1"/>
  <c r="Q33" i="1" s="1"/>
  <c r="Q27" i="1"/>
  <c r="Q26" i="1"/>
  <c r="Q25" i="1"/>
  <c r="Q15" i="1"/>
  <c r="Q9" i="1"/>
  <c r="Q11" i="1" s="1"/>
  <c r="Q29" i="1" s="1"/>
  <c r="Q7" i="1"/>
  <c r="P7" i="1"/>
  <c r="O7" i="1"/>
  <c r="S54" i="1" s="1"/>
  <c r="N7" i="1"/>
  <c r="M37" i="1"/>
  <c r="D45" i="2" s="1"/>
  <c r="N37" i="1"/>
  <c r="N42" i="1"/>
  <c r="O37" i="1"/>
  <c r="O42" i="1"/>
  <c r="M42" i="1"/>
  <c r="P42" i="1"/>
  <c r="P37" i="1"/>
  <c r="E13" i="2"/>
  <c r="M9" i="1"/>
  <c r="M11" i="1" s="1"/>
  <c r="M15" i="1"/>
  <c r="N9" i="1"/>
  <c r="N11" i="1"/>
  <c r="N15" i="1"/>
  <c r="N16" i="1"/>
  <c r="N30" i="1" s="1"/>
  <c r="O9" i="1"/>
  <c r="O11" i="1" s="1"/>
  <c r="O15" i="1"/>
  <c r="P9" i="1"/>
  <c r="P11" i="1" s="1"/>
  <c r="P15" i="1"/>
  <c r="B9" i="1"/>
  <c r="B11" i="1"/>
  <c r="B29" i="1" s="1"/>
  <c r="B15" i="1"/>
  <c r="B16" i="1"/>
  <c r="B30" i="1" s="1"/>
  <c r="C9" i="1"/>
  <c r="C7" i="1" s="1"/>
  <c r="C15" i="1"/>
  <c r="D9" i="1"/>
  <c r="D7" i="1" s="1"/>
  <c r="D11" i="1"/>
  <c r="D29" i="1" s="1"/>
  <c r="D15" i="1"/>
  <c r="E9" i="1"/>
  <c r="E7" i="1" s="1"/>
  <c r="E11" i="1"/>
  <c r="E16" i="1" s="1"/>
  <c r="E18" i="1" s="1"/>
  <c r="E15" i="1"/>
  <c r="L9" i="1"/>
  <c r="L11" i="1" s="1"/>
  <c r="L15" i="1"/>
  <c r="K9" i="1"/>
  <c r="K11" i="1" s="1"/>
  <c r="K15" i="1"/>
  <c r="J9" i="1"/>
  <c r="J11" i="1" s="1"/>
  <c r="J15" i="1"/>
  <c r="I9" i="1"/>
  <c r="I11" i="1" s="1"/>
  <c r="I29" i="1" s="1"/>
  <c r="I15" i="1"/>
  <c r="H9" i="1"/>
  <c r="H11" i="1"/>
  <c r="H29" i="1" s="1"/>
  <c r="H15" i="1"/>
  <c r="G9" i="1"/>
  <c r="G11" i="1" s="1"/>
  <c r="G15" i="1"/>
  <c r="F9" i="1"/>
  <c r="F11" i="1"/>
  <c r="F29" i="1" s="1"/>
  <c r="F15" i="1"/>
  <c r="F16" i="1"/>
  <c r="F30" i="1" s="1"/>
  <c r="F18" i="1"/>
  <c r="F31" i="1" s="1"/>
  <c r="P34" i="1"/>
  <c r="P33" i="1"/>
  <c r="B7" i="1"/>
  <c r="D17" i="2"/>
  <c r="D10" i="2"/>
  <c r="D11" i="2"/>
  <c r="D16" i="2" s="1"/>
  <c r="D19" i="2"/>
  <c r="D20" i="2"/>
  <c r="D21" i="2"/>
  <c r="D24" i="2"/>
  <c r="D26" i="2"/>
  <c r="C10" i="2"/>
  <c r="C11" i="2"/>
  <c r="C17" i="2"/>
  <c r="C19" i="2"/>
  <c r="C20" i="2"/>
  <c r="C21" i="2"/>
  <c r="C24" i="2"/>
  <c r="C26" i="2"/>
  <c r="M22" i="1"/>
  <c r="D29" i="2" s="1"/>
  <c r="D34" i="1"/>
  <c r="D33" i="1"/>
  <c r="M34" i="1"/>
  <c r="M33" i="1" s="1"/>
  <c r="I34" i="1"/>
  <c r="I33" i="1" s="1"/>
  <c r="E34" i="1"/>
  <c r="E33" i="1" s="1"/>
  <c r="B10" i="2"/>
  <c r="B11" i="2"/>
  <c r="B13" i="2"/>
  <c r="F7" i="1"/>
  <c r="D13" i="2"/>
  <c r="M7" i="1"/>
  <c r="M54" i="1" s="1"/>
  <c r="Q53" i="1"/>
  <c r="P27" i="1"/>
  <c r="O27" i="1"/>
  <c r="N27" i="1"/>
  <c r="M27" i="1"/>
  <c r="L27" i="1"/>
  <c r="K27" i="1"/>
  <c r="J27" i="1"/>
  <c r="I27" i="1"/>
  <c r="P26" i="1"/>
  <c r="O26" i="1"/>
  <c r="N26" i="1"/>
  <c r="M26" i="1"/>
  <c r="L26" i="1"/>
  <c r="K26" i="1"/>
  <c r="J26" i="1"/>
  <c r="I26" i="1"/>
  <c r="P25" i="1"/>
  <c r="O25" i="1"/>
  <c r="N25" i="1"/>
  <c r="M25" i="1"/>
  <c r="L25" i="1"/>
  <c r="K25" i="1"/>
  <c r="J25" i="1"/>
  <c r="I25" i="1"/>
  <c r="H27" i="1"/>
  <c r="G27" i="1"/>
  <c r="H26" i="1"/>
  <c r="G26" i="1"/>
  <c r="H25" i="1"/>
  <c r="G25" i="1"/>
  <c r="F27" i="1"/>
  <c r="F26" i="1"/>
  <c r="F25" i="1"/>
  <c r="C13" i="2"/>
  <c r="B24" i="2"/>
  <c r="B26" i="2"/>
  <c r="B17" i="2"/>
  <c r="B19" i="2"/>
  <c r="B20" i="2"/>
  <c r="B21" i="2"/>
  <c r="B22" i="2"/>
  <c r="O53" i="1"/>
  <c r="P53" i="1"/>
  <c r="F53" i="1"/>
  <c r="L7" i="1"/>
  <c r="P54" i="1" s="1"/>
  <c r="K7" i="1"/>
  <c r="O54" i="1" s="1"/>
  <c r="I7" i="1"/>
  <c r="I54" i="1" s="1"/>
  <c r="C29" i="2"/>
  <c r="B29" i="2"/>
  <c r="O34" i="1"/>
  <c r="N34" i="1"/>
  <c r="N33" i="1" s="1"/>
  <c r="N53" i="1"/>
  <c r="N29" i="1"/>
  <c r="I53" i="1"/>
  <c r="H53" i="1"/>
  <c r="G53" i="1"/>
  <c r="J53" i="1"/>
  <c r="K53" i="1"/>
  <c r="L53" i="1"/>
  <c r="M53" i="1"/>
  <c r="L34" i="1"/>
  <c r="K34" i="1"/>
  <c r="K33" i="1" s="1"/>
  <c r="J34" i="1"/>
  <c r="J33" i="1" s="1"/>
  <c r="H34" i="1"/>
  <c r="H33" i="1" s="1"/>
  <c r="G34" i="1"/>
  <c r="G33" i="1" s="1"/>
  <c r="F34" i="1"/>
  <c r="F33" i="1" s="1"/>
  <c r="C34" i="1"/>
  <c r="B34" i="1"/>
  <c r="B33" i="1"/>
  <c r="C33" i="1"/>
  <c r="E9" i="2"/>
  <c r="F9" i="2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L33" i="1"/>
  <c r="Q54" i="1"/>
  <c r="R18" i="1" l="1"/>
  <c r="R30" i="1"/>
  <c r="X11" i="1"/>
  <c r="X29" i="1" s="1"/>
  <c r="X16" i="1"/>
  <c r="C16" i="2"/>
  <c r="C18" i="2" s="1"/>
  <c r="C37" i="2" s="1"/>
  <c r="B16" i="2"/>
  <c r="F24" i="1"/>
  <c r="E16" i="2"/>
  <c r="E18" i="2" s="1"/>
  <c r="E37" i="2" s="1"/>
  <c r="T11" i="1"/>
  <c r="T29" i="1" s="1"/>
  <c r="T16" i="1"/>
  <c r="E42" i="2"/>
  <c r="E41" i="2" s="1"/>
  <c r="N41" i="1"/>
  <c r="H16" i="1"/>
  <c r="H18" i="1" s="1"/>
  <c r="H20" i="1" s="1"/>
  <c r="D16" i="1"/>
  <c r="D18" i="1" s="1"/>
  <c r="D31" i="1" s="1"/>
  <c r="B42" i="2"/>
  <c r="B41" i="2" s="1"/>
  <c r="O24" i="1"/>
  <c r="V16" i="1"/>
  <c r="C42" i="2"/>
  <c r="C41" i="2" s="1"/>
  <c r="L24" i="1"/>
  <c r="I16" i="1"/>
  <c r="I18" i="1" s="1"/>
  <c r="W24" i="1"/>
  <c r="U54" i="1"/>
  <c r="D42" i="2"/>
  <c r="D41" i="2" s="1"/>
  <c r="C11" i="1"/>
  <c r="C16" i="1" s="1"/>
  <c r="U11" i="1"/>
  <c r="U29" i="1" s="1"/>
  <c r="I24" i="1"/>
  <c r="U16" i="1"/>
  <c r="D49" i="2"/>
  <c r="Y18" i="1"/>
  <c r="Y30" i="1"/>
  <c r="S16" i="1"/>
  <c r="H7" i="1"/>
  <c r="F20" i="1"/>
  <c r="B18" i="1"/>
  <c r="F50" i="2"/>
  <c r="Y54" i="1"/>
  <c r="H29" i="2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F49" i="2"/>
  <c r="C32" i="2"/>
  <c r="C33" i="2"/>
  <c r="F22" i="2"/>
  <c r="E34" i="2"/>
  <c r="F16" i="2"/>
  <c r="F18" i="2" s="1"/>
  <c r="D33" i="2"/>
  <c r="F23" i="2"/>
  <c r="F25" i="2" s="1"/>
  <c r="X54" i="1"/>
  <c r="H54" i="1"/>
  <c r="D57" i="2"/>
  <c r="O16" i="1"/>
  <c r="Q41" i="1"/>
  <c r="D34" i="2"/>
  <c r="E29" i="1"/>
  <c r="E33" i="2"/>
  <c r="O29" i="1"/>
  <c r="C57" i="2"/>
  <c r="H24" i="1"/>
  <c r="Q16" i="1"/>
  <c r="Q18" i="1" s="1"/>
  <c r="Q24" i="1"/>
  <c r="G7" i="1"/>
  <c r="G54" i="1" s="1"/>
  <c r="D22" i="2"/>
  <c r="D35" i="2" s="1"/>
  <c r="F54" i="1"/>
  <c r="G24" i="1"/>
  <c r="M24" i="1"/>
  <c r="O41" i="1"/>
  <c r="C22" i="2"/>
  <c r="P24" i="1"/>
  <c r="P41" i="1"/>
  <c r="K24" i="1"/>
  <c r="C34" i="2"/>
  <c r="C6" i="2"/>
  <c r="C7" i="2" s="1"/>
  <c r="D31" i="2"/>
  <c r="E31" i="2"/>
  <c r="D18" i="2"/>
  <c r="D14" i="2"/>
  <c r="D20" i="1"/>
  <c r="I30" i="1"/>
  <c r="F57" i="2"/>
  <c r="K29" i="1"/>
  <c r="K16" i="1"/>
  <c r="G29" i="1"/>
  <c r="G16" i="1"/>
  <c r="B18" i="2"/>
  <c r="B14" i="2"/>
  <c r="M29" i="1"/>
  <c r="M16" i="1"/>
  <c r="C31" i="2"/>
  <c r="L29" i="1"/>
  <c r="L16" i="1"/>
  <c r="P16" i="1"/>
  <c r="P29" i="1"/>
  <c r="O18" i="1"/>
  <c r="O30" i="1"/>
  <c r="F32" i="2"/>
  <c r="H19" i="2"/>
  <c r="F34" i="2"/>
  <c r="J16" i="1"/>
  <c r="J29" i="1"/>
  <c r="E20" i="1"/>
  <c r="E31" i="1"/>
  <c r="D32" i="2"/>
  <c r="O33" i="1"/>
  <c r="N18" i="1"/>
  <c r="E30" i="1"/>
  <c r="J24" i="1"/>
  <c r="N24" i="1"/>
  <c r="L54" i="1"/>
  <c r="E22" i="2"/>
  <c r="E57" i="2"/>
  <c r="J7" i="1"/>
  <c r="E32" i="2"/>
  <c r="F21" i="1"/>
  <c r="C18" i="1" l="1"/>
  <c r="C30" i="1"/>
  <c r="Y31" i="1"/>
  <c r="Y20" i="1"/>
  <c r="Y21" i="1" s="1"/>
  <c r="E23" i="2"/>
  <c r="E35" i="2"/>
  <c r="S18" i="1"/>
  <c r="S30" i="1"/>
  <c r="H30" i="1"/>
  <c r="C14" i="2"/>
  <c r="D58" i="2" s="1"/>
  <c r="F35" i="2"/>
  <c r="X30" i="1"/>
  <c r="X18" i="1"/>
  <c r="E14" i="2"/>
  <c r="U18" i="1"/>
  <c r="U30" i="1"/>
  <c r="D30" i="1"/>
  <c r="H31" i="1"/>
  <c r="C23" i="2"/>
  <c r="C35" i="2"/>
  <c r="E49" i="2"/>
  <c r="V18" i="1"/>
  <c r="V30" i="1"/>
  <c r="R20" i="1"/>
  <c r="R31" i="1"/>
  <c r="T30" i="1"/>
  <c r="T18" i="1"/>
  <c r="C29" i="1"/>
  <c r="B31" i="1"/>
  <c r="B20" i="1"/>
  <c r="B21" i="1" s="1"/>
  <c r="K54" i="1"/>
  <c r="Q30" i="1"/>
  <c r="E25" i="2"/>
  <c r="E38" i="2"/>
  <c r="G57" i="2"/>
  <c r="M30" i="1"/>
  <c r="M18" i="1"/>
  <c r="I31" i="1"/>
  <c r="I20" i="1"/>
  <c r="C31" i="1"/>
  <c r="C20" i="1"/>
  <c r="G32" i="2"/>
  <c r="J18" i="1"/>
  <c r="J30" i="1"/>
  <c r="Q31" i="1"/>
  <c r="Q20" i="1"/>
  <c r="C38" i="2"/>
  <c r="C25" i="2"/>
  <c r="F33" i="2"/>
  <c r="D23" i="2"/>
  <c r="D37" i="2"/>
  <c r="E58" i="2"/>
  <c r="B37" i="2"/>
  <c r="B23" i="2"/>
  <c r="D21" i="1"/>
  <c r="O20" i="1"/>
  <c r="O31" i="1"/>
  <c r="G30" i="1"/>
  <c r="G18" i="1"/>
  <c r="N20" i="1"/>
  <c r="N31" i="1"/>
  <c r="H21" i="1"/>
  <c r="N54" i="1"/>
  <c r="J54" i="1"/>
  <c r="P18" i="1"/>
  <c r="P30" i="1"/>
  <c r="K18" i="1"/>
  <c r="K30" i="1"/>
  <c r="E21" i="1"/>
  <c r="L30" i="1"/>
  <c r="L18" i="1"/>
  <c r="U20" i="1" l="1"/>
  <c r="U31" i="1"/>
  <c r="C58" i="2"/>
  <c r="T31" i="1"/>
  <c r="T20" i="1"/>
  <c r="R21" i="1"/>
  <c r="X31" i="1"/>
  <c r="X20" i="1"/>
  <c r="X21" i="1" s="1"/>
  <c r="Q21" i="1"/>
  <c r="O21" i="1"/>
  <c r="R44" i="1"/>
  <c r="S20" i="1"/>
  <c r="S31" i="1"/>
  <c r="V20" i="1"/>
  <c r="V31" i="1"/>
  <c r="G35" i="2"/>
  <c r="F44" i="1"/>
  <c r="C21" i="1"/>
  <c r="E44" i="1"/>
  <c r="I21" i="1"/>
  <c r="D25" i="2"/>
  <c r="D38" i="2"/>
  <c r="M31" i="1"/>
  <c r="M20" i="1"/>
  <c r="P31" i="1"/>
  <c r="P20" i="1"/>
  <c r="H22" i="2"/>
  <c r="H32" i="2"/>
  <c r="N21" i="1"/>
  <c r="L31" i="1"/>
  <c r="L20" i="1"/>
  <c r="G31" i="1"/>
  <c r="G20" i="1"/>
  <c r="G33" i="2"/>
  <c r="C27" i="2"/>
  <c r="C28" i="2" s="1"/>
  <c r="C39" i="2"/>
  <c r="H34" i="2"/>
  <c r="H57" i="2"/>
  <c r="B25" i="2"/>
  <c r="B38" i="2"/>
  <c r="J20" i="1"/>
  <c r="J31" i="1"/>
  <c r="K31" i="1"/>
  <c r="K20" i="1"/>
  <c r="E39" i="2"/>
  <c r="E27" i="2"/>
  <c r="H35" i="2" l="1"/>
  <c r="V21" i="1"/>
  <c r="Y44" i="1"/>
  <c r="R48" i="1"/>
  <c r="R46" i="1"/>
  <c r="R47" i="1"/>
  <c r="R45" i="1"/>
  <c r="S21" i="1"/>
  <c r="V44" i="1"/>
  <c r="T21" i="1"/>
  <c r="W44" i="1"/>
  <c r="T44" i="1"/>
  <c r="U44" i="1"/>
  <c r="P21" i="1"/>
  <c r="S44" i="1"/>
  <c r="U21" i="1"/>
  <c r="X44" i="1"/>
  <c r="E52" i="2"/>
  <c r="E55" i="2"/>
  <c r="E54" i="2"/>
  <c r="E53" i="2"/>
  <c r="I32" i="2"/>
  <c r="I57" i="2"/>
  <c r="I34" i="2"/>
  <c r="E28" i="2"/>
  <c r="I22" i="2"/>
  <c r="I35" i="2" s="1"/>
  <c r="H33" i="2"/>
  <c r="M21" i="1"/>
  <c r="P44" i="1"/>
  <c r="G21" i="1"/>
  <c r="J44" i="1"/>
  <c r="I44" i="1"/>
  <c r="G44" i="1"/>
  <c r="H44" i="1"/>
  <c r="N44" i="1"/>
  <c r="K21" i="1"/>
  <c r="D27" i="2"/>
  <c r="D39" i="2"/>
  <c r="L21" i="1"/>
  <c r="O44" i="1"/>
  <c r="L44" i="1"/>
  <c r="M44" i="1"/>
  <c r="J21" i="1"/>
  <c r="K44" i="1"/>
  <c r="Q44" i="1"/>
  <c r="B39" i="2"/>
  <c r="B27" i="2"/>
  <c r="B28" i="2" s="1"/>
  <c r="X48" i="1" l="1"/>
  <c r="X47" i="1"/>
  <c r="X46" i="1"/>
  <c r="X45" i="1"/>
  <c r="U48" i="1"/>
  <c r="U47" i="1"/>
  <c r="U46" i="1"/>
  <c r="U45" i="1"/>
  <c r="V45" i="1"/>
  <c r="V48" i="1"/>
  <c r="V46" i="1"/>
  <c r="V47" i="1"/>
  <c r="W48" i="1"/>
  <c r="W47" i="1"/>
  <c r="W45" i="1"/>
  <c r="W46" i="1"/>
  <c r="Y48" i="1"/>
  <c r="Y45" i="1"/>
  <c r="Y47" i="1"/>
  <c r="Y46" i="1"/>
  <c r="S48" i="1"/>
  <c r="S47" i="1"/>
  <c r="S45" i="1"/>
  <c r="S46" i="1"/>
  <c r="T48" i="1"/>
  <c r="T46" i="1"/>
  <c r="T45" i="1"/>
  <c r="T47" i="1"/>
  <c r="M47" i="1"/>
  <c r="M45" i="1"/>
  <c r="D28" i="2"/>
  <c r="D53" i="2"/>
  <c r="D52" i="2"/>
  <c r="D55" i="2"/>
  <c r="D54" i="2"/>
  <c r="J57" i="2"/>
  <c r="K57" i="2"/>
  <c r="N48" i="1"/>
  <c r="N47" i="1"/>
  <c r="N46" i="1"/>
  <c r="N45" i="1"/>
  <c r="J34" i="2"/>
  <c r="P48" i="1"/>
  <c r="P47" i="1"/>
  <c r="P46" i="1"/>
  <c r="P45" i="1"/>
  <c r="J32" i="2"/>
  <c r="O48" i="1"/>
  <c r="O45" i="1"/>
  <c r="O47" i="1"/>
  <c r="O46" i="1"/>
  <c r="Q47" i="1"/>
  <c r="Q46" i="1"/>
  <c r="Q48" i="1"/>
  <c r="Q45" i="1"/>
  <c r="M46" i="1"/>
  <c r="M48" i="1"/>
  <c r="I33" i="2"/>
  <c r="K34" i="2" l="1"/>
  <c r="J33" i="2"/>
  <c r="K32" i="2"/>
  <c r="J22" i="2"/>
  <c r="J35" i="2" s="1"/>
  <c r="L32" i="2" l="1"/>
  <c r="M19" i="2"/>
  <c r="K33" i="2"/>
  <c r="K22" i="2"/>
  <c r="K35" i="2" s="1"/>
  <c r="L34" i="2"/>
  <c r="M34" i="2" l="1"/>
  <c r="N19" i="2"/>
  <c r="M32" i="2"/>
  <c r="M20" i="2"/>
  <c r="L33" i="2"/>
  <c r="L22" i="2"/>
  <c r="L35" i="2" s="1"/>
  <c r="N20" i="2" l="1"/>
  <c r="N22" i="2" s="1"/>
  <c r="M33" i="2"/>
  <c r="N32" i="2"/>
  <c r="O19" i="2"/>
  <c r="M22" i="2"/>
  <c r="M35" i="2" s="1"/>
  <c r="N34" i="2"/>
  <c r="N35" i="2" l="1"/>
  <c r="O34" i="2"/>
  <c r="O32" i="2"/>
  <c r="P19" i="2"/>
  <c r="O20" i="2"/>
  <c r="O22" i="2" s="1"/>
  <c r="O35" i="2" s="1"/>
  <c r="N33" i="2"/>
  <c r="P32" i="2" l="1"/>
  <c r="Q19" i="2"/>
  <c r="R19" i="2" s="1"/>
  <c r="O33" i="2"/>
  <c r="P20" i="2"/>
  <c r="P34" i="2"/>
  <c r="S19" i="2" l="1"/>
  <c r="R32" i="2"/>
  <c r="Q34" i="2"/>
  <c r="P33" i="2"/>
  <c r="Q20" i="2"/>
  <c r="Q32" i="2"/>
  <c r="P22" i="2"/>
  <c r="P35" i="2" s="1"/>
  <c r="Q33" i="2" l="1"/>
  <c r="R20" i="2"/>
  <c r="T19" i="2"/>
  <c r="S32" i="2"/>
  <c r="R22" i="2"/>
  <c r="R34" i="2"/>
  <c r="Q22" i="2"/>
  <c r="Q35" i="2" s="1"/>
  <c r="U19" i="2" l="1"/>
  <c r="T32" i="2"/>
  <c r="S20" i="2"/>
  <c r="R33" i="2"/>
  <c r="R35" i="2"/>
  <c r="S22" i="2"/>
  <c r="S34" i="2"/>
  <c r="T20" i="2" l="1"/>
  <c r="T22" i="2" s="1"/>
  <c r="S33" i="2"/>
  <c r="V19" i="2"/>
  <c r="V32" i="2" s="1"/>
  <c r="U32" i="2"/>
  <c r="T34" i="2"/>
  <c r="S35" i="2"/>
  <c r="U20" i="2" l="1"/>
  <c r="T33" i="2"/>
  <c r="T35" i="2"/>
  <c r="U22" i="2"/>
  <c r="U34" i="2"/>
  <c r="V20" i="2" l="1"/>
  <c r="V33" i="2" s="1"/>
  <c r="U33" i="2"/>
  <c r="U35" i="2"/>
  <c r="V34" i="2"/>
  <c r="V22" i="2"/>
  <c r="V35" i="2" l="1"/>
  <c r="F37" i="2" l="1"/>
  <c r="F14" i="2"/>
  <c r="F31" i="2"/>
  <c r="F38" i="2" l="1"/>
  <c r="F39" i="2"/>
  <c r="F58" i="2"/>
  <c r="F27" i="2" l="1"/>
  <c r="F28" i="2" l="1"/>
  <c r="F53" i="2"/>
  <c r="F54" i="2"/>
  <c r="F52" i="2"/>
  <c r="F55" i="2"/>
  <c r="G37" i="2" l="1"/>
  <c r="H14" i="2"/>
  <c r="H16" i="2" s="1"/>
  <c r="G58" i="2"/>
  <c r="G31" i="2"/>
  <c r="G38" i="2" l="1"/>
  <c r="H58" i="2"/>
  <c r="H18" i="2"/>
  <c r="H31" i="2"/>
  <c r="H17" i="2"/>
  <c r="K58" i="2"/>
  <c r="I31" i="2"/>
  <c r="G27" i="2"/>
  <c r="G39" i="2"/>
  <c r="I58" i="2"/>
  <c r="J58" i="2"/>
  <c r="J31" i="2" l="1"/>
  <c r="K31" i="2"/>
  <c r="H37" i="2"/>
  <c r="I18" i="2" s="1"/>
  <c r="H23" i="2"/>
  <c r="I37" i="2" l="1"/>
  <c r="J18" i="2" s="1"/>
  <c r="I23" i="2"/>
  <c r="I17" i="2"/>
  <c r="M16" i="2"/>
  <c r="L31" i="2"/>
  <c r="H38" i="2"/>
  <c r="H24" i="2"/>
  <c r="H25" i="2" s="1"/>
  <c r="H26" i="2" l="1"/>
  <c r="H39" i="2" s="1"/>
  <c r="H27" i="2"/>
  <c r="M31" i="2"/>
  <c r="N16" i="2"/>
  <c r="I38" i="2"/>
  <c r="J23" i="2"/>
  <c r="J37" i="2"/>
  <c r="K18" i="2" s="1"/>
  <c r="J17" i="2"/>
  <c r="J38" i="2" l="1"/>
  <c r="K37" i="2"/>
  <c r="L18" i="2" s="1"/>
  <c r="K23" i="2"/>
  <c r="K17" i="2"/>
  <c r="N31" i="2"/>
  <c r="O16" i="2"/>
  <c r="H28" i="2"/>
  <c r="H41" i="2"/>
  <c r="I24" i="2" l="1"/>
  <c r="I25" i="2" s="1"/>
  <c r="O31" i="2"/>
  <c r="P16" i="2"/>
  <c r="K38" i="2"/>
  <c r="L37" i="2"/>
  <c r="M18" i="2" s="1"/>
  <c r="L23" i="2"/>
  <c r="L17" i="2"/>
  <c r="L38" i="2" l="1"/>
  <c r="M23" i="2"/>
  <c r="M37" i="2"/>
  <c r="N18" i="2" s="1"/>
  <c r="M17" i="2"/>
  <c r="Q16" i="2"/>
  <c r="P31" i="2"/>
  <c r="I26" i="2"/>
  <c r="I39" i="2" s="1"/>
  <c r="I27" i="2" l="1"/>
  <c r="Q31" i="2"/>
  <c r="R16" i="2"/>
  <c r="N23" i="2"/>
  <c r="N37" i="2"/>
  <c r="O18" i="2" s="1"/>
  <c r="N17" i="2"/>
  <c r="M38" i="2"/>
  <c r="O37" i="2" l="1"/>
  <c r="P18" i="2" s="1"/>
  <c r="O23" i="2"/>
  <c r="O17" i="2"/>
  <c r="N38" i="2"/>
  <c r="S16" i="2"/>
  <c r="R31" i="2"/>
  <c r="I28" i="2"/>
  <c r="I41" i="2"/>
  <c r="J24" i="2" l="1"/>
  <c r="J25" i="2" s="1"/>
  <c r="S31" i="2"/>
  <c r="T16" i="2"/>
  <c r="O38" i="2"/>
  <c r="P23" i="2"/>
  <c r="P37" i="2"/>
  <c r="Q18" i="2" s="1"/>
  <c r="P17" i="2"/>
  <c r="P38" i="2" l="1"/>
  <c r="Q37" i="2"/>
  <c r="R18" i="2" s="1"/>
  <c r="Q23" i="2"/>
  <c r="Q17" i="2"/>
  <c r="U16" i="2"/>
  <c r="T31" i="2"/>
  <c r="J26" i="2"/>
  <c r="J39" i="2" s="1"/>
  <c r="J27" i="2"/>
  <c r="J28" i="2" l="1"/>
  <c r="J41" i="2"/>
  <c r="R37" i="2"/>
  <c r="S18" i="2" s="1"/>
  <c r="R23" i="2"/>
  <c r="R17" i="2"/>
  <c r="V16" i="2"/>
  <c r="U31" i="2"/>
  <c r="Q38" i="2"/>
  <c r="S37" i="2" l="1"/>
  <c r="T18" i="2" s="1"/>
  <c r="S23" i="2"/>
  <c r="S17" i="2"/>
  <c r="V31" i="2"/>
  <c r="R38" i="2"/>
  <c r="K24" i="2"/>
  <c r="K25" i="2" s="1"/>
  <c r="K26" i="2" l="1"/>
  <c r="K39" i="2" s="1"/>
  <c r="K27" i="2"/>
  <c r="S38" i="2"/>
  <c r="T23" i="2"/>
  <c r="T37" i="2"/>
  <c r="U18" i="2" s="1"/>
  <c r="T17" i="2"/>
  <c r="K28" i="2" l="1"/>
  <c r="K41" i="2"/>
  <c r="U37" i="2"/>
  <c r="V18" i="2" s="1"/>
  <c r="U23" i="2"/>
  <c r="U17" i="2"/>
  <c r="T38" i="2"/>
  <c r="U38" i="2" l="1"/>
  <c r="V23" i="2"/>
  <c r="V37" i="2"/>
  <c r="V17" i="2"/>
  <c r="L24" i="2"/>
  <c r="L25" i="2" s="1"/>
  <c r="L26" i="2" l="1"/>
  <c r="L39" i="2" s="1"/>
  <c r="L27" i="2"/>
  <c r="V38" i="2"/>
  <c r="L28" i="2" l="1"/>
  <c r="L41" i="2"/>
  <c r="M24" i="2" l="1"/>
  <c r="M25" i="2" s="1"/>
  <c r="M26" i="2" l="1"/>
  <c r="M39" i="2" s="1"/>
  <c r="M27" i="2" l="1"/>
  <c r="M28" i="2" l="1"/>
  <c r="M41" i="2"/>
  <c r="N24" i="2" l="1"/>
  <c r="N25" i="2" s="1"/>
  <c r="N26" i="2" l="1"/>
  <c r="N39" i="2" s="1"/>
  <c r="N27" i="2" l="1"/>
  <c r="N28" i="2" l="1"/>
  <c r="N41" i="2"/>
  <c r="O24" i="2" l="1"/>
  <c r="O25" i="2" s="1"/>
  <c r="O26" i="2" l="1"/>
  <c r="O39" i="2" s="1"/>
  <c r="O27" i="2" l="1"/>
  <c r="O28" i="2" l="1"/>
  <c r="O41" i="2"/>
  <c r="P24" i="2" l="1"/>
  <c r="P25" i="2" s="1"/>
  <c r="P26" i="2" l="1"/>
  <c r="P39" i="2" s="1"/>
  <c r="P27" i="2" l="1"/>
  <c r="P28" i="2" l="1"/>
  <c r="P41" i="2"/>
  <c r="Q24" i="2" l="1"/>
  <c r="Q25" i="2" s="1"/>
  <c r="Q26" i="2" l="1"/>
  <c r="Q39" i="2" s="1"/>
  <c r="Q27" i="2"/>
  <c r="Q28" i="2" l="1"/>
  <c r="Q41" i="2"/>
  <c r="R24" i="2" l="1"/>
  <c r="R25" i="2" s="1"/>
  <c r="R26" i="2" l="1"/>
  <c r="R39" i="2" s="1"/>
  <c r="R27" i="2" l="1"/>
  <c r="R28" i="2" l="1"/>
  <c r="R41" i="2"/>
  <c r="S24" i="2" l="1"/>
  <c r="S25" i="2" s="1"/>
  <c r="S26" i="2" l="1"/>
  <c r="S39" i="2" s="1"/>
  <c r="S27" i="2" l="1"/>
  <c r="S28" i="2" l="1"/>
  <c r="S41" i="2"/>
  <c r="T24" i="2" l="1"/>
  <c r="T25" i="2" s="1"/>
  <c r="T26" i="2" l="1"/>
  <c r="T39" i="2" s="1"/>
  <c r="T27" i="2" l="1"/>
  <c r="T28" i="2" l="1"/>
  <c r="T41" i="2"/>
  <c r="U24" i="2" l="1"/>
  <c r="U25" i="2" s="1"/>
  <c r="U26" i="2" l="1"/>
  <c r="U39" i="2" s="1"/>
  <c r="U27" i="2"/>
  <c r="U28" i="2" l="1"/>
  <c r="U41" i="2"/>
  <c r="V24" i="2" l="1"/>
  <c r="V25" i="2" s="1"/>
  <c r="V26" i="2" l="1"/>
  <c r="V39" i="2" s="1"/>
  <c r="V27" i="2"/>
  <c r="V28" i="2" l="1"/>
  <c r="W27" i="2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AH27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BP27" i="2" s="1"/>
  <c r="BQ27" i="2" s="1"/>
  <c r="BR27" i="2" s="1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CC27" i="2" s="1"/>
  <c r="CD27" i="2" s="1"/>
  <c r="CE27" i="2" s="1"/>
  <c r="CF27" i="2" s="1"/>
  <c r="CG27" i="2" s="1"/>
  <c r="CH27" i="2" s="1"/>
  <c r="CI27" i="2" s="1"/>
  <c r="CJ27" i="2" s="1"/>
  <c r="CK27" i="2" s="1"/>
  <c r="CL27" i="2" s="1"/>
  <c r="CM27" i="2" s="1"/>
  <c r="CN27" i="2" s="1"/>
  <c r="CO27" i="2" s="1"/>
  <c r="CP27" i="2" s="1"/>
  <c r="CQ27" i="2" s="1"/>
  <c r="CR27" i="2" s="1"/>
  <c r="CS27" i="2" s="1"/>
  <c r="CT27" i="2" s="1"/>
  <c r="CU27" i="2" s="1"/>
  <c r="CV27" i="2" s="1"/>
  <c r="CW27" i="2" s="1"/>
  <c r="CX27" i="2" s="1"/>
  <c r="CY27" i="2" s="1"/>
  <c r="CZ27" i="2" s="1"/>
  <c r="DA27" i="2" s="1"/>
  <c r="DB27" i="2" s="1"/>
  <c r="DC27" i="2" s="1"/>
  <c r="DD27" i="2" s="1"/>
  <c r="DE27" i="2" s="1"/>
  <c r="DF27" i="2" s="1"/>
  <c r="DG27" i="2" s="1"/>
  <c r="DH27" i="2" s="1"/>
  <c r="DI27" i="2" s="1"/>
  <c r="DJ27" i="2" s="1"/>
  <c r="DK27" i="2" s="1"/>
  <c r="DL27" i="2" s="1"/>
  <c r="DM27" i="2" s="1"/>
  <c r="DN27" i="2" s="1"/>
  <c r="DO27" i="2" s="1"/>
  <c r="DP27" i="2" s="1"/>
  <c r="DQ27" i="2" s="1"/>
  <c r="DR27" i="2" s="1"/>
  <c r="V41" i="2"/>
  <c r="F6" i="2" l="1"/>
  <c r="F7" i="2" s="1"/>
  <c r="G7" i="2" s="1"/>
</calcChain>
</file>

<file path=xl/sharedStrings.xml><?xml version="1.0" encoding="utf-8"?>
<sst xmlns="http://schemas.openxmlformats.org/spreadsheetml/2006/main" count="153" uniqueCount="108">
  <si>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</si>
  <si>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</si>
  <si>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</si>
  <si>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</si>
  <si>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</si>
  <si>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</si>
  <si>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</si>
  <si>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</si>
  <si>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</si>
  <si>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</si>
  <si>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</si>
  <si>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</si>
  <si>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</si>
  <si>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</si>
  <si>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</si>
  <si>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</si>
  <si>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</si>
  <si>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</si>
  <si>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</si>
  <si>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</si>
  <si>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</si>
  <si>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</si>
  <si>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Q116</t>
  </si>
  <si>
    <t>Q216</t>
  </si>
  <si>
    <t>Q316</t>
  </si>
  <si>
    <t>Q416</t>
  </si>
  <si>
    <t>30/9/2017</t>
  </si>
  <si>
    <t>30/9/2016</t>
  </si>
  <si>
    <t>30/6/2016</t>
  </si>
  <si>
    <t>31/3/2016</t>
  </si>
  <si>
    <t>30/6/2017</t>
  </si>
  <si>
    <t>31/3/2017</t>
  </si>
  <si>
    <t>31/12/2016</t>
  </si>
  <si>
    <t>Net Cash</t>
  </si>
  <si>
    <t>Cash</t>
  </si>
  <si>
    <t>Debt</t>
  </si>
  <si>
    <t>31/12/2017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</si>
  <si>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</si>
  <si>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</si>
  <si>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</si>
  <si>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</si>
  <si>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</si>
  <si>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</si>
  <si>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</si>
  <si>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</si>
  <si>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</si>
  <si>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31/3/2018</t>
  </si>
  <si>
    <t>30/6/2018</t>
  </si>
  <si>
    <t>30/9/2018</t>
  </si>
  <si>
    <t>31/12/2018</t>
  </si>
  <si>
    <t>Q115</t>
  </si>
  <si>
    <t>Q215</t>
  </si>
  <si>
    <t>Q315</t>
  </si>
  <si>
    <t>Q415</t>
  </si>
  <si>
    <t>31/3/2015</t>
  </si>
  <si>
    <t>30/6/2015</t>
  </si>
  <si>
    <t>30/9/2015</t>
  </si>
  <si>
    <t>31/12/2015</t>
  </si>
  <si>
    <t>Advertising</t>
  </si>
  <si>
    <t>DAU</t>
  </si>
  <si>
    <t>EDGAR</t>
  </si>
  <si>
    <t>CEO</t>
  </si>
  <si>
    <t>Founder</t>
  </si>
  <si>
    <t>Mark Zuckerberg</t>
  </si>
  <si>
    <t>Dustin Moskovitz</t>
  </si>
  <si>
    <t>Price</t>
  </si>
  <si>
    <t>Market Cap</t>
  </si>
  <si>
    <t>EV</t>
  </si>
  <si>
    <t>per share</t>
  </si>
  <si>
    <t>R&amp;D y/y</t>
  </si>
  <si>
    <t>S&amp;M y/y</t>
  </si>
  <si>
    <t>G&amp;A y/y</t>
  </si>
  <si>
    <t>Other</t>
  </si>
  <si>
    <t>DAU y/y</t>
  </si>
  <si>
    <t>ARPU</t>
  </si>
  <si>
    <t>ARPU y/y</t>
  </si>
  <si>
    <t>Investor Relations</t>
  </si>
  <si>
    <t>Facebook Inc (FB)</t>
  </si>
  <si>
    <t>ROE</t>
  </si>
  <si>
    <t>ROA</t>
  </si>
  <si>
    <t>ROTB</t>
  </si>
  <si>
    <t>ROTWC</t>
  </si>
  <si>
    <t>Intangibles</t>
  </si>
  <si>
    <t>Total assets</t>
  </si>
  <si>
    <t>Total liabilities</t>
  </si>
  <si>
    <t>TWC</t>
  </si>
  <si>
    <t>Equity</t>
  </si>
  <si>
    <t>PRODUCTS</t>
  </si>
  <si>
    <t>Facebook</t>
  </si>
  <si>
    <t>Instagram</t>
  </si>
  <si>
    <t>WhatsApp</t>
  </si>
  <si>
    <t>Oculus</t>
  </si>
  <si>
    <t>Q119</t>
  </si>
  <si>
    <t>Q219</t>
  </si>
  <si>
    <t>Q319</t>
  </si>
  <si>
    <t>Q419</t>
  </si>
  <si>
    <t>Q120</t>
  </si>
  <si>
    <t>Q220</t>
  </si>
  <si>
    <t>Q320</t>
  </si>
  <si>
    <t>Q420</t>
  </si>
  <si>
    <t>OE y/y</t>
  </si>
  <si>
    <t>Net Income TTM</t>
  </si>
  <si>
    <t>Q121</t>
  </si>
  <si>
    <t>Q221</t>
  </si>
  <si>
    <t>Q321</t>
  </si>
  <si>
    <t>Q421</t>
  </si>
  <si>
    <t>Revenue TTM</t>
  </si>
  <si>
    <t>Revenue TTM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</si>
</sst>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 ;[Red]\-#,##0\ "/>
    <numFmt numFmtId="165" formatCode="0.0%"/>
    <numFmt numFmtId="166" formatCode="#,##0.00_ ;[Red]\-#,##0.00\ 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9">
    <xf numFmtId="0" fontId="0" fillId="0" borderId="0" xfId="0"/>
    <xf numFmtId="0" fontId="4" fillId="0" borderId="0" xfId="4" applyFont="1"/>
    <xf numFmtId="0" fontId="5" fillId="0" borderId="0" xfId="0" applyFont="1" applyAlignment="1">
      <alignment horizontal="right"/>
    </xf>
    <xf numFmtId="0" fontId="5" fillId="0" borderId="1" xfId="0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3" fontId="5" fillId="0" borderId="0" xfId="0" applyNumberFormat="1" applyFont="1" applyAlignment="1">
      <alignment horizontal="right"/>
    </xf>
    <xf numFmtId="0" fontId="5" fillId="0" borderId="1" xfId="0" applyFont="1" applyBorder="1"/>
    <xf numFmtId="0" fontId="5" fillId="0" borderId="0" xfId="0" applyFont="1"/>
    <xf numFmtId="3" fontId="5" fillId="0" borderId="0" xfId="0" applyNumberFormat="1" applyFont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5" fillId="0" borderId="0" xfId="0" applyNumberFormat="1" applyFon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2" fontId="5" fillId="2" borderId="1" xfId="0" applyNumberFormat="1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6" fillId="0" borderId="0" xfId="0" applyFont="1"/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3" fontId="5" fillId="2" borderId="0" xfId="0" applyNumberFormat="1" applyFont="1" applyFill="1" applyAlignment="1">
      <alignment horizontal="right"/>
    </xf>
    <xf numFmtId="2" fontId="5" fillId="2" borderId="0" xfId="0" applyNumberFormat="1" applyFont="1" applyFill="1" applyBorder="1" applyAlignment="1">
      <alignment horizontal="right"/>
    </xf>
    <xf numFmtId="9" fontId="6" fillId="0" borderId="0" xfId="1" applyNumberFormat="1" applyFont="1" applyFill="1" applyBorder="1" applyAlignment="1">
      <alignment horizontal="right"/>
    </xf>
    <xf numFmtId="9" fontId="6" fillId="0" borderId="1" xfId="1" applyNumberFormat="1" applyFont="1" applyFill="1" applyBorder="1" applyAlignment="1">
      <alignment horizontal="right"/>
    </xf>
    <xf numFmtId="9" fontId="5" fillId="0" borderId="1" xfId="1" applyNumberFormat="1" applyFont="1" applyFill="1" applyBorder="1" applyAlignment="1">
      <alignment horizontal="right"/>
    </xf>
    <xf numFmtId="9" fontId="5" fillId="0" borderId="0" xfId="1" applyNumberFormat="1" applyFont="1" applyFill="1" applyBorder="1" applyAlignment="1">
      <alignment horizontal="right"/>
    </xf>
    <xf numFmtId="0" fontId="6" fillId="0" borderId="0" xfId="1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9" fontId="5" fillId="0" borderId="0" xfId="0" applyNumberFormat="1" applyFont="1" applyFill="1" applyBorder="1" applyAlignment="1">
      <alignment horizontal="right"/>
    </xf>
    <xf numFmtId="9" fontId="5" fillId="0" borderId="1" xfId="0" applyNumberFormat="1" applyFont="1" applyFill="1" applyBorder="1" applyAlignment="1">
      <alignment horizontal="right"/>
    </xf>
    <xf numFmtId="9" fontId="5" fillId="0" borderId="0" xfId="0" applyNumberFormat="1" applyFont="1" applyFill="1" applyAlignment="1">
      <alignment horizontal="right"/>
    </xf>
    <xf numFmtId="9" fontId="5" fillId="0" borderId="0" xfId="1" applyFont="1" applyFill="1" applyBorder="1" applyAlignment="1">
      <alignment horizontal="right"/>
    </xf>
    <xf numFmtId="9" fontId="5" fillId="0" borderId="1" xfId="1" applyFont="1" applyFill="1" applyBorder="1" applyAlignment="1">
      <alignment horizontal="right"/>
    </xf>
    <xf numFmtId="9" fontId="5" fillId="0" borderId="0" xfId="1" applyFont="1" applyFill="1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 applyBorder="1"/>
    <xf numFmtId="10" fontId="5" fillId="0" borderId="0" xfId="0" applyNumberFormat="1" applyFont="1"/>
    <xf numFmtId="1" fontId="5" fillId="0" borderId="0" xfId="0" applyNumberFormat="1" applyFont="1"/>
    <xf numFmtId="3" fontId="5" fillId="0" borderId="0" xfId="0" applyNumberFormat="1" applyFont="1"/>
    <xf numFmtId="0" fontId="7" fillId="0" borderId="0" xfId="0" applyFont="1"/>
    <xf numFmtId="3" fontId="5" fillId="2" borderId="0" xfId="0" applyNumberFormat="1" applyFont="1" applyFill="1"/>
    <xf numFmtId="164" fontId="5" fillId="2" borderId="0" xfId="0" applyNumberFormat="1" applyFont="1" applyFill="1"/>
    <xf numFmtId="0" fontId="6" fillId="0" borderId="0" xfId="0" applyFont="1" applyBorder="1"/>
    <xf numFmtId="164" fontId="6" fillId="2" borderId="0" xfId="0" applyNumberFormat="1" applyFont="1" applyFill="1"/>
    <xf numFmtId="4" fontId="5" fillId="2" borderId="0" xfId="0" applyNumberFormat="1" applyFont="1" applyFill="1"/>
    <xf numFmtId="0" fontId="7" fillId="0" borderId="0" xfId="0" applyFont="1" applyFill="1" applyBorder="1"/>
    <xf numFmtId="166" fontId="5" fillId="2" borderId="0" xfId="0" applyNumberFormat="1" applyFont="1" applyFill="1"/>
    <xf numFmtId="9" fontId="5" fillId="0" borderId="0" xfId="0" applyNumberFormat="1" applyFont="1"/>
    <xf numFmtId="3" fontId="5" fillId="0" borderId="0" xfId="0" applyNumberFormat="1" applyFont="1" applyBorder="1"/>
    <xf numFmtId="2" fontId="5" fillId="2" borderId="0" xfId="0" applyNumberFormat="1" applyFont="1" applyFill="1"/>
    <xf numFmtId="2" fontId="5" fillId="0" borderId="0" xfId="0" applyNumberFormat="1" applyFont="1" applyFill="1"/>
    <xf numFmtId="3" fontId="6" fillId="2" borderId="0" xfId="0" applyNumberFormat="1" applyFont="1" applyFill="1" applyBorder="1"/>
    <xf numFmtId="3" fontId="6" fillId="0" borderId="0" xfId="0" applyNumberFormat="1" applyFont="1" applyBorder="1"/>
    <xf numFmtId="3" fontId="5" fillId="2" borderId="0" xfId="0" applyNumberFormat="1" applyFont="1" applyFill="1" applyBorder="1"/>
    <xf numFmtId="3" fontId="5" fillId="0" borderId="0" xfId="0" applyNumberFormat="1" applyFont="1" applyFill="1" applyBorder="1"/>
    <xf numFmtId="2" fontId="5" fillId="2" borderId="0" xfId="0" applyNumberFormat="1" applyFont="1" applyFill="1" applyBorder="1"/>
    <xf numFmtId="2" fontId="5" fillId="0" borderId="0" xfId="0" applyNumberFormat="1" applyFont="1" applyFill="1" applyBorder="1"/>
    <xf numFmtId="0" fontId="6" fillId="0" borderId="0" xfId="0" applyFont="1" applyFill="1" applyBorder="1"/>
    <xf numFmtId="9" fontId="6" fillId="0" borderId="0" xfId="1" applyFont="1" applyFill="1" applyBorder="1"/>
    <xf numFmtId="9" fontId="6" fillId="0" borderId="0" xfId="1" applyFont="1" applyFill="1" applyBorder="1" applyAlignment="1">
      <alignment horizontal="right"/>
    </xf>
    <xf numFmtId="0" fontId="5" fillId="0" borderId="0" xfId="0" applyFont="1" applyFill="1" applyBorder="1"/>
    <xf numFmtId="9" fontId="5" fillId="0" borderId="0" xfId="1" applyFont="1" applyFill="1" applyBorder="1"/>
    <xf numFmtId="9" fontId="5" fillId="0" borderId="0" xfId="0" applyNumberFormat="1" applyFont="1" applyFill="1" applyBorder="1"/>
    <xf numFmtId="3" fontId="6" fillId="0" borderId="0" xfId="0" applyNumberFormat="1" applyFont="1" applyFill="1" applyBorder="1"/>
    <xf numFmtId="165" fontId="5" fillId="0" borderId="0" xfId="0" applyNumberFormat="1" applyFont="1" applyFill="1"/>
    <xf numFmtId="165" fontId="5" fillId="0" borderId="0" xfId="0" applyNumberFormat="1" applyFont="1" applyFill="1" applyAlignment="1">
      <alignment horizontal="right"/>
    </xf>
    <xf numFmtId="165" fontId="5" fillId="0" borderId="0" xfId="0" applyNumberFormat="1" applyFont="1"/>
    <xf numFmtId="165" fontId="5" fillId="0" borderId="0" xfId="0" applyNumberFormat="1" applyFont="1" applyAlignment="1">
      <alignment horizontal="right"/>
    </xf>
    <xf numFmtId="9" fontId="5" fillId="0" borderId="0" xfId="0" applyNumberFormat="1" applyFont="1" applyAlignment="1">
      <alignment horizontal="right"/>
    </xf>
    <xf numFmtId="3" fontId="6" fillId="0" borderId="0" xfId="0" applyNumberFormat="1" applyFont="1" applyBorder="1" applyAlignment="1">
      <alignment horizontal="right"/>
    </xf>
    <xf numFmtId="9" fontId="5" fillId="0" borderId="0" xfId="0" applyNumberFormat="1" applyFont="1" applyBorder="1" applyAlignment="1">
      <alignment horizontal="right"/>
    </xf>
    <xf numFmtId="9" fontId="5" fillId="0" borderId="1" xfId="0" applyNumberFormat="1" applyFont="1" applyBorder="1" applyAlignment="1">
      <alignment horizontal="right"/>
    </xf>
    <xf numFmtId="9" fontId="5" fillId="0" borderId="0" xfId="0" applyNumberFormat="1" applyFont="1" applyFill="1"/>
    <xf numFmtId="0" fontId="8" fillId="0" borderId="0" xfId="0" applyFont="1"/>
    <xf numFmtId="0" fontId="4" fillId="0" borderId="0" xfId="4" applyFont="1" applyAlignment="1">
      <alignment horizontal="left"/>
    </xf>
    <xf numFmtId="0" fontId="6" fillId="0" borderId="0" xfId="0" applyFont="1" applyAlignment="1">
      <alignment horizontal="left"/>
    </xf>
    <xf numFmtId="3" fontId="5" fillId="0" borderId="0" xfId="0" applyNumberFormat="1" applyFont="1" applyAlignment="1">
      <alignment horizontal="left"/>
    </xf>
    <xf numFmtId="4" fontId="5" fillId="0" borderId="0" xfId="0" applyNumberFormat="1" applyFont="1" applyAlignment="1">
      <alignment horizontal="left"/>
    </xf>
    <xf numFmtId="4" fontId="5" fillId="2" borderId="0" xfId="0" applyNumberFormat="1" applyFont="1" applyFill="1" applyAlignment="1">
      <alignment horizontal="right"/>
    </xf>
    <xf numFmtId="4" fontId="5" fillId="2" borderId="1" xfId="0" applyNumberFormat="1" applyFont="1" applyFill="1" applyBorder="1" applyAlignment="1">
      <alignment horizontal="right"/>
    </xf>
    <xf numFmtId="4" fontId="5" fillId="2" borderId="0" xfId="0" applyNumberFormat="1" applyFont="1" applyFill="1" applyBorder="1" applyAlignment="1">
      <alignment horizontal="right"/>
    </xf>
    <xf numFmtId="4" fontId="5" fillId="0" borderId="0" xfId="0" applyNumberFormat="1" applyFont="1"/>
    <xf numFmtId="3" fontId="6" fillId="0" borderId="0" xfId="0" applyNumberFormat="1" applyFont="1" applyAlignment="1">
      <alignment horizontal="left"/>
    </xf>
    <xf numFmtId="3" fontId="6" fillId="0" borderId="0" xfId="0" applyNumberFormat="1" applyFont="1"/>
    <xf numFmtId="14" fontId="5" fillId="0" borderId="0" xfId="0" applyNumberFormat="1" applyFont="1" applyAlignment="1">
      <alignment horizontal="right"/>
    </xf>
    <xf numFmtId="14" fontId="5" fillId="0" borderId="1" xfId="0" applyNumberFormat="1" applyFont="1" applyBorder="1" applyAlignment="1">
      <alignment horizontal="right"/>
    </xf>
    <xf numFmtId="3" fontId="5" fillId="0" borderId="1" xfId="0" applyNumberFormat="1" applyFont="1" applyBorder="1"/>
    <xf numFmtId="3" fontId="5" fillId="0" borderId="0" xfId="0" applyNumberFormat="1" applyFont="1" applyFill="1"/>
    <xf numFmtId="14" fontId="5" fillId="0" borderId="0" xfId="0" applyNumberFormat="1" applyFont="1" applyAlignment="1">
      <alignment horizontal="left"/>
    </xf>
    <xf numFmtId="9" fontId="7" fillId="0" borderId="0" xfId="1" applyFont="1" applyFill="1" applyBorder="1"/>
    <xf numFmtId="3" fontId="6" fillId="0" borderId="0" xfId="0" applyNumberFormat="1" applyFont="1" applyFill="1" applyAlignment="1">
      <alignment horizontal="right"/>
    </xf>
    <xf numFmtId="3" fontId="6" fillId="0" borderId="1" xfId="0" applyNumberFormat="1" applyFont="1" applyFill="1" applyBorder="1" applyAlignment="1">
      <alignment horizontal="right"/>
    </xf>
    <xf numFmtId="9" fontId="6" fillId="0" borderId="0" xfId="0" applyNumberFormat="1" applyFont="1" applyAlignment="1">
      <alignment horizontal="left"/>
    </xf>
    <xf numFmtId="9" fontId="6" fillId="0" borderId="0" xfId="0" applyNumberFormat="1" applyFont="1" applyAlignment="1">
      <alignment horizontal="right"/>
    </xf>
    <xf numFmtId="9" fontId="6" fillId="0" borderId="0" xfId="0" applyNumberFormat="1" applyFont="1" applyFill="1" applyAlignment="1">
      <alignment horizontal="right"/>
    </xf>
    <xf numFmtId="9" fontId="6" fillId="0" borderId="0" xfId="0" applyNumberFormat="1" applyFont="1"/>
    <xf numFmtId="9" fontId="6" fillId="0" borderId="1" xfId="0" applyNumberFormat="1" applyFont="1" applyFill="1" applyBorder="1" applyAlignment="1">
      <alignment horizontal="right"/>
    </xf>
  </cellXfs>
  <cellStyles count="5">
    <cellStyle name="Followed Hyperlink" xfId="3" builtinId="9" hidden="1"/>
    <cellStyle name="Hyperlink" xfId="2" builtinId="8" hidden="1"/>
    <cellStyle name="Hyperlink" xfId="4" builtinId="8"/>
    <cellStyle name="Normal" xfId="0" builtinId="0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117719</xdr:colOff>
      <xdr:row>8</xdr:row>
      <xdr:rowOff>25400</xdr:rowOff>
    </xdr:from>
    <xdr:to>
      <xdr:col>7</xdr:col>
      <xdr:colOff>117719</xdr:colOff>
      <xdr:row>59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6428642" y="1354015"/>
          <a:ext cx="0" cy="8457223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136769</xdr:colOff>
      <xdr:row>1</xdr:row>
      <xdr:rowOff>0</xdr:rowOff>
    </xdr:from>
    <xdr:to>
      <xdr:col>25</xdr:col>
      <xdr:colOff>136769</xdr:colOff>
      <xdr:row>54</xdr:row>
      <xdr:rowOff>146539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B5DFE5E-3241-5B4C-9BC7-C33A297FEE37}"/>
            </a:ext>
          </a:extLst>
        </xdr:cNvPr>
        <xdr:cNvCxnSpPr/>
      </xdr:nvCxnSpPr>
      <xdr:spPr>
        <a:xfrm>
          <a:off x="21375077" y="166077"/>
          <a:ext cx="0" cy="845038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Mark_Zuckerberg" TargetMode="External"/><Relationship Id="rId2" Type="http://schemas.openxmlformats.org/officeDocument/2006/relationships/hyperlink" Target="https://en.wikipedia.org/wiki/Mark_Zuckerberg" TargetMode="External"/><Relationship Id="rId1" Type="http://schemas.openxmlformats.org/officeDocument/2006/relationships/hyperlink" Target="https://investor.fb.com/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en.wikipedia.org/wiki/Dustin_Moskovitz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ompany=facebook&amp;owner=exclude&amp;action=getcomp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R58"/>
  <sheetViews>
    <sheetView zoomScale="130" zoomScaleNormal="130" workbookViewId="0">
      <pane xSplit="1" ySplit="9" topLeftCell="B10" activePane="bottomRight" state="frozen"/>
      <selection pane="topRight" activeCell="B1" sqref="B1"/>
      <selection pane="bottomLeft" activeCell="A11" sqref="A11"/>
      <selection pane="bottomRight" activeCell="F5" sqref="F5"/>
    </sheetView>
  </sheetViews>
  <sheetFormatPr baseColWidth="10" defaultRowHeight="13" x14ac:dyDescent="0.15"/>
  <cols>
    <col min="1" max="1" width="17.1640625" style="7" bestFit="1" customWidth="1"/>
    <col min="2" max="2" width="11.1640625" style="7" bestFit="1" customWidth="1"/>
    <col min="3" max="3" width="10.83203125" style="7"/>
    <col min="4" max="4" width="10.83203125" style="2"/>
    <col min="5" max="16384" width="10.83203125" style="7"/>
  </cols>
  <sheetData>
    <row r="1" spans="1:22" x14ac:dyDescent="0.15">
      <c r="A1" s="1" t="s">
        <v>76</v>
      </c>
      <c r="B1" s="15" t="s">
        <v>77</v>
      </c>
      <c r="K1" s="15"/>
    </row>
    <row r="2" spans="1:22" x14ac:dyDescent="0.15">
      <c r="B2" s="7" t="s">
        <v>65</v>
      </c>
      <c r="C2" s="7">
        <v>257.62</v>
      </c>
      <c r="D2" s="90">
        <v>44253</v>
      </c>
      <c r="E2" s="37" t="s">
        <v>37</v>
      </c>
      <c r="F2" s="38">
        <v>-0.02</v>
      </c>
      <c r="I2" s="40"/>
      <c r="L2" s="39"/>
    </row>
    <row r="3" spans="1:22" x14ac:dyDescent="0.15">
      <c r="A3" s="15" t="s">
        <v>61</v>
      </c>
      <c r="B3" s="7" t="s">
        <v>17</v>
      </c>
      <c r="C3" s="40">
        <f>Reports!Y22</f>
        <v>2890</v>
      </c>
      <c r="D3" s="36" t="s">
        <v>99</v>
      </c>
      <c r="E3" s="37" t="s">
        <v>38</v>
      </c>
      <c r="F3" s="38">
        <v>0.02</v>
      </c>
      <c r="G3" s="41"/>
      <c r="I3" s="40"/>
      <c r="L3" s="39"/>
    </row>
    <row r="4" spans="1:22" x14ac:dyDescent="0.15">
      <c r="A4" s="1" t="s">
        <v>63</v>
      </c>
      <c r="B4" s="7" t="s">
        <v>66</v>
      </c>
      <c r="C4" s="42">
        <f>C3*C2</f>
        <v>744521.8</v>
      </c>
      <c r="D4" s="36"/>
      <c r="E4" s="37" t="s">
        <v>39</v>
      </c>
      <c r="F4" s="38">
        <f>7%</f>
        <v>7.0000000000000007E-2</v>
      </c>
      <c r="G4" s="41"/>
      <c r="I4" s="49"/>
    </row>
    <row r="5" spans="1:22" x14ac:dyDescent="0.15">
      <c r="B5" s="7" t="s">
        <v>33</v>
      </c>
      <c r="C5" s="40">
        <f>Reports!Y33</f>
        <v>68189</v>
      </c>
      <c r="D5" s="36" t="s">
        <v>99</v>
      </c>
      <c r="E5" s="37" t="s">
        <v>40</v>
      </c>
      <c r="F5" s="43">
        <f>NPV(F4,H27:DR27)</f>
        <v>789417.91782290803</v>
      </c>
      <c r="G5" s="41"/>
      <c r="I5" s="49"/>
    </row>
    <row r="6" spans="1:22" x14ac:dyDescent="0.15">
      <c r="A6" s="15" t="s">
        <v>62</v>
      </c>
      <c r="B6" s="7" t="s">
        <v>67</v>
      </c>
      <c r="C6" s="42">
        <f>C4-C5</f>
        <v>676332.8</v>
      </c>
      <c r="E6" s="44" t="s">
        <v>41</v>
      </c>
      <c r="F6" s="45">
        <f>F5+C5</f>
        <v>857606.91782290803</v>
      </c>
      <c r="I6" s="49"/>
    </row>
    <row r="7" spans="1:22" x14ac:dyDescent="0.15">
      <c r="A7" s="1" t="s">
        <v>63</v>
      </c>
      <c r="B7" s="41" t="s">
        <v>68</v>
      </c>
      <c r="C7" s="46">
        <f>C6/C3</f>
        <v>234.0251903114187</v>
      </c>
      <c r="E7" s="47" t="s">
        <v>68</v>
      </c>
      <c r="F7" s="48">
        <f>F6/C3</f>
        <v>296.74979855463948</v>
      </c>
      <c r="G7" s="49">
        <f>F7/C2-1</f>
        <v>0.15188959923390843</v>
      </c>
    </row>
    <row r="8" spans="1:22" x14ac:dyDescent="0.15">
      <c r="A8" s="1" t="s">
        <v>64</v>
      </c>
    </row>
    <row r="9" spans="1:22" x14ac:dyDescent="0.15">
      <c r="B9" s="7">
        <v>2015</v>
      </c>
      <c r="C9" s="7">
        <v>2016</v>
      </c>
      <c r="D9" s="2">
        <v>2017</v>
      </c>
      <c r="E9" s="7">
        <f>D9+1</f>
        <v>2018</v>
      </c>
      <c r="F9" s="7">
        <f t="shared" ref="F9:Q9" si="0">E9+1</f>
        <v>2019</v>
      </c>
      <c r="G9" s="7">
        <f t="shared" si="0"/>
        <v>2020</v>
      </c>
      <c r="H9" s="7">
        <f t="shared" si="0"/>
        <v>2021</v>
      </c>
      <c r="I9" s="7">
        <f t="shared" si="0"/>
        <v>2022</v>
      </c>
      <c r="J9" s="7">
        <f t="shared" si="0"/>
        <v>2023</v>
      </c>
      <c r="K9" s="7">
        <f t="shared" si="0"/>
        <v>2024</v>
      </c>
      <c r="L9" s="7">
        <f t="shared" si="0"/>
        <v>2025</v>
      </c>
      <c r="M9" s="7">
        <f t="shared" si="0"/>
        <v>2026</v>
      </c>
      <c r="N9" s="7">
        <f t="shared" si="0"/>
        <v>2027</v>
      </c>
      <c r="O9" s="7">
        <f t="shared" si="0"/>
        <v>2028</v>
      </c>
      <c r="P9" s="7">
        <f t="shared" si="0"/>
        <v>2029</v>
      </c>
      <c r="Q9" s="7">
        <f t="shared" si="0"/>
        <v>2030</v>
      </c>
      <c r="R9" s="7">
        <f t="shared" ref="R9" si="1">Q9+1</f>
        <v>2031</v>
      </c>
      <c r="S9" s="7">
        <f t="shared" ref="S9" si="2">R9+1</f>
        <v>2032</v>
      </c>
      <c r="T9" s="7">
        <f t="shared" ref="T9" si="3">S9+1</f>
        <v>2033</v>
      </c>
      <c r="U9" s="7">
        <f t="shared" ref="U9" si="4">T9+1</f>
        <v>2034</v>
      </c>
      <c r="V9" s="7">
        <f t="shared" ref="V9" si="5">U9+1</f>
        <v>2035</v>
      </c>
    </row>
    <row r="10" spans="1:22" x14ac:dyDescent="0.15">
      <c r="A10" s="7" t="s">
        <v>58</v>
      </c>
      <c r="B10" s="50">
        <f>SUM(Reports!B3:E3)</f>
        <v>17080</v>
      </c>
      <c r="C10" s="50">
        <f>SUM(Reports!F3:I3)</f>
        <v>26885</v>
      </c>
      <c r="D10" s="5">
        <f>SUM(Reports!J3:M3)</f>
        <v>39942</v>
      </c>
      <c r="E10" s="40">
        <f>SUM(Reports!N3:Q3)</f>
        <v>55012</v>
      </c>
      <c r="F10" s="40">
        <f>SUM(Reports!R3:U3)</f>
        <v>69655</v>
      </c>
      <c r="G10" s="40">
        <f>SUM(Reports!V3:Y3)</f>
        <v>84169</v>
      </c>
      <c r="H10" s="40"/>
      <c r="I10" s="40"/>
    </row>
    <row r="11" spans="1:22" x14ac:dyDescent="0.15">
      <c r="A11" s="7" t="s">
        <v>72</v>
      </c>
      <c r="B11" s="50">
        <f>SUM(Reports!B4:E4)</f>
        <v>847</v>
      </c>
      <c r="C11" s="50">
        <f>SUM(Reports!F4:I4)</f>
        <v>753</v>
      </c>
      <c r="D11" s="5">
        <f>SUM(Reports!J4:M4)</f>
        <v>711</v>
      </c>
      <c r="E11" s="40">
        <f>SUM(Reports!N4:Q4)</f>
        <v>826</v>
      </c>
      <c r="F11" s="40">
        <f>SUM(Reports!R4:U4)</f>
        <v>1042</v>
      </c>
      <c r="G11" s="40">
        <f>SUM(Reports!V4:Y4)</f>
        <v>1797</v>
      </c>
      <c r="H11" s="40"/>
      <c r="I11" s="40"/>
    </row>
    <row r="13" spans="1:22" x14ac:dyDescent="0.15">
      <c r="A13" s="7" t="s">
        <v>59</v>
      </c>
      <c r="B13" s="40">
        <f>Reports!E6</f>
        <v>1040</v>
      </c>
      <c r="C13" s="40">
        <f>Reports!I6</f>
        <v>1230</v>
      </c>
      <c r="D13" s="5">
        <f>Reports!M6</f>
        <v>1400</v>
      </c>
      <c r="E13" s="40">
        <f>Reports!Q6</f>
        <v>1520</v>
      </c>
      <c r="F13" s="40">
        <f>Reports!U6</f>
        <v>1660</v>
      </c>
      <c r="G13" s="40">
        <f>Reports!Y6</f>
        <v>1840</v>
      </c>
      <c r="H13" s="40">
        <f t="shared" ref="H13:K13" si="6">G13*1.05</f>
        <v>1932</v>
      </c>
      <c r="I13" s="40">
        <f t="shared" ref="I13" si="7">H13*1.05</f>
        <v>2028.6000000000001</v>
      </c>
      <c r="J13" s="40">
        <f t="shared" ref="J13" si="8">I13*1.05</f>
        <v>2130.0300000000002</v>
      </c>
      <c r="K13" s="40">
        <f t="shared" ref="K13" si="9">J13*1.05</f>
        <v>2236.5315000000005</v>
      </c>
      <c r="L13" s="40">
        <f t="shared" ref="L13" si="10">K13*1.05</f>
        <v>2348.3580750000006</v>
      </c>
    </row>
    <row r="14" spans="1:22" x14ac:dyDescent="0.15">
      <c r="A14" s="7" t="s">
        <v>74</v>
      </c>
      <c r="B14" s="51">
        <f>B16/B13</f>
        <v>17.237500000000001</v>
      </c>
      <c r="C14" s="51">
        <f>C16/C13</f>
        <v>22.469918699186991</v>
      </c>
      <c r="D14" s="11">
        <f>D16/D13</f>
        <v>29.037857142857142</v>
      </c>
      <c r="E14" s="11">
        <f>E16/E13</f>
        <v>36.735526315789471</v>
      </c>
      <c r="F14" s="11">
        <f>F16/F13</f>
        <v>42.588554216867472</v>
      </c>
      <c r="G14" s="11">
        <f>G16/G13</f>
        <v>46.720652173913045</v>
      </c>
      <c r="H14" s="52">
        <f t="shared" ref="H14:L14" si="11">G14*1.1</f>
        <v>51.392717391304352</v>
      </c>
      <c r="I14" s="52">
        <f t="shared" si="11"/>
        <v>56.531989130434795</v>
      </c>
      <c r="J14" s="52">
        <f t="shared" si="11"/>
        <v>62.185188043478277</v>
      </c>
      <c r="K14" s="52">
        <f t="shared" si="11"/>
        <v>68.403706847826115</v>
      </c>
      <c r="L14" s="52">
        <f t="shared" si="11"/>
        <v>75.244077532608728</v>
      </c>
    </row>
    <row r="16" spans="1:22" x14ac:dyDescent="0.15">
      <c r="A16" s="15" t="s">
        <v>4</v>
      </c>
      <c r="B16" s="53">
        <f>SUM(B10:B11)</f>
        <v>17927</v>
      </c>
      <c r="C16" s="53">
        <f>SUM(C10:C11)</f>
        <v>27638</v>
      </c>
      <c r="D16" s="16">
        <f>SUM(D10:D11)</f>
        <v>40653</v>
      </c>
      <c r="E16" s="16">
        <f>SUM(E10:E11)</f>
        <v>55838</v>
      </c>
      <c r="F16" s="16">
        <f>SUM(F10:F11)</f>
        <v>70697</v>
      </c>
      <c r="G16" s="16">
        <f>SUM(G10:G11)</f>
        <v>85966</v>
      </c>
      <c r="H16" s="54">
        <f t="shared" ref="G16:L16" si="12">H13*H14</f>
        <v>99290.73000000001</v>
      </c>
      <c r="I16" s="54">
        <f t="shared" si="12"/>
        <v>114680.79315000003</v>
      </c>
      <c r="J16" s="54">
        <f t="shared" si="12"/>
        <v>132456.31608825005</v>
      </c>
      <c r="K16" s="54">
        <f t="shared" si="12"/>
        <v>152987.04508192884</v>
      </c>
      <c r="L16" s="54">
        <f t="shared" si="12"/>
        <v>176700.03706962781</v>
      </c>
      <c r="M16" s="54">
        <f t="shared" ref="M16:Q16" si="13">L16*1.1</f>
        <v>194370.04077659061</v>
      </c>
      <c r="N16" s="54">
        <f t="shared" si="13"/>
        <v>213807.04485424969</v>
      </c>
      <c r="O16" s="54">
        <f t="shared" si="13"/>
        <v>235187.74933967469</v>
      </c>
      <c r="P16" s="54">
        <f t="shared" si="13"/>
        <v>258706.52427364216</v>
      </c>
      <c r="Q16" s="54">
        <f t="shared" si="13"/>
        <v>284577.17670100642</v>
      </c>
      <c r="R16" s="54">
        <f t="shared" ref="R16:V16" si="14">Q16*1.1</f>
        <v>313034.8943711071</v>
      </c>
      <c r="S16" s="54">
        <f t="shared" si="14"/>
        <v>344338.38380821783</v>
      </c>
      <c r="T16" s="54">
        <f t="shared" si="14"/>
        <v>378772.22218903963</v>
      </c>
      <c r="U16" s="54">
        <f t="shared" si="14"/>
        <v>416649.44440794364</v>
      </c>
      <c r="V16" s="54">
        <f t="shared" si="14"/>
        <v>458314.38884873805</v>
      </c>
    </row>
    <row r="17" spans="1:122" x14ac:dyDescent="0.15">
      <c r="A17" s="7" t="s">
        <v>5</v>
      </c>
      <c r="B17" s="50">
        <f>SUM(Reports!B10:E10)</f>
        <v>2866</v>
      </c>
      <c r="C17" s="50">
        <f>SUM(Reports!F10:I10)</f>
        <v>3788</v>
      </c>
      <c r="D17" s="8">
        <f>SUM(Reports!J10:M10)</f>
        <v>5455</v>
      </c>
      <c r="E17" s="40">
        <f>SUM(Reports!N10:Q10)</f>
        <v>9355</v>
      </c>
      <c r="F17" s="40">
        <f>SUM(Reports!R10:U10)</f>
        <v>12770</v>
      </c>
      <c r="G17" s="40">
        <f>SUM(Reports!V10:Y10)</f>
        <v>16692</v>
      </c>
      <c r="H17" s="50">
        <f t="shared" ref="H17:Q17" si="15">H16-H18</f>
        <v>19279.259999999995</v>
      </c>
      <c r="I17" s="50">
        <f t="shared" si="15"/>
        <v>22267.545299999998</v>
      </c>
      <c r="J17" s="50">
        <f t="shared" si="15"/>
        <v>25719.014821500008</v>
      </c>
      <c r="K17" s="50">
        <f t="shared" si="15"/>
        <v>29705.462118832511</v>
      </c>
      <c r="L17" s="50">
        <f t="shared" si="15"/>
        <v>34309.808747251547</v>
      </c>
      <c r="M17" s="50">
        <f t="shared" si="15"/>
        <v>37740.789621976699</v>
      </c>
      <c r="N17" s="50">
        <f t="shared" si="15"/>
        <v>41514.868584174372</v>
      </c>
      <c r="O17" s="50">
        <f t="shared" si="15"/>
        <v>45666.355442591826</v>
      </c>
      <c r="P17" s="50">
        <f t="shared" si="15"/>
        <v>50232.990986851015</v>
      </c>
      <c r="Q17" s="50">
        <f t="shared" si="15"/>
        <v>55256.290085536108</v>
      </c>
      <c r="R17" s="50">
        <f t="shared" ref="R17:V17" si="16">R16-R18</f>
        <v>60781.919094089739</v>
      </c>
      <c r="S17" s="50">
        <f t="shared" si="16"/>
        <v>66860.111003498721</v>
      </c>
      <c r="T17" s="50">
        <f t="shared" si="16"/>
        <v>73546.122103848611</v>
      </c>
      <c r="U17" s="50">
        <f t="shared" si="16"/>
        <v>80900.734314233472</v>
      </c>
      <c r="V17" s="50">
        <f t="shared" si="16"/>
        <v>88990.807745656813</v>
      </c>
    </row>
    <row r="18" spans="1:122" x14ac:dyDescent="0.15">
      <c r="A18" s="7" t="s">
        <v>6</v>
      </c>
      <c r="B18" s="55">
        <f>B16-B17</f>
        <v>15061</v>
      </c>
      <c r="C18" s="55">
        <f>C16-C17</f>
        <v>23850</v>
      </c>
      <c r="D18" s="19">
        <f>D16-D17</f>
        <v>35198</v>
      </c>
      <c r="E18" s="19">
        <f>E16-E17</f>
        <v>46483</v>
      </c>
      <c r="F18" s="19">
        <f>F16-F17</f>
        <v>57927</v>
      </c>
      <c r="G18" s="19">
        <f>G16-G17</f>
        <v>69274</v>
      </c>
      <c r="H18" s="50">
        <f t="shared" ref="H18" si="17">H16*G37</f>
        <v>80011.470000000016</v>
      </c>
      <c r="I18" s="50">
        <f t="shared" ref="I18" si="18">I16*H37</f>
        <v>92413.247850000029</v>
      </c>
      <c r="J18" s="50">
        <f t="shared" ref="J18" si="19">J16*I37</f>
        <v>106737.30126675004</v>
      </c>
      <c r="K18" s="50">
        <f t="shared" ref="K18" si="20">K16*J37</f>
        <v>123281.58296309633</v>
      </c>
      <c r="L18" s="50">
        <f t="shared" ref="L18" si="21">L16*K37</f>
        <v>142390.22832237626</v>
      </c>
      <c r="M18" s="50">
        <f t="shared" ref="M18" si="22">M16*L37</f>
        <v>156629.25115461391</v>
      </c>
      <c r="N18" s="50">
        <f t="shared" ref="N18" si="23">N16*M37</f>
        <v>172292.17627007532</v>
      </c>
      <c r="O18" s="50">
        <f t="shared" ref="O18" si="24">O16*N37</f>
        <v>189521.39389708286</v>
      </c>
      <c r="P18" s="50">
        <f t="shared" ref="P18" si="25">P16*O37</f>
        <v>208473.53328679115</v>
      </c>
      <c r="Q18" s="50">
        <f t="shared" ref="Q18" si="26">Q16*P37</f>
        <v>229320.88661547031</v>
      </c>
      <c r="R18" s="50">
        <f t="shared" ref="R18" si="27">R16*Q37</f>
        <v>252252.97527701737</v>
      </c>
      <c r="S18" s="50">
        <f t="shared" ref="S18" si="28">S16*R37</f>
        <v>277478.2728047191</v>
      </c>
      <c r="T18" s="50">
        <f t="shared" ref="T18" si="29">T16*S37</f>
        <v>305226.10008519102</v>
      </c>
      <c r="U18" s="50">
        <f t="shared" ref="U18" si="30">U16*T37</f>
        <v>335748.71009371016</v>
      </c>
      <c r="V18" s="50">
        <f t="shared" ref="V18" si="31">V16*U37</f>
        <v>369323.58110308123</v>
      </c>
    </row>
    <row r="19" spans="1:122" x14ac:dyDescent="0.15">
      <c r="A19" s="7" t="s">
        <v>7</v>
      </c>
      <c r="B19" s="50">
        <f>SUM(Reports!B12:E12)</f>
        <v>4817</v>
      </c>
      <c r="C19" s="50">
        <f>SUM(Reports!F12:I12)</f>
        <v>5908</v>
      </c>
      <c r="D19" s="8">
        <f>SUM(Reports!J12:M12)</f>
        <v>7754</v>
      </c>
      <c r="E19" s="40">
        <f>SUM(Reports!N12:Q12)</f>
        <v>10273</v>
      </c>
      <c r="F19" s="40">
        <f>SUM(Reports!R12:U12)</f>
        <v>13600</v>
      </c>
      <c r="G19" s="40">
        <f>SUM(Reports!V12:Y12)</f>
        <v>18448</v>
      </c>
      <c r="H19" s="50">
        <f t="shared" ref="H19" si="32">G19*1.3</f>
        <v>23982.400000000001</v>
      </c>
      <c r="I19" s="50">
        <f t="shared" ref="I19" si="33">H19*1.3</f>
        <v>31177.120000000003</v>
      </c>
      <c r="J19" s="50">
        <f t="shared" ref="J19" si="34">I19*1.3</f>
        <v>40530.256000000001</v>
      </c>
      <c r="K19" s="50">
        <f t="shared" ref="K19" si="35">J19*1.3</f>
        <v>52689.332800000004</v>
      </c>
      <c r="L19" s="50">
        <f t="shared" ref="L19" si="36">K19*1.3</f>
        <v>68496.132640000011</v>
      </c>
      <c r="M19" s="50">
        <f t="shared" ref="L19:Q19" si="37">L19*1.1</f>
        <v>75345.745904000025</v>
      </c>
      <c r="N19" s="50">
        <f t="shared" si="37"/>
        <v>82880.320494400032</v>
      </c>
      <c r="O19" s="50">
        <f t="shared" si="37"/>
        <v>91168.352543840039</v>
      </c>
      <c r="P19" s="50">
        <f t="shared" si="37"/>
        <v>100285.18779822405</v>
      </c>
      <c r="Q19" s="50">
        <f t="shared" si="37"/>
        <v>110313.70657804648</v>
      </c>
      <c r="R19" s="50">
        <f t="shared" ref="R19:R20" si="38">Q19*1.1</f>
        <v>121345.07723585113</v>
      </c>
      <c r="S19" s="50">
        <f t="shared" ref="S19:S20" si="39">R19*1.1</f>
        <v>133479.58495943627</v>
      </c>
      <c r="T19" s="50">
        <f t="shared" ref="T19:T20" si="40">S19*1.1</f>
        <v>146827.5434553799</v>
      </c>
      <c r="U19" s="50">
        <f t="shared" ref="U19:U20" si="41">T19*1.1</f>
        <v>161510.29780091791</v>
      </c>
      <c r="V19" s="50">
        <f t="shared" ref="V19:V20" si="42">U19*1.1</f>
        <v>177661.32758100971</v>
      </c>
    </row>
    <row r="20" spans="1:122" x14ac:dyDescent="0.15">
      <c r="A20" s="7" t="s">
        <v>8</v>
      </c>
      <c r="B20" s="50">
        <f>SUM(Reports!B13:E13)</f>
        <v>2724</v>
      </c>
      <c r="C20" s="50">
        <f>SUM(Reports!F13:I13)</f>
        <v>3768</v>
      </c>
      <c r="D20" s="8">
        <f>SUM(Reports!J13:M13)</f>
        <v>4725</v>
      </c>
      <c r="E20" s="40">
        <f>SUM(Reports!N13:Q13)</f>
        <v>7845</v>
      </c>
      <c r="F20" s="40">
        <f>SUM(Reports!R13:U13)</f>
        <v>9876</v>
      </c>
      <c r="G20" s="40">
        <f>SUM(Reports!V13:Y13)</f>
        <v>11590</v>
      </c>
      <c r="H20" s="50">
        <f>G20*1.15</f>
        <v>13328.499999999998</v>
      </c>
      <c r="I20" s="50">
        <f t="shared" ref="I20:L20" si="43">H20*1.15</f>
        <v>15327.774999999996</v>
      </c>
      <c r="J20" s="50">
        <f t="shared" si="43"/>
        <v>17626.941249999993</v>
      </c>
      <c r="K20" s="50">
        <f t="shared" si="43"/>
        <v>20270.982437499992</v>
      </c>
      <c r="L20" s="50">
        <f t="shared" si="43"/>
        <v>23311.62980312499</v>
      </c>
      <c r="M20" s="50">
        <f t="shared" ref="L20:Q20" si="44">L20*1.1</f>
        <v>25642.79278343749</v>
      </c>
      <c r="N20" s="50">
        <f t="shared" si="44"/>
        <v>28207.07206178124</v>
      </c>
      <c r="O20" s="50">
        <f t="shared" si="44"/>
        <v>31027.779267959366</v>
      </c>
      <c r="P20" s="50">
        <f t="shared" si="44"/>
        <v>34130.557194755303</v>
      </c>
      <c r="Q20" s="50">
        <f t="shared" si="44"/>
        <v>37543.612914230835</v>
      </c>
      <c r="R20" s="50">
        <f t="shared" si="38"/>
        <v>41297.974205653918</v>
      </c>
      <c r="S20" s="50">
        <f t="shared" si="39"/>
        <v>45427.771626219313</v>
      </c>
      <c r="T20" s="50">
        <f t="shared" si="40"/>
        <v>49970.548788841246</v>
      </c>
      <c r="U20" s="50">
        <f t="shared" si="41"/>
        <v>54967.603667725372</v>
      </c>
      <c r="V20" s="50">
        <f t="shared" si="42"/>
        <v>60464.364034497914</v>
      </c>
    </row>
    <row r="21" spans="1:122" x14ac:dyDescent="0.15">
      <c r="A21" s="7" t="s">
        <v>9</v>
      </c>
      <c r="B21" s="50">
        <f>SUM(Reports!B14:E14)</f>
        <v>1295</v>
      </c>
      <c r="C21" s="50">
        <f>SUM(Reports!F14:I14)</f>
        <v>1731</v>
      </c>
      <c r="D21" s="8">
        <f>SUM(Reports!J14:M14)</f>
        <v>2517</v>
      </c>
      <c r="E21" s="40">
        <f>SUM(Reports!N14:Q14)</f>
        <v>3452</v>
      </c>
      <c r="F21" s="40">
        <f>SUM(Reports!R14:U14)</f>
        <v>10465</v>
      </c>
      <c r="G21" s="40">
        <f>SUM(Reports!V14:Y14)</f>
        <v>6565</v>
      </c>
      <c r="H21" s="50">
        <f>G21*1.3</f>
        <v>8534.5</v>
      </c>
      <c r="I21" s="50">
        <f t="shared" ref="I21:L21" si="45">H21*1.3</f>
        <v>11094.85</v>
      </c>
      <c r="J21" s="50">
        <f t="shared" si="45"/>
        <v>14423.305</v>
      </c>
      <c r="K21" s="50">
        <f t="shared" si="45"/>
        <v>18750.2965</v>
      </c>
      <c r="L21" s="50">
        <f t="shared" si="45"/>
        <v>24375.385450000002</v>
      </c>
      <c r="M21" s="50">
        <f t="shared" ref="M21:V21" si="46">L21*0.98</f>
        <v>23887.877741</v>
      </c>
      <c r="N21" s="50">
        <f t="shared" si="46"/>
        <v>23410.12018618</v>
      </c>
      <c r="O21" s="50">
        <f t="shared" si="46"/>
        <v>22941.917782456399</v>
      </c>
      <c r="P21" s="50">
        <f t="shared" si="46"/>
        <v>22483.079426807271</v>
      </c>
      <c r="Q21" s="50">
        <f t="shared" si="46"/>
        <v>22033.417838271125</v>
      </c>
      <c r="R21" s="50">
        <f t="shared" si="46"/>
        <v>21592.749481505703</v>
      </c>
      <c r="S21" s="50">
        <f t="shared" si="46"/>
        <v>21160.894491875588</v>
      </c>
      <c r="T21" s="50">
        <f t="shared" si="46"/>
        <v>20737.676602038075</v>
      </c>
      <c r="U21" s="50">
        <f t="shared" si="46"/>
        <v>20322.923069997312</v>
      </c>
      <c r="V21" s="50">
        <f t="shared" si="46"/>
        <v>19916.464608597365</v>
      </c>
    </row>
    <row r="22" spans="1:122" x14ac:dyDescent="0.15">
      <c r="A22" s="7" t="s">
        <v>10</v>
      </c>
      <c r="B22" s="55">
        <f>SUM(B19:B21)</f>
        <v>8836</v>
      </c>
      <c r="C22" s="55">
        <f>SUM(C19:C21)</f>
        <v>11407</v>
      </c>
      <c r="D22" s="19">
        <f>SUM(D19:D21)</f>
        <v>14996</v>
      </c>
      <c r="E22" s="19">
        <f>SUM(E19:E21)</f>
        <v>21570</v>
      </c>
      <c r="F22" s="19">
        <f>SUM(F19:F21)</f>
        <v>33941</v>
      </c>
      <c r="G22" s="19">
        <f>SUM(G19:G21)</f>
        <v>36603</v>
      </c>
      <c r="H22" s="56">
        <f t="shared" ref="H22:Q22" si="47">SUM(H19:H21)</f>
        <v>45845.4</v>
      </c>
      <c r="I22" s="56">
        <f t="shared" si="47"/>
        <v>57599.744999999995</v>
      </c>
      <c r="J22" s="56">
        <f t="shared" si="47"/>
        <v>72580.50224999999</v>
      </c>
      <c r="K22" s="56">
        <f t="shared" si="47"/>
        <v>91710.611737499989</v>
      </c>
      <c r="L22" s="56">
        <f t="shared" si="47"/>
        <v>116183.147893125</v>
      </c>
      <c r="M22" s="56">
        <f t="shared" si="47"/>
        <v>124876.41642843751</v>
      </c>
      <c r="N22" s="56">
        <f t="shared" si="47"/>
        <v>134497.51274236126</v>
      </c>
      <c r="O22" s="56">
        <f t="shared" si="47"/>
        <v>145138.0495942558</v>
      </c>
      <c r="P22" s="56">
        <f t="shared" si="47"/>
        <v>156898.82441978663</v>
      </c>
      <c r="Q22" s="56">
        <f t="shared" si="47"/>
        <v>169890.73733054844</v>
      </c>
      <c r="R22" s="56">
        <f t="shared" ref="R22:V22" si="48">SUM(R19:R21)</f>
        <v>184235.80092301077</v>
      </c>
      <c r="S22" s="56">
        <f t="shared" si="48"/>
        <v>200068.2510775312</v>
      </c>
      <c r="T22" s="56">
        <f t="shared" si="48"/>
        <v>217535.76884625922</v>
      </c>
      <c r="U22" s="56">
        <f t="shared" si="48"/>
        <v>236800.82453864059</v>
      </c>
      <c r="V22" s="56">
        <f t="shared" si="48"/>
        <v>258042.15622410498</v>
      </c>
    </row>
    <row r="23" spans="1:122" x14ac:dyDescent="0.15">
      <c r="A23" s="7" t="s">
        <v>11</v>
      </c>
      <c r="B23" s="55">
        <f>B18-B22</f>
        <v>6225</v>
      </c>
      <c r="C23" s="55">
        <f>C18-C22</f>
        <v>12443</v>
      </c>
      <c r="D23" s="19">
        <f>D18-D22</f>
        <v>20202</v>
      </c>
      <c r="E23" s="19">
        <f>E18-E22</f>
        <v>24913</v>
      </c>
      <c r="F23" s="19">
        <f>F18-F22</f>
        <v>23986</v>
      </c>
      <c r="G23" s="19">
        <f>G18-G22</f>
        <v>32671</v>
      </c>
      <c r="H23" s="56">
        <f t="shared" ref="H23:Q23" si="49">H18-H22</f>
        <v>34166.070000000014</v>
      </c>
      <c r="I23" s="56">
        <f t="shared" si="49"/>
        <v>34813.502850000034</v>
      </c>
      <c r="J23" s="56">
        <f t="shared" si="49"/>
        <v>34156.799016750054</v>
      </c>
      <c r="K23" s="56">
        <f t="shared" si="49"/>
        <v>31570.971225596339</v>
      </c>
      <c r="L23" s="56">
        <f t="shared" si="49"/>
        <v>26207.080429251262</v>
      </c>
      <c r="M23" s="56">
        <f t="shared" si="49"/>
        <v>31752.834726176399</v>
      </c>
      <c r="N23" s="56">
        <f t="shared" si="49"/>
        <v>37794.663527714059</v>
      </c>
      <c r="O23" s="56">
        <f t="shared" si="49"/>
        <v>44383.344302827056</v>
      </c>
      <c r="P23" s="56">
        <f t="shared" si="49"/>
        <v>51574.70886700452</v>
      </c>
      <c r="Q23" s="56">
        <f t="shared" si="49"/>
        <v>59430.149284921878</v>
      </c>
      <c r="R23" s="56">
        <f t="shared" ref="R23:V23" si="50">R18-R22</f>
        <v>68017.174354006595</v>
      </c>
      <c r="S23" s="56">
        <f t="shared" si="50"/>
        <v>77410.021727187908</v>
      </c>
      <c r="T23" s="56">
        <f t="shared" si="50"/>
        <v>87690.331238931802</v>
      </c>
      <c r="U23" s="56">
        <f t="shared" si="50"/>
        <v>98947.885555069573</v>
      </c>
      <c r="V23" s="56">
        <f t="shared" si="50"/>
        <v>111281.42487897625</v>
      </c>
    </row>
    <row r="24" spans="1:122" x14ac:dyDescent="0.15">
      <c r="A24" s="7" t="s">
        <v>12</v>
      </c>
      <c r="B24" s="50">
        <f>SUM(Reports!B17:E17)</f>
        <v>-31</v>
      </c>
      <c r="C24" s="50">
        <f>SUM(Reports!F17:I17)</f>
        <v>90</v>
      </c>
      <c r="D24" s="8">
        <f>SUM(Reports!J17:M17)</f>
        <v>392</v>
      </c>
      <c r="E24" s="40">
        <f>SUM(Reports!N17:Q17)</f>
        <v>448</v>
      </c>
      <c r="F24" s="40">
        <f>SUM(Reports!R17:U17)</f>
        <v>826</v>
      </c>
      <c r="G24" s="40">
        <f>SUM(Reports!V17:Y17)</f>
        <v>509</v>
      </c>
      <c r="H24" s="56">
        <f t="shared" ref="G24:Q24" si="51">G41*$F$3</f>
        <v>1363.78</v>
      </c>
      <c r="I24" s="56">
        <f t="shared" si="51"/>
        <v>1932.2576000000001</v>
      </c>
      <c r="J24" s="56">
        <f t="shared" si="51"/>
        <v>2520.1897672000009</v>
      </c>
      <c r="K24" s="56">
        <f t="shared" si="51"/>
        <v>3107.0215877432015</v>
      </c>
      <c r="L24" s="56">
        <f t="shared" si="51"/>
        <v>3661.8694727566344</v>
      </c>
      <c r="M24" s="56">
        <f t="shared" si="51"/>
        <v>4139.7726711887608</v>
      </c>
      <c r="N24" s="56">
        <f t="shared" si="51"/>
        <v>4714.0543895466035</v>
      </c>
      <c r="O24" s="56">
        <f t="shared" si="51"/>
        <v>5394.1938762227737</v>
      </c>
      <c r="P24" s="56">
        <f t="shared" si="51"/>
        <v>6190.634487087571</v>
      </c>
      <c r="Q24" s="56">
        <f t="shared" si="51"/>
        <v>7114.8799807530449</v>
      </c>
      <c r="R24" s="56">
        <f t="shared" ref="R24" si="52">Q41*$F$3</f>
        <v>8179.6004490038431</v>
      </c>
      <c r="S24" s="56">
        <f t="shared" ref="S24" si="53">R41*$F$3</f>
        <v>9398.7488458520093</v>
      </c>
      <c r="T24" s="56">
        <f t="shared" ref="T24" si="54">S41*$F$3</f>
        <v>10787.689175020647</v>
      </c>
      <c r="U24" s="56">
        <f t="shared" ref="U24" si="55">T41*$F$3</f>
        <v>12363.337501643888</v>
      </c>
      <c r="V24" s="56">
        <f t="shared" ref="V24" si="56">U41*$F$3</f>
        <v>14144.317070551304</v>
      </c>
    </row>
    <row r="25" spans="1:122" x14ac:dyDescent="0.15">
      <c r="A25" s="7" t="s">
        <v>13</v>
      </c>
      <c r="B25" s="55">
        <f>B23+B24</f>
        <v>6194</v>
      </c>
      <c r="C25" s="55">
        <f>C23+C24</f>
        <v>12533</v>
      </c>
      <c r="D25" s="19">
        <f>D23+D24</f>
        <v>20594</v>
      </c>
      <c r="E25" s="19">
        <f>E23+E24</f>
        <v>25361</v>
      </c>
      <c r="F25" s="19">
        <f>F23+F24</f>
        <v>24812</v>
      </c>
      <c r="G25" s="19">
        <f>G23+G24</f>
        <v>33180</v>
      </c>
      <c r="H25" s="56">
        <f t="shared" ref="H25:P25" si="57">H23+H24</f>
        <v>35529.850000000013</v>
      </c>
      <c r="I25" s="56">
        <f t="shared" si="57"/>
        <v>36745.760450000031</v>
      </c>
      <c r="J25" s="56">
        <f t="shared" si="57"/>
        <v>36676.988783950052</v>
      </c>
      <c r="K25" s="56">
        <f t="shared" si="57"/>
        <v>34677.992813339537</v>
      </c>
      <c r="L25" s="56">
        <f t="shared" si="57"/>
        <v>29868.949902007895</v>
      </c>
      <c r="M25" s="56">
        <f t="shared" si="57"/>
        <v>35892.607397365158</v>
      </c>
      <c r="N25" s="56">
        <f t="shared" si="57"/>
        <v>42508.717917260663</v>
      </c>
      <c r="O25" s="56">
        <f t="shared" si="57"/>
        <v>49777.538179049829</v>
      </c>
      <c r="P25" s="56">
        <f t="shared" si="57"/>
        <v>57765.343354092089</v>
      </c>
      <c r="Q25" s="56">
        <f>Q23+Q24</f>
        <v>66545.029265674922</v>
      </c>
      <c r="R25" s="56">
        <f t="shared" ref="R25:U25" si="58">R23+R24</f>
        <v>76196.774803010441</v>
      </c>
      <c r="S25" s="56">
        <f t="shared" si="58"/>
        <v>86808.770573039918</v>
      </c>
      <c r="T25" s="56">
        <f t="shared" si="58"/>
        <v>98478.020413952443</v>
      </c>
      <c r="U25" s="56">
        <f t="shared" si="58"/>
        <v>111311.22305671347</v>
      </c>
      <c r="V25" s="56">
        <f>V23+V24</f>
        <v>125425.74194952755</v>
      </c>
    </row>
    <row r="26" spans="1:122" x14ac:dyDescent="0.15">
      <c r="A26" s="7" t="s">
        <v>14</v>
      </c>
      <c r="B26" s="50">
        <f>SUM(Reports!B19:E19)</f>
        <v>2505</v>
      </c>
      <c r="C26" s="50">
        <f>SUM(Reports!F19:I19)</f>
        <v>3021</v>
      </c>
      <c r="D26" s="8">
        <f>SUM(Reports!J19:M19)</f>
        <v>4661</v>
      </c>
      <c r="E26" s="40">
        <f>SUM(Reports!N19:Q19)</f>
        <v>3248</v>
      </c>
      <c r="F26" s="40">
        <f>SUM(Reports!R19:U19)</f>
        <v>6327</v>
      </c>
      <c r="G26" s="40">
        <f>SUM(Reports!V19:Y19)</f>
        <v>4035</v>
      </c>
      <c r="H26" s="56">
        <f t="shared" ref="G26:Q26" si="59">H25*0.2</f>
        <v>7105.970000000003</v>
      </c>
      <c r="I26" s="56">
        <f t="shared" si="59"/>
        <v>7349.1520900000069</v>
      </c>
      <c r="J26" s="56">
        <f t="shared" si="59"/>
        <v>7335.397756790011</v>
      </c>
      <c r="K26" s="56">
        <f t="shared" si="59"/>
        <v>6935.5985626679076</v>
      </c>
      <c r="L26" s="56">
        <f t="shared" si="59"/>
        <v>5973.7899804015797</v>
      </c>
      <c r="M26" s="56">
        <f t="shared" si="59"/>
        <v>7178.5214794730318</v>
      </c>
      <c r="N26" s="56">
        <f t="shared" si="59"/>
        <v>8501.743583452133</v>
      </c>
      <c r="O26" s="56">
        <f t="shared" si="59"/>
        <v>9955.5076358099668</v>
      </c>
      <c r="P26" s="56">
        <f t="shared" si="59"/>
        <v>11553.068670818418</v>
      </c>
      <c r="Q26" s="56">
        <f t="shared" si="59"/>
        <v>13309.005853134986</v>
      </c>
      <c r="R26" s="56">
        <f t="shared" ref="R26:V26" si="60">R25*0.2</f>
        <v>15239.35496060209</v>
      </c>
      <c r="S26" s="56">
        <f t="shared" si="60"/>
        <v>17361.754114607986</v>
      </c>
      <c r="T26" s="56">
        <f t="shared" si="60"/>
        <v>19695.604082790491</v>
      </c>
      <c r="U26" s="56">
        <f t="shared" si="60"/>
        <v>22262.244611342696</v>
      </c>
      <c r="V26" s="56">
        <f t="shared" si="60"/>
        <v>25085.148389905513</v>
      </c>
    </row>
    <row r="27" spans="1:122" s="15" customFormat="1" x14ac:dyDescent="0.15">
      <c r="A27" s="15" t="s">
        <v>15</v>
      </c>
      <c r="B27" s="53">
        <f t="shared" ref="B27:G27" si="61">B25-B26</f>
        <v>3689</v>
      </c>
      <c r="C27" s="53">
        <f t="shared" si="61"/>
        <v>9512</v>
      </c>
      <c r="D27" s="16">
        <f t="shared" si="61"/>
        <v>15933</v>
      </c>
      <c r="E27" s="53">
        <f t="shared" si="61"/>
        <v>22113</v>
      </c>
      <c r="F27" s="53">
        <f t="shared" si="61"/>
        <v>18485</v>
      </c>
      <c r="G27" s="53">
        <f t="shared" si="61"/>
        <v>29145</v>
      </c>
      <c r="H27" s="53">
        <f t="shared" ref="H27:P27" si="62">H25-H26</f>
        <v>28423.880000000012</v>
      </c>
      <c r="I27" s="53">
        <f t="shared" si="62"/>
        <v>29396.608360000024</v>
      </c>
      <c r="J27" s="53">
        <f t="shared" si="62"/>
        <v>29341.591027160041</v>
      </c>
      <c r="K27" s="53">
        <f t="shared" si="62"/>
        <v>27742.39425067163</v>
      </c>
      <c r="L27" s="53">
        <f t="shared" si="62"/>
        <v>23895.159921606315</v>
      </c>
      <c r="M27" s="53">
        <f t="shared" si="62"/>
        <v>28714.085917892127</v>
      </c>
      <c r="N27" s="53">
        <f t="shared" si="62"/>
        <v>34006.974333808532</v>
      </c>
      <c r="O27" s="53">
        <f t="shared" si="62"/>
        <v>39822.03054323986</v>
      </c>
      <c r="P27" s="53">
        <f t="shared" si="62"/>
        <v>46212.274683273674</v>
      </c>
      <c r="Q27" s="53">
        <f>Q25-Q26</f>
        <v>53236.023412539937</v>
      </c>
      <c r="R27" s="53">
        <f t="shared" ref="R27:U27" si="63">R25-R26</f>
        <v>60957.419842408352</v>
      </c>
      <c r="S27" s="53">
        <f t="shared" si="63"/>
        <v>69447.016458431928</v>
      </c>
      <c r="T27" s="53">
        <f t="shared" si="63"/>
        <v>78782.416331161949</v>
      </c>
      <c r="U27" s="53">
        <f t="shared" si="63"/>
        <v>89048.978445370769</v>
      </c>
      <c r="V27" s="53">
        <f>V25-V26</f>
        <v>100340.59355962204</v>
      </c>
      <c r="W27" s="53">
        <f t="shared" ref="W27:CD27" si="64">V27*($F$2+1)</f>
        <v>98333.78168842959</v>
      </c>
      <c r="X27" s="53">
        <f t="shared" si="64"/>
        <v>96367.106054660995</v>
      </c>
      <c r="Y27" s="53">
        <f t="shared" si="64"/>
        <v>94439.763933567767</v>
      </c>
      <c r="Z27" s="53">
        <f t="shared" si="64"/>
        <v>92550.968654896409</v>
      </c>
      <c r="AA27" s="53">
        <f t="shared" si="64"/>
        <v>90699.949281798486</v>
      </c>
      <c r="AB27" s="53">
        <f t="shared" si="64"/>
        <v>88885.950296162511</v>
      </c>
      <c r="AC27" s="53">
        <f t="shared" si="64"/>
        <v>87108.231290239259</v>
      </c>
      <c r="AD27" s="53">
        <f t="shared" si="64"/>
        <v>85366.066664434475</v>
      </c>
      <c r="AE27" s="53">
        <f t="shared" si="64"/>
        <v>83658.745331145779</v>
      </c>
      <c r="AF27" s="53">
        <f t="shared" si="64"/>
        <v>81985.570424522855</v>
      </c>
      <c r="AG27" s="53">
        <f t="shared" si="64"/>
        <v>80345.859016032395</v>
      </c>
      <c r="AH27" s="53">
        <f t="shared" si="64"/>
        <v>78738.941835711739</v>
      </c>
      <c r="AI27" s="53">
        <f t="shared" si="64"/>
        <v>77164.162998997504</v>
      </c>
      <c r="AJ27" s="53">
        <f t="shared" si="64"/>
        <v>75620.879739017546</v>
      </c>
      <c r="AK27" s="53">
        <f t="shared" si="64"/>
        <v>74108.462144237201</v>
      </c>
      <c r="AL27" s="53">
        <f t="shared" si="64"/>
        <v>72626.292901352455</v>
      </c>
      <c r="AM27" s="53">
        <f t="shared" si="64"/>
        <v>71173.76704332541</v>
      </c>
      <c r="AN27" s="53">
        <f t="shared" si="64"/>
        <v>69750.291702458897</v>
      </c>
      <c r="AO27" s="53">
        <f t="shared" si="64"/>
        <v>68355.285868409715</v>
      </c>
      <c r="AP27" s="53">
        <f t="shared" si="64"/>
        <v>66988.180151041524</v>
      </c>
      <c r="AQ27" s="53">
        <f t="shared" si="64"/>
        <v>65648.416548020687</v>
      </c>
      <c r="AR27" s="53">
        <f t="shared" si="64"/>
        <v>64335.448217060271</v>
      </c>
      <c r="AS27" s="53">
        <f t="shared" si="64"/>
        <v>63048.739252719068</v>
      </c>
      <c r="AT27" s="53">
        <f t="shared" si="64"/>
        <v>61787.764467664689</v>
      </c>
      <c r="AU27" s="53">
        <f t="shared" si="64"/>
        <v>60552.009178311397</v>
      </c>
      <c r="AV27" s="53">
        <f t="shared" si="64"/>
        <v>59340.96899474517</v>
      </c>
      <c r="AW27" s="53">
        <f t="shared" si="64"/>
        <v>58154.149614850263</v>
      </c>
      <c r="AX27" s="53">
        <f t="shared" si="64"/>
        <v>56991.066622553255</v>
      </c>
      <c r="AY27" s="53">
        <f t="shared" si="64"/>
        <v>55851.24529010219</v>
      </c>
      <c r="AZ27" s="53">
        <f t="shared" si="64"/>
        <v>54734.220384300148</v>
      </c>
      <c r="BA27" s="53">
        <f t="shared" si="64"/>
        <v>53639.535976614141</v>
      </c>
      <c r="BB27" s="53">
        <f t="shared" si="64"/>
        <v>52566.745257081857</v>
      </c>
      <c r="BC27" s="53">
        <f t="shared" si="64"/>
        <v>51515.41035194022</v>
      </c>
      <c r="BD27" s="53">
        <f t="shared" si="64"/>
        <v>50485.102144901415</v>
      </c>
      <c r="BE27" s="53">
        <f t="shared" si="64"/>
        <v>49475.400102003383</v>
      </c>
      <c r="BF27" s="53">
        <f t="shared" si="64"/>
        <v>48485.892099963312</v>
      </c>
      <c r="BG27" s="53">
        <f t="shared" si="64"/>
        <v>47516.174257964041</v>
      </c>
      <c r="BH27" s="53">
        <f t="shared" si="64"/>
        <v>46565.850772804763</v>
      </c>
      <c r="BI27" s="53">
        <f t="shared" si="64"/>
        <v>45634.533757348669</v>
      </c>
      <c r="BJ27" s="53">
        <f t="shared" si="64"/>
        <v>44721.843082201696</v>
      </c>
      <c r="BK27" s="53">
        <f t="shared" si="64"/>
        <v>43827.406220557663</v>
      </c>
      <c r="BL27" s="53">
        <f t="shared" si="64"/>
        <v>42950.858096146512</v>
      </c>
      <c r="BM27" s="53">
        <f t="shared" si="64"/>
        <v>42091.840934223583</v>
      </c>
      <c r="BN27" s="53">
        <f t="shared" si="64"/>
        <v>41250.004115539108</v>
      </c>
      <c r="BO27" s="53">
        <f t="shared" si="64"/>
        <v>40425.004033228324</v>
      </c>
      <c r="BP27" s="53">
        <f t="shared" si="64"/>
        <v>39616.503952563755</v>
      </c>
      <c r="BQ27" s="53">
        <f t="shared" si="64"/>
        <v>38824.173873512482</v>
      </c>
      <c r="BR27" s="53">
        <f t="shared" si="64"/>
        <v>38047.690396042235</v>
      </c>
      <c r="BS27" s="53">
        <f t="shared" si="64"/>
        <v>37286.736588121392</v>
      </c>
      <c r="BT27" s="53">
        <f t="shared" si="64"/>
        <v>36541.001856358962</v>
      </c>
      <c r="BU27" s="53">
        <f t="shared" si="64"/>
        <v>35810.181819231781</v>
      </c>
      <c r="BV27" s="53">
        <f t="shared" si="64"/>
        <v>35093.978182847146</v>
      </c>
      <c r="BW27" s="53">
        <f t="shared" si="64"/>
        <v>34392.098619190205</v>
      </c>
      <c r="BX27" s="53">
        <f t="shared" si="64"/>
        <v>33704.256646806403</v>
      </c>
      <c r="BY27" s="53">
        <f t="shared" si="64"/>
        <v>33030.171513870271</v>
      </c>
      <c r="BZ27" s="53">
        <f t="shared" si="64"/>
        <v>32369.568083592865</v>
      </c>
      <c r="CA27" s="53">
        <f t="shared" si="64"/>
        <v>31722.176721921009</v>
      </c>
      <c r="CB27" s="53">
        <f t="shared" si="64"/>
        <v>31087.733187482587</v>
      </c>
      <c r="CC27" s="53">
        <f t="shared" si="64"/>
        <v>30465.978523732934</v>
      </c>
      <c r="CD27" s="53">
        <f t="shared" si="64"/>
        <v>29856.658953258277</v>
      </c>
      <c r="CE27" s="53">
        <f t="shared" ref="CE27:DR27" si="65">CD27*($F$2+1)</f>
        <v>29259.525774193109</v>
      </c>
      <c r="CF27" s="53">
        <f t="shared" si="65"/>
        <v>28674.335258709245</v>
      </c>
      <c r="CG27" s="53">
        <f t="shared" si="65"/>
        <v>28100.848553535059</v>
      </c>
      <c r="CH27" s="53">
        <f t="shared" si="65"/>
        <v>27538.831582464358</v>
      </c>
      <c r="CI27" s="53">
        <f t="shared" si="65"/>
        <v>26988.054950815069</v>
      </c>
      <c r="CJ27" s="53">
        <f t="shared" si="65"/>
        <v>26448.293851798768</v>
      </c>
      <c r="CK27" s="53">
        <f t="shared" si="65"/>
        <v>25919.327974762793</v>
      </c>
      <c r="CL27" s="53">
        <f t="shared" si="65"/>
        <v>25400.941415267538</v>
      </c>
      <c r="CM27" s="53">
        <f t="shared" si="65"/>
        <v>24892.922586962188</v>
      </c>
      <c r="CN27" s="53">
        <f t="shared" si="65"/>
        <v>24395.064135222943</v>
      </c>
      <c r="CO27" s="53">
        <f t="shared" si="65"/>
        <v>23907.162852518482</v>
      </c>
      <c r="CP27" s="53">
        <f t="shared" si="65"/>
        <v>23429.019595468111</v>
      </c>
      <c r="CQ27" s="53">
        <f t="shared" si="65"/>
        <v>22960.439203558748</v>
      </c>
      <c r="CR27" s="53">
        <f t="shared" si="65"/>
        <v>22501.230419487572</v>
      </c>
      <c r="CS27" s="53">
        <f t="shared" si="65"/>
        <v>22051.205811097821</v>
      </c>
      <c r="CT27" s="53">
        <f t="shared" si="65"/>
        <v>21610.181694875864</v>
      </c>
      <c r="CU27" s="53">
        <f t="shared" si="65"/>
        <v>21177.978060978345</v>
      </c>
      <c r="CV27" s="53">
        <f t="shared" si="65"/>
        <v>20754.418499758776</v>
      </c>
      <c r="CW27" s="53">
        <f t="shared" si="65"/>
        <v>20339.330129763599</v>
      </c>
      <c r="CX27" s="53">
        <f t="shared" si="65"/>
        <v>19932.543527168327</v>
      </c>
      <c r="CY27" s="53">
        <f t="shared" si="65"/>
        <v>19533.892656624961</v>
      </c>
      <c r="CZ27" s="53">
        <f t="shared" si="65"/>
        <v>19143.214803492461</v>
      </c>
      <c r="DA27" s="53">
        <f t="shared" si="65"/>
        <v>18760.350507422612</v>
      </c>
      <c r="DB27" s="53">
        <f t="shared" si="65"/>
        <v>18385.143497274159</v>
      </c>
      <c r="DC27" s="53">
        <f t="shared" si="65"/>
        <v>18017.440627328677</v>
      </c>
      <c r="DD27" s="53">
        <f t="shared" si="65"/>
        <v>17657.091814782103</v>
      </c>
      <c r="DE27" s="53">
        <f t="shared" si="65"/>
        <v>17303.94997848646</v>
      </c>
      <c r="DF27" s="53">
        <f t="shared" si="65"/>
        <v>16957.87097891673</v>
      </c>
      <c r="DG27" s="53">
        <f t="shared" si="65"/>
        <v>16618.713559338394</v>
      </c>
      <c r="DH27" s="53">
        <f t="shared" si="65"/>
        <v>16286.339288151625</v>
      </c>
      <c r="DI27" s="53">
        <f t="shared" si="65"/>
        <v>15960.612502388592</v>
      </c>
      <c r="DJ27" s="53">
        <f t="shared" si="65"/>
        <v>15641.40025234082</v>
      </c>
      <c r="DK27" s="53">
        <f t="shared" si="65"/>
        <v>15328.572247294003</v>
      </c>
      <c r="DL27" s="53">
        <f t="shared" si="65"/>
        <v>15022.000802348122</v>
      </c>
      <c r="DM27" s="53">
        <f t="shared" si="65"/>
        <v>14721.560786301159</v>
      </c>
      <c r="DN27" s="53">
        <f t="shared" si="65"/>
        <v>14427.129570575136</v>
      </c>
      <c r="DO27" s="53">
        <f t="shared" si="65"/>
        <v>14138.586979163634</v>
      </c>
      <c r="DP27" s="53">
        <f t="shared" si="65"/>
        <v>13855.815239580361</v>
      </c>
      <c r="DQ27" s="53">
        <f t="shared" si="65"/>
        <v>13578.698934788754</v>
      </c>
      <c r="DR27" s="53">
        <f t="shared" si="65"/>
        <v>13307.124956092979</v>
      </c>
    </row>
    <row r="28" spans="1:122" x14ac:dyDescent="0.15">
      <c r="A28" s="7" t="s">
        <v>16</v>
      </c>
      <c r="B28" s="57">
        <f>B27/B29</f>
        <v>1.2817929117442668</v>
      </c>
      <c r="C28" s="57">
        <f>C27/C29</f>
        <v>3.2375765827093259</v>
      </c>
      <c r="D28" s="22">
        <f>D27/D29</f>
        <v>5.4846815834767639</v>
      </c>
      <c r="E28" s="22">
        <f>E27/E29</f>
        <v>7.6621621621621623</v>
      </c>
      <c r="F28" s="22">
        <f>F27/F29</f>
        <v>6.4385231626610935</v>
      </c>
      <c r="G28" s="22">
        <f>G27/G29</f>
        <v>10.084775086505191</v>
      </c>
      <c r="H28" s="58">
        <f>H27/H29</f>
        <v>9.8352525951557137</v>
      </c>
      <c r="I28" s="58">
        <f t="shared" ref="I28:Q28" si="66">I27/I29</f>
        <v>10.171836802768174</v>
      </c>
      <c r="J28" s="58">
        <f t="shared" si="66"/>
        <v>10.152799663377177</v>
      </c>
      <c r="K28" s="58">
        <f t="shared" si="66"/>
        <v>9.5994443773950273</v>
      </c>
      <c r="L28" s="58">
        <f t="shared" si="66"/>
        <v>8.2682214261613538</v>
      </c>
      <c r="M28" s="58">
        <f t="shared" si="66"/>
        <v>9.9356698677827424</v>
      </c>
      <c r="N28" s="58">
        <f t="shared" si="66"/>
        <v>11.76711914664655</v>
      </c>
      <c r="O28" s="58">
        <f t="shared" si="66"/>
        <v>13.779249322920366</v>
      </c>
      <c r="P28" s="58">
        <f t="shared" si="66"/>
        <v>15.990406464800579</v>
      </c>
      <c r="Q28" s="58">
        <f t="shared" si="66"/>
        <v>18.420769346899633</v>
      </c>
      <c r="R28" s="58">
        <f t="shared" ref="R28:V28" si="67">R27/R29</f>
        <v>21.092532817442336</v>
      </c>
      <c r="S28" s="58">
        <f t="shared" si="67"/>
        <v>24.030109501187518</v>
      </c>
      <c r="T28" s="58">
        <f t="shared" si="67"/>
        <v>27.260351671682336</v>
      </c>
      <c r="U28" s="58">
        <f t="shared" si="67"/>
        <v>30.812795309816874</v>
      </c>
      <c r="V28" s="58">
        <f t="shared" si="67"/>
        <v>34.719928567343267</v>
      </c>
    </row>
    <row r="29" spans="1:122" x14ac:dyDescent="0.15">
      <c r="A29" s="7" t="s">
        <v>17</v>
      </c>
      <c r="B29" s="50">
        <f>Reports!E22</f>
        <v>2878</v>
      </c>
      <c r="C29" s="50">
        <f>Reports!I22</f>
        <v>2938</v>
      </c>
      <c r="D29" s="8">
        <f>Reports!M22</f>
        <v>2905</v>
      </c>
      <c r="E29" s="50">
        <f>Reports!Q22</f>
        <v>2886</v>
      </c>
      <c r="F29" s="50">
        <f>Reports!U22</f>
        <v>2871</v>
      </c>
      <c r="G29" s="50">
        <f>Reports!Y22</f>
        <v>2890</v>
      </c>
      <c r="H29" s="50">
        <f t="shared" ref="H29" si="68">G29</f>
        <v>2890</v>
      </c>
      <c r="I29" s="50">
        <f t="shared" ref="I29" si="69">H29</f>
        <v>2890</v>
      </c>
      <c r="J29" s="50">
        <f t="shared" ref="J29" si="70">I29</f>
        <v>2890</v>
      </c>
      <c r="K29" s="50">
        <f t="shared" ref="K29" si="71">J29</f>
        <v>2890</v>
      </c>
      <c r="L29" s="50">
        <f t="shared" ref="L29" si="72">K29</f>
        <v>2890</v>
      </c>
      <c r="M29" s="50">
        <f t="shared" ref="M29" si="73">L29</f>
        <v>2890</v>
      </c>
      <c r="N29" s="50">
        <f t="shared" ref="N29" si="74">M29</f>
        <v>2890</v>
      </c>
      <c r="O29" s="50">
        <f t="shared" ref="O29" si="75">N29</f>
        <v>2890</v>
      </c>
      <c r="P29" s="50">
        <f t="shared" ref="P29" si="76">O29</f>
        <v>2890</v>
      </c>
      <c r="Q29" s="50">
        <f t="shared" ref="Q29" si="77">P29</f>
        <v>2890</v>
      </c>
      <c r="R29" s="50">
        <f t="shared" ref="R29" si="78">Q29</f>
        <v>2890</v>
      </c>
      <c r="S29" s="50">
        <f t="shared" ref="S29" si="79">R29</f>
        <v>2890</v>
      </c>
      <c r="T29" s="50">
        <f t="shared" ref="T29" si="80">S29</f>
        <v>2890</v>
      </c>
      <c r="U29" s="50">
        <f t="shared" ref="U29" si="81">T29</f>
        <v>2890</v>
      </c>
      <c r="V29" s="50">
        <f t="shared" ref="V29" si="82">U29</f>
        <v>2890</v>
      </c>
    </row>
    <row r="30" spans="1:122" x14ac:dyDescent="0.15">
      <c r="B30" s="37"/>
      <c r="C30" s="37"/>
      <c r="D30" s="13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</row>
    <row r="31" spans="1:122" x14ac:dyDescent="0.15">
      <c r="A31" s="15" t="s">
        <v>18</v>
      </c>
      <c r="B31" s="59"/>
      <c r="C31" s="60">
        <f>C16/B16-1</f>
        <v>0.54169688179840469</v>
      </c>
      <c r="D31" s="61">
        <f>D16/C16-1</f>
        <v>0.47090961719371882</v>
      </c>
      <c r="E31" s="60">
        <f>E16/D16-1</f>
        <v>0.37352716896661997</v>
      </c>
      <c r="F31" s="60">
        <f>F16/E16-1</f>
        <v>0.26610910132884413</v>
      </c>
      <c r="G31" s="60">
        <f t="shared" ref="G31:Q31" si="83">G16/F16-1</f>
        <v>0.21597804715900248</v>
      </c>
      <c r="H31" s="60">
        <f t="shared" si="83"/>
        <v>0.15500000000000003</v>
      </c>
      <c r="I31" s="60">
        <f t="shared" si="83"/>
        <v>0.15500000000000025</v>
      </c>
      <c r="J31" s="60">
        <f t="shared" si="83"/>
        <v>0.15500000000000025</v>
      </c>
      <c r="K31" s="60">
        <f t="shared" si="83"/>
        <v>0.15500000000000025</v>
      </c>
      <c r="L31" s="60">
        <f t="shared" si="83"/>
        <v>0.15500000000000003</v>
      </c>
      <c r="M31" s="60">
        <f t="shared" si="83"/>
        <v>0.10000000000000009</v>
      </c>
      <c r="N31" s="60">
        <f t="shared" si="83"/>
        <v>0.10000000000000009</v>
      </c>
      <c r="O31" s="60">
        <f t="shared" si="83"/>
        <v>0.10000000000000009</v>
      </c>
      <c r="P31" s="60">
        <f t="shared" si="83"/>
        <v>0.10000000000000009</v>
      </c>
      <c r="Q31" s="60">
        <f t="shared" si="83"/>
        <v>0.10000000000000009</v>
      </c>
      <c r="R31" s="60">
        <f t="shared" ref="R31" si="84">R16/Q16-1</f>
        <v>0.10000000000000009</v>
      </c>
      <c r="S31" s="60">
        <f t="shared" ref="S31" si="85">S16/R16-1</f>
        <v>0.10000000000000009</v>
      </c>
      <c r="T31" s="60">
        <f t="shared" ref="T31" si="86">T16/S16-1</f>
        <v>0.10000000000000009</v>
      </c>
      <c r="U31" s="60">
        <f t="shared" ref="U31" si="87">U16/T16-1</f>
        <v>0.10000000000000009</v>
      </c>
      <c r="V31" s="60">
        <f t="shared" ref="V31" si="88">V16/U16-1</f>
        <v>0.10000000000000009</v>
      </c>
    </row>
    <row r="32" spans="1:122" x14ac:dyDescent="0.15">
      <c r="A32" s="7" t="s">
        <v>69</v>
      </c>
      <c r="B32" s="62"/>
      <c r="C32" s="63">
        <f>C19/B19-1</f>
        <v>0.22648951629644998</v>
      </c>
      <c r="D32" s="33">
        <f t="shared" ref="D32:Q32" si="89">D19/C19-1</f>
        <v>0.3124576844955993</v>
      </c>
      <c r="E32" s="63">
        <f t="shared" si="89"/>
        <v>0.3248645860201187</v>
      </c>
      <c r="F32" s="63">
        <f t="shared" si="89"/>
        <v>0.32385865861968277</v>
      </c>
      <c r="G32" s="63">
        <f t="shared" si="89"/>
        <v>0.35647058823529409</v>
      </c>
      <c r="H32" s="63">
        <f t="shared" si="89"/>
        <v>0.30000000000000004</v>
      </c>
      <c r="I32" s="63">
        <f t="shared" si="89"/>
        <v>0.30000000000000004</v>
      </c>
      <c r="J32" s="63">
        <f t="shared" si="89"/>
        <v>0.29999999999999982</v>
      </c>
      <c r="K32" s="63">
        <f t="shared" si="89"/>
        <v>0.30000000000000004</v>
      </c>
      <c r="L32" s="63">
        <f t="shared" si="89"/>
        <v>0.30000000000000004</v>
      </c>
      <c r="M32" s="63">
        <f t="shared" si="89"/>
        <v>0.10000000000000009</v>
      </c>
      <c r="N32" s="63">
        <f t="shared" si="89"/>
        <v>0.10000000000000009</v>
      </c>
      <c r="O32" s="63">
        <f t="shared" si="89"/>
        <v>0.10000000000000009</v>
      </c>
      <c r="P32" s="63">
        <f t="shared" si="89"/>
        <v>0.10000000000000009</v>
      </c>
      <c r="Q32" s="63">
        <f t="shared" si="89"/>
        <v>0.10000000000000009</v>
      </c>
      <c r="R32" s="63">
        <f t="shared" ref="R32:R34" si="90">R19/Q19-1</f>
        <v>0.10000000000000009</v>
      </c>
      <c r="S32" s="63">
        <f t="shared" ref="S32:S34" si="91">S19/R19-1</f>
        <v>0.10000000000000009</v>
      </c>
      <c r="T32" s="63">
        <f t="shared" ref="T32:T34" si="92">T19/S19-1</f>
        <v>0.10000000000000009</v>
      </c>
      <c r="U32" s="63">
        <f t="shared" ref="U32:U34" si="93">U19/T19-1</f>
        <v>0.10000000000000009</v>
      </c>
      <c r="V32" s="63">
        <f t="shared" ref="V32:V34" si="94">V19/U19-1</f>
        <v>0.10000000000000009</v>
      </c>
    </row>
    <row r="33" spans="1:22" x14ac:dyDescent="0.15">
      <c r="A33" s="7" t="s">
        <v>70</v>
      </c>
      <c r="B33" s="62"/>
      <c r="C33" s="63">
        <f>C20/B20-1</f>
        <v>0.38325991189427322</v>
      </c>
      <c r="D33" s="33">
        <f t="shared" ref="D33:Q33" si="95">D20/C20-1</f>
        <v>0.25398089171974525</v>
      </c>
      <c r="E33" s="63">
        <f t="shared" si="95"/>
        <v>0.66031746031746041</v>
      </c>
      <c r="F33" s="63">
        <f t="shared" si="95"/>
        <v>0.25889101338432119</v>
      </c>
      <c r="G33" s="63">
        <f t="shared" si="95"/>
        <v>0.17355204536249502</v>
      </c>
      <c r="H33" s="63">
        <f t="shared" si="95"/>
        <v>0.14999999999999991</v>
      </c>
      <c r="I33" s="63">
        <f t="shared" si="95"/>
        <v>0.14999999999999991</v>
      </c>
      <c r="J33" s="63">
        <f t="shared" si="95"/>
        <v>0.14999999999999991</v>
      </c>
      <c r="K33" s="63">
        <f t="shared" si="95"/>
        <v>0.14999999999999991</v>
      </c>
      <c r="L33" s="63">
        <f t="shared" si="95"/>
        <v>0.14999999999999991</v>
      </c>
      <c r="M33" s="63">
        <f t="shared" si="95"/>
        <v>0.10000000000000009</v>
      </c>
      <c r="N33" s="63">
        <f t="shared" si="95"/>
        <v>0.10000000000000009</v>
      </c>
      <c r="O33" s="63">
        <f t="shared" si="95"/>
        <v>0.10000000000000009</v>
      </c>
      <c r="P33" s="63">
        <f t="shared" si="95"/>
        <v>0.10000000000000009</v>
      </c>
      <c r="Q33" s="63">
        <f t="shared" si="95"/>
        <v>0.10000000000000009</v>
      </c>
      <c r="R33" s="63">
        <f t="shared" si="90"/>
        <v>0.10000000000000009</v>
      </c>
      <c r="S33" s="63">
        <f t="shared" si="91"/>
        <v>0.10000000000000009</v>
      </c>
      <c r="T33" s="63">
        <f t="shared" si="92"/>
        <v>0.10000000000000009</v>
      </c>
      <c r="U33" s="63">
        <f t="shared" si="93"/>
        <v>0.10000000000000009</v>
      </c>
      <c r="V33" s="63">
        <f t="shared" si="94"/>
        <v>0.10000000000000009</v>
      </c>
    </row>
    <row r="34" spans="1:22" x14ac:dyDescent="0.15">
      <c r="A34" s="7" t="s">
        <v>71</v>
      </c>
      <c r="B34" s="62"/>
      <c r="C34" s="63">
        <f>C21/B21-1</f>
        <v>0.33667953667953676</v>
      </c>
      <c r="D34" s="33">
        <f t="shared" ref="D34:Q34" si="96">D21/C21-1</f>
        <v>0.45407279029462733</v>
      </c>
      <c r="E34" s="63">
        <f t="shared" si="96"/>
        <v>0.37147397695669437</v>
      </c>
      <c r="F34" s="63">
        <f t="shared" si="96"/>
        <v>2.0315758980301273</v>
      </c>
      <c r="G34" s="63">
        <f>G21/F21-1</f>
        <v>-0.37267080745341619</v>
      </c>
      <c r="H34" s="63">
        <f t="shared" si="96"/>
        <v>0.30000000000000004</v>
      </c>
      <c r="I34" s="63">
        <f t="shared" si="96"/>
        <v>0.30000000000000004</v>
      </c>
      <c r="J34" s="63">
        <f t="shared" si="96"/>
        <v>0.30000000000000004</v>
      </c>
      <c r="K34" s="63">
        <f t="shared" si="96"/>
        <v>0.30000000000000004</v>
      </c>
      <c r="L34" s="63">
        <f t="shared" si="96"/>
        <v>0.30000000000000004</v>
      </c>
      <c r="M34" s="63">
        <f t="shared" si="96"/>
        <v>-2.0000000000000018E-2</v>
      </c>
      <c r="N34" s="63">
        <f t="shared" si="96"/>
        <v>-2.0000000000000018E-2</v>
      </c>
      <c r="O34" s="63">
        <f t="shared" si="96"/>
        <v>-2.0000000000000018E-2</v>
      </c>
      <c r="P34" s="63">
        <f t="shared" si="96"/>
        <v>-2.0000000000000018E-2</v>
      </c>
      <c r="Q34" s="63">
        <f t="shared" si="96"/>
        <v>-2.0000000000000018E-2</v>
      </c>
      <c r="R34" s="63">
        <f t="shared" si="90"/>
        <v>-2.0000000000000018E-2</v>
      </c>
      <c r="S34" s="63">
        <f t="shared" si="91"/>
        <v>-2.0000000000000018E-2</v>
      </c>
      <c r="T34" s="63">
        <f t="shared" si="92"/>
        <v>-2.0000000000000018E-2</v>
      </c>
      <c r="U34" s="63">
        <f t="shared" si="93"/>
        <v>-2.0000000000000018E-2</v>
      </c>
      <c r="V34" s="63">
        <f t="shared" si="94"/>
        <v>-2.0000000000000018E-2</v>
      </c>
    </row>
    <row r="35" spans="1:22" s="41" customFormat="1" x14ac:dyDescent="0.15">
      <c r="A35" s="41" t="s">
        <v>100</v>
      </c>
      <c r="B35" s="47"/>
      <c r="C35" s="91">
        <f>C22/B22-1</f>
        <v>0.29096876414667272</v>
      </c>
      <c r="D35" s="91">
        <f>D22/C22-1</f>
        <v>0.31463136670465497</v>
      </c>
      <c r="E35" s="91">
        <f>E22/D22-1</f>
        <v>0.43838356895172037</v>
      </c>
      <c r="F35" s="91">
        <f>F22/E22-1</f>
        <v>0.5735280482151135</v>
      </c>
      <c r="G35" s="91">
        <f>G22/F22-1</f>
        <v>7.8430217141510328E-2</v>
      </c>
      <c r="H35" s="91">
        <f>H22/G22-1</f>
        <v>0.2525038931235144</v>
      </c>
      <c r="I35" s="91">
        <f t="shared" ref="I35:Q35" si="97">I22/H22-1</f>
        <v>0.25639093562276671</v>
      </c>
      <c r="J35" s="91">
        <f t="shared" si="97"/>
        <v>0.26008374255823519</v>
      </c>
      <c r="K35" s="91">
        <f t="shared" si="97"/>
        <v>0.26357091635446772</v>
      </c>
      <c r="L35" s="91">
        <f t="shared" si="97"/>
        <v>0.26684519590461231</v>
      </c>
      <c r="M35" s="91">
        <f t="shared" si="97"/>
        <v>7.4823833688077546E-2</v>
      </c>
      <c r="N35" s="91">
        <f t="shared" si="97"/>
        <v>7.7044942424635332E-2</v>
      </c>
      <c r="O35" s="91">
        <f t="shared" si="97"/>
        <v>7.9113261166971816E-2</v>
      </c>
      <c r="P35" s="91">
        <f t="shared" si="97"/>
        <v>8.1031644413087633E-2</v>
      </c>
      <c r="Q35" s="91">
        <f t="shared" si="97"/>
        <v>8.2804399324252653E-2</v>
      </c>
      <c r="R35" s="91">
        <f t="shared" ref="R35:V35" si="98">R22/Q22-1</f>
        <v>8.4436996494704708E-2</v>
      </c>
      <c r="S35" s="91">
        <f t="shared" si="98"/>
        <v>8.5935795731344022E-2</v>
      </c>
      <c r="T35" s="91">
        <f t="shared" si="98"/>
        <v>8.7307794588352472E-2</v>
      </c>
      <c r="U35" s="91">
        <f t="shared" si="98"/>
        <v>8.8560404546604632E-2</v>
      </c>
      <c r="V35" s="91">
        <f t="shared" si="98"/>
        <v>8.9701257277498447E-2</v>
      </c>
    </row>
    <row r="36" spans="1:22" x14ac:dyDescent="0.15">
      <c r="B36" s="62"/>
      <c r="C36" s="62"/>
      <c r="D36" s="14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</row>
    <row r="37" spans="1:22" x14ac:dyDescent="0.15">
      <c r="A37" s="7" t="s">
        <v>19</v>
      </c>
      <c r="B37" s="64">
        <f>IFERROR(B18/B16,0)</f>
        <v>0.84012941373347461</v>
      </c>
      <c r="C37" s="64">
        <f>IFERROR(C18/C16,0)</f>
        <v>0.86294232578334173</v>
      </c>
      <c r="D37" s="30">
        <f>IFERROR(D18/D16,0)</f>
        <v>0.86581556096721024</v>
      </c>
      <c r="E37" s="64">
        <f>IFERROR(E18/E16,0)</f>
        <v>0.8324617643898421</v>
      </c>
      <c r="F37" s="64">
        <f>IFERROR(F18/F16,0)</f>
        <v>0.81936998741106415</v>
      </c>
      <c r="G37" s="64">
        <f t="shared" ref="G37:Q37" si="99">IFERROR(G18/G16,0)</f>
        <v>0.80583021194425708</v>
      </c>
      <c r="H37" s="64">
        <f t="shared" si="99"/>
        <v>0.80583021194425708</v>
      </c>
      <c r="I37" s="64">
        <f t="shared" si="99"/>
        <v>0.80583021194425708</v>
      </c>
      <c r="J37" s="64">
        <f t="shared" si="99"/>
        <v>0.80583021194425708</v>
      </c>
      <c r="K37" s="64">
        <f t="shared" si="99"/>
        <v>0.80583021194425708</v>
      </c>
      <c r="L37" s="64">
        <f t="shared" si="99"/>
        <v>0.80583021194425708</v>
      </c>
      <c r="M37" s="64">
        <f t="shared" si="99"/>
        <v>0.80583021194425708</v>
      </c>
      <c r="N37" s="64">
        <f t="shared" si="99"/>
        <v>0.80583021194425708</v>
      </c>
      <c r="O37" s="64">
        <f t="shared" si="99"/>
        <v>0.80583021194425708</v>
      </c>
      <c r="P37" s="64">
        <f t="shared" si="99"/>
        <v>0.80583021194425708</v>
      </c>
      <c r="Q37" s="64">
        <f t="shared" si="99"/>
        <v>0.80583021194425708</v>
      </c>
      <c r="R37" s="64">
        <f t="shared" ref="R37:V37" si="100">IFERROR(R18/R16,0)</f>
        <v>0.80583021194425708</v>
      </c>
      <c r="S37" s="64">
        <f t="shared" si="100"/>
        <v>0.80583021194425708</v>
      </c>
      <c r="T37" s="64">
        <f t="shared" si="100"/>
        <v>0.80583021194425708</v>
      </c>
      <c r="U37" s="64">
        <f t="shared" si="100"/>
        <v>0.80583021194425708</v>
      </c>
      <c r="V37" s="64">
        <f t="shared" si="100"/>
        <v>0.80583021194425708</v>
      </c>
    </row>
    <row r="38" spans="1:22" x14ac:dyDescent="0.15">
      <c r="A38" s="7" t="s">
        <v>20</v>
      </c>
      <c r="B38" s="63">
        <f>IFERROR(B23/B16,0)</f>
        <v>0.34724159089641321</v>
      </c>
      <c r="C38" s="63">
        <f>IFERROR(C23/C16,0)</f>
        <v>0.45021347420218538</v>
      </c>
      <c r="D38" s="33">
        <f>IFERROR(D23/D16,0)</f>
        <v>0.49693749538779425</v>
      </c>
      <c r="E38" s="63">
        <f>IFERROR(E23/E16,0)</f>
        <v>0.44616569361366809</v>
      </c>
      <c r="F38" s="63">
        <f t="shared" ref="F38:Q38" si="101">IFERROR(F23/F16,0)</f>
        <v>0.33927889443682191</v>
      </c>
      <c r="G38" s="63">
        <f t="shared" si="101"/>
        <v>0.38004559942302774</v>
      </c>
      <c r="H38" s="63">
        <f t="shared" si="101"/>
        <v>0.34410130734258887</v>
      </c>
      <c r="I38" s="63">
        <f t="shared" si="101"/>
        <v>0.30356873102948212</v>
      </c>
      <c r="J38" s="63">
        <f t="shared" si="101"/>
        <v>0.25787218024388375</v>
      </c>
      <c r="K38" s="63">
        <f t="shared" si="101"/>
        <v>0.20636369052483627</v>
      </c>
      <c r="L38" s="63">
        <f t="shared" si="101"/>
        <v>0.14831394980932849</v>
      </c>
      <c r="M38" s="63">
        <f t="shared" si="101"/>
        <v>0.16336280323505814</v>
      </c>
      <c r="N38" s="63">
        <f t="shared" si="101"/>
        <v>0.17676996355979915</v>
      </c>
      <c r="O38" s="63">
        <f t="shared" si="101"/>
        <v>0.18871452457638646</v>
      </c>
      <c r="P38" s="63">
        <f t="shared" si="101"/>
        <v>0.19935604257298242</v>
      </c>
      <c r="Q38" s="63">
        <f t="shared" si="101"/>
        <v>0.20883666769722262</v>
      </c>
      <c r="R38" s="63">
        <f t="shared" ref="R38:V38" si="102">IFERROR(R23/R16,0)</f>
        <v>0.21728304280790919</v>
      </c>
      <c r="S38" s="63">
        <f t="shared" si="102"/>
        <v>0.22480799517924807</v>
      </c>
      <c r="T38" s="63">
        <f t="shared" si="102"/>
        <v>0.23151204365553199</v>
      </c>
      <c r="U38" s="63">
        <f t="shared" si="102"/>
        <v>0.23748474138894851</v>
      </c>
      <c r="V38" s="63">
        <f t="shared" si="102"/>
        <v>0.24280587209690146</v>
      </c>
    </row>
    <row r="39" spans="1:22" x14ac:dyDescent="0.15">
      <c r="A39" s="7" t="s">
        <v>21</v>
      </c>
      <c r="B39" s="63">
        <f>IFERROR(B26/B25,0)</f>
        <v>0.40442363577655793</v>
      </c>
      <c r="C39" s="63">
        <f>IFERROR(C26/C25,0)</f>
        <v>0.24104364477778664</v>
      </c>
      <c r="D39" s="33">
        <f>IFERROR(D26/D25,0)</f>
        <v>0.22632805671554823</v>
      </c>
      <c r="E39" s="63">
        <f t="shared" ref="E39:Q39" si="103">IFERROR(E26/E25,0)</f>
        <v>0.12807065967430306</v>
      </c>
      <c r="F39" s="63">
        <f t="shared" si="103"/>
        <v>0.25499758181525067</v>
      </c>
      <c r="G39" s="63">
        <f t="shared" si="103"/>
        <v>0.12160940325497288</v>
      </c>
      <c r="H39" s="63">
        <f t="shared" si="103"/>
        <v>0.2</v>
      </c>
      <c r="I39" s="63">
        <f t="shared" si="103"/>
        <v>0.2</v>
      </c>
      <c r="J39" s="63">
        <f t="shared" si="103"/>
        <v>0.2</v>
      </c>
      <c r="K39" s="63">
        <f t="shared" si="103"/>
        <v>0.2</v>
      </c>
      <c r="L39" s="63">
        <f t="shared" si="103"/>
        <v>0.2</v>
      </c>
      <c r="M39" s="63">
        <f t="shared" si="103"/>
        <v>0.2</v>
      </c>
      <c r="N39" s="63">
        <f t="shared" si="103"/>
        <v>0.2</v>
      </c>
      <c r="O39" s="63">
        <f t="shared" si="103"/>
        <v>0.2</v>
      </c>
      <c r="P39" s="63">
        <f t="shared" si="103"/>
        <v>0.2</v>
      </c>
      <c r="Q39" s="63">
        <f t="shared" si="103"/>
        <v>0.2</v>
      </c>
      <c r="R39" s="63">
        <f t="shared" ref="R39:V39" si="104">IFERROR(R26/R25,0)</f>
        <v>0.2</v>
      </c>
      <c r="S39" s="63">
        <f t="shared" si="104"/>
        <v>0.20000000000000004</v>
      </c>
      <c r="T39" s="63">
        <f t="shared" si="104"/>
        <v>0.2</v>
      </c>
      <c r="U39" s="63">
        <f t="shared" si="104"/>
        <v>0.2</v>
      </c>
      <c r="V39" s="63">
        <f t="shared" si="104"/>
        <v>0.2</v>
      </c>
    </row>
    <row r="40" spans="1:22" x14ac:dyDescent="0.15">
      <c r="B40" s="62"/>
      <c r="C40" s="62"/>
      <c r="D40" s="14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</row>
    <row r="41" spans="1:22" x14ac:dyDescent="0.15">
      <c r="A41" s="15" t="s">
        <v>33</v>
      </c>
      <c r="B41" s="53">
        <f>B42-B43</f>
        <v>18434</v>
      </c>
      <c r="C41" s="53">
        <f>C42-C43</f>
        <v>29449</v>
      </c>
      <c r="D41" s="53">
        <f>D42-D43</f>
        <v>41711</v>
      </c>
      <c r="E41" s="53">
        <f>E42-E43</f>
        <v>41114</v>
      </c>
      <c r="F41" s="53">
        <f>F42-F43</f>
        <v>54855</v>
      </c>
      <c r="G41" s="53">
        <f>G42-G43</f>
        <v>68189</v>
      </c>
      <c r="H41" s="65">
        <f t="shared" ref="H41:Q41" si="105">G41+H27</f>
        <v>96612.88</v>
      </c>
      <c r="I41" s="65">
        <f t="shared" si="105"/>
        <v>126009.48836000003</v>
      </c>
      <c r="J41" s="65">
        <f t="shared" si="105"/>
        <v>155351.07938716008</v>
      </c>
      <c r="K41" s="65">
        <f t="shared" si="105"/>
        <v>183093.47363783172</v>
      </c>
      <c r="L41" s="65">
        <f t="shared" si="105"/>
        <v>206988.63355943802</v>
      </c>
      <c r="M41" s="65">
        <f t="shared" si="105"/>
        <v>235702.71947733016</v>
      </c>
      <c r="N41" s="65">
        <f t="shared" si="105"/>
        <v>269709.69381113868</v>
      </c>
      <c r="O41" s="65">
        <f t="shared" si="105"/>
        <v>309531.72435437853</v>
      </c>
      <c r="P41" s="65">
        <f t="shared" si="105"/>
        <v>355743.99903765222</v>
      </c>
      <c r="Q41" s="65">
        <f t="shared" si="105"/>
        <v>408980.02245019213</v>
      </c>
      <c r="R41" s="65">
        <f t="shared" ref="R41" si="106">Q41+R27</f>
        <v>469937.44229260046</v>
      </c>
      <c r="S41" s="65">
        <f t="shared" ref="S41" si="107">R41+S27</f>
        <v>539384.45875103236</v>
      </c>
      <c r="T41" s="65">
        <f t="shared" ref="T41" si="108">S41+T27</f>
        <v>618166.87508219434</v>
      </c>
      <c r="U41" s="65">
        <f t="shared" ref="U41" si="109">T41+U27</f>
        <v>707215.85352756514</v>
      </c>
      <c r="V41" s="65">
        <f t="shared" ref="V41" si="110">U41+V27</f>
        <v>807556.4470871872</v>
      </c>
    </row>
    <row r="42" spans="1:22" s="40" customFormat="1" x14ac:dyDescent="0.15">
      <c r="A42" s="40" t="s">
        <v>34</v>
      </c>
      <c r="B42" s="89">
        <f>Reports!E34</f>
        <v>18434</v>
      </c>
      <c r="C42" s="89">
        <f>Reports!I34</f>
        <v>29449</v>
      </c>
      <c r="D42" s="10">
        <f>Reports!M34</f>
        <v>41711</v>
      </c>
      <c r="E42" s="89">
        <f>Reports!Q34</f>
        <v>41114</v>
      </c>
      <c r="F42" s="89">
        <f>Reports!U34</f>
        <v>54855</v>
      </c>
      <c r="G42" s="89">
        <f>Reports!Y34</f>
        <v>68189</v>
      </c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s="40" customFormat="1" x14ac:dyDescent="0.15">
      <c r="A43" s="40" t="s">
        <v>35</v>
      </c>
      <c r="B43" s="89">
        <f>Reports!E35</f>
        <v>0</v>
      </c>
      <c r="C43" s="89">
        <f>Reports!I35</f>
        <v>0</v>
      </c>
      <c r="D43" s="10">
        <f>Reports!M35</f>
        <v>0</v>
      </c>
      <c r="E43" s="89">
        <f>Reports!Q35</f>
        <v>0</v>
      </c>
      <c r="F43" s="89">
        <f>Reports!U35</f>
        <v>0</v>
      </c>
      <c r="G43" s="89">
        <f>Reports!Y35</f>
        <v>0</v>
      </c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s="40" customFormat="1" x14ac:dyDescent="0.15">
      <c r="B44" s="89"/>
      <c r="C44" s="89"/>
      <c r="D44" s="10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s="40" customFormat="1" x14ac:dyDescent="0.15">
      <c r="A45" s="40" t="s">
        <v>82</v>
      </c>
      <c r="B45" s="89"/>
      <c r="C45" s="89"/>
      <c r="D45" s="10">
        <f>Reports!M37</f>
        <v>20105</v>
      </c>
      <c r="E45" s="89">
        <f>Reports!Q37</f>
        <v>19595</v>
      </c>
      <c r="F45" s="89">
        <f>Reports!U37</f>
        <v>19609</v>
      </c>
      <c r="G45" s="89">
        <f>Reports!Y37</f>
        <v>19673</v>
      </c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s="40" customFormat="1" x14ac:dyDescent="0.15">
      <c r="A46" s="40" t="s">
        <v>83</v>
      </c>
      <c r="B46" s="89"/>
      <c r="C46" s="89"/>
      <c r="D46" s="10">
        <f>Reports!M38</f>
        <v>84524</v>
      </c>
      <c r="E46" s="89">
        <f>Reports!Q38</f>
        <v>97334</v>
      </c>
      <c r="F46" s="89">
        <f>Reports!U38</f>
        <v>133376</v>
      </c>
      <c r="G46" s="89">
        <f>Reports!Y38</f>
        <v>159316</v>
      </c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s="40" customFormat="1" x14ac:dyDescent="0.15">
      <c r="A47" s="40" t="s">
        <v>84</v>
      </c>
      <c r="B47" s="89"/>
      <c r="C47" s="89"/>
      <c r="D47" s="10">
        <f>Reports!M39</f>
        <v>10177</v>
      </c>
      <c r="E47" s="89">
        <f>Reports!Q39</f>
        <v>13207</v>
      </c>
      <c r="F47" s="89">
        <f>Reports!U39</f>
        <v>32322</v>
      </c>
      <c r="G47" s="89">
        <f>Reports!Y39</f>
        <v>31026</v>
      </c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s="40" customFormat="1" x14ac:dyDescent="0.15">
      <c r="B48" s="89"/>
      <c r="C48" s="89"/>
      <c r="D48" s="10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s="40" customFormat="1" x14ac:dyDescent="0.15">
      <c r="A49" s="78" t="s">
        <v>85</v>
      </c>
      <c r="B49" s="89"/>
      <c r="C49" s="89"/>
      <c r="D49" s="21">
        <f>D46-D45-D42</f>
        <v>22708</v>
      </c>
      <c r="E49" s="21">
        <f>E46-E45-E42</f>
        <v>36625</v>
      </c>
      <c r="F49" s="21">
        <f>F46-F45-F42</f>
        <v>58912</v>
      </c>
      <c r="G49" s="21">
        <f>G46-G45-G42</f>
        <v>71454</v>
      </c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s="40" customFormat="1" x14ac:dyDescent="0.15">
      <c r="A50" s="78" t="s">
        <v>86</v>
      </c>
      <c r="B50" s="89"/>
      <c r="C50" s="89"/>
      <c r="D50" s="21">
        <f>D46-D47</f>
        <v>74347</v>
      </c>
      <c r="E50" s="21">
        <f>E46-E47</f>
        <v>84127</v>
      </c>
      <c r="F50" s="21">
        <f>F46-F47</f>
        <v>101054</v>
      </c>
      <c r="G50" s="21">
        <f>G46-G47</f>
        <v>128290</v>
      </c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x14ac:dyDescent="0.15">
      <c r="B51" s="66"/>
      <c r="C51" s="66"/>
      <c r="D51" s="67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</row>
    <row r="52" spans="1:22" x14ac:dyDescent="0.15">
      <c r="A52" s="7" t="s">
        <v>78</v>
      </c>
      <c r="B52" s="66"/>
      <c r="C52" s="66"/>
      <c r="D52" s="32">
        <f>D27/D50</f>
        <v>0.21430588994848482</v>
      </c>
      <c r="E52" s="32">
        <f>E27/E50</f>
        <v>0.2628525919146053</v>
      </c>
      <c r="F52" s="32">
        <f>F27/F50</f>
        <v>0.18292200209788825</v>
      </c>
      <c r="G52" s="32">
        <f>G27/G50</f>
        <v>0.22718060643853769</v>
      </c>
      <c r="H52" s="74"/>
      <c r="I52" s="74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</row>
    <row r="53" spans="1:22" x14ac:dyDescent="0.15">
      <c r="A53" s="7" t="s">
        <v>79</v>
      </c>
      <c r="B53" s="66"/>
      <c r="C53" s="66"/>
      <c r="D53" s="32">
        <f>D27/D46</f>
        <v>0.18850267379679145</v>
      </c>
      <c r="E53" s="32">
        <f>E27/E46</f>
        <v>0.22718680009041034</v>
      </c>
      <c r="F53" s="32">
        <f>F27/F46</f>
        <v>0.13859315019193857</v>
      </c>
      <c r="G53" s="32">
        <f>G27/G46</f>
        <v>0.1829383112807251</v>
      </c>
      <c r="H53" s="74"/>
      <c r="I53" s="74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</row>
    <row r="54" spans="1:22" x14ac:dyDescent="0.15">
      <c r="A54" s="7" t="s">
        <v>80</v>
      </c>
      <c r="B54" s="66"/>
      <c r="C54" s="66"/>
      <c r="D54" s="32">
        <f>D27/(D50-D45)</f>
        <v>0.29373916890970098</v>
      </c>
      <c r="E54" s="32">
        <f>E27/(E50-E45)</f>
        <v>0.34266720386784849</v>
      </c>
      <c r="F54" s="32">
        <f>F27/(F50-F45)</f>
        <v>0.22696298115292529</v>
      </c>
      <c r="G54" s="32">
        <f>G27/(G50-G45)</f>
        <v>0.26832816225821005</v>
      </c>
      <c r="H54" s="74"/>
      <c r="I54" s="74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</row>
    <row r="55" spans="1:22" x14ac:dyDescent="0.15">
      <c r="A55" s="7" t="s">
        <v>81</v>
      </c>
      <c r="B55" s="68"/>
      <c r="C55" s="68"/>
      <c r="D55" s="70">
        <f>D27/D49</f>
        <v>0.70164699665316188</v>
      </c>
      <c r="E55" s="70">
        <f>E27/E49</f>
        <v>0.6037679180887372</v>
      </c>
      <c r="F55" s="70">
        <f>F27/F49</f>
        <v>0.31377308527973929</v>
      </c>
      <c r="G55" s="70">
        <f>G27/G49</f>
        <v>0.40788479301368713</v>
      </c>
      <c r="H55" s="49"/>
      <c r="I55" s="49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</row>
    <row r="56" spans="1:22" x14ac:dyDescent="0.15">
      <c r="B56" s="68"/>
      <c r="C56" s="68"/>
      <c r="D56" s="69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</row>
    <row r="57" spans="1:22" x14ac:dyDescent="0.15">
      <c r="A57" s="7" t="s">
        <v>73</v>
      </c>
      <c r="C57" s="49">
        <f>C13/B13-1</f>
        <v>0.18269230769230771</v>
      </c>
      <c r="D57" s="70">
        <f>D13/C13-1</f>
        <v>0.13821138211382111</v>
      </c>
      <c r="E57" s="49">
        <f t="shared" ref="E57:K57" si="111">E13/D13-1</f>
        <v>8.5714285714285632E-2</v>
      </c>
      <c r="F57" s="49">
        <f t="shared" si="111"/>
        <v>9.210526315789469E-2</v>
      </c>
      <c r="G57" s="49">
        <f t="shared" si="111"/>
        <v>0.10843373493975905</v>
      </c>
      <c r="H57" s="49">
        <f t="shared" si="111"/>
        <v>5.0000000000000044E-2</v>
      </c>
      <c r="I57" s="49">
        <f t="shared" si="111"/>
        <v>5.0000000000000044E-2</v>
      </c>
      <c r="J57" s="49">
        <f t="shared" si="111"/>
        <v>5.0000000000000044E-2</v>
      </c>
      <c r="K57" s="49">
        <f t="shared" si="111"/>
        <v>5.0000000000000044E-2</v>
      </c>
    </row>
    <row r="58" spans="1:22" x14ac:dyDescent="0.15">
      <c r="A58" s="7" t="s">
        <v>75</v>
      </c>
      <c r="C58" s="49">
        <f>C14/B14-1</f>
        <v>0.30354858298401677</v>
      </c>
      <c r="D58" s="70">
        <f>D14/C14-1</f>
        <v>0.29229916367733866</v>
      </c>
      <c r="E58" s="49">
        <f t="shared" ref="E58:K58" si="112">E14/D14-1</f>
        <v>0.26509081352188679</v>
      </c>
      <c r="F58" s="49">
        <f t="shared" si="112"/>
        <v>0.15932881567460444</v>
      </c>
      <c r="G58" s="49">
        <f t="shared" si="112"/>
        <v>9.7023672980404374E-2</v>
      </c>
      <c r="H58" s="49">
        <f t="shared" si="112"/>
        <v>0.10000000000000009</v>
      </c>
      <c r="I58" s="49">
        <f t="shared" si="112"/>
        <v>0.10000000000000009</v>
      </c>
      <c r="J58" s="49">
        <f t="shared" si="112"/>
        <v>0.10000000000000009</v>
      </c>
      <c r="K58" s="49">
        <f t="shared" si="112"/>
        <v>0.10000000000000009</v>
      </c>
    </row>
  </sheetData>
  <hyperlinks>
    <hyperlink ref="A1" r:id="rId1" xr:uid="{00000000-0004-0000-0000-000000000000}"/>
    <hyperlink ref="A4" r:id="rId2" xr:uid="{00000000-0004-0000-0000-000001000000}"/>
    <hyperlink ref="A7" r:id="rId3" xr:uid="{00000000-0004-0000-0000-000002000000}"/>
    <hyperlink ref="A8" r:id="rId4" xr:uid="{00000000-0004-0000-0000-000003000000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55"/>
  <sheetViews>
    <sheetView tabSelected="1" zoomScale="130" zoomScaleNormal="130" workbookViewId="0">
      <pane xSplit="1" ySplit="2" topLeftCell="O3" activePane="bottomRight" state="frozen"/>
      <selection pane="topRight" activeCell="B1" sqref="B1"/>
      <selection pane="bottomLeft" activeCell="A3" sqref="A3"/>
      <selection pane="bottomRight" activeCell="AA17" sqref="AA17"/>
    </sheetView>
  </sheetViews>
  <sheetFormatPr baseColWidth="10" defaultRowHeight="13" x14ac:dyDescent="0.15"/>
  <cols>
    <col min="1" max="1" width="17.1640625" style="36" bestFit="1" customWidth="1"/>
    <col min="2" max="5" width="10.83203125" style="2" customWidth="1"/>
    <col min="6" max="6" width="10.83203125" style="3" customWidth="1"/>
    <col min="7" max="8" width="10.83203125" style="2" customWidth="1"/>
    <col min="9" max="9" width="10.83203125" style="2"/>
    <col min="10" max="10" width="10.83203125" style="3"/>
    <col min="11" max="13" width="10.83203125" style="2"/>
    <col min="14" max="14" width="10.83203125" style="3"/>
    <col min="15" max="17" width="10.83203125" style="2"/>
    <col min="18" max="18" width="10.83203125" style="6"/>
    <col min="19" max="21" width="10.83203125" style="7"/>
    <col min="22" max="22" width="10.83203125" style="6"/>
    <col min="23" max="16384" width="10.83203125" style="7"/>
  </cols>
  <sheetData>
    <row r="1" spans="1:29" s="2" customFormat="1" x14ac:dyDescent="0.15">
      <c r="A1" s="76" t="s">
        <v>60</v>
      </c>
      <c r="B1" s="2" t="s">
        <v>50</v>
      </c>
      <c r="C1" s="2" t="s">
        <v>51</v>
      </c>
      <c r="D1" s="2" t="s">
        <v>52</v>
      </c>
      <c r="E1" s="2" t="s">
        <v>53</v>
      </c>
      <c r="F1" s="3" t="s">
        <v>22</v>
      </c>
      <c r="G1" s="2" t="s">
        <v>23</v>
      </c>
      <c r="H1" s="2" t="s">
        <v>24</v>
      </c>
      <c r="I1" s="2" t="s">
        <v>25</v>
      </c>
      <c r="J1" s="4" t="s">
        <v>0</v>
      </c>
      <c r="K1" s="5" t="s">
        <v>1</v>
      </c>
      <c r="L1" s="5" t="s">
        <v>2</v>
      </c>
      <c r="M1" s="5" t="s">
        <v>3</v>
      </c>
      <c r="N1" s="4" t="s">
        <v>42</v>
      </c>
      <c r="O1" s="5" t="s">
        <v>43</v>
      </c>
      <c r="P1" s="5" t="s">
        <v>44</v>
      </c>
      <c r="Q1" s="5" t="s">
        <v>45</v>
      </c>
      <c r="R1" s="3" t="s">
        <v>92</v>
      </c>
      <c r="S1" s="2" t="s">
        <v>93</v>
      </c>
      <c r="T1" s="2" t="s">
        <v>94</v>
      </c>
      <c r="U1" s="2" t="s">
        <v>95</v>
      </c>
      <c r="V1" s="3" t="s">
        <v>96</v>
      </c>
      <c r="W1" s="2" t="s">
        <v>97</v>
      </c>
      <c r="X1" s="2" t="s">
        <v>98</v>
      </c>
      <c r="Y1" s="2" t="s">
        <v>99</v>
      </c>
      <c r="Z1" s="2" t="s">
        <v>102</v>
      </c>
      <c r="AA1" s="2" t="s">
        <v>103</v>
      </c>
      <c r="AB1" s="2" t="s">
        <v>104</v>
      </c>
      <c r="AC1" s="2" t="s">
        <v>105</v>
      </c>
    </row>
    <row r="2" spans="1:29" s="2" customFormat="1" x14ac:dyDescent="0.15">
      <c r="A2" s="76"/>
      <c r="B2" s="2" t="s">
        <v>54</v>
      </c>
      <c r="C2" s="2" t="s">
        <v>55</v>
      </c>
      <c r="D2" s="2" t="s">
        <v>56</v>
      </c>
      <c r="E2" s="2" t="s">
        <v>57</v>
      </c>
      <c r="F2" s="3" t="s">
        <v>29</v>
      </c>
      <c r="G2" s="2" t="s">
        <v>28</v>
      </c>
      <c r="H2" s="2" t="s">
        <v>27</v>
      </c>
      <c r="I2" s="2" t="s">
        <v>32</v>
      </c>
      <c r="J2" s="3" t="s">
        <v>31</v>
      </c>
      <c r="K2" s="2" t="s">
        <v>30</v>
      </c>
      <c r="L2" s="2" t="s">
        <v>26</v>
      </c>
      <c r="M2" s="2" t="s">
        <v>36</v>
      </c>
      <c r="N2" s="3" t="s">
        <v>46</v>
      </c>
      <c r="O2" s="2" t="s">
        <v>47</v>
      </c>
      <c r="P2" s="2" t="s">
        <v>48</v>
      </c>
      <c r="Q2" s="2" t="s">
        <v>49</v>
      </c>
      <c r="R2" s="87">
        <v>43555</v>
      </c>
      <c r="S2" s="86">
        <v>43646</v>
      </c>
      <c r="T2" s="86">
        <v>43738</v>
      </c>
      <c r="U2" s="86">
        <v>43830</v>
      </c>
      <c r="V2" s="87">
        <v>43921</v>
      </c>
      <c r="W2" s="86">
        <v>44012</v>
      </c>
      <c r="X2" s="86">
        <v>44104</v>
      </c>
      <c r="Y2" s="86">
        <v>44196</v>
      </c>
    </row>
    <row r="3" spans="1:29" s="40" customFormat="1" x14ac:dyDescent="0.15">
      <c r="A3" s="78" t="s">
        <v>58</v>
      </c>
      <c r="B3" s="5">
        <v>3317</v>
      </c>
      <c r="C3" s="5">
        <v>3827</v>
      </c>
      <c r="D3" s="5">
        <v>4299</v>
      </c>
      <c r="E3" s="5">
        <v>5637</v>
      </c>
      <c r="F3" s="4">
        <v>5201</v>
      </c>
      <c r="G3" s="5">
        <v>6239</v>
      </c>
      <c r="H3" s="5">
        <v>6816</v>
      </c>
      <c r="I3" s="5">
        <v>8629</v>
      </c>
      <c r="J3" s="4">
        <v>7857</v>
      </c>
      <c r="K3" s="8">
        <v>9164</v>
      </c>
      <c r="L3" s="8">
        <v>10142</v>
      </c>
      <c r="M3" s="8">
        <v>12779</v>
      </c>
      <c r="N3" s="4">
        <v>11795</v>
      </c>
      <c r="O3" s="8">
        <v>13038</v>
      </c>
      <c r="P3" s="8">
        <v>13539</v>
      </c>
      <c r="Q3" s="9">
        <v>16640</v>
      </c>
      <c r="R3" s="88">
        <v>14912</v>
      </c>
      <c r="S3" s="40">
        <v>16624</v>
      </c>
      <c r="T3" s="40">
        <v>17383</v>
      </c>
      <c r="U3" s="40">
        <v>20736</v>
      </c>
      <c r="V3" s="88">
        <v>17440</v>
      </c>
      <c r="W3" s="40">
        <v>18321</v>
      </c>
      <c r="X3" s="40">
        <v>21221</v>
      </c>
      <c r="Y3" s="40">
        <v>27187</v>
      </c>
    </row>
    <row r="4" spans="1:29" s="40" customFormat="1" x14ac:dyDescent="0.15">
      <c r="A4" s="78" t="s">
        <v>72</v>
      </c>
      <c r="B4" s="5">
        <v>226</v>
      </c>
      <c r="C4" s="5">
        <v>215</v>
      </c>
      <c r="D4" s="5">
        <v>202</v>
      </c>
      <c r="E4" s="5">
        <v>204</v>
      </c>
      <c r="F4" s="4">
        <v>181</v>
      </c>
      <c r="G4" s="5">
        <v>197</v>
      </c>
      <c r="H4" s="5">
        <v>195</v>
      </c>
      <c r="I4" s="5">
        <v>180</v>
      </c>
      <c r="J4" s="4">
        <v>175</v>
      </c>
      <c r="K4" s="8">
        <v>157</v>
      </c>
      <c r="L4" s="8">
        <v>186</v>
      </c>
      <c r="M4" s="8">
        <v>193</v>
      </c>
      <c r="N4" s="4">
        <v>171</v>
      </c>
      <c r="O4" s="8">
        <v>193</v>
      </c>
      <c r="P4" s="8">
        <v>188</v>
      </c>
      <c r="Q4" s="9">
        <v>274</v>
      </c>
      <c r="R4" s="88">
        <v>165</v>
      </c>
      <c r="S4" s="40">
        <v>262</v>
      </c>
      <c r="T4" s="40">
        <v>269</v>
      </c>
      <c r="U4" s="40">
        <v>346</v>
      </c>
      <c r="V4" s="88">
        <v>297</v>
      </c>
      <c r="W4" s="40">
        <v>366</v>
      </c>
      <c r="X4" s="40">
        <v>249</v>
      </c>
      <c r="Y4" s="40">
        <v>885</v>
      </c>
    </row>
    <row r="5" spans="1:29" s="40" customFormat="1" x14ac:dyDescent="0.15">
      <c r="A5" s="78"/>
      <c r="B5" s="5"/>
      <c r="C5" s="5"/>
      <c r="D5" s="5"/>
      <c r="E5" s="5"/>
      <c r="F5" s="4"/>
      <c r="G5" s="5"/>
      <c r="H5" s="5"/>
      <c r="I5" s="5"/>
      <c r="J5" s="4"/>
      <c r="K5" s="8"/>
      <c r="L5" s="8"/>
      <c r="M5" s="8"/>
      <c r="N5" s="4"/>
      <c r="O5" s="8"/>
      <c r="P5" s="8"/>
      <c r="Q5" s="9"/>
      <c r="R5" s="88"/>
      <c r="V5" s="88"/>
    </row>
    <row r="6" spans="1:29" s="40" customFormat="1" x14ac:dyDescent="0.15">
      <c r="A6" s="78" t="s">
        <v>59</v>
      </c>
      <c r="B6" s="5">
        <v>936</v>
      </c>
      <c r="C6" s="5">
        <v>968</v>
      </c>
      <c r="D6" s="5">
        <v>1010</v>
      </c>
      <c r="E6" s="5">
        <v>1040</v>
      </c>
      <c r="F6" s="4">
        <v>1090</v>
      </c>
      <c r="G6" s="5">
        <v>1130</v>
      </c>
      <c r="H6" s="5">
        <v>1180</v>
      </c>
      <c r="I6" s="5">
        <v>1230</v>
      </c>
      <c r="J6" s="4">
        <v>1280</v>
      </c>
      <c r="K6" s="5">
        <v>1320</v>
      </c>
      <c r="L6" s="5">
        <v>1370</v>
      </c>
      <c r="M6" s="5">
        <v>1400</v>
      </c>
      <c r="N6" s="4">
        <v>1450</v>
      </c>
      <c r="O6" s="5">
        <v>1470</v>
      </c>
      <c r="P6" s="5">
        <v>1490</v>
      </c>
      <c r="Q6" s="10">
        <v>1520</v>
      </c>
      <c r="R6" s="88">
        <v>1560</v>
      </c>
      <c r="S6" s="40">
        <v>1590</v>
      </c>
      <c r="T6" s="40">
        <v>1620</v>
      </c>
      <c r="U6" s="40">
        <v>1660</v>
      </c>
      <c r="V6" s="88">
        <v>1730</v>
      </c>
      <c r="W6" s="40">
        <v>1790</v>
      </c>
      <c r="X6" s="40">
        <v>1820</v>
      </c>
      <c r="Y6" s="40">
        <v>1840</v>
      </c>
    </row>
    <row r="7" spans="1:29" s="83" customFormat="1" x14ac:dyDescent="0.15">
      <c r="A7" s="79" t="s">
        <v>74</v>
      </c>
      <c r="B7" s="80">
        <f>SUM(B3:B4)/B6</f>
        <v>3.7852564102564101</v>
      </c>
      <c r="C7" s="80">
        <f t="shared" ref="C7:M7" si="0">C9/C6</f>
        <v>4.1756198347107434</v>
      </c>
      <c r="D7" s="80">
        <f t="shared" si="0"/>
        <v>4.4564356435643564</v>
      </c>
      <c r="E7" s="80">
        <f t="shared" si="0"/>
        <v>5.6163461538461537</v>
      </c>
      <c r="F7" s="81">
        <f t="shared" si="0"/>
        <v>4.9376146788990827</v>
      </c>
      <c r="G7" s="80">
        <f t="shared" si="0"/>
        <v>5.6955752212389381</v>
      </c>
      <c r="H7" s="80">
        <f t="shared" si="0"/>
        <v>5.9415254237288133</v>
      </c>
      <c r="I7" s="80">
        <f t="shared" si="0"/>
        <v>7.1617886178861792</v>
      </c>
      <c r="J7" s="81">
        <f t="shared" si="0"/>
        <v>6.2750000000000004</v>
      </c>
      <c r="K7" s="80">
        <f t="shared" si="0"/>
        <v>7.0613636363636365</v>
      </c>
      <c r="L7" s="80">
        <f t="shared" si="0"/>
        <v>7.5386861313868616</v>
      </c>
      <c r="M7" s="80">
        <f t="shared" si="0"/>
        <v>9.2657142857142851</v>
      </c>
      <c r="N7" s="81">
        <f t="shared" ref="N7:Y7" si="1">SUM(N3:N4)/N6</f>
        <v>8.2524137931034485</v>
      </c>
      <c r="O7" s="82">
        <f t="shared" si="1"/>
        <v>9.000680272108843</v>
      </c>
      <c r="P7" s="82">
        <f t="shared" si="1"/>
        <v>9.2127516778523493</v>
      </c>
      <c r="Q7" s="82">
        <f t="shared" si="1"/>
        <v>11.127631578947369</v>
      </c>
      <c r="R7" s="81">
        <f t="shared" si="1"/>
        <v>9.6647435897435905</v>
      </c>
      <c r="S7" s="82">
        <f t="shared" si="1"/>
        <v>10.620125786163522</v>
      </c>
      <c r="T7" s="82">
        <f t="shared" si="1"/>
        <v>10.896296296296295</v>
      </c>
      <c r="U7" s="82">
        <f t="shared" si="1"/>
        <v>12.7</v>
      </c>
      <c r="V7" s="81">
        <f t="shared" si="1"/>
        <v>10.252601156069364</v>
      </c>
      <c r="W7" s="82">
        <f t="shared" si="1"/>
        <v>10.439664804469274</v>
      </c>
      <c r="X7" s="82">
        <f t="shared" si="1"/>
        <v>11.796703296703297</v>
      </c>
      <c r="Y7" s="82">
        <f t="shared" si="1"/>
        <v>15.256521739130434</v>
      </c>
    </row>
    <row r="8" spans="1:29" x14ac:dyDescent="0.15">
      <c r="I8" s="5"/>
      <c r="K8" s="13"/>
      <c r="L8" s="13"/>
      <c r="M8" s="13"/>
      <c r="O8" s="13"/>
      <c r="P8" s="13"/>
      <c r="Q8" s="14"/>
    </row>
    <row r="9" spans="1:29" s="85" customFormat="1" x14ac:dyDescent="0.15">
      <c r="A9" s="84" t="s">
        <v>4</v>
      </c>
      <c r="B9" s="16">
        <f>SUM(B3:B4)</f>
        <v>3543</v>
      </c>
      <c r="C9" s="16">
        <f>SUM(C3:C4)</f>
        <v>4042</v>
      </c>
      <c r="D9" s="16">
        <f t="shared" ref="D9:L9" si="2">SUM(D3:D4)</f>
        <v>4501</v>
      </c>
      <c r="E9" s="16">
        <f t="shared" si="2"/>
        <v>5841</v>
      </c>
      <c r="F9" s="17">
        <f t="shared" si="2"/>
        <v>5382</v>
      </c>
      <c r="G9" s="18">
        <f t="shared" si="2"/>
        <v>6436</v>
      </c>
      <c r="H9" s="18">
        <f t="shared" si="2"/>
        <v>7011</v>
      </c>
      <c r="I9" s="18">
        <f t="shared" si="2"/>
        <v>8809</v>
      </c>
      <c r="J9" s="17">
        <f t="shared" si="2"/>
        <v>8032</v>
      </c>
      <c r="K9" s="16">
        <f t="shared" si="2"/>
        <v>9321</v>
      </c>
      <c r="L9" s="16">
        <f t="shared" si="2"/>
        <v>10328</v>
      </c>
      <c r="M9" s="16">
        <f>SUM(M3:M4)</f>
        <v>12972</v>
      </c>
      <c r="N9" s="17">
        <f t="shared" ref="N9:P9" si="3">SUM(N3:N4)</f>
        <v>11966</v>
      </c>
      <c r="O9" s="16">
        <f t="shared" si="3"/>
        <v>13231</v>
      </c>
      <c r="P9" s="16">
        <f t="shared" si="3"/>
        <v>13727</v>
      </c>
      <c r="Q9" s="16">
        <f t="shared" ref="Q9:Y9" si="4">SUM(Q3:Q4)</f>
        <v>16914</v>
      </c>
      <c r="R9" s="17">
        <f t="shared" si="4"/>
        <v>15077</v>
      </c>
      <c r="S9" s="16">
        <f t="shared" si="4"/>
        <v>16886</v>
      </c>
      <c r="T9" s="16">
        <f t="shared" si="4"/>
        <v>17652</v>
      </c>
      <c r="U9" s="16">
        <f t="shared" si="4"/>
        <v>21082</v>
      </c>
      <c r="V9" s="17">
        <f t="shared" si="4"/>
        <v>17737</v>
      </c>
      <c r="W9" s="16">
        <f t="shared" si="4"/>
        <v>18687</v>
      </c>
      <c r="X9" s="16">
        <f t="shared" si="4"/>
        <v>21470</v>
      </c>
      <c r="Y9" s="16">
        <f t="shared" si="4"/>
        <v>28072</v>
      </c>
    </row>
    <row r="10" spans="1:29" s="40" customFormat="1" x14ac:dyDescent="0.15">
      <c r="A10" s="78" t="s">
        <v>5</v>
      </c>
      <c r="B10" s="8">
        <v>654</v>
      </c>
      <c r="C10" s="8">
        <v>668</v>
      </c>
      <c r="D10" s="8">
        <v>720</v>
      </c>
      <c r="E10" s="8">
        <v>824</v>
      </c>
      <c r="F10" s="4">
        <v>838</v>
      </c>
      <c r="G10" s="5">
        <v>916</v>
      </c>
      <c r="H10" s="5">
        <v>987</v>
      </c>
      <c r="I10" s="5">
        <v>1047</v>
      </c>
      <c r="J10" s="4">
        <v>1159</v>
      </c>
      <c r="K10" s="8">
        <v>1237</v>
      </c>
      <c r="L10" s="8">
        <v>1448</v>
      </c>
      <c r="M10" s="8">
        <v>1611</v>
      </c>
      <c r="N10" s="4">
        <v>1927</v>
      </c>
      <c r="O10" s="8">
        <v>2214</v>
      </c>
      <c r="P10" s="8">
        <v>2418</v>
      </c>
      <c r="Q10" s="9">
        <v>2796</v>
      </c>
      <c r="R10" s="88">
        <v>2816</v>
      </c>
      <c r="S10" s="40">
        <v>3307</v>
      </c>
      <c r="T10" s="40">
        <v>3155</v>
      </c>
      <c r="U10" s="40">
        <v>3492</v>
      </c>
      <c r="V10" s="88">
        <v>3459</v>
      </c>
      <c r="W10" s="40">
        <v>3829</v>
      </c>
      <c r="X10" s="40">
        <v>4194</v>
      </c>
      <c r="Y10" s="40">
        <v>5210</v>
      </c>
    </row>
    <row r="11" spans="1:29" s="40" customFormat="1" x14ac:dyDescent="0.15">
      <c r="A11" s="78" t="s">
        <v>6</v>
      </c>
      <c r="B11" s="19">
        <f>B9-B10</f>
        <v>2889</v>
      </c>
      <c r="C11" s="19">
        <f>C9-C10</f>
        <v>3374</v>
      </c>
      <c r="D11" s="19">
        <f>D9-D10</f>
        <v>3781</v>
      </c>
      <c r="E11" s="19">
        <f>E9-E10</f>
        <v>5017</v>
      </c>
      <c r="F11" s="20">
        <f>F9-F10</f>
        <v>4544</v>
      </c>
      <c r="G11" s="21">
        <f t="shared" ref="G11:L11" si="5">G9-G10</f>
        <v>5520</v>
      </c>
      <c r="H11" s="21">
        <f t="shared" si="5"/>
        <v>6024</v>
      </c>
      <c r="I11" s="21">
        <f t="shared" si="5"/>
        <v>7762</v>
      </c>
      <c r="J11" s="20">
        <f t="shared" si="5"/>
        <v>6873</v>
      </c>
      <c r="K11" s="19">
        <f t="shared" si="5"/>
        <v>8084</v>
      </c>
      <c r="L11" s="19">
        <f t="shared" si="5"/>
        <v>8880</v>
      </c>
      <c r="M11" s="19">
        <f t="shared" ref="M11:Q11" si="6">M9-M10</f>
        <v>11361</v>
      </c>
      <c r="N11" s="20">
        <f t="shared" si="6"/>
        <v>10039</v>
      </c>
      <c r="O11" s="19">
        <f t="shared" si="6"/>
        <v>11017</v>
      </c>
      <c r="P11" s="19">
        <f t="shared" si="6"/>
        <v>11309</v>
      </c>
      <c r="Q11" s="19">
        <f t="shared" si="6"/>
        <v>14118</v>
      </c>
      <c r="R11" s="20">
        <f t="shared" ref="R11:T11" si="7">R9-R10</f>
        <v>12261</v>
      </c>
      <c r="S11" s="19">
        <f t="shared" si="7"/>
        <v>13579</v>
      </c>
      <c r="T11" s="19">
        <f t="shared" si="7"/>
        <v>14497</v>
      </c>
      <c r="U11" s="19">
        <f t="shared" ref="U11:Y11" si="8">U9-U10</f>
        <v>17590</v>
      </c>
      <c r="V11" s="20">
        <f t="shared" si="8"/>
        <v>14278</v>
      </c>
      <c r="W11" s="19">
        <f t="shared" si="8"/>
        <v>14858</v>
      </c>
      <c r="X11" s="19">
        <f t="shared" si="8"/>
        <v>17276</v>
      </c>
      <c r="Y11" s="19">
        <f t="shared" si="8"/>
        <v>22862</v>
      </c>
    </row>
    <row r="12" spans="1:29" s="40" customFormat="1" x14ac:dyDescent="0.15">
      <c r="A12" s="78" t="s">
        <v>7</v>
      </c>
      <c r="B12" s="8">
        <v>1062</v>
      </c>
      <c r="C12" s="8">
        <v>1170</v>
      </c>
      <c r="D12" s="8">
        <v>1271</v>
      </c>
      <c r="E12" s="8">
        <v>1314</v>
      </c>
      <c r="F12" s="4">
        <v>1343</v>
      </c>
      <c r="G12" s="5">
        <v>1463</v>
      </c>
      <c r="H12" s="5">
        <v>1539</v>
      </c>
      <c r="I12" s="5">
        <v>1563</v>
      </c>
      <c r="J12" s="4">
        <v>1834</v>
      </c>
      <c r="K12" s="8">
        <v>1919</v>
      </c>
      <c r="L12" s="8">
        <v>2052</v>
      </c>
      <c r="M12" s="8">
        <v>1949</v>
      </c>
      <c r="N12" s="4">
        <v>2238</v>
      </c>
      <c r="O12" s="8">
        <v>2523</v>
      </c>
      <c r="P12" s="8">
        <v>2657</v>
      </c>
      <c r="Q12" s="9">
        <v>2855</v>
      </c>
      <c r="R12" s="88">
        <v>2860</v>
      </c>
      <c r="S12" s="40">
        <v>3315</v>
      </c>
      <c r="T12" s="40">
        <v>3548</v>
      </c>
      <c r="U12" s="40">
        <v>3877</v>
      </c>
      <c r="V12" s="88">
        <v>4015</v>
      </c>
      <c r="W12" s="40">
        <v>4462</v>
      </c>
      <c r="X12" s="40">
        <v>4763</v>
      </c>
      <c r="Y12" s="40">
        <v>5208</v>
      </c>
    </row>
    <row r="13" spans="1:29" s="40" customFormat="1" x14ac:dyDescent="0.15">
      <c r="A13" s="78" t="s">
        <v>8</v>
      </c>
      <c r="B13" s="8">
        <v>620</v>
      </c>
      <c r="C13" s="8">
        <v>626</v>
      </c>
      <c r="D13" s="8">
        <v>706</v>
      </c>
      <c r="E13" s="8">
        <v>772</v>
      </c>
      <c r="F13" s="4">
        <v>826</v>
      </c>
      <c r="G13" s="5">
        <v>899</v>
      </c>
      <c r="H13" s="5">
        <v>925</v>
      </c>
      <c r="I13" s="5">
        <v>1118</v>
      </c>
      <c r="J13" s="4">
        <v>1057</v>
      </c>
      <c r="K13" s="8">
        <v>1124</v>
      </c>
      <c r="L13" s="8">
        <v>1170</v>
      </c>
      <c r="M13" s="8">
        <v>1374</v>
      </c>
      <c r="N13" s="4">
        <v>1595</v>
      </c>
      <c r="O13" s="8">
        <v>1855</v>
      </c>
      <c r="P13" s="8">
        <v>1928</v>
      </c>
      <c r="Q13" s="9">
        <v>2467</v>
      </c>
      <c r="R13" s="88">
        <v>2020</v>
      </c>
      <c r="S13" s="40">
        <v>2414</v>
      </c>
      <c r="T13" s="40">
        <v>2416</v>
      </c>
      <c r="U13" s="40">
        <v>3026</v>
      </c>
      <c r="V13" s="88">
        <v>2787</v>
      </c>
      <c r="W13" s="40">
        <v>2840</v>
      </c>
      <c r="X13" s="40">
        <v>2683</v>
      </c>
      <c r="Y13" s="40">
        <v>3280</v>
      </c>
    </row>
    <row r="14" spans="1:29" s="40" customFormat="1" x14ac:dyDescent="0.15">
      <c r="A14" s="78" t="s">
        <v>9</v>
      </c>
      <c r="B14" s="8">
        <v>274</v>
      </c>
      <c r="C14" s="8">
        <v>305</v>
      </c>
      <c r="D14" s="8">
        <v>345</v>
      </c>
      <c r="E14" s="8">
        <v>371</v>
      </c>
      <c r="F14" s="4">
        <v>366</v>
      </c>
      <c r="G14" s="5">
        <v>412</v>
      </c>
      <c r="H14" s="5">
        <v>438</v>
      </c>
      <c r="I14" s="5">
        <v>515</v>
      </c>
      <c r="J14" s="4">
        <v>655</v>
      </c>
      <c r="K14" s="8">
        <v>640</v>
      </c>
      <c r="L14" s="8">
        <v>536</v>
      </c>
      <c r="M14" s="8">
        <v>686</v>
      </c>
      <c r="N14" s="4">
        <v>757</v>
      </c>
      <c r="O14" s="8">
        <v>776</v>
      </c>
      <c r="P14" s="8">
        <v>943</v>
      </c>
      <c r="Q14" s="9">
        <v>976</v>
      </c>
      <c r="R14" s="88">
        <v>4064</v>
      </c>
      <c r="S14" s="40">
        <v>3224</v>
      </c>
      <c r="T14" s="40">
        <v>1348</v>
      </c>
      <c r="U14" s="40">
        <v>1829</v>
      </c>
      <c r="V14" s="88">
        <v>1583</v>
      </c>
      <c r="W14" s="40">
        <v>1593</v>
      </c>
      <c r="X14" s="40">
        <v>1790</v>
      </c>
      <c r="Y14" s="40">
        <v>1599</v>
      </c>
    </row>
    <row r="15" spans="1:29" s="40" customFormat="1" x14ac:dyDescent="0.15">
      <c r="A15" s="78" t="s">
        <v>10</v>
      </c>
      <c r="B15" s="19">
        <f>SUM(B12:B14)</f>
        <v>1956</v>
      </c>
      <c r="C15" s="19">
        <f>SUM(C12:C14)</f>
        <v>2101</v>
      </c>
      <c r="D15" s="19">
        <f>SUM(D12:D14)</f>
        <v>2322</v>
      </c>
      <c r="E15" s="19">
        <f>SUM(E12:E14)</f>
        <v>2457</v>
      </c>
      <c r="F15" s="20">
        <f>SUM(F12:F14)</f>
        <v>2535</v>
      </c>
      <c r="G15" s="21">
        <f t="shared" ref="G15:L15" si="9">SUM(G12:G14)</f>
        <v>2774</v>
      </c>
      <c r="H15" s="21">
        <f t="shared" si="9"/>
        <v>2902</v>
      </c>
      <c r="I15" s="21">
        <f t="shared" si="9"/>
        <v>3196</v>
      </c>
      <c r="J15" s="20">
        <f t="shared" si="9"/>
        <v>3546</v>
      </c>
      <c r="K15" s="19">
        <f t="shared" si="9"/>
        <v>3683</v>
      </c>
      <c r="L15" s="19">
        <f t="shared" si="9"/>
        <v>3758</v>
      </c>
      <c r="M15" s="19">
        <f>SUM(M12:M14)</f>
        <v>4009</v>
      </c>
      <c r="N15" s="20">
        <f t="shared" ref="N15:P15" si="10">SUM(N12:N14)</f>
        <v>4590</v>
      </c>
      <c r="O15" s="19">
        <f t="shared" si="10"/>
        <v>5154</v>
      </c>
      <c r="P15" s="19">
        <f t="shared" si="10"/>
        <v>5528</v>
      </c>
      <c r="Q15" s="19">
        <f t="shared" ref="Q15:R15" si="11">SUM(Q12:Q14)</f>
        <v>6298</v>
      </c>
      <c r="R15" s="20">
        <f t="shared" si="11"/>
        <v>8944</v>
      </c>
      <c r="S15" s="19">
        <f t="shared" ref="S15:T15" si="12">SUM(S12:S14)</f>
        <v>8953</v>
      </c>
      <c r="T15" s="19">
        <f t="shared" si="12"/>
        <v>7312</v>
      </c>
      <c r="U15" s="19">
        <f t="shared" ref="U15:V15" si="13">SUM(U12:U14)</f>
        <v>8732</v>
      </c>
      <c r="V15" s="20">
        <f t="shared" si="13"/>
        <v>8385</v>
      </c>
      <c r="W15" s="19">
        <f t="shared" ref="W15:X15" si="14">SUM(W12:W14)</f>
        <v>8895</v>
      </c>
      <c r="X15" s="19">
        <f t="shared" si="14"/>
        <v>9236</v>
      </c>
      <c r="Y15" s="19">
        <f t="shared" ref="Y15" si="15">SUM(Y12:Y14)</f>
        <v>10087</v>
      </c>
    </row>
    <row r="16" spans="1:29" s="40" customFormat="1" x14ac:dyDescent="0.15">
      <c r="A16" s="78" t="s">
        <v>11</v>
      </c>
      <c r="B16" s="19">
        <f>B11-B15</f>
        <v>933</v>
      </c>
      <c r="C16" s="19">
        <f>C11-C15</f>
        <v>1273</v>
      </c>
      <c r="D16" s="19">
        <f>D11-D15</f>
        <v>1459</v>
      </c>
      <c r="E16" s="19">
        <f>E11-E15</f>
        <v>2560</v>
      </c>
      <c r="F16" s="20">
        <f>F11-F15</f>
        <v>2009</v>
      </c>
      <c r="G16" s="21">
        <f t="shared" ref="G16:H16" si="16">G11-G15</f>
        <v>2746</v>
      </c>
      <c r="H16" s="21">
        <f t="shared" si="16"/>
        <v>3122</v>
      </c>
      <c r="I16" s="21">
        <f t="shared" ref="I16:P16" si="17">I11-I15</f>
        <v>4566</v>
      </c>
      <c r="J16" s="20">
        <f t="shared" si="17"/>
        <v>3327</v>
      </c>
      <c r="K16" s="19">
        <f t="shared" si="17"/>
        <v>4401</v>
      </c>
      <c r="L16" s="19">
        <f t="shared" si="17"/>
        <v>5122</v>
      </c>
      <c r="M16" s="19">
        <f t="shared" si="17"/>
        <v>7352</v>
      </c>
      <c r="N16" s="20">
        <f t="shared" si="17"/>
        <v>5449</v>
      </c>
      <c r="O16" s="19">
        <f t="shared" si="17"/>
        <v>5863</v>
      </c>
      <c r="P16" s="19">
        <f t="shared" si="17"/>
        <v>5781</v>
      </c>
      <c r="Q16" s="19">
        <f t="shared" ref="Q16:R16" si="18">Q11-Q15</f>
        <v>7820</v>
      </c>
      <c r="R16" s="20">
        <f t="shared" si="18"/>
        <v>3317</v>
      </c>
      <c r="S16" s="19">
        <f t="shared" ref="S16:T16" si="19">S11-S15</f>
        <v>4626</v>
      </c>
      <c r="T16" s="19">
        <f t="shared" si="19"/>
        <v>7185</v>
      </c>
      <c r="U16" s="19">
        <f t="shared" ref="U16:V16" si="20">U11-U15</f>
        <v>8858</v>
      </c>
      <c r="V16" s="20">
        <f t="shared" si="20"/>
        <v>5893</v>
      </c>
      <c r="W16" s="19">
        <f t="shared" ref="W16:X16" si="21">W11-W15</f>
        <v>5963</v>
      </c>
      <c r="X16" s="19">
        <f t="shared" si="21"/>
        <v>8040</v>
      </c>
      <c r="Y16" s="19">
        <f t="shared" ref="Y16" si="22">Y11-Y15</f>
        <v>12775</v>
      </c>
    </row>
    <row r="17" spans="1:25" s="40" customFormat="1" x14ac:dyDescent="0.15">
      <c r="A17" s="78" t="s">
        <v>12</v>
      </c>
      <c r="B17" s="8">
        <v>-1</v>
      </c>
      <c r="C17" s="8">
        <v>0</v>
      </c>
      <c r="D17" s="8">
        <v>-27</v>
      </c>
      <c r="E17" s="8">
        <v>-3</v>
      </c>
      <c r="F17" s="4">
        <v>56</v>
      </c>
      <c r="G17" s="5">
        <v>20</v>
      </c>
      <c r="H17" s="5">
        <v>47</v>
      </c>
      <c r="I17" s="5">
        <v>-33</v>
      </c>
      <c r="J17" s="4">
        <v>81</v>
      </c>
      <c r="K17" s="8">
        <v>87</v>
      </c>
      <c r="L17" s="8">
        <v>114</v>
      </c>
      <c r="M17" s="8">
        <v>110</v>
      </c>
      <c r="N17" s="4">
        <v>161</v>
      </c>
      <c r="O17" s="8">
        <v>5</v>
      </c>
      <c r="P17" s="8">
        <v>131</v>
      </c>
      <c r="Q17" s="9">
        <v>151</v>
      </c>
      <c r="R17" s="88">
        <v>165</v>
      </c>
      <c r="S17" s="40">
        <v>206</v>
      </c>
      <c r="T17" s="40">
        <v>144</v>
      </c>
      <c r="U17" s="40">
        <v>311</v>
      </c>
      <c r="V17" s="88">
        <v>-32</v>
      </c>
      <c r="W17" s="40">
        <v>168</v>
      </c>
      <c r="X17" s="40">
        <v>93</v>
      </c>
      <c r="Y17" s="40">
        <v>280</v>
      </c>
    </row>
    <row r="18" spans="1:25" s="40" customFormat="1" x14ac:dyDescent="0.15">
      <c r="A18" s="78" t="s">
        <v>13</v>
      </c>
      <c r="B18" s="19">
        <f>B16+B17</f>
        <v>932</v>
      </c>
      <c r="C18" s="19">
        <f>C16+C17</f>
        <v>1273</v>
      </c>
      <c r="D18" s="19">
        <f>D16+D17</f>
        <v>1432</v>
      </c>
      <c r="E18" s="19">
        <f>E16+E17</f>
        <v>2557</v>
      </c>
      <c r="F18" s="20">
        <f>F16+F17</f>
        <v>2065</v>
      </c>
      <c r="G18" s="21">
        <f t="shared" ref="G18:I18" si="23">G16+G17</f>
        <v>2766</v>
      </c>
      <c r="H18" s="21">
        <f t="shared" si="23"/>
        <v>3169</v>
      </c>
      <c r="I18" s="21">
        <f t="shared" si="23"/>
        <v>4533</v>
      </c>
      <c r="J18" s="20">
        <f t="shared" ref="J18:K18" si="24">J16+J17</f>
        <v>3408</v>
      </c>
      <c r="K18" s="19">
        <f t="shared" si="24"/>
        <v>4488</v>
      </c>
      <c r="L18" s="19">
        <f t="shared" ref="L18:O18" si="25">L16+L17</f>
        <v>5236</v>
      </c>
      <c r="M18" s="19">
        <f t="shared" si="25"/>
        <v>7462</v>
      </c>
      <c r="N18" s="20">
        <f t="shared" si="25"/>
        <v>5610</v>
      </c>
      <c r="O18" s="19">
        <f t="shared" si="25"/>
        <v>5868</v>
      </c>
      <c r="P18" s="19">
        <f t="shared" ref="P18:T18" si="26">P16+P17</f>
        <v>5912</v>
      </c>
      <c r="Q18" s="19">
        <f t="shared" si="26"/>
        <v>7971</v>
      </c>
      <c r="R18" s="20">
        <f t="shared" si="26"/>
        <v>3482</v>
      </c>
      <c r="S18" s="19">
        <f t="shared" si="26"/>
        <v>4832</v>
      </c>
      <c r="T18" s="19">
        <f t="shared" si="26"/>
        <v>7329</v>
      </c>
      <c r="U18" s="19">
        <f t="shared" ref="U18:Y18" si="27">U16+U17</f>
        <v>9169</v>
      </c>
      <c r="V18" s="20">
        <f t="shared" si="27"/>
        <v>5861</v>
      </c>
      <c r="W18" s="19">
        <f t="shared" si="27"/>
        <v>6131</v>
      </c>
      <c r="X18" s="19">
        <f t="shared" si="27"/>
        <v>8133</v>
      </c>
      <c r="Y18" s="19">
        <f t="shared" si="27"/>
        <v>13055</v>
      </c>
    </row>
    <row r="19" spans="1:25" s="40" customFormat="1" x14ac:dyDescent="0.15">
      <c r="A19" s="78" t="s">
        <v>14</v>
      </c>
      <c r="B19" s="8">
        <v>420</v>
      </c>
      <c r="C19" s="8">
        <v>554</v>
      </c>
      <c r="D19" s="8">
        <v>536</v>
      </c>
      <c r="E19" s="8">
        <v>995</v>
      </c>
      <c r="F19" s="4">
        <v>555</v>
      </c>
      <c r="G19" s="5">
        <v>711</v>
      </c>
      <c r="H19" s="5">
        <v>790</v>
      </c>
      <c r="I19" s="5">
        <v>965</v>
      </c>
      <c r="J19" s="4">
        <v>344</v>
      </c>
      <c r="K19" s="8">
        <v>594</v>
      </c>
      <c r="L19" s="8">
        <v>529</v>
      </c>
      <c r="M19" s="8">
        <v>3194</v>
      </c>
      <c r="N19" s="4">
        <v>622</v>
      </c>
      <c r="O19" s="8">
        <v>762</v>
      </c>
      <c r="P19" s="8">
        <v>775</v>
      </c>
      <c r="Q19" s="9">
        <v>1089</v>
      </c>
      <c r="R19" s="88">
        <v>1053</v>
      </c>
      <c r="S19" s="40">
        <v>2216</v>
      </c>
      <c r="T19" s="40">
        <v>1238</v>
      </c>
      <c r="U19" s="40">
        <v>1820</v>
      </c>
      <c r="V19" s="88">
        <v>959</v>
      </c>
      <c r="W19" s="40">
        <v>953</v>
      </c>
      <c r="X19" s="40">
        <v>287</v>
      </c>
      <c r="Y19" s="40">
        <v>1836</v>
      </c>
    </row>
    <row r="20" spans="1:25" s="85" customFormat="1" x14ac:dyDescent="0.15">
      <c r="A20" s="84" t="s">
        <v>15</v>
      </c>
      <c r="B20" s="16">
        <f>B18-B19</f>
        <v>512</v>
      </c>
      <c r="C20" s="16">
        <f>C18-C19</f>
        <v>719</v>
      </c>
      <c r="D20" s="16">
        <f>D18-D19</f>
        <v>896</v>
      </c>
      <c r="E20" s="16">
        <f>E18-E19</f>
        <v>1562</v>
      </c>
      <c r="F20" s="17">
        <f>F18-F19</f>
        <v>1510</v>
      </c>
      <c r="G20" s="18">
        <f t="shared" ref="G20:H20" si="28">G18-G19</f>
        <v>2055</v>
      </c>
      <c r="H20" s="18">
        <f t="shared" si="28"/>
        <v>2379</v>
      </c>
      <c r="I20" s="18">
        <f t="shared" ref="I20:P20" si="29">I18-I19</f>
        <v>3568</v>
      </c>
      <c r="J20" s="17">
        <f t="shared" si="29"/>
        <v>3064</v>
      </c>
      <c r="K20" s="16">
        <f t="shared" si="29"/>
        <v>3894</v>
      </c>
      <c r="L20" s="16">
        <f t="shared" si="29"/>
        <v>4707</v>
      </c>
      <c r="M20" s="16">
        <f t="shared" si="29"/>
        <v>4268</v>
      </c>
      <c r="N20" s="17">
        <f t="shared" si="29"/>
        <v>4988</v>
      </c>
      <c r="O20" s="16">
        <f t="shared" si="29"/>
        <v>5106</v>
      </c>
      <c r="P20" s="16">
        <f t="shared" si="29"/>
        <v>5137</v>
      </c>
      <c r="Q20" s="16">
        <f t="shared" ref="Q20:R20" si="30">Q18-Q19</f>
        <v>6882</v>
      </c>
      <c r="R20" s="17">
        <f t="shared" si="30"/>
        <v>2429</v>
      </c>
      <c r="S20" s="16">
        <f t="shared" ref="S20:T20" si="31">S18-S19</f>
        <v>2616</v>
      </c>
      <c r="T20" s="16">
        <f t="shared" si="31"/>
        <v>6091</v>
      </c>
      <c r="U20" s="16">
        <f t="shared" ref="U20:V20" si="32">U18-U19</f>
        <v>7349</v>
      </c>
      <c r="V20" s="17">
        <f t="shared" si="32"/>
        <v>4902</v>
      </c>
      <c r="W20" s="16">
        <f t="shared" ref="W20:X20" si="33">W18-W19</f>
        <v>5178</v>
      </c>
      <c r="X20" s="16">
        <f t="shared" si="33"/>
        <v>7846</v>
      </c>
      <c r="Y20" s="16">
        <f t="shared" ref="Y20" si="34">Y18-Y19</f>
        <v>11219</v>
      </c>
    </row>
    <row r="21" spans="1:25" x14ac:dyDescent="0.15">
      <c r="A21" s="36" t="s">
        <v>16</v>
      </c>
      <c r="B21" s="22">
        <f t="shared" ref="B21:H21" si="35">IFERROR(B20/B22,0)</f>
        <v>0.18053596614950634</v>
      </c>
      <c r="C21" s="22">
        <f t="shared" si="35"/>
        <v>0.25228070175438594</v>
      </c>
      <c r="D21" s="22">
        <f t="shared" si="35"/>
        <v>0.31295843520782396</v>
      </c>
      <c r="E21" s="22">
        <f t="shared" si="35"/>
        <v>0.54273801250868658</v>
      </c>
      <c r="F21" s="12">
        <f t="shared" si="35"/>
        <v>0.52285318559556782</v>
      </c>
      <c r="G21" s="11">
        <f t="shared" si="35"/>
        <v>0.7076446280991735</v>
      </c>
      <c r="H21" s="11">
        <f t="shared" si="35"/>
        <v>0.81612349914236704</v>
      </c>
      <c r="I21" s="11">
        <f t="shared" ref="I21:L21" si="36">IFERROR(I20/I22,0)</f>
        <v>1.2144315861130019</v>
      </c>
      <c r="J21" s="12">
        <f t="shared" si="36"/>
        <v>1.0407608695652173</v>
      </c>
      <c r="K21" s="22">
        <f t="shared" si="36"/>
        <v>1.3195526940020332</v>
      </c>
      <c r="L21" s="22">
        <f t="shared" si="36"/>
        <v>1.5923545331529094</v>
      </c>
      <c r="M21" s="22">
        <f t="shared" ref="M21:P21" si="37">IFERROR(M20/M22,0)</f>
        <v>1.4691910499139416</v>
      </c>
      <c r="N21" s="12">
        <f t="shared" si="37"/>
        <v>1.6937181663837011</v>
      </c>
      <c r="O21" s="22">
        <f t="shared" si="37"/>
        <v>1.7426621160409557</v>
      </c>
      <c r="P21" s="22">
        <f t="shared" si="37"/>
        <v>1.7634740817027119</v>
      </c>
      <c r="Q21" s="22">
        <f t="shared" ref="Q21:R21" si="38">IFERROR(Q20/Q22,0)</f>
        <v>2.3846153846153846</v>
      </c>
      <c r="R21" s="12">
        <f t="shared" si="38"/>
        <v>0.84663645869640991</v>
      </c>
      <c r="S21" s="22">
        <f t="shared" ref="S21:T21" si="39">IFERROR(S20/S22,0)</f>
        <v>0.90991304347826085</v>
      </c>
      <c r="T21" s="22">
        <f t="shared" si="39"/>
        <v>2.1193458594293668</v>
      </c>
      <c r="U21" s="22">
        <f t="shared" ref="U21:V21" si="40">IFERROR(U20/U22,0)</f>
        <v>2.559735283873215</v>
      </c>
      <c r="V21" s="12">
        <f t="shared" si="40"/>
        <v>1.7092050209205021</v>
      </c>
      <c r="W21" s="22">
        <f t="shared" ref="W21:X21" si="41">IFERROR(W20/W22,0)</f>
        <v>1.7985411601250434</v>
      </c>
      <c r="X21" s="22">
        <f t="shared" si="41"/>
        <v>2.7139398132134209</v>
      </c>
      <c r="Y21" s="22">
        <f t="shared" ref="Y21" si="42">IFERROR(Y20/Y22,0)</f>
        <v>3.882006920415225</v>
      </c>
    </row>
    <row r="22" spans="1:25" s="40" customFormat="1" x14ac:dyDescent="0.15">
      <c r="A22" s="78" t="s">
        <v>17</v>
      </c>
      <c r="B22" s="8">
        <v>2836</v>
      </c>
      <c r="C22" s="8">
        <v>2850</v>
      </c>
      <c r="D22" s="8">
        <v>2863</v>
      </c>
      <c r="E22" s="8">
        <v>2878</v>
      </c>
      <c r="F22" s="4">
        <v>2888</v>
      </c>
      <c r="G22" s="5">
        <v>2904</v>
      </c>
      <c r="H22" s="5">
        <v>2915</v>
      </c>
      <c r="I22" s="5">
        <v>2938</v>
      </c>
      <c r="J22" s="4">
        <v>2944</v>
      </c>
      <c r="K22" s="8">
        <v>2951</v>
      </c>
      <c r="L22" s="8">
        <v>2956</v>
      </c>
      <c r="M22" s="8">
        <f>2396+509</f>
        <v>2905</v>
      </c>
      <c r="N22" s="4">
        <v>2945</v>
      </c>
      <c r="O22" s="8">
        <v>2930</v>
      </c>
      <c r="P22" s="8">
        <v>2913</v>
      </c>
      <c r="Q22" s="9">
        <v>2886</v>
      </c>
      <c r="R22" s="88">
        <v>2869</v>
      </c>
      <c r="S22" s="40">
        <v>2875</v>
      </c>
      <c r="T22" s="40">
        <v>2874</v>
      </c>
      <c r="U22" s="40">
        <v>2871</v>
      </c>
      <c r="V22" s="88">
        <v>2868</v>
      </c>
      <c r="W22" s="40">
        <v>2879</v>
      </c>
      <c r="X22" s="40">
        <v>2891</v>
      </c>
      <c r="Y22" s="40">
        <v>2890</v>
      </c>
    </row>
    <row r="23" spans="1:25" x14ac:dyDescent="0.15">
      <c r="B23" s="13"/>
      <c r="C23" s="13"/>
      <c r="D23" s="13"/>
      <c r="E23" s="13"/>
      <c r="K23" s="13"/>
      <c r="L23" s="13"/>
      <c r="M23" s="13"/>
      <c r="O23" s="13"/>
      <c r="P23" s="13"/>
      <c r="Q23" s="14"/>
    </row>
    <row r="24" spans="1:25" s="15" customFormat="1" x14ac:dyDescent="0.15">
      <c r="A24" s="77" t="s">
        <v>18</v>
      </c>
      <c r="B24" s="23"/>
      <c r="C24" s="23"/>
      <c r="D24" s="23"/>
      <c r="E24" s="23"/>
      <c r="F24" s="24">
        <f>F9/B9-1</f>
        <v>0.51905165114309915</v>
      </c>
      <c r="G24" s="23">
        <f t="shared" ref="G24:O24" si="43">G9/C9-1</f>
        <v>0.5922810489856507</v>
      </c>
      <c r="H24" s="23">
        <f t="shared" si="43"/>
        <v>0.55765385469895579</v>
      </c>
      <c r="I24" s="23">
        <f t="shared" si="43"/>
        <v>0.5081321691491183</v>
      </c>
      <c r="J24" s="24">
        <f t="shared" si="43"/>
        <v>0.49238201412114457</v>
      </c>
      <c r="K24" s="23">
        <f t="shared" si="43"/>
        <v>0.44825978868862637</v>
      </c>
      <c r="L24" s="23">
        <f t="shared" si="43"/>
        <v>0.47311367850520614</v>
      </c>
      <c r="M24" s="23">
        <f>M9/I9-1</f>
        <v>0.47258485639686687</v>
      </c>
      <c r="N24" s="24">
        <f t="shared" si="43"/>
        <v>0.48979083665338652</v>
      </c>
      <c r="O24" s="23">
        <f t="shared" si="43"/>
        <v>0.41948288810213485</v>
      </c>
      <c r="P24" s="23">
        <f t="shared" ref="P24:Y24" si="44">P9/L9-1</f>
        <v>0.32910534469403574</v>
      </c>
      <c r="Q24" s="23">
        <f t="shared" si="44"/>
        <v>0.30388529139685483</v>
      </c>
      <c r="R24" s="24">
        <f t="shared" si="44"/>
        <v>0.25998662878154777</v>
      </c>
      <c r="S24" s="23">
        <f t="shared" si="44"/>
        <v>0.2762451817700855</v>
      </c>
      <c r="T24" s="23">
        <f t="shared" si="44"/>
        <v>0.2859328331026445</v>
      </c>
      <c r="U24" s="23">
        <f t="shared" si="44"/>
        <v>0.2464230814709707</v>
      </c>
      <c r="V24" s="24">
        <f t="shared" si="44"/>
        <v>0.17642767128739134</v>
      </c>
      <c r="W24" s="23">
        <f t="shared" si="44"/>
        <v>0.10665640175293145</v>
      </c>
      <c r="X24" s="23">
        <f t="shared" si="44"/>
        <v>0.21629277135735325</v>
      </c>
      <c r="Y24" s="23">
        <f t="shared" si="44"/>
        <v>0.33156247035385644</v>
      </c>
    </row>
    <row r="25" spans="1:25" s="15" customFormat="1" x14ac:dyDescent="0.15">
      <c r="A25" s="36" t="s">
        <v>69</v>
      </c>
      <c r="B25" s="23"/>
      <c r="C25" s="23"/>
      <c r="D25" s="23"/>
      <c r="E25" s="23"/>
      <c r="F25" s="25">
        <f>F12/B12-1</f>
        <v>0.26459510357815441</v>
      </c>
      <c r="G25" s="26">
        <f>G12/C12-1</f>
        <v>0.25042735042735043</v>
      </c>
      <c r="H25" s="26">
        <f t="shared" ref="H25" si="45">H12/D12-1</f>
        <v>0.21085759244689228</v>
      </c>
      <c r="I25" s="26">
        <f t="shared" ref="I25:I27" si="46">I12/E12-1</f>
        <v>0.18949771689497719</v>
      </c>
      <c r="J25" s="25">
        <f t="shared" ref="J25:J27" si="47">J12/F12-1</f>
        <v>0.36559940431868942</v>
      </c>
      <c r="K25" s="26">
        <f t="shared" ref="K25:K27" si="48">K12/G12-1</f>
        <v>0.31168831168831179</v>
      </c>
      <c r="L25" s="26">
        <f t="shared" ref="L25:L27" si="49">L12/H12-1</f>
        <v>0.33333333333333326</v>
      </c>
      <c r="M25" s="26">
        <f t="shared" ref="M25:M27" si="50">M12/I12-1</f>
        <v>0.24696097248880355</v>
      </c>
      <c r="N25" s="25">
        <f t="shared" ref="N25:N27" si="51">N12/J12-1</f>
        <v>0.22028353326063255</v>
      </c>
      <c r="O25" s="26">
        <f t="shared" ref="O25:O27" si="52">O12/K12-1</f>
        <v>0.31474726420010413</v>
      </c>
      <c r="P25" s="26">
        <f t="shared" ref="P25:P27" si="53">P12/L12-1</f>
        <v>0.29483430799220267</v>
      </c>
      <c r="Q25" s="26">
        <f t="shared" ref="Q25:Y27" si="54">Q12/M12-1</f>
        <v>0.46485377116469984</v>
      </c>
      <c r="R25" s="25">
        <f t="shared" si="54"/>
        <v>0.27792672028596965</v>
      </c>
      <c r="S25" s="26">
        <f t="shared" si="54"/>
        <v>0.31391200951248521</v>
      </c>
      <c r="T25" s="26">
        <f t="shared" si="54"/>
        <v>0.33534060971019941</v>
      </c>
      <c r="U25" s="26">
        <f t="shared" si="54"/>
        <v>0.35796847635726792</v>
      </c>
      <c r="V25" s="25">
        <f t="shared" si="54"/>
        <v>0.40384615384615374</v>
      </c>
      <c r="W25" s="26">
        <f t="shared" si="54"/>
        <v>0.34600301659125199</v>
      </c>
      <c r="X25" s="26">
        <f t="shared" si="54"/>
        <v>0.34244644870349483</v>
      </c>
      <c r="Y25" s="26">
        <f t="shared" si="54"/>
        <v>0.34330668042300738</v>
      </c>
    </row>
    <row r="26" spans="1:25" s="15" customFormat="1" x14ac:dyDescent="0.15">
      <c r="A26" s="36" t="s">
        <v>70</v>
      </c>
      <c r="B26" s="27"/>
      <c r="C26" s="23"/>
      <c r="D26" s="23"/>
      <c r="E26" s="23"/>
      <c r="F26" s="25">
        <f>F13/B13-1</f>
        <v>0.33225806451612905</v>
      </c>
      <c r="G26" s="26">
        <f t="shared" ref="G26:H26" si="55">G13/C13-1</f>
        <v>0.4361022364217253</v>
      </c>
      <c r="H26" s="26">
        <f t="shared" si="55"/>
        <v>0.31019830028328621</v>
      </c>
      <c r="I26" s="26">
        <f t="shared" si="46"/>
        <v>0.44818652849740936</v>
      </c>
      <c r="J26" s="25">
        <f t="shared" si="47"/>
        <v>0.27966101694915246</v>
      </c>
      <c r="K26" s="26">
        <f t="shared" si="48"/>
        <v>0.25027808676307006</v>
      </c>
      <c r="L26" s="26">
        <f t="shared" si="49"/>
        <v>0.26486486486486482</v>
      </c>
      <c r="M26" s="26">
        <f t="shared" si="50"/>
        <v>0.22898032200357776</v>
      </c>
      <c r="N26" s="25">
        <f t="shared" si="51"/>
        <v>0.50898770104068114</v>
      </c>
      <c r="O26" s="26">
        <f t="shared" si="52"/>
        <v>0.6503558718861211</v>
      </c>
      <c r="P26" s="26">
        <f t="shared" si="53"/>
        <v>0.64786324786324778</v>
      </c>
      <c r="Q26" s="26">
        <f t="shared" si="54"/>
        <v>0.79548762736535661</v>
      </c>
      <c r="R26" s="25">
        <f t="shared" si="54"/>
        <v>0.26645768025078365</v>
      </c>
      <c r="S26" s="26">
        <f t="shared" si="54"/>
        <v>0.30134770889487861</v>
      </c>
      <c r="T26" s="26">
        <f t="shared" si="54"/>
        <v>0.25311203319502074</v>
      </c>
      <c r="U26" s="26">
        <f t="shared" si="54"/>
        <v>0.22659100121605191</v>
      </c>
      <c r="V26" s="25">
        <f t="shared" si="54"/>
        <v>0.3797029702970296</v>
      </c>
      <c r="W26" s="26">
        <f t="shared" si="54"/>
        <v>0.17647058823529416</v>
      </c>
      <c r="X26" s="26">
        <f t="shared" si="54"/>
        <v>0.11051324503311255</v>
      </c>
      <c r="Y26" s="26">
        <f t="shared" si="54"/>
        <v>8.393919365499003E-2</v>
      </c>
    </row>
    <row r="27" spans="1:25" s="15" customFormat="1" x14ac:dyDescent="0.15">
      <c r="A27" s="36" t="s">
        <v>71</v>
      </c>
      <c r="B27" s="23"/>
      <c r="C27" s="23"/>
      <c r="D27" s="23"/>
      <c r="E27" s="23"/>
      <c r="F27" s="25">
        <f>F14/B14-1</f>
        <v>0.33576642335766427</v>
      </c>
      <c r="G27" s="26">
        <f t="shared" ref="G27:H27" si="56">G14/C14-1</f>
        <v>0.35081967213114762</v>
      </c>
      <c r="H27" s="26">
        <f t="shared" si="56"/>
        <v>0.26956521739130435</v>
      </c>
      <c r="I27" s="26">
        <f t="shared" si="46"/>
        <v>0.38814016172506749</v>
      </c>
      <c r="J27" s="25">
        <f t="shared" si="47"/>
        <v>0.78961748633879791</v>
      </c>
      <c r="K27" s="26">
        <f t="shared" si="48"/>
        <v>0.55339805825242716</v>
      </c>
      <c r="L27" s="26">
        <f t="shared" si="49"/>
        <v>0.22374429223744285</v>
      </c>
      <c r="M27" s="26">
        <f t="shared" si="50"/>
        <v>0.33203883495145625</v>
      </c>
      <c r="N27" s="25">
        <f t="shared" si="51"/>
        <v>0.1557251908396946</v>
      </c>
      <c r="O27" s="26">
        <f t="shared" si="52"/>
        <v>0.21249999999999991</v>
      </c>
      <c r="P27" s="26">
        <f t="shared" si="53"/>
        <v>0.75932835820895517</v>
      </c>
      <c r="Q27" s="26">
        <f t="shared" si="54"/>
        <v>0.42274052478134116</v>
      </c>
      <c r="R27" s="25">
        <f t="shared" si="54"/>
        <v>4.3685601056803174</v>
      </c>
      <c r="S27" s="26">
        <f t="shared" si="54"/>
        <v>3.1546391752577323</v>
      </c>
      <c r="T27" s="26">
        <f t="shared" si="54"/>
        <v>0.42948038176033942</v>
      </c>
      <c r="U27" s="26">
        <f t="shared" si="54"/>
        <v>0.87397540983606548</v>
      </c>
      <c r="V27" s="25">
        <f t="shared" si="54"/>
        <v>-0.6104822834645669</v>
      </c>
      <c r="W27" s="26">
        <f t="shared" si="54"/>
        <v>-0.50589330024813894</v>
      </c>
      <c r="X27" s="26">
        <f t="shared" si="54"/>
        <v>0.32789317507418403</v>
      </c>
      <c r="Y27" s="26">
        <f t="shared" si="54"/>
        <v>-0.12575177692728268</v>
      </c>
    </row>
    <row r="28" spans="1:25" x14ac:dyDescent="0.15">
      <c r="B28" s="14"/>
      <c r="C28" s="14"/>
      <c r="D28" s="14"/>
      <c r="E28" s="14"/>
      <c r="F28" s="28"/>
      <c r="G28" s="29"/>
      <c r="H28" s="29"/>
      <c r="I28" s="29"/>
      <c r="J28" s="28"/>
      <c r="K28" s="14"/>
      <c r="L28" s="14"/>
      <c r="M28" s="14"/>
      <c r="N28" s="28"/>
      <c r="O28" s="14"/>
      <c r="P28" s="14"/>
      <c r="Q28" s="14"/>
      <c r="R28" s="28"/>
      <c r="S28" s="14"/>
      <c r="T28" s="14"/>
      <c r="U28" s="14"/>
      <c r="V28" s="28"/>
      <c r="W28" s="14"/>
      <c r="X28" s="14"/>
      <c r="Y28" s="14"/>
    </row>
    <row r="29" spans="1:25" x14ac:dyDescent="0.15">
      <c r="A29" s="36" t="s">
        <v>19</v>
      </c>
      <c r="B29" s="30">
        <f>IFERROR(B11/B9,0)</f>
        <v>0.81541066892464009</v>
      </c>
      <c r="C29" s="30">
        <f>IFERROR(C11/C9,0)</f>
        <v>0.83473527956457194</v>
      </c>
      <c r="D29" s="30">
        <f>IFERROR(D11/D9,0)</f>
        <v>0.84003554765607646</v>
      </c>
      <c r="E29" s="30">
        <f>IFERROR(E11/E9,0)</f>
        <v>0.85892826570792669</v>
      </c>
      <c r="F29" s="31">
        <f>IFERROR(F11/F9,0)</f>
        <v>0.84429580081753997</v>
      </c>
      <c r="G29" s="32">
        <f t="shared" ref="G29:K29" si="57">IFERROR(G11/G9,0)</f>
        <v>0.8576755748912368</v>
      </c>
      <c r="H29" s="32">
        <f t="shared" si="57"/>
        <v>0.85922122379118526</v>
      </c>
      <c r="I29" s="32">
        <f t="shared" si="57"/>
        <v>0.88114428425473945</v>
      </c>
      <c r="J29" s="31">
        <f>IFERROR(J11/J9,0)</f>
        <v>0.85570219123505975</v>
      </c>
      <c r="K29" s="30">
        <f t="shared" si="57"/>
        <v>0.86728891749812254</v>
      </c>
      <c r="L29" s="30">
        <f>IFERROR(L11/L9,0)</f>
        <v>0.85979860573199074</v>
      </c>
      <c r="M29" s="30">
        <f t="shared" ref="M29" si="58">IFERROR(M11/M9,0)</f>
        <v>0.87580943570767811</v>
      </c>
      <c r="N29" s="31">
        <f>IFERROR(N11/N9,0)</f>
        <v>0.8389603877653351</v>
      </c>
      <c r="O29" s="30">
        <f t="shared" ref="O29" si="59">IFERROR(O11/O9,0)</f>
        <v>0.83266570931902351</v>
      </c>
      <c r="P29" s="30">
        <f t="shared" ref="P29:X29" si="60">IFERROR(P11/P9,0)</f>
        <v>0.82385080498288044</v>
      </c>
      <c r="Q29" s="30">
        <f t="shared" si="60"/>
        <v>0.83469315360056762</v>
      </c>
      <c r="R29" s="31">
        <f t="shared" si="60"/>
        <v>0.81322544272733299</v>
      </c>
      <c r="S29" s="30">
        <f t="shared" si="60"/>
        <v>0.80415729006277392</v>
      </c>
      <c r="T29" s="30">
        <f t="shared" si="60"/>
        <v>0.82126671198731027</v>
      </c>
      <c r="U29" s="30">
        <f t="shared" si="60"/>
        <v>0.83436106631249407</v>
      </c>
      <c r="V29" s="31">
        <f t="shared" si="60"/>
        <v>0.80498393189378137</v>
      </c>
      <c r="W29" s="30">
        <f t="shared" si="60"/>
        <v>0.7950981966072671</v>
      </c>
      <c r="X29" s="30">
        <f t="shared" si="60"/>
        <v>0.80465766185374943</v>
      </c>
      <c r="Y29" s="30">
        <f t="shared" ref="Y29" si="61">IFERROR(Y11/Y9,0)</f>
        <v>0.81440581362211462</v>
      </c>
    </row>
    <row r="30" spans="1:25" x14ac:dyDescent="0.15">
      <c r="A30" s="36" t="s">
        <v>20</v>
      </c>
      <c r="B30" s="33">
        <f>IFERROR(B16/B9,0)</f>
        <v>0.26333615580016934</v>
      </c>
      <c r="C30" s="33">
        <f>IFERROR(C16/C9,0)</f>
        <v>0.31494309747649679</v>
      </c>
      <c r="D30" s="33">
        <f>IFERROR(D16/D9,0)</f>
        <v>0.32415018884692293</v>
      </c>
      <c r="E30" s="33">
        <f>IFERROR(E16/E9,0)</f>
        <v>0.43828111624721794</v>
      </c>
      <c r="F30" s="34">
        <f>IFERROR(F16/F9,0)</f>
        <v>0.37328130806391674</v>
      </c>
      <c r="G30" s="35">
        <f t="shared" ref="G30:L30" si="62">IFERROR(G16/G9,0)</f>
        <v>0.42666252330640148</v>
      </c>
      <c r="H30" s="35">
        <f t="shared" si="62"/>
        <v>0.445300242476109</v>
      </c>
      <c r="I30" s="35">
        <f t="shared" si="62"/>
        <v>0.5183335225337723</v>
      </c>
      <c r="J30" s="34">
        <f t="shared" si="62"/>
        <v>0.41421812749003983</v>
      </c>
      <c r="K30" s="33">
        <f t="shared" si="62"/>
        <v>0.47215963952365625</v>
      </c>
      <c r="L30" s="33">
        <f t="shared" si="62"/>
        <v>0.49593338497288925</v>
      </c>
      <c r="M30" s="33">
        <f t="shared" ref="M30:P30" si="63">IFERROR(M16/M9,0)</f>
        <v>0.56675917360468697</v>
      </c>
      <c r="N30" s="34">
        <f t="shared" si="63"/>
        <v>0.45537355841551064</v>
      </c>
      <c r="O30" s="33">
        <f t="shared" si="63"/>
        <v>0.44312599198851182</v>
      </c>
      <c r="P30" s="33">
        <f t="shared" si="63"/>
        <v>0.42114081736723247</v>
      </c>
      <c r="Q30" s="33">
        <f t="shared" ref="Q30:X30" si="64">IFERROR(Q16/Q9,0)</f>
        <v>0.46233889085964291</v>
      </c>
      <c r="R30" s="34">
        <f t="shared" si="64"/>
        <v>0.22000397957153281</v>
      </c>
      <c r="S30" s="33">
        <f t="shared" si="64"/>
        <v>0.27395475541869002</v>
      </c>
      <c r="T30" s="33">
        <f t="shared" si="64"/>
        <v>0.40703602991162474</v>
      </c>
      <c r="U30" s="33">
        <f t="shared" si="64"/>
        <v>0.42016886443411439</v>
      </c>
      <c r="V30" s="34">
        <f t="shared" si="64"/>
        <v>0.33224333314540228</v>
      </c>
      <c r="W30" s="33">
        <f t="shared" si="64"/>
        <v>0.31909883876491679</v>
      </c>
      <c r="X30" s="33">
        <f t="shared" si="64"/>
        <v>0.37447601304145317</v>
      </c>
      <c r="Y30" s="33">
        <f t="shared" ref="Y30" si="65">IFERROR(Y16/Y9,0)</f>
        <v>0.45507979481333716</v>
      </c>
    </row>
    <row r="31" spans="1:25" x14ac:dyDescent="0.15">
      <c r="A31" s="36" t="s">
        <v>21</v>
      </c>
      <c r="B31" s="33">
        <f>IFERROR(B19/B18,0)</f>
        <v>0.45064377682403434</v>
      </c>
      <c r="C31" s="33">
        <f t="shared" ref="C31" si="66">IFERROR(C19/C18,0)</f>
        <v>0.43519245875883739</v>
      </c>
      <c r="D31" s="33">
        <f t="shared" ref="D31:E31" si="67">IFERROR(D19/D18,0)</f>
        <v>0.37430167597765363</v>
      </c>
      <c r="E31" s="33">
        <f t="shared" si="67"/>
        <v>0.38912788423934297</v>
      </c>
      <c r="F31" s="34">
        <f>IFERROR(F19/F18,0)</f>
        <v>0.26876513317191281</v>
      </c>
      <c r="G31" s="35">
        <f>IFERROR(G19/G18,0)</f>
        <v>0.25704989154013014</v>
      </c>
      <c r="H31" s="35">
        <f>IFERROR(H19/H18,0)</f>
        <v>0.24928999684443043</v>
      </c>
      <c r="I31" s="35">
        <f t="shared" ref="I31:K31" si="68">IFERROR(I19/I18,0)</f>
        <v>0.21288330024266491</v>
      </c>
      <c r="J31" s="34">
        <f t="shared" si="68"/>
        <v>0.10093896713615023</v>
      </c>
      <c r="K31" s="33">
        <f t="shared" si="68"/>
        <v>0.13235294117647059</v>
      </c>
      <c r="L31" s="33">
        <f>IFERROR(L19/L18,0)</f>
        <v>0.10103132161955691</v>
      </c>
      <c r="M31" s="33">
        <f>IFERROR(M19/M18,0)</f>
        <v>0.42803537925489143</v>
      </c>
      <c r="N31" s="34">
        <f t="shared" ref="N31:O31" si="69">IFERROR(N19/N18,0)</f>
        <v>0.11087344028520499</v>
      </c>
      <c r="O31" s="33">
        <f t="shared" si="69"/>
        <v>0.12985685071574643</v>
      </c>
      <c r="P31" s="33">
        <f t="shared" ref="P31:X31" si="70">IFERROR(P19/P18,0)</f>
        <v>0.13108930987821379</v>
      </c>
      <c r="Q31" s="33">
        <f t="shared" si="70"/>
        <v>0.13662024840045164</v>
      </c>
      <c r="R31" s="34">
        <f t="shared" si="70"/>
        <v>0.30241240666283747</v>
      </c>
      <c r="S31" s="33">
        <f t="shared" si="70"/>
        <v>0.45860927152317882</v>
      </c>
      <c r="T31" s="33">
        <f t="shared" si="70"/>
        <v>0.16891799699822621</v>
      </c>
      <c r="U31" s="33">
        <f t="shared" si="70"/>
        <v>0.19849492856363835</v>
      </c>
      <c r="V31" s="34">
        <f t="shared" si="70"/>
        <v>0.16362395495649207</v>
      </c>
      <c r="W31" s="33">
        <f t="shared" si="70"/>
        <v>0.15543956940140272</v>
      </c>
      <c r="X31" s="33">
        <f t="shared" si="70"/>
        <v>3.5288331488995447E-2</v>
      </c>
      <c r="Y31" s="33">
        <f t="shared" ref="Y31" si="71">IFERROR(Y19/Y18,0)</f>
        <v>0.14063577173496744</v>
      </c>
    </row>
    <row r="32" spans="1:25" x14ac:dyDescent="0.15">
      <c r="B32" s="13"/>
      <c r="C32" s="13"/>
      <c r="D32" s="13"/>
      <c r="E32" s="13"/>
      <c r="K32" s="13"/>
      <c r="L32" s="13"/>
      <c r="M32" s="13"/>
      <c r="O32" s="13"/>
      <c r="P32" s="13"/>
      <c r="Q32" s="14"/>
    </row>
    <row r="33" spans="1:25" s="85" customFormat="1" x14ac:dyDescent="0.15">
      <c r="A33" s="84" t="s">
        <v>33</v>
      </c>
      <c r="B33" s="16">
        <f>B34-B35</f>
        <v>12413</v>
      </c>
      <c r="C33" s="16">
        <f>C34-C35</f>
        <v>14125</v>
      </c>
      <c r="D33" s="16">
        <f>D34-D35</f>
        <v>15834</v>
      </c>
      <c r="E33" s="16">
        <f>E34-E35</f>
        <v>18434</v>
      </c>
      <c r="F33" s="17">
        <f>F34-F35</f>
        <v>20621</v>
      </c>
      <c r="G33" s="18">
        <f t="shared" ref="G33:K33" si="72">G34-G35</f>
        <v>23293</v>
      </c>
      <c r="H33" s="18">
        <f t="shared" si="72"/>
        <v>26140</v>
      </c>
      <c r="I33" s="18">
        <f t="shared" si="72"/>
        <v>29449</v>
      </c>
      <c r="J33" s="17">
        <f t="shared" si="72"/>
        <v>32306</v>
      </c>
      <c r="K33" s="16">
        <f t="shared" si="72"/>
        <v>35452</v>
      </c>
      <c r="L33" s="16">
        <f>L34-L35</f>
        <v>38289</v>
      </c>
      <c r="M33" s="16">
        <f>M34-M35</f>
        <v>41711</v>
      </c>
      <c r="N33" s="17">
        <f t="shared" ref="N33" si="73">N34-N35</f>
        <v>43956</v>
      </c>
      <c r="O33" s="16">
        <f t="shared" ref="O33:Y33" si="74">O34-O35</f>
        <v>42309</v>
      </c>
      <c r="P33" s="16">
        <f t="shared" si="74"/>
        <v>41206</v>
      </c>
      <c r="Q33" s="16">
        <f t="shared" si="74"/>
        <v>41114</v>
      </c>
      <c r="R33" s="17">
        <f t="shared" si="74"/>
        <v>45243</v>
      </c>
      <c r="S33" s="16">
        <f t="shared" si="74"/>
        <v>48596</v>
      </c>
      <c r="T33" s="16">
        <f t="shared" si="74"/>
        <v>52269</v>
      </c>
      <c r="U33" s="16">
        <f t="shared" si="74"/>
        <v>54855</v>
      </c>
      <c r="V33" s="17">
        <f t="shared" si="74"/>
        <v>60289</v>
      </c>
      <c r="W33" s="16">
        <f t="shared" si="74"/>
        <v>58240</v>
      </c>
      <c r="X33" s="16">
        <f t="shared" si="74"/>
        <v>55620</v>
      </c>
      <c r="Y33" s="16">
        <f t="shared" si="74"/>
        <v>68189</v>
      </c>
    </row>
    <row r="34" spans="1:25" s="40" customFormat="1" x14ac:dyDescent="0.15">
      <c r="A34" s="78" t="s">
        <v>34</v>
      </c>
      <c r="B34" s="8">
        <f>3419+8994</f>
        <v>12413</v>
      </c>
      <c r="C34" s="8">
        <f>5123+9002</f>
        <v>14125</v>
      </c>
      <c r="D34" s="8">
        <f>4308+11526</f>
        <v>15834</v>
      </c>
      <c r="E34" s="8">
        <f>4907+13527</f>
        <v>18434</v>
      </c>
      <c r="F34" s="4">
        <f>6456+14165</f>
        <v>20621</v>
      </c>
      <c r="G34" s="5">
        <f>5108+18185</f>
        <v>23293</v>
      </c>
      <c r="H34" s="5">
        <f>6038+20102</f>
        <v>26140</v>
      </c>
      <c r="I34" s="5">
        <f>8903+20546</f>
        <v>29449</v>
      </c>
      <c r="J34" s="4">
        <f>7104+25202</f>
        <v>32306</v>
      </c>
      <c r="K34" s="8">
        <f>6252+29200</f>
        <v>35452</v>
      </c>
      <c r="L34" s="8">
        <f>7201+31088</f>
        <v>38289</v>
      </c>
      <c r="M34" s="8">
        <f>8079+33632</f>
        <v>41711</v>
      </c>
      <c r="N34" s="4">
        <f>12082+31874</f>
        <v>43956</v>
      </c>
      <c r="O34" s="8">
        <f>11552+30757</f>
        <v>42309</v>
      </c>
      <c r="P34" s="8">
        <f>9637+31569</f>
        <v>41206</v>
      </c>
      <c r="Q34" s="9">
        <f>10019+31095</f>
        <v>41114</v>
      </c>
      <c r="R34" s="88">
        <f>11076+34167</f>
        <v>45243</v>
      </c>
      <c r="S34" s="40">
        <f>13877+34719</f>
        <v>48596</v>
      </c>
      <c r="T34" s="40">
        <f>15979+36290</f>
        <v>52269</v>
      </c>
      <c r="U34" s="40">
        <f>19079+35776</f>
        <v>54855</v>
      </c>
      <c r="V34" s="88">
        <f>23618+36671</f>
        <v>60289</v>
      </c>
      <c r="W34" s="40">
        <f>21045+37195</f>
        <v>58240</v>
      </c>
      <c r="X34" s="40">
        <f>11617+44003</f>
        <v>55620</v>
      </c>
      <c r="Y34" s="40">
        <f>17576+44379+6234</f>
        <v>68189</v>
      </c>
    </row>
    <row r="35" spans="1:25" s="40" customFormat="1" x14ac:dyDescent="0.15">
      <c r="A35" s="78" t="s">
        <v>35</v>
      </c>
      <c r="B35" s="8">
        <v>0</v>
      </c>
      <c r="C35" s="8">
        <v>0</v>
      </c>
      <c r="D35" s="8">
        <v>0</v>
      </c>
      <c r="E35" s="8">
        <v>0</v>
      </c>
      <c r="F35" s="4">
        <v>0</v>
      </c>
      <c r="G35" s="5">
        <v>0</v>
      </c>
      <c r="H35" s="5">
        <v>0</v>
      </c>
      <c r="I35" s="5">
        <v>0</v>
      </c>
      <c r="J35" s="4">
        <v>0</v>
      </c>
      <c r="K35" s="8">
        <v>0</v>
      </c>
      <c r="L35" s="8">
        <v>0</v>
      </c>
      <c r="M35" s="8">
        <v>0</v>
      </c>
      <c r="N35" s="4">
        <v>0</v>
      </c>
      <c r="O35" s="8">
        <v>0</v>
      </c>
      <c r="P35" s="8">
        <v>0</v>
      </c>
      <c r="Q35" s="9">
        <v>0</v>
      </c>
      <c r="R35" s="88">
        <v>0</v>
      </c>
      <c r="S35" s="40">
        <v>0</v>
      </c>
      <c r="T35" s="40">
        <v>0</v>
      </c>
      <c r="U35" s="40">
        <v>0</v>
      </c>
      <c r="V35" s="88">
        <v>0</v>
      </c>
      <c r="W35" s="40">
        <v>0</v>
      </c>
      <c r="X35" s="40">
        <v>0</v>
      </c>
      <c r="Y35" s="40">
        <v>0</v>
      </c>
    </row>
    <row r="36" spans="1:25" s="40" customFormat="1" x14ac:dyDescent="0.15">
      <c r="A36" s="78"/>
      <c r="B36" s="8"/>
      <c r="C36" s="8"/>
      <c r="D36" s="8"/>
      <c r="E36" s="8"/>
      <c r="F36" s="4"/>
      <c r="G36" s="5"/>
      <c r="H36" s="5"/>
      <c r="I36" s="5"/>
      <c r="J36" s="4"/>
      <c r="K36" s="8"/>
      <c r="L36" s="8"/>
      <c r="M36" s="8"/>
      <c r="N36" s="4"/>
      <c r="O36" s="8"/>
      <c r="P36" s="8"/>
      <c r="Q36" s="9"/>
      <c r="R36" s="88"/>
      <c r="V36" s="88"/>
    </row>
    <row r="37" spans="1:25" s="40" customFormat="1" x14ac:dyDescent="0.15">
      <c r="A37" s="78" t="s">
        <v>82</v>
      </c>
      <c r="B37" s="8"/>
      <c r="C37" s="8"/>
      <c r="D37" s="8"/>
      <c r="E37" s="8"/>
      <c r="F37" s="4"/>
      <c r="G37" s="5"/>
      <c r="H37" s="5"/>
      <c r="I37" s="5"/>
      <c r="J37" s="4"/>
      <c r="K37" s="8"/>
      <c r="L37" s="8"/>
      <c r="M37" s="8">
        <f>1884+18221</f>
        <v>20105</v>
      </c>
      <c r="N37" s="4">
        <f>1735+18268</f>
        <v>20003</v>
      </c>
      <c r="O37" s="8">
        <f>1573+18263</f>
        <v>19836</v>
      </c>
      <c r="P37" s="8">
        <f>1451+18304</f>
        <v>19755</v>
      </c>
      <c r="Q37" s="9">
        <f>1294+18301</f>
        <v>19595</v>
      </c>
      <c r="R37" s="88">
        <f>1150+18333</f>
        <v>19483</v>
      </c>
      <c r="S37" s="40">
        <f>994+18334</f>
        <v>19328</v>
      </c>
      <c r="T37" s="40">
        <f>853+18338</f>
        <v>19191</v>
      </c>
      <c r="U37" s="40">
        <f>894+18715</f>
        <v>19609</v>
      </c>
      <c r="V37" s="88">
        <f>838+18811</f>
        <v>19649</v>
      </c>
      <c r="W37" s="40">
        <f>859+19029</f>
        <v>19888</v>
      </c>
      <c r="X37" s="40">
        <f>744+19031</f>
        <v>19775</v>
      </c>
      <c r="Y37" s="40">
        <f>623+19050</f>
        <v>19673</v>
      </c>
    </row>
    <row r="38" spans="1:25" s="40" customFormat="1" x14ac:dyDescent="0.15">
      <c r="A38" s="78" t="s">
        <v>83</v>
      </c>
      <c r="B38" s="8"/>
      <c r="C38" s="8"/>
      <c r="D38" s="8"/>
      <c r="E38" s="8"/>
      <c r="F38" s="4"/>
      <c r="G38" s="5"/>
      <c r="H38" s="5"/>
      <c r="I38" s="5"/>
      <c r="J38" s="4"/>
      <c r="K38" s="8"/>
      <c r="L38" s="8"/>
      <c r="M38" s="8">
        <v>84524</v>
      </c>
      <c r="N38" s="4">
        <v>88945</v>
      </c>
      <c r="O38" s="8">
        <v>90291</v>
      </c>
      <c r="P38" s="8">
        <v>92452</v>
      </c>
      <c r="Q38" s="9">
        <v>97334</v>
      </c>
      <c r="R38" s="88">
        <v>109477</v>
      </c>
      <c r="S38" s="40">
        <v>117006</v>
      </c>
      <c r="T38" s="40">
        <v>124418</v>
      </c>
      <c r="U38" s="40">
        <v>133376</v>
      </c>
      <c r="V38" s="88">
        <v>138371</v>
      </c>
      <c r="W38" s="40">
        <v>139691</v>
      </c>
      <c r="X38" s="40">
        <v>146437</v>
      </c>
      <c r="Y38" s="40">
        <v>159316</v>
      </c>
    </row>
    <row r="39" spans="1:25" s="40" customFormat="1" x14ac:dyDescent="0.15">
      <c r="A39" s="78" t="s">
        <v>84</v>
      </c>
      <c r="B39" s="8"/>
      <c r="C39" s="8"/>
      <c r="D39" s="8"/>
      <c r="E39" s="8"/>
      <c r="F39" s="4"/>
      <c r="G39" s="5"/>
      <c r="H39" s="5"/>
      <c r="I39" s="5"/>
      <c r="J39" s="4"/>
      <c r="K39" s="8"/>
      <c r="L39" s="8"/>
      <c r="M39" s="8">
        <v>10177</v>
      </c>
      <c r="N39" s="4">
        <v>11325</v>
      </c>
      <c r="O39" s="8">
        <v>10909</v>
      </c>
      <c r="P39" s="8">
        <v>12110</v>
      </c>
      <c r="Q39" s="9">
        <v>13207</v>
      </c>
      <c r="R39" s="88">
        <v>22961</v>
      </c>
      <c r="S39" s="40">
        <v>28244</v>
      </c>
      <c r="T39" s="40">
        <v>30419</v>
      </c>
      <c r="U39" s="40">
        <v>32322</v>
      </c>
      <c r="V39" s="88">
        <v>33067</v>
      </c>
      <c r="W39" s="40">
        <v>29244</v>
      </c>
      <c r="X39" s="40">
        <v>28706</v>
      </c>
      <c r="Y39" s="40">
        <v>31026</v>
      </c>
    </row>
    <row r="40" spans="1:25" s="40" customFormat="1" x14ac:dyDescent="0.15">
      <c r="A40" s="78"/>
      <c r="B40" s="8"/>
      <c r="C40" s="8"/>
      <c r="D40" s="8"/>
      <c r="E40" s="8"/>
      <c r="F40" s="4"/>
      <c r="G40" s="5"/>
      <c r="H40" s="5"/>
      <c r="I40" s="5"/>
      <c r="J40" s="4"/>
      <c r="K40" s="8"/>
      <c r="L40" s="8"/>
      <c r="M40" s="8"/>
      <c r="N40" s="4"/>
      <c r="O40" s="8"/>
      <c r="P40" s="8"/>
      <c r="Q40" s="9"/>
      <c r="R40" s="88"/>
      <c r="V40" s="88"/>
    </row>
    <row r="41" spans="1:25" s="40" customFormat="1" x14ac:dyDescent="0.15">
      <c r="A41" s="78" t="s">
        <v>85</v>
      </c>
      <c r="B41" s="8"/>
      <c r="C41" s="8"/>
      <c r="D41" s="8"/>
      <c r="E41" s="8"/>
      <c r="F41" s="4"/>
      <c r="G41" s="5"/>
      <c r="H41" s="5"/>
      <c r="I41" s="5"/>
      <c r="J41" s="4"/>
      <c r="K41" s="8"/>
      <c r="L41" s="8"/>
      <c r="M41" s="19">
        <f t="shared" ref="M41:X41" si="75">M38-M37-M34</f>
        <v>22708</v>
      </c>
      <c r="N41" s="20">
        <f t="shared" si="75"/>
        <v>24986</v>
      </c>
      <c r="O41" s="19">
        <f t="shared" si="75"/>
        <v>28146</v>
      </c>
      <c r="P41" s="19">
        <f t="shared" si="75"/>
        <v>31491</v>
      </c>
      <c r="Q41" s="19">
        <f t="shared" si="75"/>
        <v>36625</v>
      </c>
      <c r="R41" s="20">
        <f t="shared" si="75"/>
        <v>44751</v>
      </c>
      <c r="S41" s="19">
        <f t="shared" si="75"/>
        <v>49082</v>
      </c>
      <c r="T41" s="19">
        <f t="shared" si="75"/>
        <v>52958</v>
      </c>
      <c r="U41" s="19">
        <f t="shared" si="75"/>
        <v>58912</v>
      </c>
      <c r="V41" s="20">
        <f t="shared" si="75"/>
        <v>58433</v>
      </c>
      <c r="W41" s="19">
        <f t="shared" si="75"/>
        <v>61563</v>
      </c>
      <c r="X41" s="19">
        <f t="shared" si="75"/>
        <v>71042</v>
      </c>
      <c r="Y41" s="19">
        <f>Y38-Y37-Y34</f>
        <v>71454</v>
      </c>
    </row>
    <row r="42" spans="1:25" s="40" customFormat="1" x14ac:dyDescent="0.15">
      <c r="A42" s="78" t="s">
        <v>86</v>
      </c>
      <c r="B42" s="8"/>
      <c r="C42" s="8"/>
      <c r="D42" s="8"/>
      <c r="E42" s="8"/>
      <c r="F42" s="4"/>
      <c r="G42" s="5"/>
      <c r="H42" s="5"/>
      <c r="I42" s="5"/>
      <c r="J42" s="4"/>
      <c r="K42" s="8"/>
      <c r="L42" s="8"/>
      <c r="M42" s="19">
        <f t="shared" ref="M42:X42" si="76">M38-M39</f>
        <v>74347</v>
      </c>
      <c r="N42" s="20">
        <f t="shared" si="76"/>
        <v>77620</v>
      </c>
      <c r="O42" s="19">
        <f t="shared" si="76"/>
        <v>79382</v>
      </c>
      <c r="P42" s="19">
        <f t="shared" si="76"/>
        <v>80342</v>
      </c>
      <c r="Q42" s="19">
        <f t="shared" si="76"/>
        <v>84127</v>
      </c>
      <c r="R42" s="20">
        <f t="shared" si="76"/>
        <v>86516</v>
      </c>
      <c r="S42" s="19">
        <f t="shared" si="76"/>
        <v>88762</v>
      </c>
      <c r="T42" s="19">
        <f t="shared" si="76"/>
        <v>93999</v>
      </c>
      <c r="U42" s="19">
        <f t="shared" si="76"/>
        <v>101054</v>
      </c>
      <c r="V42" s="20">
        <f t="shared" si="76"/>
        <v>105304</v>
      </c>
      <c r="W42" s="19">
        <f t="shared" si="76"/>
        <v>110447</v>
      </c>
      <c r="X42" s="19">
        <f t="shared" si="76"/>
        <v>117731</v>
      </c>
      <c r="Y42" s="19">
        <f>Y38-Y39</f>
        <v>128290</v>
      </c>
    </row>
    <row r="43" spans="1:25" s="40" customFormat="1" x14ac:dyDescent="0.15">
      <c r="A43" s="78"/>
      <c r="B43" s="8"/>
      <c r="C43" s="8"/>
      <c r="D43" s="8"/>
      <c r="E43" s="8"/>
      <c r="F43" s="4"/>
      <c r="G43" s="5"/>
      <c r="H43" s="5"/>
      <c r="I43" s="5"/>
      <c r="J43" s="4"/>
      <c r="K43" s="8"/>
      <c r="L43" s="8"/>
      <c r="M43" s="8"/>
      <c r="N43" s="4"/>
      <c r="O43" s="8"/>
      <c r="P43" s="8"/>
      <c r="Q43" s="9"/>
      <c r="R43" s="88"/>
      <c r="V43" s="88"/>
    </row>
    <row r="44" spans="1:25" s="85" customFormat="1" x14ac:dyDescent="0.15">
      <c r="A44" s="84" t="s">
        <v>101</v>
      </c>
      <c r="B44" s="71"/>
      <c r="C44" s="71"/>
      <c r="D44" s="71"/>
      <c r="E44" s="16">
        <f t="shared" ref="E44:P44" si="77">SUM(B20:E20)</f>
        <v>3689</v>
      </c>
      <c r="F44" s="17">
        <f t="shared" si="77"/>
        <v>4687</v>
      </c>
      <c r="G44" s="16">
        <f t="shared" si="77"/>
        <v>6023</v>
      </c>
      <c r="H44" s="16">
        <f t="shared" si="77"/>
        <v>7506</v>
      </c>
      <c r="I44" s="16">
        <f t="shared" si="77"/>
        <v>9512</v>
      </c>
      <c r="J44" s="17">
        <f t="shared" si="77"/>
        <v>11066</v>
      </c>
      <c r="K44" s="16">
        <f t="shared" si="77"/>
        <v>12905</v>
      </c>
      <c r="L44" s="16">
        <f t="shared" si="77"/>
        <v>15233</v>
      </c>
      <c r="M44" s="16">
        <f t="shared" si="77"/>
        <v>15933</v>
      </c>
      <c r="N44" s="17">
        <f t="shared" si="77"/>
        <v>17857</v>
      </c>
      <c r="O44" s="16">
        <f t="shared" si="77"/>
        <v>19069</v>
      </c>
      <c r="P44" s="16">
        <f t="shared" si="77"/>
        <v>19499</v>
      </c>
      <c r="Q44" s="16">
        <f t="shared" ref="Q44:X44" si="78">SUM(N20:Q20)</f>
        <v>22113</v>
      </c>
      <c r="R44" s="17">
        <f t="shared" si="78"/>
        <v>19554</v>
      </c>
      <c r="S44" s="16">
        <f t="shared" si="78"/>
        <v>17064</v>
      </c>
      <c r="T44" s="16">
        <f t="shared" si="78"/>
        <v>18018</v>
      </c>
      <c r="U44" s="16">
        <f t="shared" si="78"/>
        <v>18485</v>
      </c>
      <c r="V44" s="17">
        <f t="shared" si="78"/>
        <v>20958</v>
      </c>
      <c r="W44" s="16">
        <f t="shared" si="78"/>
        <v>23520</v>
      </c>
      <c r="X44" s="16">
        <f t="shared" si="78"/>
        <v>25275</v>
      </c>
      <c r="Y44" s="16">
        <f>SUM(V20:Y20)</f>
        <v>29145</v>
      </c>
    </row>
    <row r="45" spans="1:25" x14ac:dyDescent="0.15">
      <c r="A45" s="36" t="s">
        <v>78</v>
      </c>
      <c r="B45" s="8"/>
      <c r="C45" s="8"/>
      <c r="D45" s="8"/>
      <c r="E45" s="8"/>
      <c r="F45" s="4"/>
      <c r="G45" s="5"/>
      <c r="H45" s="5"/>
      <c r="I45" s="5"/>
      <c r="J45" s="4"/>
      <c r="K45" s="8"/>
      <c r="L45" s="8"/>
      <c r="M45" s="72">
        <f t="shared" ref="M45:Y45" si="79">M44/M42</f>
        <v>0.21430588994848482</v>
      </c>
      <c r="N45" s="73">
        <f t="shared" si="79"/>
        <v>0.2300566864210255</v>
      </c>
      <c r="O45" s="72">
        <f t="shared" si="79"/>
        <v>0.24021818548285506</v>
      </c>
      <c r="P45" s="72">
        <f t="shared" si="79"/>
        <v>0.2426999576809141</v>
      </c>
      <c r="Q45" s="72">
        <f t="shared" si="79"/>
        <v>0.2628525919146053</v>
      </c>
      <c r="R45" s="73">
        <f t="shared" si="79"/>
        <v>0.22601599704100975</v>
      </c>
      <c r="S45" s="72">
        <f t="shared" si="79"/>
        <v>0.19224442892228658</v>
      </c>
      <c r="T45" s="72">
        <f t="shared" si="79"/>
        <v>0.19168289024351323</v>
      </c>
      <c r="U45" s="72">
        <f t="shared" si="79"/>
        <v>0.18292200209788825</v>
      </c>
      <c r="V45" s="73">
        <f t="shared" si="79"/>
        <v>0.19902377877383576</v>
      </c>
      <c r="W45" s="72">
        <f t="shared" si="79"/>
        <v>0.21295281899915797</v>
      </c>
      <c r="X45" s="72">
        <f t="shared" si="79"/>
        <v>0.21468432273572804</v>
      </c>
      <c r="Y45" s="72">
        <f t="shared" si="79"/>
        <v>0.22718060643853769</v>
      </c>
    </row>
    <row r="46" spans="1:25" x14ac:dyDescent="0.15">
      <c r="A46" s="36" t="s">
        <v>79</v>
      </c>
      <c r="B46" s="8"/>
      <c r="C46" s="8"/>
      <c r="D46" s="8"/>
      <c r="E46" s="8"/>
      <c r="F46" s="4"/>
      <c r="G46" s="5"/>
      <c r="H46" s="5"/>
      <c r="I46" s="5"/>
      <c r="J46" s="4"/>
      <c r="K46" s="8"/>
      <c r="L46" s="8"/>
      <c r="M46" s="72">
        <f t="shared" ref="M46:X46" si="80">M44/M38</f>
        <v>0.18850267379679145</v>
      </c>
      <c r="N46" s="73">
        <f t="shared" si="80"/>
        <v>0.20076451739839227</v>
      </c>
      <c r="O46" s="72">
        <f t="shared" si="80"/>
        <v>0.21119491422179398</v>
      </c>
      <c r="P46" s="72">
        <f t="shared" si="80"/>
        <v>0.21090944490113789</v>
      </c>
      <c r="Q46" s="72">
        <f t="shared" si="80"/>
        <v>0.22718680009041034</v>
      </c>
      <c r="R46" s="73">
        <f t="shared" si="80"/>
        <v>0.17861285932204937</v>
      </c>
      <c r="S46" s="72">
        <f t="shared" si="80"/>
        <v>0.14583867493974667</v>
      </c>
      <c r="T46" s="72">
        <f t="shared" si="80"/>
        <v>0.14481827388320018</v>
      </c>
      <c r="U46" s="72">
        <f t="shared" si="80"/>
        <v>0.13859315019193857</v>
      </c>
      <c r="V46" s="73">
        <f t="shared" si="80"/>
        <v>0.1514623728960548</v>
      </c>
      <c r="W46" s="72">
        <f t="shared" si="80"/>
        <v>0.16837162021891175</v>
      </c>
      <c r="X46" s="72">
        <f t="shared" si="80"/>
        <v>0.17259982108346933</v>
      </c>
      <c r="Y46" s="72">
        <f t="shared" ref="Y46" si="81">Y44/Y38</f>
        <v>0.1829383112807251</v>
      </c>
    </row>
    <row r="47" spans="1:25" x14ac:dyDescent="0.15">
      <c r="A47" s="36" t="s">
        <v>80</v>
      </c>
      <c r="B47" s="8"/>
      <c r="C47" s="8"/>
      <c r="D47" s="8"/>
      <c r="E47" s="8"/>
      <c r="F47" s="4"/>
      <c r="G47" s="5"/>
      <c r="H47" s="5"/>
      <c r="I47" s="5"/>
      <c r="J47" s="4"/>
      <c r="K47" s="8"/>
      <c r="L47" s="8"/>
      <c r="M47" s="72">
        <f t="shared" ref="M47:W47" si="82">M44/(M42-M37)</f>
        <v>0.29373916890970098</v>
      </c>
      <c r="N47" s="73">
        <f t="shared" si="82"/>
        <v>0.30992588992831976</v>
      </c>
      <c r="O47" s="72">
        <f t="shared" si="82"/>
        <v>0.3202398145971182</v>
      </c>
      <c r="P47" s="72">
        <f t="shared" si="82"/>
        <v>0.3218347170185023</v>
      </c>
      <c r="Q47" s="72">
        <f t="shared" si="82"/>
        <v>0.34266720386784849</v>
      </c>
      <c r="R47" s="73">
        <f t="shared" si="82"/>
        <v>0.29170706965226084</v>
      </c>
      <c r="S47" s="72">
        <f t="shared" si="82"/>
        <v>0.245758562087738</v>
      </c>
      <c r="T47" s="72">
        <f t="shared" si="82"/>
        <v>0.24085659287776709</v>
      </c>
      <c r="U47" s="72">
        <f t="shared" si="82"/>
        <v>0.22696298115292529</v>
      </c>
      <c r="V47" s="73">
        <f t="shared" si="82"/>
        <v>0.24467923647189305</v>
      </c>
      <c r="W47" s="72">
        <f t="shared" si="82"/>
        <v>0.2597201824225091</v>
      </c>
      <c r="X47" s="72">
        <f>X44/(X42-X37)</f>
        <v>0.25802401078035037</v>
      </c>
      <c r="Y47" s="72">
        <f t="shared" ref="Y47" si="83">Y44/(Y42-Y37)</f>
        <v>0.26832816225821005</v>
      </c>
    </row>
    <row r="48" spans="1:25" x14ac:dyDescent="0.15">
      <c r="A48" s="36" t="s">
        <v>81</v>
      </c>
      <c r="B48" s="8"/>
      <c r="C48" s="8"/>
      <c r="D48" s="8"/>
      <c r="E48" s="8"/>
      <c r="F48" s="4"/>
      <c r="G48" s="5"/>
      <c r="H48" s="5"/>
      <c r="I48" s="5"/>
      <c r="J48" s="4"/>
      <c r="K48" s="8"/>
      <c r="L48" s="8"/>
      <c r="M48" s="72">
        <f t="shared" ref="M48:X48" si="84">M44/M41</f>
        <v>0.70164699665316188</v>
      </c>
      <c r="N48" s="73">
        <f t="shared" si="84"/>
        <v>0.7146802209237173</v>
      </c>
      <c r="O48" s="72">
        <f t="shared" si="84"/>
        <v>0.67750301996731332</v>
      </c>
      <c r="P48" s="72">
        <f t="shared" si="84"/>
        <v>0.61919278524022736</v>
      </c>
      <c r="Q48" s="72">
        <f t="shared" si="84"/>
        <v>0.6037679180887372</v>
      </c>
      <c r="R48" s="73">
        <f t="shared" si="84"/>
        <v>0.43695112958369647</v>
      </c>
      <c r="S48" s="72">
        <f t="shared" si="84"/>
        <v>0.34766309441343057</v>
      </c>
      <c r="T48" s="72">
        <f t="shared" si="84"/>
        <v>0.34023188186865061</v>
      </c>
      <c r="U48" s="72">
        <f t="shared" si="84"/>
        <v>0.31377308527973929</v>
      </c>
      <c r="V48" s="73">
        <f t="shared" si="84"/>
        <v>0.35866719148426401</v>
      </c>
      <c r="W48" s="72">
        <f t="shared" si="84"/>
        <v>0.38204765849617467</v>
      </c>
      <c r="X48" s="72">
        <f t="shared" si="84"/>
        <v>0.35577545677205036</v>
      </c>
      <c r="Y48" s="72">
        <f t="shared" ref="Y48" si="85">Y44/Y41</f>
        <v>0.40788479301368713</v>
      </c>
    </row>
    <row r="49" spans="1:25" x14ac:dyDescent="0.15">
      <c r="Q49" s="29"/>
      <c r="X49" s="29"/>
      <c r="Y49" s="29"/>
    </row>
    <row r="50" spans="1:25" s="15" customFormat="1" x14ac:dyDescent="0.15">
      <c r="A50" s="77" t="s">
        <v>106</v>
      </c>
      <c r="B50" s="93"/>
      <c r="C50" s="92"/>
      <c r="D50" s="92"/>
      <c r="E50" s="18">
        <f>SUM(B9:E9)</f>
        <v>17927</v>
      </c>
      <c r="F50" s="17">
        <f>SUM(C9:F9)</f>
        <v>19766</v>
      </c>
      <c r="G50" s="18">
        <f>SUM(D9:G9)</f>
        <v>22160</v>
      </c>
      <c r="H50" s="18">
        <f>SUM(E9:H9)</f>
        <v>24670</v>
      </c>
      <c r="I50" s="18">
        <f>SUM(F9:I9)</f>
        <v>27638</v>
      </c>
      <c r="J50" s="17">
        <f>SUM(G9:J9)</f>
        <v>30288</v>
      </c>
      <c r="K50" s="18">
        <f>SUM(H9:K9)</f>
        <v>33173</v>
      </c>
      <c r="L50" s="18">
        <f>SUM(I9:L9)</f>
        <v>36490</v>
      </c>
      <c r="M50" s="18">
        <f>SUM(J9:M9)</f>
        <v>40653</v>
      </c>
      <c r="N50" s="17">
        <f>SUM(K9:N9)</f>
        <v>44587</v>
      </c>
      <c r="O50" s="18">
        <f>SUM(L9:O9)</f>
        <v>48497</v>
      </c>
      <c r="P50" s="18">
        <f>SUM(M9:P9)</f>
        <v>51896</v>
      </c>
      <c r="Q50" s="18">
        <f>SUM(N9:Q9)</f>
        <v>55838</v>
      </c>
      <c r="R50" s="17">
        <f>SUM(O9:R9)</f>
        <v>58949</v>
      </c>
      <c r="S50" s="18">
        <f>SUM(P9:S9)</f>
        <v>62604</v>
      </c>
      <c r="T50" s="18">
        <f>SUM(Q9:T9)</f>
        <v>66529</v>
      </c>
      <c r="U50" s="18">
        <f>SUM(R9:U9)</f>
        <v>70697</v>
      </c>
      <c r="V50" s="17">
        <f>SUM(S9:V9)</f>
        <v>73357</v>
      </c>
      <c r="W50" s="18">
        <f>SUM(T9:W9)</f>
        <v>75158</v>
      </c>
      <c r="X50" s="18">
        <f>SUM(U9:X9)</f>
        <v>78976</v>
      </c>
      <c r="Y50" s="18">
        <f>SUM(V9:Y9)</f>
        <v>85966</v>
      </c>
    </row>
    <row r="51" spans="1:25" s="97" customFormat="1" x14ac:dyDescent="0.15">
      <c r="A51" s="94" t="s">
        <v>107</v>
      </c>
      <c r="B51" s="95"/>
      <c r="C51" s="95"/>
      <c r="D51" s="95"/>
      <c r="E51" s="95"/>
      <c r="F51" s="98"/>
      <c r="G51" s="96"/>
      <c r="H51" s="96"/>
      <c r="I51" s="96">
        <f>I50/E50-1</f>
        <v>0.54169688179840469</v>
      </c>
      <c r="J51" s="98">
        <f>J50/F50-1</f>
        <v>0.53232824041283022</v>
      </c>
      <c r="K51" s="96">
        <f>K50/G50-1</f>
        <v>0.49697653429602884</v>
      </c>
      <c r="L51" s="96">
        <f>L50/H50-1</f>
        <v>0.47912444264288601</v>
      </c>
      <c r="M51" s="96">
        <f>M50/I50-1</f>
        <v>0.47090961719371882</v>
      </c>
      <c r="N51" s="98">
        <f>N50/J50-1</f>
        <v>0.47210116217643949</v>
      </c>
      <c r="O51" s="96">
        <f>O50/K50-1</f>
        <v>0.461941940734935</v>
      </c>
      <c r="P51" s="96">
        <f>P50/L50-1</f>
        <v>0.42219786242806245</v>
      </c>
      <c r="Q51" s="96">
        <f>Q50/M50-1</f>
        <v>0.37352716896661997</v>
      </c>
      <c r="R51" s="98">
        <f>R50/N50-1</f>
        <v>0.3221118263170879</v>
      </c>
      <c r="S51" s="96">
        <f>S50/O50-1</f>
        <v>0.29088397220446627</v>
      </c>
      <c r="T51" s="96">
        <f>T50/P50-1</f>
        <v>0.28196778171728076</v>
      </c>
      <c r="U51" s="96">
        <f>U50/Q50-1</f>
        <v>0.26610910132884413</v>
      </c>
      <c r="V51" s="98">
        <f>V50/R50-1</f>
        <v>0.24441466352270602</v>
      </c>
      <c r="W51" s="96">
        <f>W50/S50-1</f>
        <v>0.20053031755159423</v>
      </c>
      <c r="X51" s="96">
        <f>X50/T50-1</f>
        <v>0.18709134362458468</v>
      </c>
      <c r="Y51" s="96">
        <f>Y50/U50-1</f>
        <v>0.21597804715900248</v>
      </c>
    </row>
    <row r="52" spans="1:25" x14ac:dyDescent="0.15">
      <c r="Q52" s="29"/>
      <c r="X52" s="29"/>
      <c r="Y52" s="29"/>
    </row>
    <row r="53" spans="1:25" x14ac:dyDescent="0.15">
      <c r="A53" s="36" t="s">
        <v>73</v>
      </c>
      <c r="B53" s="29"/>
      <c r="C53" s="32"/>
      <c r="D53" s="32"/>
      <c r="E53" s="32"/>
      <c r="F53" s="31">
        <f t="shared" ref="F53:Q53" si="86">F6/B6-1</f>
        <v>0.16452991452991461</v>
      </c>
      <c r="G53" s="32">
        <f t="shared" si="86"/>
        <v>0.1673553719008265</v>
      </c>
      <c r="H53" s="32">
        <f t="shared" si="86"/>
        <v>0.16831683168316824</v>
      </c>
      <c r="I53" s="32">
        <f t="shared" si="86"/>
        <v>0.18269230769230771</v>
      </c>
      <c r="J53" s="31">
        <f t="shared" si="86"/>
        <v>0.17431192660550465</v>
      </c>
      <c r="K53" s="32">
        <f t="shared" si="86"/>
        <v>0.16814159292035402</v>
      </c>
      <c r="L53" s="32">
        <f t="shared" si="86"/>
        <v>0.16101694915254239</v>
      </c>
      <c r="M53" s="32">
        <f t="shared" si="86"/>
        <v>0.13821138211382111</v>
      </c>
      <c r="N53" s="31">
        <f t="shared" si="86"/>
        <v>0.1328125</v>
      </c>
      <c r="O53" s="32">
        <f t="shared" si="86"/>
        <v>0.11363636363636354</v>
      </c>
      <c r="P53" s="32">
        <f t="shared" si="86"/>
        <v>8.7591240875912302E-2</v>
      </c>
      <c r="Q53" s="32">
        <f t="shared" si="86"/>
        <v>8.5714285714285632E-2</v>
      </c>
      <c r="R53" s="31">
        <f t="shared" ref="R53:U53" si="87">R6/N6-1</f>
        <v>7.5862068965517171E-2</v>
      </c>
      <c r="S53" s="32">
        <f t="shared" si="87"/>
        <v>8.163265306122458E-2</v>
      </c>
      <c r="T53" s="32">
        <f t="shared" si="87"/>
        <v>8.7248322147650992E-2</v>
      </c>
      <c r="U53" s="32">
        <f t="shared" si="87"/>
        <v>9.210526315789469E-2</v>
      </c>
      <c r="V53" s="31">
        <f t="shared" ref="V53:Y53" si="88">V6/R6-1</f>
        <v>0.10897435897435903</v>
      </c>
      <c r="W53" s="32">
        <f t="shared" si="88"/>
        <v>0.12578616352201255</v>
      </c>
      <c r="X53" s="32">
        <f t="shared" si="88"/>
        <v>0.12345679012345689</v>
      </c>
      <c r="Y53" s="32">
        <f t="shared" si="88"/>
        <v>0.10843373493975905</v>
      </c>
    </row>
    <row r="54" spans="1:25" x14ac:dyDescent="0.15">
      <c r="A54" s="36" t="s">
        <v>75</v>
      </c>
      <c r="B54" s="29"/>
      <c r="C54" s="10"/>
      <c r="D54" s="29"/>
      <c r="E54" s="29"/>
      <c r="F54" s="31">
        <f>F7/B7-1</f>
        <v>0.30443334446783554</v>
      </c>
      <c r="G54" s="30">
        <f>G7/C7-1</f>
        <v>0.36400712868859286</v>
      </c>
      <c r="H54" s="30">
        <f t="shared" ref="H54:P54" si="89">H7/D7-1</f>
        <v>0.33324609597114008</v>
      </c>
      <c r="I54" s="30">
        <f t="shared" si="89"/>
        <v>0.27516866334559609</v>
      </c>
      <c r="J54" s="31">
        <f t="shared" si="89"/>
        <v>0.27085655890003713</v>
      </c>
      <c r="K54" s="30">
        <f t="shared" si="89"/>
        <v>0.23979815243799085</v>
      </c>
      <c r="L54" s="30">
        <f t="shared" si="89"/>
        <v>0.26881324134025064</v>
      </c>
      <c r="M54" s="30">
        <f t="shared" si="89"/>
        <v>0.29377098097724708</v>
      </c>
      <c r="N54" s="31">
        <f t="shared" si="89"/>
        <v>0.31512570408023066</v>
      </c>
      <c r="O54" s="30">
        <f t="shared" si="89"/>
        <v>0.2746376954386518</v>
      </c>
      <c r="P54" s="30">
        <f t="shared" si="89"/>
        <v>0.22206330351062342</v>
      </c>
      <c r="Q54" s="30">
        <f t="shared" ref="Q54:Y54" si="90">Q7/M7-1</f>
        <v>0.20094697891815594</v>
      </c>
      <c r="R54" s="31">
        <f t="shared" si="90"/>
        <v>0.17114141777772063</v>
      </c>
      <c r="S54" s="30">
        <f t="shared" si="90"/>
        <v>0.17992479069309786</v>
      </c>
      <c r="T54" s="30">
        <f t="shared" si="90"/>
        <v>0.18274069217465438</v>
      </c>
      <c r="U54" s="30">
        <f t="shared" si="90"/>
        <v>0.14130306255173219</v>
      </c>
      <c r="V54" s="31">
        <f t="shared" si="90"/>
        <v>6.0824952143543554E-2</v>
      </c>
      <c r="W54" s="30">
        <f t="shared" si="90"/>
        <v>-1.69923582194631E-2</v>
      </c>
      <c r="X54" s="30">
        <f t="shared" si="90"/>
        <v>8.2634225054347477E-2</v>
      </c>
      <c r="Y54" s="30">
        <f t="shared" si="90"/>
        <v>0.20130092434097913</v>
      </c>
    </row>
    <row r="55" spans="1:25" x14ac:dyDescent="0.15">
      <c r="F55" s="4"/>
      <c r="Q55" s="29"/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1FB94-0AB3-414C-B878-F515704013C0}">
  <dimension ref="B4:B9"/>
  <sheetViews>
    <sheetView zoomScale="120" zoomScaleNormal="120" workbookViewId="0">
      <selection activeCell="B10" sqref="B10"/>
    </sheetView>
  </sheetViews>
  <sheetFormatPr baseColWidth="10" defaultRowHeight="13" x14ac:dyDescent="0.15"/>
  <cols>
    <col min="1" max="1" width="10.83203125" style="7"/>
    <col min="2" max="2" width="10.5" style="7" bestFit="1" customWidth="1"/>
    <col min="3" max="16384" width="10.83203125" style="7"/>
  </cols>
  <sheetData>
    <row r="4" spans="2:2" x14ac:dyDescent="0.15">
      <c r="B4" s="75" t="s">
        <v>87</v>
      </c>
    </row>
    <row r="6" spans="2:2" x14ac:dyDescent="0.15">
      <c r="B6" s="7" t="s">
        <v>88</v>
      </c>
    </row>
    <row r="7" spans="2:2" x14ac:dyDescent="0.15">
      <c r="B7" s="7" t="s">
        <v>89</v>
      </c>
    </row>
    <row r="8" spans="2:2" x14ac:dyDescent="0.15">
      <c r="B8" s="7" t="s">
        <v>90</v>
      </c>
    </row>
    <row r="9" spans="2:2" x14ac:dyDescent="0.15">
      <c r="B9" s="7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2021-02-27T23:26:01Z</dcterms:modified>
</cp:coreProperties>
</file>