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F0A38BE2-38AD-4E47-8BB5-A3C3CECBFDBE}" xr6:coauthVersionLast="46" xr6:coauthVersionMax="46" xr10:uidLastSave="{00000000-0000-0000-0000-000000000000}"/>
  <bookViews>
    <workbookView xWindow="-51300" yWindow="-5940" windowWidth="25640" windowHeight="26900" tabRatio="500" xr2:uid="{00000000-000D-0000-FFFF-FFFF00000000}"/>
  </bookViews>
  <sheets>
    <sheet name="Main" sheetId="2" r:id="rId1"/>
    <sheet name="Reports B KRW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2" i="2" l="1"/>
  <c r="E26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C5" i="2"/>
  <c r="E66" i="2"/>
  <c r="D66" i="2"/>
  <c r="C66" i="2"/>
  <c r="E64" i="2"/>
  <c r="D64" i="2"/>
  <c r="C38" i="2"/>
  <c r="C34" i="2"/>
  <c r="C64" i="2"/>
  <c r="D62" i="2"/>
  <c r="C62" i="2"/>
  <c r="B62" i="2"/>
  <c r="E61" i="2"/>
  <c r="D61" i="2"/>
  <c r="C61" i="2"/>
  <c r="B61" i="2"/>
  <c r="C4" i="2" l="1"/>
  <c r="E46" i="2"/>
  <c r="E45" i="2"/>
  <c r="E44" i="2"/>
  <c r="E42" i="2"/>
  <c r="E41" i="2"/>
  <c r="D46" i="2"/>
  <c r="D45" i="2"/>
  <c r="D44" i="2"/>
  <c r="D42" i="2"/>
  <c r="D41" i="2"/>
  <c r="C46" i="2"/>
  <c r="C45" i="2"/>
  <c r="C44" i="2"/>
  <c r="C42" i="2"/>
  <c r="C41" i="2"/>
  <c r="C40" i="2" s="1"/>
  <c r="E25" i="2"/>
  <c r="E23" i="2"/>
  <c r="E20" i="2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E19" i="2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E18" i="2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E16" i="2"/>
  <c r="E13" i="2"/>
  <c r="E57" i="2" s="1"/>
  <c r="E12" i="2"/>
  <c r="E15" i="2" s="1"/>
  <c r="D15" i="2"/>
  <c r="D25" i="2"/>
  <c r="D23" i="2"/>
  <c r="D20" i="2"/>
  <c r="D19" i="2"/>
  <c r="D18" i="2"/>
  <c r="D16" i="2"/>
  <c r="D13" i="2"/>
  <c r="D12" i="2"/>
  <c r="C25" i="2"/>
  <c r="C23" i="2"/>
  <c r="C20" i="2"/>
  <c r="C19" i="2"/>
  <c r="C18" i="2"/>
  <c r="C16" i="2"/>
  <c r="C13" i="2"/>
  <c r="C12" i="2"/>
  <c r="C15" i="2" s="1"/>
  <c r="B25" i="2"/>
  <c r="B23" i="2"/>
  <c r="B21" i="2"/>
  <c r="C11" i="2"/>
  <c r="B15" i="2"/>
  <c r="E14" i="1"/>
  <c r="D14" i="1"/>
  <c r="C14" i="1"/>
  <c r="B14" i="1"/>
  <c r="E13" i="1"/>
  <c r="D13" i="1"/>
  <c r="C13" i="1"/>
  <c r="B13" i="1"/>
  <c r="Q33" i="1"/>
  <c r="Q32" i="1"/>
  <c r="Q29" i="1"/>
  <c r="Q28" i="1"/>
  <c r="Q27" i="1"/>
  <c r="Q26" i="1"/>
  <c r="Q25" i="1"/>
  <c r="Q23" i="1"/>
  <c r="Q22" i="1"/>
  <c r="Q21" i="1"/>
  <c r="K49" i="1"/>
  <c r="K48" i="1"/>
  <c r="J49" i="1"/>
  <c r="J48" i="1"/>
  <c r="L49" i="1"/>
  <c r="L48" i="1"/>
  <c r="M49" i="1"/>
  <c r="M48" i="1"/>
  <c r="N49" i="1"/>
  <c r="N48" i="1"/>
  <c r="O49" i="1"/>
  <c r="O48" i="1"/>
  <c r="P49" i="1"/>
  <c r="P48" i="1"/>
  <c r="Q42" i="1"/>
  <c r="Q40" i="1"/>
  <c r="Q39" i="1"/>
  <c r="M33" i="1"/>
  <c r="M32" i="1"/>
  <c r="I33" i="1"/>
  <c r="I32" i="1"/>
  <c r="Q14" i="1"/>
  <c r="P14" i="1"/>
  <c r="O14" i="1"/>
  <c r="N14" i="1"/>
  <c r="Q15" i="1"/>
  <c r="Q17" i="1" s="1"/>
  <c r="Q18" i="1" s="1"/>
  <c r="Q13" i="1"/>
  <c r="Q12" i="1"/>
  <c r="Q11" i="1"/>
  <c r="Q8" i="1"/>
  <c r="P11" i="1"/>
  <c r="O11" i="1"/>
  <c r="N11" i="1"/>
  <c r="M14" i="1"/>
  <c r="L14" i="1"/>
  <c r="K14" i="1"/>
  <c r="J14" i="1"/>
  <c r="M11" i="1"/>
  <c r="L11" i="1"/>
  <c r="K11" i="1"/>
  <c r="J11" i="1"/>
  <c r="I14" i="1"/>
  <c r="H14" i="1"/>
  <c r="G14" i="1"/>
  <c r="F14" i="1"/>
  <c r="I11" i="1"/>
  <c r="H11" i="1"/>
  <c r="G11" i="1"/>
  <c r="F11" i="1"/>
  <c r="H6" i="1"/>
  <c r="G6" i="1"/>
  <c r="L6" i="1"/>
  <c r="K6" i="1"/>
  <c r="I6" i="1"/>
  <c r="F6" i="1"/>
  <c r="J6" i="1"/>
  <c r="Q70" i="1"/>
  <c r="Q69" i="1"/>
  <c r="Q68" i="1"/>
  <c r="Q67" i="1"/>
  <c r="Q65" i="1"/>
  <c r="Q64" i="1"/>
  <c r="Q63" i="1"/>
  <c r="M52" i="1"/>
  <c r="N52" i="1"/>
  <c r="O52" i="1"/>
  <c r="P52" i="1"/>
  <c r="Q52" i="1"/>
  <c r="Q49" i="1"/>
  <c r="Q48" i="1"/>
  <c r="Q6" i="1"/>
  <c r="P6" i="1"/>
  <c r="P8" i="1" s="1"/>
  <c r="O6" i="1"/>
  <c r="N6" i="1"/>
  <c r="M6" i="1"/>
  <c r="O27" i="1"/>
  <c r="O26" i="1"/>
  <c r="O12" i="1"/>
  <c r="P27" i="1"/>
  <c r="P26" i="1"/>
  <c r="D56" i="2" l="1"/>
  <c r="D57" i="2"/>
  <c r="B22" i="2"/>
  <c r="F12" i="2"/>
  <c r="F13" i="2"/>
  <c r="D36" i="2"/>
  <c r="P19" i="2"/>
  <c r="Q19" i="2" s="1"/>
  <c r="R19" i="2" s="1"/>
  <c r="S19" i="2" s="1"/>
  <c r="T19" i="2" s="1"/>
  <c r="D35" i="2"/>
  <c r="C21" i="2"/>
  <c r="E35" i="2"/>
  <c r="E37" i="2"/>
  <c r="B24" i="2"/>
  <c r="B26" i="2" s="1"/>
  <c r="B30" i="2"/>
  <c r="Q46" i="1"/>
  <c r="Q43" i="1"/>
  <c r="Q31" i="1"/>
  <c r="Q45" i="1"/>
  <c r="Q44" i="1"/>
  <c r="C48" i="2"/>
  <c r="C49" i="2"/>
  <c r="P12" i="1"/>
  <c r="P13" i="1" s="1"/>
  <c r="P21" i="1"/>
  <c r="O8" i="1"/>
  <c r="O21" i="1" s="1"/>
  <c r="N27" i="1"/>
  <c r="N26" i="1"/>
  <c r="N12" i="1"/>
  <c r="F57" i="2" l="1"/>
  <c r="G13" i="2"/>
  <c r="F56" i="2"/>
  <c r="F15" i="2"/>
  <c r="G12" i="2"/>
  <c r="B31" i="2"/>
  <c r="B32" i="2"/>
  <c r="B27" i="2"/>
  <c r="M12" i="1"/>
  <c r="N8" i="1"/>
  <c r="N21" i="1" s="1"/>
  <c r="M8" i="1"/>
  <c r="P15" i="1"/>
  <c r="P22" i="1"/>
  <c r="O13" i="1"/>
  <c r="F28" i="2"/>
  <c r="Q36" i="2"/>
  <c r="M27" i="1"/>
  <c r="M26" i="1"/>
  <c r="M40" i="1"/>
  <c r="M31" i="1"/>
  <c r="G56" i="2" l="1"/>
  <c r="H12" i="2"/>
  <c r="G15" i="2"/>
  <c r="H13" i="2"/>
  <c r="G57" i="2"/>
  <c r="M13" i="1"/>
  <c r="M15" i="1" s="1"/>
  <c r="N13" i="1"/>
  <c r="O22" i="1"/>
  <c r="O15" i="1"/>
  <c r="P23" i="1"/>
  <c r="P17" i="1"/>
  <c r="P18" i="1" s="1"/>
  <c r="E49" i="2"/>
  <c r="M39" i="1"/>
  <c r="E40" i="2"/>
  <c r="E56" i="2"/>
  <c r="N28" i="1"/>
  <c r="J27" i="1"/>
  <c r="J26" i="1"/>
  <c r="K27" i="1"/>
  <c r="K26" i="1"/>
  <c r="L27" i="1"/>
  <c r="L26" i="1"/>
  <c r="I13" i="2" l="1"/>
  <c r="H57" i="2"/>
  <c r="H15" i="2"/>
  <c r="I12" i="2"/>
  <c r="H56" i="2"/>
  <c r="S36" i="2"/>
  <c r="F23" i="2"/>
  <c r="F35" i="2"/>
  <c r="J28" i="1"/>
  <c r="M28" i="1"/>
  <c r="P28" i="1"/>
  <c r="N22" i="1"/>
  <c r="N15" i="1"/>
  <c r="N25" i="1"/>
  <c r="P25" i="1"/>
  <c r="K28" i="1"/>
  <c r="O28" i="1"/>
  <c r="K8" i="1"/>
  <c r="K21" i="1" s="1"/>
  <c r="O25" i="1"/>
  <c r="R36" i="2"/>
  <c r="O17" i="1"/>
  <c r="O23" i="1"/>
  <c r="E48" i="2"/>
  <c r="M25" i="1"/>
  <c r="L28" i="1"/>
  <c r="J12" i="1"/>
  <c r="L12" i="1"/>
  <c r="K12" i="1"/>
  <c r="E21" i="1"/>
  <c r="J8" i="1"/>
  <c r="H12" i="1"/>
  <c r="I12" i="1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I39" i="1"/>
  <c r="I40" i="1"/>
  <c r="I31" i="1"/>
  <c r="J25" i="1"/>
  <c r="F12" i="1"/>
  <c r="F29" i="1" s="1"/>
  <c r="G12" i="1"/>
  <c r="G13" i="1" s="1"/>
  <c r="K25" i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I15" i="2" l="1"/>
  <c r="J12" i="2"/>
  <c r="I56" i="2"/>
  <c r="J13" i="2"/>
  <c r="J57" i="2" s="1"/>
  <c r="I57" i="2"/>
  <c r="T36" i="2"/>
  <c r="G35" i="2"/>
  <c r="H29" i="1"/>
  <c r="G29" i="1"/>
  <c r="F34" i="2"/>
  <c r="L29" i="1"/>
  <c r="P29" i="1"/>
  <c r="J29" i="1"/>
  <c r="N29" i="1"/>
  <c r="I29" i="1"/>
  <c r="M29" i="1"/>
  <c r="N23" i="1"/>
  <c r="N17" i="1"/>
  <c r="N18" i="1" s="1"/>
  <c r="K13" i="1"/>
  <c r="K22" i="1" s="1"/>
  <c r="K29" i="1"/>
  <c r="O29" i="1"/>
  <c r="O18" i="1"/>
  <c r="P11" i="2"/>
  <c r="Q11" i="2" s="1"/>
  <c r="R11" i="2" s="1"/>
  <c r="S11" i="2" s="1"/>
  <c r="T11" i="2" s="1"/>
  <c r="T37" i="2"/>
  <c r="E21" i="2"/>
  <c r="D40" i="2"/>
  <c r="D49" i="2"/>
  <c r="E22" i="1"/>
  <c r="E15" i="1"/>
  <c r="J21" i="1"/>
  <c r="J13" i="1"/>
  <c r="H25" i="1"/>
  <c r="D21" i="2"/>
  <c r="L25" i="1"/>
  <c r="L8" i="1"/>
  <c r="C6" i="2"/>
  <c r="C7" i="2" s="1"/>
  <c r="E36" i="2"/>
  <c r="I8" i="1"/>
  <c r="C21" i="1"/>
  <c r="F8" i="1"/>
  <c r="F25" i="1"/>
  <c r="G8" i="1"/>
  <c r="G25" i="1"/>
  <c r="I25" i="1"/>
  <c r="H8" i="1"/>
  <c r="D37" i="2"/>
  <c r="D48" i="2"/>
  <c r="J56" i="2" l="1"/>
  <c r="J15" i="2"/>
  <c r="H35" i="2"/>
  <c r="K15" i="2"/>
  <c r="L15" i="2" s="1"/>
  <c r="M15" i="2" s="1"/>
  <c r="N15" i="2" s="1"/>
  <c r="O15" i="2" s="1"/>
  <c r="G34" i="2"/>
  <c r="K15" i="1"/>
  <c r="K23" i="1" s="1"/>
  <c r="E38" i="2"/>
  <c r="E17" i="1"/>
  <c r="E18" i="1" s="1"/>
  <c r="E23" i="1"/>
  <c r="J22" i="1"/>
  <c r="J15" i="1"/>
  <c r="L21" i="1"/>
  <c r="L13" i="1"/>
  <c r="F37" i="2"/>
  <c r="B21" i="1"/>
  <c r="G21" i="1"/>
  <c r="C15" i="1"/>
  <c r="C22" i="1"/>
  <c r="I13" i="1"/>
  <c r="I21" i="1"/>
  <c r="D38" i="2"/>
  <c r="F36" i="2"/>
  <c r="D21" i="1"/>
  <c r="F21" i="2"/>
  <c r="F38" i="2" s="1"/>
  <c r="F13" i="1"/>
  <c r="F21" i="1"/>
  <c r="H13" i="1"/>
  <c r="H21" i="1"/>
  <c r="K17" i="1" l="1"/>
  <c r="I35" i="2"/>
  <c r="Q37" i="2"/>
  <c r="E17" i="2"/>
  <c r="E22" i="2" s="1"/>
  <c r="E24" i="2" s="1"/>
  <c r="M21" i="1"/>
  <c r="D34" i="2"/>
  <c r="J17" i="1"/>
  <c r="J23" i="1"/>
  <c r="K18" i="1"/>
  <c r="L22" i="1"/>
  <c r="L15" i="1"/>
  <c r="I15" i="1"/>
  <c r="I22" i="1"/>
  <c r="C17" i="1"/>
  <c r="C23" i="1"/>
  <c r="H15" i="1"/>
  <c r="H22" i="1"/>
  <c r="G22" i="1"/>
  <c r="G15" i="1"/>
  <c r="F22" i="1"/>
  <c r="F15" i="1"/>
  <c r="G37" i="2"/>
  <c r="D22" i="1"/>
  <c r="D15" i="1"/>
  <c r="G36" i="2"/>
  <c r="D17" i="2"/>
  <c r="B15" i="1"/>
  <c r="B22" i="1"/>
  <c r="G21" i="2"/>
  <c r="G38" i="2" s="1"/>
  <c r="J35" i="2" l="1"/>
  <c r="J21" i="2"/>
  <c r="R37" i="2"/>
  <c r="M22" i="1"/>
  <c r="C17" i="2"/>
  <c r="C30" i="2" s="1"/>
  <c r="J18" i="1"/>
  <c r="L23" i="1"/>
  <c r="L17" i="1"/>
  <c r="H21" i="2"/>
  <c r="H38" i="2" s="1"/>
  <c r="D22" i="2"/>
  <c r="D30" i="2"/>
  <c r="E34" i="2"/>
  <c r="H17" i="1"/>
  <c r="H18" i="1" s="1"/>
  <c r="H23" i="1"/>
  <c r="C18" i="1"/>
  <c r="I23" i="1"/>
  <c r="I17" i="1"/>
  <c r="I18" i="1" s="1"/>
  <c r="D23" i="1"/>
  <c r="D17" i="1"/>
  <c r="F23" i="1"/>
  <c r="F17" i="1"/>
  <c r="G17" i="1"/>
  <c r="G18" i="1" s="1"/>
  <c r="G23" i="1"/>
  <c r="H36" i="2"/>
  <c r="B23" i="1"/>
  <c r="B17" i="1"/>
  <c r="H37" i="2"/>
  <c r="K35" i="2" l="1"/>
  <c r="P15" i="2"/>
  <c r="Q15" i="2" s="1"/>
  <c r="R15" i="2" s="1"/>
  <c r="S37" i="2"/>
  <c r="M23" i="1"/>
  <c r="M17" i="1"/>
  <c r="C22" i="2"/>
  <c r="C24" i="2" s="1"/>
  <c r="L18" i="1"/>
  <c r="I42" i="1"/>
  <c r="F18" i="1"/>
  <c r="I21" i="2"/>
  <c r="I38" i="2" s="1"/>
  <c r="I37" i="2"/>
  <c r="I36" i="2"/>
  <c r="D18" i="1"/>
  <c r="D31" i="2"/>
  <c r="D24" i="2"/>
  <c r="B18" i="1"/>
  <c r="L35" i="2" l="1"/>
  <c r="Q34" i="2"/>
  <c r="M18" i="1"/>
  <c r="S15" i="2"/>
  <c r="T15" i="2" s="1"/>
  <c r="R34" i="2"/>
  <c r="M42" i="1"/>
  <c r="C31" i="2"/>
  <c r="E30" i="2"/>
  <c r="J36" i="2"/>
  <c r="I46" i="1"/>
  <c r="I45" i="1"/>
  <c r="I44" i="1"/>
  <c r="I43" i="1"/>
  <c r="J37" i="2"/>
  <c r="D26" i="2"/>
  <c r="D27" i="2" s="1"/>
  <c r="D32" i="2"/>
  <c r="J38" i="2"/>
  <c r="C32" i="2"/>
  <c r="E31" i="2"/>
  <c r="T34" i="2" l="1"/>
  <c r="M35" i="2"/>
  <c r="S34" i="2"/>
  <c r="M45" i="1"/>
  <c r="M44" i="1"/>
  <c r="M46" i="1"/>
  <c r="M43" i="1"/>
  <c r="F17" i="2"/>
  <c r="F16" i="2" s="1"/>
  <c r="D54" i="2"/>
  <c r="D53" i="2"/>
  <c r="D52" i="2"/>
  <c r="D51" i="2"/>
  <c r="K37" i="2"/>
  <c r="K36" i="2"/>
  <c r="K21" i="2"/>
  <c r="K38" i="2" s="1"/>
  <c r="E32" i="2"/>
  <c r="H34" i="2"/>
  <c r="C26" i="2"/>
  <c r="C27" i="2" s="1"/>
  <c r="N35" i="2" l="1"/>
  <c r="C52" i="2"/>
  <c r="C54" i="2"/>
  <c r="C53" i="2"/>
  <c r="C51" i="2"/>
  <c r="F30" i="2"/>
  <c r="G17" i="2" s="1"/>
  <c r="G16" i="2" s="1"/>
  <c r="F22" i="2"/>
  <c r="F31" i="2" s="1"/>
  <c r="E27" i="2"/>
  <c r="L36" i="2"/>
  <c r="L37" i="2"/>
  <c r="I34" i="2"/>
  <c r="L21" i="2"/>
  <c r="L38" i="2" s="1"/>
  <c r="P18" i="2" l="1"/>
  <c r="O35" i="2"/>
  <c r="G22" i="2"/>
  <c r="G31" i="2" s="1"/>
  <c r="G30" i="2"/>
  <c r="H17" i="2" s="1"/>
  <c r="H22" i="2" s="1"/>
  <c r="H31" i="2" s="1"/>
  <c r="E52" i="2"/>
  <c r="E53" i="2"/>
  <c r="E54" i="2"/>
  <c r="E51" i="2"/>
  <c r="M37" i="2"/>
  <c r="M21" i="2"/>
  <c r="M38" i="2" s="1"/>
  <c r="J34" i="2"/>
  <c r="F24" i="2"/>
  <c r="M36" i="2"/>
  <c r="Q18" i="2" l="1"/>
  <c r="P35" i="2"/>
  <c r="H16" i="2"/>
  <c r="H30" i="2"/>
  <c r="I17" i="2" s="1"/>
  <c r="I16" i="2" s="1"/>
  <c r="F32" i="2"/>
  <c r="K34" i="2"/>
  <c r="N21" i="2"/>
  <c r="N38" i="2" s="1"/>
  <c r="N36" i="2"/>
  <c r="N37" i="2"/>
  <c r="R18" i="2" l="1"/>
  <c r="Q35" i="2"/>
  <c r="Q21" i="2"/>
  <c r="I30" i="2"/>
  <c r="J17" i="2" s="1"/>
  <c r="J22" i="2" s="1"/>
  <c r="J31" i="2" s="1"/>
  <c r="I22" i="2"/>
  <c r="I31" i="2" s="1"/>
  <c r="F26" i="2"/>
  <c r="O36" i="2"/>
  <c r="P36" i="2"/>
  <c r="O21" i="2"/>
  <c r="O38" i="2" s="1"/>
  <c r="L34" i="2"/>
  <c r="O37" i="2"/>
  <c r="P37" i="2"/>
  <c r="F40" i="2" l="1"/>
  <c r="G23" i="2" s="1"/>
  <c r="G24" i="2" s="1"/>
  <c r="F27" i="2"/>
  <c r="S18" i="2"/>
  <c r="T18" i="2" s="1"/>
  <c r="R35" i="2"/>
  <c r="R21" i="2"/>
  <c r="R38" i="2" s="1"/>
  <c r="J30" i="2"/>
  <c r="K17" i="2" s="1"/>
  <c r="J16" i="2"/>
  <c r="M34" i="2"/>
  <c r="P21" i="2"/>
  <c r="T35" i="2" l="1"/>
  <c r="T21" i="2"/>
  <c r="S35" i="2"/>
  <c r="S21" i="2"/>
  <c r="P38" i="2"/>
  <c r="Q38" i="2"/>
  <c r="K16" i="2"/>
  <c r="K30" i="2"/>
  <c r="L17" i="2" s="1"/>
  <c r="K22" i="2"/>
  <c r="K31" i="2" s="1"/>
  <c r="N34" i="2"/>
  <c r="G32" i="2"/>
  <c r="S38" i="2" l="1"/>
  <c r="T38" i="2"/>
  <c r="L16" i="2"/>
  <c r="L22" i="2"/>
  <c r="L31" i="2" s="1"/>
  <c r="L30" i="2"/>
  <c r="M17" i="2" s="1"/>
  <c r="G26" i="2"/>
  <c r="O34" i="2"/>
  <c r="G27" i="2" l="1"/>
  <c r="M16" i="2"/>
  <c r="M30" i="2"/>
  <c r="N17" i="2" s="1"/>
  <c r="M22" i="2"/>
  <c r="M31" i="2" s="1"/>
  <c r="G40" i="2"/>
  <c r="H23" i="2" s="1"/>
  <c r="H24" i="2" s="1"/>
  <c r="P34" i="2"/>
  <c r="N30" i="2" l="1"/>
  <c r="O17" i="2" s="1"/>
  <c r="N22" i="2"/>
  <c r="N31" i="2" s="1"/>
  <c r="N16" i="2"/>
  <c r="H32" i="2"/>
  <c r="O16" i="2" l="1"/>
  <c r="O22" i="2"/>
  <c r="O31" i="2" s="1"/>
  <c r="O30" i="2"/>
  <c r="P17" i="2" s="1"/>
  <c r="H26" i="2"/>
  <c r="H27" i="2" l="1"/>
  <c r="P16" i="2"/>
  <c r="P30" i="2"/>
  <c r="Q17" i="2" s="1"/>
  <c r="P22" i="2"/>
  <c r="P31" i="2" s="1"/>
  <c r="H40" i="2"/>
  <c r="I23" i="2" s="1"/>
  <c r="I24" i="2" s="1"/>
  <c r="Q22" i="2" l="1"/>
  <c r="Q30" i="2"/>
  <c r="R17" i="2" s="1"/>
  <c r="Q16" i="2"/>
  <c r="I25" i="2"/>
  <c r="I32" i="2" s="1"/>
  <c r="R22" i="2" l="1"/>
  <c r="R30" i="2"/>
  <c r="S17" i="2" s="1"/>
  <c r="R16" i="2"/>
  <c r="Q31" i="2"/>
  <c r="I26" i="2"/>
  <c r="I27" i="2" l="1"/>
  <c r="S30" i="2"/>
  <c r="T17" i="2" s="1"/>
  <c r="S22" i="2"/>
  <c r="S16" i="2"/>
  <c r="R31" i="2"/>
  <c r="I40" i="2"/>
  <c r="J23" i="2" s="1"/>
  <c r="J24" i="2" s="1"/>
  <c r="T30" i="2" l="1"/>
  <c r="T22" i="2"/>
  <c r="T31" i="2" s="1"/>
  <c r="T16" i="2"/>
  <c r="S31" i="2"/>
  <c r="J25" i="2"/>
  <c r="J32" i="2" s="1"/>
  <c r="J26" i="2" l="1"/>
  <c r="J27" i="2" s="1"/>
  <c r="J40" i="2" l="1"/>
  <c r="K23" i="2" s="1"/>
  <c r="K24" i="2" s="1"/>
  <c r="K25" i="2" l="1"/>
  <c r="K32" i="2" s="1"/>
  <c r="K26" i="2" l="1"/>
  <c r="K27" i="2" s="1"/>
  <c r="K40" i="2" l="1"/>
  <c r="L23" i="2" l="1"/>
  <c r="L24" i="2" s="1"/>
  <c r="L25" i="2" l="1"/>
  <c r="L32" i="2" s="1"/>
  <c r="L26" i="2" l="1"/>
  <c r="L27" i="2" s="1"/>
  <c r="L40" i="2" l="1"/>
  <c r="M23" i="2" s="1"/>
  <c r="M24" i="2" s="1"/>
  <c r="M25" i="2" l="1"/>
  <c r="M32" i="2" s="1"/>
  <c r="M26" i="2" l="1"/>
  <c r="M27" i="2" s="1"/>
  <c r="M40" i="2" l="1"/>
  <c r="N23" i="2"/>
  <c r="N24" i="2" s="1"/>
  <c r="N25" i="2" l="1"/>
  <c r="N32" i="2" s="1"/>
  <c r="N26" i="2" l="1"/>
  <c r="N27" i="2" s="1"/>
  <c r="N40" i="2" l="1"/>
  <c r="O23" i="2" s="1"/>
  <c r="O24" i="2" s="1"/>
  <c r="O25" i="2" l="1"/>
  <c r="O32" i="2" s="1"/>
  <c r="O26" i="2" l="1"/>
  <c r="O27" i="2" s="1"/>
  <c r="O40" i="2" l="1"/>
  <c r="P23" i="2" s="1"/>
  <c r="P24" i="2" s="1"/>
  <c r="P25" i="2" l="1"/>
  <c r="P32" i="2" s="1"/>
  <c r="P26" i="2" l="1"/>
  <c r="P27" i="2" s="1"/>
  <c r="P40" i="2" l="1"/>
  <c r="Q23" i="2" s="1"/>
  <c r="Q24" i="2" s="1"/>
  <c r="Q25" i="2" l="1"/>
  <c r="Q32" i="2" s="1"/>
  <c r="Q26" i="2" l="1"/>
  <c r="Q27" i="2" s="1"/>
  <c r="Q40" i="2" l="1"/>
  <c r="R23" i="2" s="1"/>
  <c r="R24" i="2" s="1"/>
  <c r="R25" i="2" l="1"/>
  <c r="R32" i="2" s="1"/>
  <c r="R26" i="2" l="1"/>
  <c r="R27" i="2" s="1"/>
  <c r="R40" i="2" l="1"/>
  <c r="S23" i="2" s="1"/>
  <c r="S24" i="2" s="1"/>
  <c r="S25" i="2" l="1"/>
  <c r="S32" i="2" s="1"/>
  <c r="S26" i="2" l="1"/>
  <c r="S27" i="2" s="1"/>
  <c r="S40" i="2"/>
  <c r="T23" i="2" l="1"/>
  <c r="T24" i="2" s="1"/>
  <c r="T25" i="2" l="1"/>
  <c r="T32" i="2" s="1"/>
  <c r="T26" i="2"/>
  <c r="T27" i="2" l="1"/>
  <c r="U26" i="2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T40" i="2"/>
  <c r="DR26" i="2" l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GS26" i="2" s="1"/>
  <c r="GT26" i="2" s="1"/>
  <c r="GU26" i="2" s="1"/>
  <c r="GV26" i="2" s="1"/>
  <c r="GW26" i="2" s="1"/>
  <c r="GX26" i="2" s="1"/>
  <c r="GY26" i="2" s="1"/>
  <c r="GZ26" i="2" s="1"/>
  <c r="HA26" i="2" s="1"/>
  <c r="HB26" i="2" s="1"/>
  <c r="HC26" i="2" s="1"/>
  <c r="HD26" i="2" s="1"/>
  <c r="HE26" i="2" s="1"/>
  <c r="HF26" i="2" s="1"/>
  <c r="HG26" i="2" s="1"/>
  <c r="HH26" i="2" s="1"/>
  <c r="HI26" i="2" s="1"/>
  <c r="HJ26" i="2" s="1"/>
  <c r="HK26" i="2" s="1"/>
  <c r="HL26" i="2" s="1"/>
  <c r="HM26" i="2" s="1"/>
  <c r="HN26" i="2" s="1"/>
  <c r="HO26" i="2" s="1"/>
  <c r="HP26" i="2" s="1"/>
  <c r="HQ26" i="2" s="1"/>
  <c r="HR26" i="2" s="1"/>
  <c r="HS26" i="2" s="1"/>
  <c r="HT26" i="2" s="1"/>
  <c r="HU26" i="2" s="1"/>
  <c r="HV26" i="2" s="1"/>
  <c r="HW26" i="2" s="1"/>
  <c r="HX26" i="2" s="1"/>
  <c r="HY26" i="2" s="1"/>
  <c r="HZ26" i="2" s="1"/>
  <c r="IA26" i="2" s="1"/>
  <c r="IB26" i="2" s="1"/>
  <c r="IC26" i="2" s="1"/>
  <c r="ID26" i="2" s="1"/>
  <c r="IE26" i="2" s="1"/>
  <c r="IF26" i="2" s="1"/>
  <c r="IG26" i="2" s="1"/>
  <c r="IH26" i="2" s="1"/>
  <c r="II26" i="2" s="1"/>
  <c r="IJ26" i="2" s="1"/>
  <c r="F5" i="2"/>
  <c r="F6" i="2" l="1"/>
  <c r="F7" i="2" s="1"/>
  <c r="G7" i="2" s="1"/>
</calcChain>
</file>

<file path=xl/sharedStrings.xml><?xml version="1.0" encoding="utf-8"?>
<sst xmlns="http://schemas.openxmlformats.org/spreadsheetml/2006/main" count="154" uniqueCount="110">
  <si>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</si>
  <si>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</si>
  <si>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</si>
  <si>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</si>
  <si>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</si>
  <si>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</si>
  <si>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</si>
  <si>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</si>
  <si>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</si>
  <si>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</si>
  <si>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</si>
  <si>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</si>
  <si>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</si>
  <si>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</si>
  <si>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</si>
  <si>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</si>
  <si>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</si>
  <si>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</si>
  <si>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</si>
  <si>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</si>
  <si>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</si>
  <si>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</si>
  <si>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</si>
  <si>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</si>
  <si>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</si>
  <si>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</si>
  <si>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</si>
  <si>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</si>
  <si>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</si>
  <si>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</si>
  <si>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</si>
  <si>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</si>
  <si>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</si>
  <si>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</si>
  <si>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</si>
  <si>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</si>
  <si>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</si>
  <si>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Investor Relations</t>
  </si>
  <si>
    <t>CEO</t>
  </si>
  <si>
    <t>Founder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</si>
  <si>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</si>
  <si>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</si>
  <si>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</si>
  <si>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</si>
  <si>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</si>
  <si>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</si>
  <si>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</si>
  <si>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</si>
  <si>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</si>
  <si>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</si>
  <si>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</si>
  <si>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</si>
  <si>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NI 12M</t>
  </si>
  <si>
    <t>Q119</t>
  </si>
  <si>
    <t>Q219</t>
  </si>
  <si>
    <t>Q319</t>
  </si>
  <si>
    <t>Q419</t>
  </si>
  <si>
    <t>OE y/y</t>
  </si>
  <si>
    <t>Q120</t>
  </si>
  <si>
    <t>Q220</t>
  </si>
  <si>
    <t>Q320</t>
  </si>
  <si>
    <t>Q420</t>
  </si>
  <si>
    <t>PRODUCTS</t>
  </si>
  <si>
    <t>FILINGS</t>
  </si>
  <si>
    <t>SOURCE</t>
  </si>
  <si>
    <t>FY2020</t>
  </si>
  <si>
    <t>Kakao (035720.KS)</t>
  </si>
  <si>
    <t>Rim Ji-hoon</t>
  </si>
  <si>
    <t>Kim Beom-soo</t>
  </si>
  <si>
    <t>Kakao Talk</t>
  </si>
  <si>
    <t>Daum</t>
  </si>
  <si>
    <t>Mobile messaging</t>
  </si>
  <si>
    <t>Web portal</t>
  </si>
  <si>
    <t>https://www.daum.net/</t>
  </si>
  <si>
    <t>https://www.kakaocorp.com/service/KakaoTalk?lang=en</t>
  </si>
  <si>
    <t>Kakao Talk MAU</t>
  </si>
  <si>
    <t>SEGMENTS</t>
  </si>
  <si>
    <t>Platform</t>
  </si>
  <si>
    <t>KakaoTalk</t>
  </si>
  <si>
    <t>Mobility Pay</t>
  </si>
  <si>
    <t>Content</t>
  </si>
  <si>
    <t>Game</t>
  </si>
  <si>
    <t>Music</t>
  </si>
  <si>
    <t>Kakao VX</t>
  </si>
  <si>
    <t>Melon</t>
  </si>
  <si>
    <t>Kakao Page</t>
  </si>
  <si>
    <t>Kakao Friends</t>
  </si>
  <si>
    <t>Platform y/y</t>
  </si>
  <si>
    <t>Content y/y</t>
  </si>
  <si>
    <t>Talk</t>
  </si>
  <si>
    <t>Portal</t>
  </si>
  <si>
    <t>New</t>
  </si>
  <si>
    <t>Paid</t>
  </si>
  <si>
    <t>IP</t>
  </si>
  <si>
    <t>Kakao Talk MAU y/y</t>
  </si>
  <si>
    <t>Talk y/y</t>
  </si>
  <si>
    <t>Portal y/y</t>
  </si>
  <si>
    <t>New y/y</t>
  </si>
  <si>
    <t>Game y/y</t>
  </si>
  <si>
    <t>Music y/y</t>
  </si>
  <si>
    <t>Paid y/y</t>
  </si>
  <si>
    <t>IP y/y</t>
  </si>
  <si>
    <t>USD/KRW</t>
  </si>
  <si>
    <t>Price KRW</t>
  </si>
  <si>
    <t>Net Cash M</t>
  </si>
  <si>
    <t>Revenue y/y USD</t>
  </si>
  <si>
    <t>https://www.poundsterlinglive.com/best-exchange-rates/us-dollar-to-south-korean-won-exchange-rate-on-2017-12-31</t>
  </si>
  <si>
    <t>Revenue M USD</t>
  </si>
  <si>
    <t>Net Income M USD</t>
  </si>
  <si>
    <t>Net Cash M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</si>
</sst>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2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7">
    <xf numFmtId="0" fontId="0" fillId="0" borderId="0" xfId="0"/>
    <xf numFmtId="0" fontId="4" fillId="0" borderId="0" xfId="0" applyFont="1"/>
    <xf numFmtId="4" fontId="4" fillId="0" borderId="0" xfId="0" applyNumberFormat="1" applyFont="1" applyBorder="1"/>
    <xf numFmtId="0" fontId="4" fillId="0" borderId="0" xfId="0" applyFont="1" applyBorder="1"/>
    <xf numFmtId="10" fontId="4" fillId="0" borderId="0" xfId="0" applyNumberFormat="1" applyFont="1"/>
    <xf numFmtId="3" fontId="4" fillId="0" borderId="0" xfId="0" applyNumberFormat="1" applyFont="1" applyBorder="1"/>
    <xf numFmtId="0" fontId="5" fillId="0" borderId="0" xfId="0" applyFont="1"/>
    <xf numFmtId="3" fontId="4" fillId="2" borderId="0" xfId="0" applyNumberFormat="1" applyFont="1" applyFill="1" applyBorder="1"/>
    <xf numFmtId="164" fontId="4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4" fillId="2" borderId="0" xfId="0" applyNumberFormat="1" applyFont="1" applyFill="1" applyBorder="1"/>
    <xf numFmtId="0" fontId="5" fillId="0" borderId="0" xfId="0" applyFont="1" applyBorder="1"/>
    <xf numFmtId="4" fontId="4" fillId="2" borderId="0" xfId="0" applyNumberFormat="1" applyFont="1" applyFill="1"/>
    <xf numFmtId="9" fontId="4" fillId="0" borderId="0" xfId="0" applyNumberFormat="1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 applyBorder="1"/>
    <xf numFmtId="2" fontId="4" fillId="0" borderId="0" xfId="0" applyNumberFormat="1" applyFont="1" applyBorder="1"/>
    <xf numFmtId="9" fontId="6" fillId="0" borderId="0" xfId="1" applyFont="1" applyBorder="1"/>
    <xf numFmtId="9" fontId="4" fillId="0" borderId="0" xfId="1" applyFont="1" applyBorder="1"/>
    <xf numFmtId="9" fontId="4" fillId="0" borderId="0" xfId="0" applyNumberFormat="1" applyFont="1" applyBorder="1"/>
    <xf numFmtId="3" fontId="6" fillId="2" borderId="0" xfId="0" applyNumberFormat="1" applyFont="1" applyFill="1" applyBorder="1"/>
    <xf numFmtId="2" fontId="4" fillId="2" borderId="0" xfId="0" applyNumberFormat="1" applyFont="1" applyFill="1" applyBorder="1"/>
    <xf numFmtId="3" fontId="4" fillId="2" borderId="0" xfId="0" applyNumberFormat="1" applyFont="1" applyFill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Fill="1" applyAlignment="1">
      <alignment horizontal="right"/>
    </xf>
    <xf numFmtId="0" fontId="8" fillId="0" borderId="1" xfId="0" applyFont="1" applyBorder="1"/>
    <xf numFmtId="0" fontId="8" fillId="0" borderId="0" xfId="0" applyFont="1"/>
    <xf numFmtId="0" fontId="9" fillId="0" borderId="0" xfId="4" applyFont="1"/>
    <xf numFmtId="0" fontId="8" fillId="0" borderId="0" xfId="0" applyFont="1" applyFill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10" fillId="0" borderId="0" xfId="0" applyNumberFormat="1" applyFont="1"/>
    <xf numFmtId="3" fontId="10" fillId="2" borderId="0" xfId="0" applyNumberFormat="1" applyFont="1" applyFill="1" applyBorder="1" applyAlignment="1">
      <alignment horizontal="right"/>
    </xf>
    <xf numFmtId="3" fontId="10" fillId="2" borderId="1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9" fontId="8" fillId="0" borderId="0" xfId="0" applyNumberFormat="1" applyFont="1" applyBorder="1" applyAlignment="1">
      <alignment horizontal="right"/>
    </xf>
    <xf numFmtId="9" fontId="8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1" xfId="1" applyFont="1" applyBorder="1" applyAlignment="1">
      <alignment horizontal="right"/>
    </xf>
    <xf numFmtId="9" fontId="8" fillId="0" borderId="0" xfId="1" applyFont="1" applyFill="1" applyBorder="1" applyAlignment="1">
      <alignment horizontal="right"/>
    </xf>
    <xf numFmtId="0" fontId="10" fillId="0" borderId="0" xfId="0" applyFont="1"/>
    <xf numFmtId="9" fontId="10" fillId="0" borderId="0" xfId="1" applyNumberFormat="1" applyFont="1" applyBorder="1" applyAlignment="1">
      <alignment horizontal="right"/>
    </xf>
    <xf numFmtId="9" fontId="10" fillId="0" borderId="1" xfId="1" applyNumberFormat="1" applyFont="1" applyBorder="1" applyAlignment="1">
      <alignment horizontal="right"/>
    </xf>
    <xf numFmtId="9" fontId="10" fillId="0" borderId="0" xfId="1" applyNumberFormat="1" applyFont="1" applyFill="1" applyBorder="1" applyAlignment="1">
      <alignment horizontal="right"/>
    </xf>
    <xf numFmtId="9" fontId="8" fillId="0" borderId="0" xfId="1" applyNumberFormat="1" applyFont="1" applyBorder="1" applyAlignment="1">
      <alignment horizontal="right"/>
    </xf>
    <xf numFmtId="9" fontId="8" fillId="0" borderId="1" xfId="1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/>
    <xf numFmtId="9" fontId="8" fillId="0" borderId="0" xfId="0" applyNumberFormat="1" applyFont="1"/>
    <xf numFmtId="0" fontId="0" fillId="0" borderId="0" xfId="0" applyFont="1"/>
    <xf numFmtId="3" fontId="0" fillId="0" borderId="1" xfId="0" applyNumberFormat="1" applyFont="1" applyFill="1" applyBorder="1" applyAlignment="1">
      <alignment horizontal="right"/>
    </xf>
    <xf numFmtId="14" fontId="8" fillId="0" borderId="1" xfId="0" applyNumberFormat="1" applyFont="1" applyBorder="1"/>
    <xf numFmtId="3" fontId="8" fillId="0" borderId="1" xfId="0" applyNumberFormat="1" applyFont="1" applyBorder="1"/>
    <xf numFmtId="14" fontId="4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/>
    <xf numFmtId="3" fontId="0" fillId="0" borderId="1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1" xfId="0" applyNumberFormat="1" applyFont="1" applyBorder="1"/>
    <xf numFmtId="14" fontId="8" fillId="0" borderId="0" xfId="0" applyNumberFormat="1" applyFont="1"/>
    <xf numFmtId="0" fontId="11" fillId="0" borderId="0" xfId="0" applyFont="1"/>
    <xf numFmtId="3" fontId="6" fillId="0" borderId="0" xfId="0" applyNumberFormat="1" applyFont="1"/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9" fontId="0" fillId="0" borderId="0" xfId="0" applyNumberFormat="1" applyFont="1"/>
    <xf numFmtId="0" fontId="7" fillId="0" borderId="0" xfId="4"/>
    <xf numFmtId="3" fontId="7" fillId="0" borderId="0" xfId="4" applyNumberFormat="1" applyAlignment="1">
      <alignment horizontal="left"/>
    </xf>
    <xf numFmtId="3" fontId="5" fillId="0" borderId="0" xfId="0" applyNumberFormat="1" applyFont="1"/>
    <xf numFmtId="9" fontId="5" fillId="0" borderId="0" xfId="0" applyNumberFormat="1" applyFont="1"/>
    <xf numFmtId="9" fontId="5" fillId="0" borderId="0" xfId="0" applyNumberFormat="1" applyFont="1" applyBorder="1"/>
    <xf numFmtId="3" fontId="0" fillId="0" borderId="0" xfId="0" applyNumberFormat="1" applyFont="1" applyFill="1" applyBorder="1"/>
    <xf numFmtId="9" fontId="8" fillId="0" borderId="0" xfId="0" applyNumberFormat="1" applyFont="1" applyAlignment="1">
      <alignment horizontal="right"/>
    </xf>
    <xf numFmtId="9" fontId="8" fillId="0" borderId="0" xfId="0" applyNumberFormat="1" applyFont="1" applyFill="1" applyAlignment="1">
      <alignment horizontal="right"/>
    </xf>
    <xf numFmtId="9" fontId="8" fillId="0" borderId="1" xfId="0" applyNumberFormat="1" applyFont="1" applyBorder="1"/>
    <xf numFmtId="14" fontId="8" fillId="0" borderId="1" xfId="0" applyNumberFormat="1" applyFont="1" applyBorder="1" applyAlignment="1">
      <alignment horizontal="right"/>
    </xf>
    <xf numFmtId="14" fontId="8" fillId="0" borderId="0" xfId="0" applyNumberFormat="1" applyFont="1" applyAlignment="1">
      <alignment horizontal="right"/>
    </xf>
    <xf numFmtId="14" fontId="8" fillId="0" borderId="0" xfId="0" applyNumberFormat="1" applyFont="1" applyFill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4" fontId="4" fillId="0" borderId="0" xfId="0" applyNumberFormat="1" applyFont="1"/>
    <xf numFmtId="9" fontId="6" fillId="0" borderId="0" xfId="0" applyNumberFormat="1" applyFont="1"/>
    <xf numFmtId="3" fontId="6" fillId="2" borderId="0" xfId="0" applyNumberFormat="1" applyFont="1" applyFill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10</xdr:row>
      <xdr:rowOff>0</xdr:rowOff>
    </xdr:from>
    <xdr:to>
      <xdr:col>5</xdr:col>
      <xdr:colOff>215900</xdr:colOff>
      <xdr:row>66</xdr:row>
      <xdr:rowOff>146538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88438" y="1660769"/>
          <a:ext cx="0" cy="944684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108439</xdr:colOff>
      <xdr:row>1</xdr:row>
      <xdr:rowOff>12700</xdr:rowOff>
    </xdr:from>
    <xdr:to>
      <xdr:col>17</xdr:col>
      <xdr:colOff>108439</xdr:colOff>
      <xdr:row>71</xdr:row>
      <xdr:rowOff>19538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5260516" y="178777"/>
          <a:ext cx="0" cy="1163222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Kim%20Beom-soo%20(businessman)" TargetMode="External"/><Relationship Id="rId2" Type="http://schemas.openxmlformats.org/officeDocument/2006/relationships/hyperlink" Target="https://en.wikipedia.org/wiki/Rim_Ji-hoon" TargetMode="External"/><Relationship Id="rId1" Type="http://schemas.openxmlformats.org/officeDocument/2006/relationships/hyperlink" Target="https://www.kakaocorp.com/ir/managementInformation/shareholderCompositi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poundsterlinglive.com/best-exchange-rates/us-dollar-to-south-korean-won-exchange-rate-on-2017-12-31" TargetMode="External"/><Relationship Id="rId4" Type="http://schemas.openxmlformats.org/officeDocument/2006/relationships/hyperlink" Target="https://www.kakaocorp.com/ir/stockInform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kakaocorp.com/ir/referenceRoom/earningsAnnounc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akaocorp.com/service/KakaoTalk?lang=en" TargetMode="External"/><Relationship Id="rId1" Type="http://schemas.openxmlformats.org/officeDocument/2006/relationships/hyperlink" Target="https://www.daum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66"/>
  <sheetViews>
    <sheetView tabSelected="1" zoomScale="130" zoomScaleNormal="130" workbookViewId="0">
      <pane xSplit="1" ySplit="11" topLeftCell="B14" activePane="bottomRight" state="frozen"/>
      <selection pane="topRight" activeCell="B1" sqref="B1"/>
      <selection pane="bottomLeft" activeCell="A11" sqref="A11"/>
      <selection pane="bottomRight" activeCell="H48" sqref="H48"/>
    </sheetView>
  </sheetViews>
  <sheetFormatPr baseColWidth="10" defaultRowHeight="13" x14ac:dyDescent="0.15"/>
  <cols>
    <col min="1" max="1" width="21.6640625" style="1" customWidth="1"/>
    <col min="2" max="16384" width="10.83203125" style="1"/>
  </cols>
  <sheetData>
    <row r="1" spans="1:21" x14ac:dyDescent="0.15">
      <c r="A1" s="80" t="s">
        <v>37</v>
      </c>
      <c r="B1" s="15" t="s">
        <v>66</v>
      </c>
    </row>
    <row r="2" spans="1:21" x14ac:dyDescent="0.15">
      <c r="B2" s="1" t="s">
        <v>103</v>
      </c>
      <c r="C2" s="2">
        <v>509000</v>
      </c>
      <c r="D2" s="66">
        <v>44244</v>
      </c>
      <c r="E2" s="3" t="s">
        <v>25</v>
      </c>
      <c r="F2" s="4">
        <v>5.0000000000000001E-3</v>
      </c>
      <c r="J2" s="16"/>
    </row>
    <row r="3" spans="1:21" x14ac:dyDescent="0.15">
      <c r="A3" s="15" t="s">
        <v>38</v>
      </c>
      <c r="B3" s="1" t="s">
        <v>17</v>
      </c>
      <c r="C3" s="5">
        <v>88.669667000000004</v>
      </c>
      <c r="D3" s="81" t="s">
        <v>64</v>
      </c>
      <c r="E3" s="3" t="s">
        <v>26</v>
      </c>
      <c r="F3" s="4">
        <v>0.02</v>
      </c>
      <c r="G3" s="6"/>
      <c r="J3" s="16"/>
    </row>
    <row r="4" spans="1:21" x14ac:dyDescent="0.15">
      <c r="A4" s="80" t="s">
        <v>67</v>
      </c>
      <c r="B4" s="1" t="s">
        <v>40</v>
      </c>
      <c r="C4" s="7">
        <f>(C2*C3)/C9</f>
        <v>40739.879316321101</v>
      </c>
      <c r="D4" s="68"/>
      <c r="E4" s="3" t="s">
        <v>27</v>
      </c>
      <c r="F4" s="4">
        <v>0.08</v>
      </c>
      <c r="G4" s="6"/>
      <c r="J4" s="14"/>
    </row>
    <row r="5" spans="1:21" x14ac:dyDescent="0.15">
      <c r="B5" s="1" t="s">
        <v>104</v>
      </c>
      <c r="C5" s="5">
        <f>E66</f>
        <v>2758.4935232563498</v>
      </c>
      <c r="D5" s="67" t="s">
        <v>65</v>
      </c>
      <c r="E5" s="3" t="s">
        <v>28</v>
      </c>
      <c r="F5" s="8">
        <f>NPV(F4,F26:DQ26)</f>
        <v>54037.934795258479</v>
      </c>
      <c r="G5" s="6"/>
      <c r="J5" s="14"/>
    </row>
    <row r="6" spans="1:21" x14ac:dyDescent="0.15">
      <c r="A6" s="15" t="s">
        <v>39</v>
      </c>
      <c r="B6" s="1" t="s">
        <v>41</v>
      </c>
      <c r="C6" s="7">
        <f>C4-C5</f>
        <v>37981.38579306475</v>
      </c>
      <c r="D6" s="68"/>
      <c r="E6" s="9" t="s">
        <v>29</v>
      </c>
      <c r="F6" s="10">
        <f>F5+C5</f>
        <v>56796.428318514831</v>
      </c>
      <c r="J6" s="14"/>
    </row>
    <row r="7" spans="1:21" x14ac:dyDescent="0.15">
      <c r="A7" s="80" t="s">
        <v>68</v>
      </c>
      <c r="B7" s="6" t="s">
        <v>42</v>
      </c>
      <c r="C7" s="11">
        <f>C6/C3</f>
        <v>428.34699935283106</v>
      </c>
      <c r="D7" s="68"/>
      <c r="E7" s="12" t="s">
        <v>42</v>
      </c>
      <c r="F7" s="13">
        <f>(F6/C3)*C9</f>
        <v>709608.92617427197</v>
      </c>
      <c r="G7" s="14">
        <f>F7/C2-1</f>
        <v>0.39412362706143811</v>
      </c>
    </row>
    <row r="8" spans="1:21" x14ac:dyDescent="0.15">
      <c r="A8" s="80"/>
    </row>
    <row r="9" spans="1:21" x14ac:dyDescent="0.15">
      <c r="A9" s="80"/>
      <c r="B9" s="15" t="s">
        <v>102</v>
      </c>
      <c r="C9" s="1">
        <v>1107.83</v>
      </c>
      <c r="D9" s="66">
        <v>44244</v>
      </c>
      <c r="I9" s="80" t="s">
        <v>106</v>
      </c>
    </row>
    <row r="10" spans="1:21" x14ac:dyDescent="0.15">
      <c r="A10" s="80"/>
    </row>
    <row r="11" spans="1:21" x14ac:dyDescent="0.15">
      <c r="B11" s="1">
        <v>2017</v>
      </c>
      <c r="C11" s="1">
        <f t="shared" ref="C11:T11" si="0">B11+1</f>
        <v>2018</v>
      </c>
      <c r="D11" s="1">
        <f t="shared" si="0"/>
        <v>2019</v>
      </c>
      <c r="E11" s="1">
        <f t="shared" si="0"/>
        <v>2020</v>
      </c>
      <c r="F11" s="1">
        <f t="shared" si="0"/>
        <v>2021</v>
      </c>
      <c r="G11" s="1">
        <f t="shared" si="0"/>
        <v>2022</v>
      </c>
      <c r="H11" s="1">
        <f t="shared" si="0"/>
        <v>2023</v>
      </c>
      <c r="I11" s="1">
        <f t="shared" si="0"/>
        <v>2024</v>
      </c>
      <c r="J11" s="1">
        <f t="shared" si="0"/>
        <v>2025</v>
      </c>
      <c r="K11" s="1">
        <f t="shared" si="0"/>
        <v>2026</v>
      </c>
      <c r="L11" s="1">
        <f t="shared" si="0"/>
        <v>2027</v>
      </c>
      <c r="M11" s="1">
        <f t="shared" si="0"/>
        <v>2028</v>
      </c>
      <c r="N11" s="1">
        <f t="shared" si="0"/>
        <v>2029</v>
      </c>
      <c r="O11" s="1">
        <f t="shared" si="0"/>
        <v>2030</v>
      </c>
      <c r="P11" s="1">
        <f t="shared" si="0"/>
        <v>2031</v>
      </c>
      <c r="Q11" s="1">
        <f t="shared" si="0"/>
        <v>2032</v>
      </c>
      <c r="R11" s="1">
        <f t="shared" si="0"/>
        <v>2033</v>
      </c>
      <c r="S11" s="1">
        <f t="shared" si="0"/>
        <v>2034</v>
      </c>
      <c r="T11" s="1">
        <f t="shared" si="0"/>
        <v>2035</v>
      </c>
    </row>
    <row r="12" spans="1:21" s="62" customFormat="1" x14ac:dyDescent="0.15">
      <c r="A12" s="70" t="s">
        <v>77</v>
      </c>
      <c r="B12" s="70"/>
      <c r="C12" s="70">
        <f>SUM('Reports B KRW'!F3:I3)</f>
        <v>1039.3150000000001</v>
      </c>
      <c r="D12" s="70">
        <f>SUM('Reports B KRW'!J3:M3)</f>
        <v>1434.7800000000002</v>
      </c>
      <c r="E12" s="70">
        <f>SUM('Reports B KRW'!N3:Q3)</f>
        <v>2145.9</v>
      </c>
      <c r="F12" s="70">
        <f>E12*1.45</f>
        <v>3111.5549999999998</v>
      </c>
      <c r="G12" s="70">
        <f>F12*1.4</f>
        <v>4356.1769999999997</v>
      </c>
      <c r="H12" s="70">
        <f>G12*1.35</f>
        <v>5880.8389500000003</v>
      </c>
      <c r="I12" s="70">
        <f>H12*1.3</f>
        <v>7645.0906350000005</v>
      </c>
      <c r="J12" s="70">
        <f>I12*1.25</f>
        <v>9556.3632937500006</v>
      </c>
    </row>
    <row r="13" spans="1:21" x14ac:dyDescent="0.15">
      <c r="A13" s="70" t="s">
        <v>80</v>
      </c>
      <c r="B13" s="16"/>
      <c r="C13" s="70">
        <f>SUM('Reports B KRW'!F4:I4)</f>
        <v>1377.6780000000001</v>
      </c>
      <c r="D13" s="70">
        <f>SUM('Reports B KRW'!J4:M4)</f>
        <v>1635.3440000000001</v>
      </c>
      <c r="E13" s="70">
        <f>SUM('Reports B KRW'!N4:Q4)</f>
        <v>2010.9</v>
      </c>
      <c r="F13" s="16">
        <f>E13*1.15</f>
        <v>2312.5349999999999</v>
      </c>
      <c r="G13" s="16">
        <f t="shared" ref="G13:J13" si="1">F13*1.15</f>
        <v>2659.4152499999996</v>
      </c>
      <c r="H13" s="16">
        <f t="shared" si="1"/>
        <v>3058.3275374999994</v>
      </c>
      <c r="I13" s="16">
        <f t="shared" si="1"/>
        <v>3517.0766681249988</v>
      </c>
      <c r="J13" s="16">
        <f t="shared" si="1"/>
        <v>4044.6381683437485</v>
      </c>
    </row>
    <row r="14" spans="1:21" s="6" customFormat="1" x14ac:dyDescent="0.15">
      <c r="B14" s="82"/>
      <c r="C14" s="82"/>
      <c r="D14" s="82"/>
      <c r="E14" s="82"/>
      <c r="F14" s="82"/>
      <c r="G14" s="82"/>
      <c r="H14" s="82"/>
    </row>
    <row r="15" spans="1:21" s="15" customFormat="1" x14ac:dyDescent="0.15">
      <c r="A15" s="15" t="s">
        <v>4</v>
      </c>
      <c r="B15" s="76">
        <f>SUM('Reports B KRW'!B6:E6)</f>
        <v>1972.328</v>
      </c>
      <c r="C15" s="22">
        <f>SUM(C12:C13)</f>
        <v>2416.9930000000004</v>
      </c>
      <c r="D15" s="22">
        <f>SUM(D12:D13)</f>
        <v>3070.1240000000003</v>
      </c>
      <c r="E15" s="22">
        <f>SUM(E12:E13)</f>
        <v>4156.8</v>
      </c>
      <c r="F15" s="17">
        <f>SUM(F12:F13)</f>
        <v>5424.09</v>
      </c>
      <c r="G15" s="17">
        <f t="shared" ref="G15:J15" si="2">SUM(G12:G13)</f>
        <v>7015.5922499999997</v>
      </c>
      <c r="H15" s="17">
        <f t="shared" si="2"/>
        <v>8939.1664874999988</v>
      </c>
      <c r="I15" s="17">
        <f t="shared" si="2"/>
        <v>11162.167303124999</v>
      </c>
      <c r="J15" s="17">
        <f t="shared" si="2"/>
        <v>13601.001462093749</v>
      </c>
      <c r="K15" s="17">
        <f>J15*1.15</f>
        <v>15641.15168140781</v>
      </c>
      <c r="L15" s="17">
        <f t="shared" ref="L15:O15" si="3">K15*1.15</f>
        <v>17987.324433618978</v>
      </c>
      <c r="M15" s="17">
        <f t="shared" si="3"/>
        <v>20685.423098661824</v>
      </c>
      <c r="N15" s="17">
        <f t="shared" si="3"/>
        <v>23788.236563461094</v>
      </c>
      <c r="O15" s="17">
        <f t="shared" si="3"/>
        <v>27356.472047980256</v>
      </c>
      <c r="P15" s="17">
        <f t="shared" ref="P15:T15" si="4">O15*1.1</f>
        <v>30092.119252778284</v>
      </c>
      <c r="Q15" s="17">
        <f t="shared" si="4"/>
        <v>33101.331178056113</v>
      </c>
      <c r="R15" s="17">
        <f t="shared" si="4"/>
        <v>36411.464295861726</v>
      </c>
      <c r="S15" s="17">
        <f t="shared" si="4"/>
        <v>40052.610725447899</v>
      </c>
      <c r="T15" s="17">
        <f t="shared" si="4"/>
        <v>44057.871797992695</v>
      </c>
      <c r="U15" s="17"/>
    </row>
    <row r="16" spans="1:21" x14ac:dyDescent="0.15">
      <c r="A16" s="1" t="s">
        <v>5</v>
      </c>
      <c r="B16" s="16"/>
      <c r="C16" s="70">
        <f>SUM('Reports B KRW'!F7:I7)</f>
        <v>1079.5219999999999</v>
      </c>
      <c r="D16" s="70">
        <f>SUM('Reports B KRW'!J7:M7)</f>
        <v>1368</v>
      </c>
      <c r="E16" s="70">
        <f>SUM('Reports B KRW'!N7:Q7)</f>
        <v>1747</v>
      </c>
      <c r="F16" s="5">
        <f t="shared" ref="F16:G16" si="5">F15-F17</f>
        <v>2279.6105730369513</v>
      </c>
      <c r="G16" s="5">
        <f t="shared" si="5"/>
        <v>2948.4795180788101</v>
      </c>
      <c r="H16" s="5">
        <f t="shared" ref="H16:P16" si="6">H15-H17</f>
        <v>3756.910087967306</v>
      </c>
      <c r="I16" s="5">
        <f t="shared" si="6"/>
        <v>4691.1822263662843</v>
      </c>
      <c r="J16" s="5">
        <f t="shared" si="6"/>
        <v>5716.1637688312594</v>
      </c>
      <c r="K16" s="5">
        <f t="shared" si="6"/>
        <v>6573.5883341559475</v>
      </c>
      <c r="L16" s="5">
        <f t="shared" si="6"/>
        <v>7559.6265842793382</v>
      </c>
      <c r="M16" s="5">
        <f t="shared" si="6"/>
        <v>8693.5705719212383</v>
      </c>
      <c r="N16" s="5">
        <f t="shared" si="6"/>
        <v>9997.6061577094224</v>
      </c>
      <c r="O16" s="5">
        <f t="shared" si="6"/>
        <v>11497.247081365835</v>
      </c>
      <c r="P16" s="5">
        <f t="shared" si="6"/>
        <v>12646.971789502419</v>
      </c>
      <c r="Q16" s="5">
        <f t="shared" ref="Q16:S16" si="7">Q15-Q17</f>
        <v>13911.668968452661</v>
      </c>
      <c r="R16" s="5">
        <f t="shared" si="7"/>
        <v>15302.83586529793</v>
      </c>
      <c r="S16" s="5">
        <f t="shared" si="7"/>
        <v>16833.119451827723</v>
      </c>
      <c r="T16" s="5">
        <f t="shared" ref="T16" si="8">T15-T17</f>
        <v>18516.431397010496</v>
      </c>
      <c r="U16" s="5"/>
    </row>
    <row r="17" spans="1:244" x14ac:dyDescent="0.15">
      <c r="A17" s="1" t="s">
        <v>6</v>
      </c>
      <c r="B17" s="16"/>
      <c r="C17" s="7">
        <f>C15-C16</f>
        <v>1337.4710000000005</v>
      </c>
      <c r="D17" s="7">
        <f>D15-D16</f>
        <v>1702.1240000000003</v>
      </c>
      <c r="E17" s="7">
        <f>E15-E16</f>
        <v>2409.8000000000002</v>
      </c>
      <c r="F17" s="5">
        <f>F15*E30</f>
        <v>3144.4794269630488</v>
      </c>
      <c r="G17" s="5">
        <f t="shared" ref="G17:T17" si="9">G15*F30</f>
        <v>4067.1127319211896</v>
      </c>
      <c r="H17" s="5">
        <f t="shared" si="9"/>
        <v>5182.2563995326927</v>
      </c>
      <c r="I17" s="5">
        <f t="shared" si="9"/>
        <v>6470.985076758715</v>
      </c>
      <c r="J17" s="5">
        <f t="shared" si="9"/>
        <v>7884.8376932624897</v>
      </c>
      <c r="K17" s="5">
        <f t="shared" si="9"/>
        <v>9067.5633472518621</v>
      </c>
      <c r="L17" s="5">
        <f t="shared" si="9"/>
        <v>10427.69784933964</v>
      </c>
      <c r="M17" s="5">
        <f t="shared" si="9"/>
        <v>11991.852526740586</v>
      </c>
      <c r="N17" s="5">
        <f t="shared" si="9"/>
        <v>13790.630405751672</v>
      </c>
      <c r="O17" s="5">
        <f t="shared" si="9"/>
        <v>15859.224966614422</v>
      </c>
      <c r="P17" s="5">
        <f t="shared" si="9"/>
        <v>17445.147463275865</v>
      </c>
      <c r="Q17" s="5">
        <f t="shared" si="9"/>
        <v>19189.662209603452</v>
      </c>
      <c r="R17" s="5">
        <f t="shared" si="9"/>
        <v>21108.628430563796</v>
      </c>
      <c r="S17" s="5">
        <f t="shared" si="9"/>
        <v>23219.491273620177</v>
      </c>
      <c r="T17" s="5">
        <f t="shared" si="9"/>
        <v>25541.440400982199</v>
      </c>
      <c r="U17" s="5"/>
    </row>
    <row r="18" spans="1:244" x14ac:dyDescent="0.15">
      <c r="A18" s="1" t="s">
        <v>7</v>
      </c>
      <c r="B18" s="16"/>
      <c r="C18" s="70">
        <f>SUM('Reports B KRW'!F9:I9)</f>
        <v>541</v>
      </c>
      <c r="D18" s="70">
        <f>SUM('Reports B KRW'!J9:M9)</f>
        <v>701</v>
      </c>
      <c r="E18" s="70">
        <f>SUM('Reports B KRW'!N9:Q9)</f>
        <v>920</v>
      </c>
      <c r="F18" s="5">
        <f>E18*1.3</f>
        <v>1196</v>
      </c>
      <c r="G18" s="5">
        <f t="shared" ref="G18:J18" si="10">F18*1.3</f>
        <v>1554.8</v>
      </c>
      <c r="H18" s="5">
        <f t="shared" si="10"/>
        <v>2021.24</v>
      </c>
      <c r="I18" s="5">
        <f t="shared" si="10"/>
        <v>2627.6120000000001</v>
      </c>
      <c r="J18" s="5">
        <f t="shared" si="10"/>
        <v>3415.8956000000003</v>
      </c>
      <c r="K18" s="5">
        <f>J18*1.15</f>
        <v>3928.2799399999999</v>
      </c>
      <c r="L18" s="5">
        <f t="shared" ref="L18:O18" si="11">K18*1.15</f>
        <v>4517.5219309999993</v>
      </c>
      <c r="M18" s="5">
        <f t="shared" si="11"/>
        <v>5195.150220649999</v>
      </c>
      <c r="N18" s="5">
        <f t="shared" si="11"/>
        <v>5974.4227537474981</v>
      </c>
      <c r="O18" s="5">
        <f t="shared" si="11"/>
        <v>6870.5861668096222</v>
      </c>
      <c r="P18" s="5">
        <f t="shared" ref="P18:T18" si="12">O18*1.1</f>
        <v>7557.6447834905848</v>
      </c>
      <c r="Q18" s="5">
        <f t="shared" si="12"/>
        <v>8313.4092618396444</v>
      </c>
      <c r="R18" s="5">
        <f t="shared" si="12"/>
        <v>9144.7501880236105</v>
      </c>
      <c r="S18" s="5">
        <f t="shared" si="12"/>
        <v>10059.225206825973</v>
      </c>
      <c r="T18" s="5">
        <f t="shared" si="12"/>
        <v>11065.147727508571</v>
      </c>
      <c r="U18" s="5"/>
    </row>
    <row r="19" spans="1:244" x14ac:dyDescent="0.15">
      <c r="A19" s="1" t="s">
        <v>8</v>
      </c>
      <c r="B19" s="16"/>
      <c r="C19" s="70">
        <f>SUM('Reports B KRW'!F10:I10)</f>
        <v>187</v>
      </c>
      <c r="D19" s="70">
        <f>SUM('Reports B KRW'!J10:M10)</f>
        <v>152</v>
      </c>
      <c r="E19" s="70">
        <f>SUM('Reports B KRW'!N10:Q10)</f>
        <v>233</v>
      </c>
      <c r="F19" s="5">
        <f>E19*1.45</f>
        <v>337.84999999999997</v>
      </c>
      <c r="G19" s="5">
        <f t="shared" ref="G19:J19" si="13">F19*1.45</f>
        <v>489.88249999999994</v>
      </c>
      <c r="H19" s="5">
        <f t="shared" si="13"/>
        <v>710.32962499999985</v>
      </c>
      <c r="I19" s="5">
        <f t="shared" si="13"/>
        <v>1029.9779562499998</v>
      </c>
      <c r="J19" s="5">
        <f t="shared" si="13"/>
        <v>1493.4680365624997</v>
      </c>
      <c r="K19" s="5">
        <f>J19*1.1</f>
        <v>1642.8148402187499</v>
      </c>
      <c r="L19" s="5">
        <f t="shared" ref="L19:O19" si="14">K19*1.1</f>
        <v>1807.0963242406249</v>
      </c>
      <c r="M19" s="5">
        <f t="shared" si="14"/>
        <v>1987.8059566646875</v>
      </c>
      <c r="N19" s="5">
        <f t="shared" si="14"/>
        <v>2186.5865523311563</v>
      </c>
      <c r="O19" s="5">
        <f t="shared" si="14"/>
        <v>2405.2452075642723</v>
      </c>
      <c r="P19" s="5">
        <f>O19*1.05</f>
        <v>2525.5074679424861</v>
      </c>
      <c r="Q19" s="5">
        <f t="shared" ref="Q19:T19" si="15">P19*1.05</f>
        <v>2651.7828413396105</v>
      </c>
      <c r="R19" s="5">
        <f t="shared" si="15"/>
        <v>2784.371983406591</v>
      </c>
      <c r="S19" s="5">
        <f t="shared" si="15"/>
        <v>2923.5905825769205</v>
      </c>
      <c r="T19" s="5">
        <f t="shared" si="15"/>
        <v>3069.7701117057668</v>
      </c>
      <c r="U19" s="5"/>
    </row>
    <row r="20" spans="1:244" x14ac:dyDescent="0.15">
      <c r="A20" s="1" t="s">
        <v>9</v>
      </c>
      <c r="B20" s="16"/>
      <c r="C20" s="70">
        <f>SUM('Reports B KRW'!F11:I11)</f>
        <v>536</v>
      </c>
      <c r="D20" s="70">
        <f>SUM('Reports B KRW'!J11:M11)</f>
        <v>642</v>
      </c>
      <c r="E20" s="70">
        <f>SUM('Reports B KRW'!N11:Q11)</f>
        <v>802</v>
      </c>
      <c r="F20" s="5">
        <f>E20*1.25</f>
        <v>1002.5</v>
      </c>
      <c r="G20" s="5">
        <f t="shared" ref="G20:J20" si="16">F20*1.25</f>
        <v>1253.125</v>
      </c>
      <c r="H20" s="5">
        <f t="shared" si="16"/>
        <v>1566.40625</v>
      </c>
      <c r="I20" s="5">
        <f t="shared" si="16"/>
        <v>1958.0078125</v>
      </c>
      <c r="J20" s="5">
        <f t="shared" si="16"/>
        <v>2447.509765625</v>
      </c>
      <c r="K20" s="5">
        <f>J20*1.05</f>
        <v>2569.88525390625</v>
      </c>
      <c r="L20" s="5">
        <f t="shared" ref="L20:O20" si="17">K20*1.05</f>
        <v>2698.3795166015625</v>
      </c>
      <c r="M20" s="5">
        <f t="shared" si="17"/>
        <v>2833.2984924316406</v>
      </c>
      <c r="N20" s="5">
        <f t="shared" si="17"/>
        <v>2974.9634170532227</v>
      </c>
      <c r="O20" s="5">
        <f t="shared" si="17"/>
        <v>3123.7115879058838</v>
      </c>
      <c r="P20" s="5">
        <f>O20*0.95</f>
        <v>2967.5260085105892</v>
      </c>
      <c r="Q20" s="5">
        <f t="shared" ref="Q20:T20" si="18">P20*0.95</f>
        <v>2819.1497080850595</v>
      </c>
      <c r="R20" s="5">
        <f t="shared" si="18"/>
        <v>2678.1922226808065</v>
      </c>
      <c r="S20" s="5">
        <f t="shared" si="18"/>
        <v>2544.282611546766</v>
      </c>
      <c r="T20" s="5">
        <f t="shared" si="18"/>
        <v>2417.0684809694276</v>
      </c>
      <c r="U20" s="5"/>
    </row>
    <row r="21" spans="1:244" x14ac:dyDescent="0.15">
      <c r="A21" s="1" t="s">
        <v>10</v>
      </c>
      <c r="B21" s="70">
        <f>SUM('Reports B KRW'!B12:E12)</f>
        <v>1806.9470000000001</v>
      </c>
      <c r="C21" s="7">
        <f>SUM(C18:C20)</f>
        <v>1264</v>
      </c>
      <c r="D21" s="7">
        <f>SUM(D18:D20)</f>
        <v>1495</v>
      </c>
      <c r="E21" s="7">
        <f>SUM(E18:E20)</f>
        <v>1955</v>
      </c>
      <c r="F21" s="5">
        <f t="shared" ref="F21:G21" si="19">SUM(F18:F20)</f>
        <v>2536.35</v>
      </c>
      <c r="G21" s="5">
        <f t="shared" si="19"/>
        <v>3297.8074999999999</v>
      </c>
      <c r="H21" s="5">
        <f t="shared" ref="H21:P21" si="20">SUM(H18:H20)</f>
        <v>4297.9758750000001</v>
      </c>
      <c r="I21" s="5">
        <f t="shared" si="20"/>
        <v>5615.5977687499999</v>
      </c>
      <c r="J21" s="5">
        <f>SUM(J18:J20)</f>
        <v>7356.8734021874998</v>
      </c>
      <c r="K21" s="5">
        <f t="shared" si="20"/>
        <v>8140.9800341249993</v>
      </c>
      <c r="L21" s="5">
        <f t="shared" si="20"/>
        <v>9022.9977718421869</v>
      </c>
      <c r="M21" s="5">
        <f t="shared" si="20"/>
        <v>10016.254669746328</v>
      </c>
      <c r="N21" s="5">
        <f t="shared" si="20"/>
        <v>11135.972723131878</v>
      </c>
      <c r="O21" s="5">
        <f t="shared" si="20"/>
        <v>12399.542962279778</v>
      </c>
      <c r="P21" s="5">
        <f t="shared" si="20"/>
        <v>13050.678259943661</v>
      </c>
      <c r="Q21" s="5">
        <f t="shared" ref="Q21:S21" si="21">SUM(Q18:Q20)</f>
        <v>13784.341811264316</v>
      </c>
      <c r="R21" s="5">
        <f t="shared" si="21"/>
        <v>14607.314394111007</v>
      </c>
      <c r="S21" s="5">
        <f t="shared" si="21"/>
        <v>15527.098400949661</v>
      </c>
      <c r="T21" s="5">
        <f t="shared" ref="T21" si="22">SUM(T18:T20)</f>
        <v>16551.986320183765</v>
      </c>
      <c r="U21" s="5"/>
    </row>
    <row r="22" spans="1:244" x14ac:dyDescent="0.15">
      <c r="A22" s="1" t="s">
        <v>11</v>
      </c>
      <c r="B22" s="7">
        <f>B15-B21</f>
        <v>165.38099999999986</v>
      </c>
      <c r="C22" s="7">
        <f>C17-C21</f>
        <v>73.471000000000458</v>
      </c>
      <c r="D22" s="7">
        <f>D17-D21</f>
        <v>207.12400000000025</v>
      </c>
      <c r="E22" s="7">
        <f>E17-E21</f>
        <v>454.80000000000018</v>
      </c>
      <c r="F22" s="5">
        <f t="shared" ref="F22:G22" si="23">F17-F21</f>
        <v>608.1294269630489</v>
      </c>
      <c r="G22" s="5">
        <f t="shared" si="23"/>
        <v>769.30523192118972</v>
      </c>
      <c r="H22" s="5">
        <f t="shared" ref="H22:P22" si="24">H17-H21</f>
        <v>884.28052453269265</v>
      </c>
      <c r="I22" s="5">
        <f t="shared" si="24"/>
        <v>855.38730800871508</v>
      </c>
      <c r="J22" s="5">
        <f>J17-J21</f>
        <v>527.96429107498989</v>
      </c>
      <c r="K22" s="5">
        <f t="shared" si="24"/>
        <v>926.58331312686278</v>
      </c>
      <c r="L22" s="5">
        <f t="shared" si="24"/>
        <v>1404.7000774974531</v>
      </c>
      <c r="M22" s="5">
        <f t="shared" si="24"/>
        <v>1975.5978569942581</v>
      </c>
      <c r="N22" s="5">
        <f t="shared" si="24"/>
        <v>2654.6576826197943</v>
      </c>
      <c r="O22" s="5">
        <f t="shared" si="24"/>
        <v>3459.6820043346434</v>
      </c>
      <c r="P22" s="5">
        <f t="shared" si="24"/>
        <v>4394.4692033322044</v>
      </c>
      <c r="Q22" s="5">
        <f t="shared" ref="Q22:S22" si="25">Q17-Q21</f>
        <v>5405.3203983391359</v>
      </c>
      <c r="R22" s="5">
        <f t="shared" si="25"/>
        <v>6501.3140364527899</v>
      </c>
      <c r="S22" s="5">
        <f t="shared" si="25"/>
        <v>7692.3928726705162</v>
      </c>
      <c r="T22" s="5">
        <f t="shared" ref="T22" si="26">T17-T21</f>
        <v>8989.454080798434</v>
      </c>
      <c r="U22" s="5"/>
    </row>
    <row r="23" spans="1:244" x14ac:dyDescent="0.15">
      <c r="A23" s="1" t="s">
        <v>12</v>
      </c>
      <c r="B23" s="70">
        <f>SUM('Reports B KRW'!B14:E14)</f>
        <v>-13</v>
      </c>
      <c r="C23" s="70">
        <f>SUM('Reports B KRW'!F14:I14)</f>
        <v>57</v>
      </c>
      <c r="D23" s="70">
        <f>SUM('Reports B KRW'!J14:M14)</f>
        <v>-442</v>
      </c>
      <c r="E23" s="70">
        <f>SUM('Reports B KRW'!N14:Q14)</f>
        <v>-48</v>
      </c>
      <c r="F23" s="5">
        <f>E40*$F$3</f>
        <v>59.84</v>
      </c>
      <c r="G23" s="5">
        <f>F40*$F$3</f>
        <v>73.19938853926098</v>
      </c>
      <c r="H23" s="5">
        <f>G40*$F$3</f>
        <v>90.049480948469991</v>
      </c>
      <c r="I23" s="5">
        <f>H40*$F$3</f>
        <v>109.53608105809325</v>
      </c>
      <c r="J23" s="5">
        <f>I40*$F$3</f>
        <v>125.93977867222898</v>
      </c>
      <c r="K23" s="5">
        <f>J40*$F$3</f>
        <v>137.05614785793171</v>
      </c>
      <c r="L23" s="5">
        <f>K40*$F$3</f>
        <v>155.13801869467321</v>
      </c>
      <c r="M23" s="5">
        <f>L40*$F$3</f>
        <v>181.65526632993937</v>
      </c>
      <c r="N23" s="5">
        <f>M40*$F$3</f>
        <v>218.32856942645074</v>
      </c>
      <c r="O23" s="5">
        <f>N40*$F$3</f>
        <v>267.16933571123695</v>
      </c>
      <c r="P23" s="5">
        <f>O40*$F$3</f>
        <v>330.52580849201689</v>
      </c>
      <c r="Q23" s="5">
        <f>P40*$F$3</f>
        <v>410.85072369302861</v>
      </c>
      <c r="R23" s="5">
        <f>Q40*$F$3</f>
        <v>509.72563276757546</v>
      </c>
      <c r="S23" s="5">
        <f>R40*$F$3</f>
        <v>628.91330714432172</v>
      </c>
      <c r="T23" s="5">
        <f>S40*$F$3</f>
        <v>770.37551220117382</v>
      </c>
      <c r="U23" s="5"/>
    </row>
    <row r="24" spans="1:244" x14ac:dyDescent="0.15">
      <c r="A24" s="1" t="s">
        <v>13</v>
      </c>
      <c r="B24" s="7">
        <f>B22+B23</f>
        <v>152.38099999999986</v>
      </c>
      <c r="C24" s="7">
        <f>C22+C23</f>
        <v>130.47100000000046</v>
      </c>
      <c r="D24" s="7">
        <f>D22+D23</f>
        <v>-234.87599999999975</v>
      </c>
      <c r="E24" s="7">
        <f>E22+E23</f>
        <v>406.80000000000018</v>
      </c>
      <c r="F24" s="5">
        <f t="shared" ref="F24:G24" si="27">F22+F23</f>
        <v>667.96942696304893</v>
      </c>
      <c r="G24" s="5">
        <f t="shared" si="27"/>
        <v>842.50462046045072</v>
      </c>
      <c r="H24" s="5">
        <f t="shared" ref="H24:P24" si="28">H22+H23</f>
        <v>974.33000548116263</v>
      </c>
      <c r="I24" s="5">
        <f t="shared" si="28"/>
        <v>964.92338906680834</v>
      </c>
      <c r="J24" s="5">
        <f t="shared" si="28"/>
        <v>653.90406974721884</v>
      </c>
      <c r="K24" s="5">
        <f t="shared" si="28"/>
        <v>1063.6394609847944</v>
      </c>
      <c r="L24" s="5">
        <f t="shared" si="28"/>
        <v>1559.8380961921264</v>
      </c>
      <c r="M24" s="5">
        <f t="shared" si="28"/>
        <v>2157.2531233241975</v>
      </c>
      <c r="N24" s="5">
        <f t="shared" si="28"/>
        <v>2872.9862520462452</v>
      </c>
      <c r="O24" s="5">
        <f t="shared" si="28"/>
        <v>3726.8513400458805</v>
      </c>
      <c r="P24" s="5">
        <f t="shared" si="28"/>
        <v>4724.9950118242214</v>
      </c>
      <c r="Q24" s="5">
        <f t="shared" ref="Q24:S24" si="29">Q22+Q23</f>
        <v>5816.1711220321649</v>
      </c>
      <c r="R24" s="5">
        <f t="shared" si="29"/>
        <v>7011.0396692203649</v>
      </c>
      <c r="S24" s="5">
        <f t="shared" si="29"/>
        <v>8321.3061798148374</v>
      </c>
      <c r="T24" s="5">
        <f t="shared" ref="T24" si="30">T22+T23</f>
        <v>9759.8295929996075</v>
      </c>
      <c r="U24" s="5"/>
    </row>
    <row r="25" spans="1:244" x14ac:dyDescent="0.15">
      <c r="A25" s="1" t="s">
        <v>14</v>
      </c>
      <c r="B25" s="70">
        <f>SUM('Reports B KRW'!B16:E16)</f>
        <v>29</v>
      </c>
      <c r="C25" s="70">
        <f>SUM('Reports B KRW'!F16:I16)</f>
        <v>116</v>
      </c>
      <c r="D25" s="70">
        <f>SUM('Reports B KRW'!J16:M16)</f>
        <v>108</v>
      </c>
      <c r="E25" s="70">
        <f>SUM('Reports B KRW'!N16:Q16)</f>
        <v>242</v>
      </c>
      <c r="F25" s="5">
        <v>0</v>
      </c>
      <c r="G25" s="5">
        <v>0</v>
      </c>
      <c r="H25" s="5">
        <v>0</v>
      </c>
      <c r="I25" s="5">
        <f t="shared" ref="I25:P25" si="31">I24*0.15</f>
        <v>144.73850836002126</v>
      </c>
      <c r="J25" s="5">
        <f t="shared" si="31"/>
        <v>98.085610462082826</v>
      </c>
      <c r="K25" s="5">
        <f t="shared" si="31"/>
        <v>159.54591914771916</v>
      </c>
      <c r="L25" s="5">
        <f t="shared" si="31"/>
        <v>233.97571442881895</v>
      </c>
      <c r="M25" s="5">
        <f t="shared" si="31"/>
        <v>323.58796849862961</v>
      </c>
      <c r="N25" s="5">
        <f t="shared" si="31"/>
        <v>430.94793780693675</v>
      </c>
      <c r="O25" s="5">
        <f t="shared" si="31"/>
        <v>559.02770100688201</v>
      </c>
      <c r="P25" s="5">
        <f t="shared" si="31"/>
        <v>708.7492517736332</v>
      </c>
      <c r="Q25" s="5">
        <f t="shared" ref="Q25:S25" si="32">Q24*0.15</f>
        <v>872.42566830482474</v>
      </c>
      <c r="R25" s="5">
        <f t="shared" si="32"/>
        <v>1051.6559503830547</v>
      </c>
      <c r="S25" s="5">
        <f t="shared" si="32"/>
        <v>1248.1959269722256</v>
      </c>
      <c r="T25" s="5">
        <f t="shared" ref="T25" si="33">T24*0.15</f>
        <v>1463.974438949941</v>
      </c>
      <c r="U25" s="5"/>
    </row>
    <row r="26" spans="1:244" s="15" customFormat="1" x14ac:dyDescent="0.15">
      <c r="A26" s="15" t="s">
        <v>15</v>
      </c>
      <c r="B26" s="22">
        <f>B24-B25</f>
        <v>123.38099999999986</v>
      </c>
      <c r="C26" s="22">
        <f>C24-C25</f>
        <v>14.471000000000458</v>
      </c>
      <c r="D26" s="22">
        <f>D24-D25</f>
        <v>-342.87599999999975</v>
      </c>
      <c r="E26" s="22">
        <f>E24-E25</f>
        <v>164.80000000000018</v>
      </c>
      <c r="F26" s="22">
        <f t="shared" ref="E26:G26" si="34">F24-F25</f>
        <v>667.96942696304893</v>
      </c>
      <c r="G26" s="22">
        <f t="shared" si="34"/>
        <v>842.50462046045072</v>
      </c>
      <c r="H26" s="22">
        <f t="shared" ref="H26" si="35">H24-H25</f>
        <v>974.33000548116263</v>
      </c>
      <c r="I26" s="22">
        <f t="shared" ref="I26" si="36">I24-I25</f>
        <v>820.18488070678711</v>
      </c>
      <c r="J26" s="22">
        <f t="shared" ref="J26" si="37">J24-J25</f>
        <v>555.81845928513599</v>
      </c>
      <c r="K26" s="22">
        <f t="shared" ref="K26" si="38">K24-K25</f>
        <v>904.09354183707524</v>
      </c>
      <c r="L26" s="22">
        <f t="shared" ref="L26" si="39">L24-L25</f>
        <v>1325.8623817633074</v>
      </c>
      <c r="M26" s="22">
        <f t="shared" ref="M26" si="40">M24-M25</f>
        <v>1833.6651548255679</v>
      </c>
      <c r="N26" s="22">
        <f t="shared" ref="N26" si="41">N24-N25</f>
        <v>2442.0383142393084</v>
      </c>
      <c r="O26" s="22">
        <f t="shared" ref="O26" si="42">O24-O25</f>
        <v>3167.8236390389984</v>
      </c>
      <c r="P26" s="22">
        <f t="shared" ref="P26:Q26" si="43">P24-P25</f>
        <v>4016.2457600505882</v>
      </c>
      <c r="Q26" s="22">
        <f t="shared" si="43"/>
        <v>4943.7454537273406</v>
      </c>
      <c r="R26" s="22">
        <f t="shared" ref="R26:S26" si="44">R24-R25</f>
        <v>5959.38371883731</v>
      </c>
      <c r="S26" s="22">
        <f t="shared" si="44"/>
        <v>7073.1102528426118</v>
      </c>
      <c r="T26" s="22">
        <f t="shared" ref="T26" si="45">T24-T25</f>
        <v>8295.8551540496665</v>
      </c>
      <c r="U26" s="22">
        <f>T26*($F$2+1)</f>
        <v>8337.3344298199136</v>
      </c>
      <c r="V26" s="22">
        <f>U26*($F$2+1)</f>
        <v>8379.0211019690123</v>
      </c>
      <c r="W26" s="22">
        <f>V26*($F$2+1)</f>
        <v>8420.9162074788564</v>
      </c>
      <c r="X26" s="22">
        <f>W26*($F$2+1)</f>
        <v>8463.020788516249</v>
      </c>
      <c r="Y26" s="22">
        <f>X26*($F$2+1)</f>
        <v>8505.3358924588301</v>
      </c>
      <c r="Z26" s="22">
        <f>Y26*($F$2+1)</f>
        <v>8547.8625719211232</v>
      </c>
      <c r="AA26" s="22">
        <f>Z26*($F$2+1)</f>
        <v>8590.6018847807281</v>
      </c>
      <c r="AB26" s="22">
        <f>AA26*($F$2+1)</f>
        <v>8633.5548942046316</v>
      </c>
      <c r="AC26" s="22">
        <f>AB26*($F$2+1)</f>
        <v>8676.722668675653</v>
      </c>
      <c r="AD26" s="22">
        <f>AC26*($F$2+1)</f>
        <v>8720.1062820190309</v>
      </c>
      <c r="AE26" s="22">
        <f>AD26*($F$2+1)</f>
        <v>8763.7068134291258</v>
      </c>
      <c r="AF26" s="22">
        <f>AE26*($F$2+1)</f>
        <v>8807.5253474962701</v>
      </c>
      <c r="AG26" s="22">
        <f>AF26*($F$2+1)</f>
        <v>8851.5629742337496</v>
      </c>
      <c r="AH26" s="22">
        <f>AG26*($F$2+1)</f>
        <v>8895.8207891049169</v>
      </c>
      <c r="AI26" s="22">
        <f>AH26*($F$2+1)</f>
        <v>8940.29989305044</v>
      </c>
      <c r="AJ26" s="22">
        <f>AI26*($F$2+1)</f>
        <v>8985.0013925156909</v>
      </c>
      <c r="AK26" s="22">
        <f>AJ26*($F$2+1)</f>
        <v>9029.9263994782686</v>
      </c>
      <c r="AL26" s="22">
        <f>AK26*($F$2+1)</f>
        <v>9075.076031475659</v>
      </c>
      <c r="AM26" s="22">
        <f>AL26*($F$2+1)</f>
        <v>9120.4514116330356</v>
      </c>
      <c r="AN26" s="22">
        <f>AM26*($F$2+1)</f>
        <v>9166.0536686912001</v>
      </c>
      <c r="AO26" s="22">
        <f>AN26*($F$2+1)</f>
        <v>9211.8839370346559</v>
      </c>
      <c r="AP26" s="22">
        <f>AO26*($F$2+1)</f>
        <v>9257.9433567198284</v>
      </c>
      <c r="AQ26" s="22">
        <f>AP26*($F$2+1)</f>
        <v>9304.2330735034266</v>
      </c>
      <c r="AR26" s="22">
        <f>AQ26*($F$2+1)</f>
        <v>9350.7542388709426</v>
      </c>
      <c r="AS26" s="22">
        <f>AR26*($F$2+1)</f>
        <v>9397.5080100652958</v>
      </c>
      <c r="AT26" s="22">
        <f>AS26*($F$2+1)</f>
        <v>9444.4955501156219</v>
      </c>
      <c r="AU26" s="22">
        <f>AT26*($F$2+1)</f>
        <v>9491.7180278661981</v>
      </c>
      <c r="AV26" s="22">
        <f>AU26*($F$2+1)</f>
        <v>9539.1766180055274</v>
      </c>
      <c r="AW26" s="22">
        <f>AV26*($F$2+1)</f>
        <v>9586.8725010955532</v>
      </c>
      <c r="AX26" s="22">
        <f>AW26*($F$2+1)</f>
        <v>9634.8068636010303</v>
      </c>
      <c r="AY26" s="22">
        <f>AX26*($F$2+1)</f>
        <v>9682.9808979190348</v>
      </c>
      <c r="AZ26" s="22">
        <f>AY26*($F$2+1)</f>
        <v>9731.3958024086296</v>
      </c>
      <c r="BA26" s="22">
        <f>AZ26*($F$2+1)</f>
        <v>9780.0527814206725</v>
      </c>
      <c r="BB26" s="22">
        <f>BA26*($F$2+1)</f>
        <v>9828.9530453277748</v>
      </c>
      <c r="BC26" s="22">
        <f>BB26*($F$2+1)</f>
        <v>9878.0978105544127</v>
      </c>
      <c r="BD26" s="22">
        <f>BC26*($F$2+1)</f>
        <v>9927.4882996071829</v>
      </c>
      <c r="BE26" s="22">
        <f>BD26*($F$2+1)</f>
        <v>9977.1257411052175</v>
      </c>
      <c r="BF26" s="22">
        <f>BE26*($F$2+1)</f>
        <v>10027.011369810742</v>
      </c>
      <c r="BG26" s="22">
        <f>BF26*($F$2+1)</f>
        <v>10077.146426659794</v>
      </c>
      <c r="BH26" s="22">
        <f>BG26*($F$2+1)</f>
        <v>10127.532158793092</v>
      </c>
      <c r="BI26" s="22">
        <f>BH26*($F$2+1)</f>
        <v>10178.169819587056</v>
      </c>
      <c r="BJ26" s="22">
        <f>BI26*($F$2+1)</f>
        <v>10229.06066868499</v>
      </c>
      <c r="BK26" s="22">
        <f>BJ26*($F$2+1)</f>
        <v>10280.205972028414</v>
      </c>
      <c r="BL26" s="22">
        <f>BK26*($F$2+1)</f>
        <v>10331.607001888555</v>
      </c>
      <c r="BM26" s="22">
        <f>BL26*($F$2+1)</f>
        <v>10383.265036897996</v>
      </c>
      <c r="BN26" s="22">
        <f>BM26*($F$2+1)</f>
        <v>10435.181362082485</v>
      </c>
      <c r="BO26" s="22">
        <f>BN26*($F$2+1)</f>
        <v>10487.357268892896</v>
      </c>
      <c r="BP26" s="22">
        <f>BO26*($F$2+1)</f>
        <v>10539.79405523736</v>
      </c>
      <c r="BQ26" s="22">
        <f>BP26*($F$2+1)</f>
        <v>10592.493025513546</v>
      </c>
      <c r="BR26" s="22">
        <f>BQ26*($F$2+1)</f>
        <v>10645.455490641112</v>
      </c>
      <c r="BS26" s="22">
        <f>BR26*($F$2+1)</f>
        <v>10698.682768094317</v>
      </c>
      <c r="BT26" s="22">
        <f>BS26*($F$2+1)</f>
        <v>10752.176181934787</v>
      </c>
      <c r="BU26" s="22">
        <f>BT26*($F$2+1)</f>
        <v>10805.937062844459</v>
      </c>
      <c r="BV26" s="22">
        <f>BU26*($F$2+1)</f>
        <v>10859.96674815868</v>
      </c>
      <c r="BW26" s="22">
        <f>BV26*($F$2+1)</f>
        <v>10914.266581899472</v>
      </c>
      <c r="BX26" s="22">
        <f>BW26*($F$2+1)</f>
        <v>10968.837914808968</v>
      </c>
      <c r="BY26" s="22">
        <f>BX26*($F$2+1)</f>
        <v>11023.682104383011</v>
      </c>
      <c r="BZ26" s="22">
        <f>BY26*($F$2+1)</f>
        <v>11078.800514904926</v>
      </c>
      <c r="CA26" s="22">
        <f>BZ26*($F$2+1)</f>
        <v>11134.194517479449</v>
      </c>
      <c r="CB26" s="22">
        <f>CA26*($F$2+1)</f>
        <v>11189.865490066844</v>
      </c>
      <c r="CC26" s="22">
        <f>CB26*($F$2+1)</f>
        <v>11245.814817517177</v>
      </c>
      <c r="CD26" s="22">
        <f>CC26*($F$2+1)</f>
        <v>11302.043891604762</v>
      </c>
      <c r="CE26" s="22">
        <f>CD26*($F$2+1)</f>
        <v>11358.554111062786</v>
      </c>
      <c r="CF26" s="22">
        <f>CE26*($F$2+1)</f>
        <v>11415.346881618098</v>
      </c>
      <c r="CG26" s="22">
        <f>CF26*($F$2+1)</f>
        <v>11472.423616026186</v>
      </c>
      <c r="CH26" s="22">
        <f>CG26*($F$2+1)</f>
        <v>11529.785734106315</v>
      </c>
      <c r="CI26" s="22">
        <f>CH26*($F$2+1)</f>
        <v>11587.434662776846</v>
      </c>
      <c r="CJ26" s="22">
        <f>CI26*($F$2+1)</f>
        <v>11645.37183609073</v>
      </c>
      <c r="CK26" s="22">
        <f>CJ26*($F$2+1)</f>
        <v>11703.598695271183</v>
      </c>
      <c r="CL26" s="22">
        <f>CK26*($F$2+1)</f>
        <v>11762.116688747537</v>
      </c>
      <c r="CM26" s="22">
        <f>CL26*($F$2+1)</f>
        <v>11820.927272191273</v>
      </c>
      <c r="CN26" s="22">
        <f>CM26*($F$2+1)</f>
        <v>11880.031908552228</v>
      </c>
      <c r="CO26" s="22">
        <f>CN26*($F$2+1)</f>
        <v>11939.432068094988</v>
      </c>
      <c r="CP26" s="22">
        <f>CO26*($F$2+1)</f>
        <v>11999.129228435462</v>
      </c>
      <c r="CQ26" s="22">
        <f>CP26*($F$2+1)</f>
        <v>12059.124874577637</v>
      </c>
      <c r="CR26" s="22">
        <f>CQ26*($F$2+1)</f>
        <v>12119.420498950525</v>
      </c>
      <c r="CS26" s="22">
        <f>CR26*($F$2+1)</f>
        <v>12180.017601445277</v>
      </c>
      <c r="CT26" s="22">
        <f>CS26*($F$2+1)</f>
        <v>12240.917689452503</v>
      </c>
      <c r="CU26" s="22">
        <f>CT26*($F$2+1)</f>
        <v>12302.122277899764</v>
      </c>
      <c r="CV26" s="22">
        <f>CU26*($F$2+1)</f>
        <v>12363.632889289262</v>
      </c>
      <c r="CW26" s="22">
        <f>CV26*($F$2+1)</f>
        <v>12425.451053735707</v>
      </c>
      <c r="CX26" s="22">
        <f>CW26*($F$2+1)</f>
        <v>12487.578309004384</v>
      </c>
      <c r="CY26" s="22">
        <f>CX26*($F$2+1)</f>
        <v>12550.016200549404</v>
      </c>
      <c r="CZ26" s="22">
        <f>CY26*($F$2+1)</f>
        <v>12612.766281552149</v>
      </c>
      <c r="DA26" s="22">
        <f>CZ26*($F$2+1)</f>
        <v>12675.830112959908</v>
      </c>
      <c r="DB26" s="22">
        <f>DA26*($F$2+1)</f>
        <v>12739.209263524706</v>
      </c>
      <c r="DC26" s="22">
        <f>DB26*($F$2+1)</f>
        <v>12802.905309842328</v>
      </c>
      <c r="DD26" s="22">
        <f>DC26*($F$2+1)</f>
        <v>12866.919836391538</v>
      </c>
      <c r="DE26" s="22">
        <f>DD26*($F$2+1)</f>
        <v>12931.254435573495</v>
      </c>
      <c r="DF26" s="22">
        <f>DE26*($F$2+1)</f>
        <v>12995.910707751362</v>
      </c>
      <c r="DG26" s="22">
        <f>DF26*($F$2+1)</f>
        <v>13060.890261290117</v>
      </c>
      <c r="DH26" s="22">
        <f>DG26*($F$2+1)</f>
        <v>13126.194712596565</v>
      </c>
      <c r="DI26" s="22">
        <f>DH26*($F$2+1)</f>
        <v>13191.825686159547</v>
      </c>
      <c r="DJ26" s="22">
        <f>DI26*($F$2+1)</f>
        <v>13257.784814590344</v>
      </c>
      <c r="DK26" s="22">
        <f>DJ26*($F$2+1)</f>
        <v>13324.073738663295</v>
      </c>
      <c r="DL26" s="22">
        <f>DK26*($F$2+1)</f>
        <v>13390.69410735661</v>
      </c>
      <c r="DM26" s="22">
        <f>DL26*($F$2+1)</f>
        <v>13457.647577893393</v>
      </c>
      <c r="DN26" s="22">
        <f>DM26*($F$2+1)</f>
        <v>13524.935815782857</v>
      </c>
      <c r="DO26" s="22">
        <f>DN26*($F$2+1)</f>
        <v>13592.560494861771</v>
      </c>
      <c r="DP26" s="22">
        <f>DO26*($F$2+1)</f>
        <v>13660.523297336078</v>
      </c>
      <c r="DQ26" s="22">
        <f>DP26*($F$2+1)</f>
        <v>13728.825913822757</v>
      </c>
      <c r="DR26" s="22">
        <f>DQ26*($F$2+1)</f>
        <v>13797.47004339187</v>
      </c>
      <c r="DS26" s="22">
        <f>DR26*($F$2+1)</f>
        <v>13866.457393608827</v>
      </c>
      <c r="DT26" s="22">
        <f>DS26*($F$2+1)</f>
        <v>13935.789680576871</v>
      </c>
      <c r="DU26" s="22">
        <f>DT26*($F$2+1)</f>
        <v>14005.468628979754</v>
      </c>
      <c r="DV26" s="22">
        <f>DU26*($F$2+1)</f>
        <v>14075.495972124651</v>
      </c>
      <c r="DW26" s="22">
        <f>DV26*($F$2+1)</f>
        <v>14145.873451985271</v>
      </c>
      <c r="DX26" s="22">
        <f>DW26*($F$2+1)</f>
        <v>14216.602819245196</v>
      </c>
      <c r="DY26" s="22">
        <f>DX26*($F$2+1)</f>
        <v>14287.68583334142</v>
      </c>
      <c r="DZ26" s="22">
        <f>DY26*($F$2+1)</f>
        <v>14359.124262508125</v>
      </c>
      <c r="EA26" s="22">
        <f>DZ26*($F$2+1)</f>
        <v>14430.919883820665</v>
      </c>
      <c r="EB26" s="22">
        <f>EA26*($F$2+1)</f>
        <v>14503.074483239767</v>
      </c>
      <c r="EC26" s="22">
        <f>EB26*($F$2+1)</f>
        <v>14575.589855655964</v>
      </c>
      <c r="ED26" s="22">
        <f>EC26*($F$2+1)</f>
        <v>14648.467804934242</v>
      </c>
      <c r="EE26" s="22">
        <f>ED26*($F$2+1)</f>
        <v>14721.710143958911</v>
      </c>
      <c r="EF26" s="22">
        <f>EE26*($F$2+1)</f>
        <v>14795.318694678705</v>
      </c>
      <c r="EG26" s="22">
        <f>EF26*($F$2+1)</f>
        <v>14869.295288152096</v>
      </c>
      <c r="EH26" s="22">
        <f>EG26*($F$2+1)</f>
        <v>14943.641764592854</v>
      </c>
      <c r="EI26" s="22">
        <f>EH26*($F$2+1)</f>
        <v>15018.359973415816</v>
      </c>
      <c r="EJ26" s="22">
        <f>EI26*($F$2+1)</f>
        <v>15093.451773282894</v>
      </c>
      <c r="EK26" s="22">
        <f>EJ26*($F$2+1)</f>
        <v>15168.919032149306</v>
      </c>
      <c r="EL26" s="22">
        <f>EK26*($F$2+1)</f>
        <v>15244.763627310051</v>
      </c>
      <c r="EM26" s="22">
        <f>EL26*($F$2+1)</f>
        <v>15320.987445446599</v>
      </c>
      <c r="EN26" s="22">
        <f>EM26*($F$2+1)</f>
        <v>15397.592382673831</v>
      </c>
      <c r="EO26" s="22">
        <f>EN26*($F$2+1)</f>
        <v>15474.580344587199</v>
      </c>
      <c r="EP26" s="22">
        <f>EO26*($F$2+1)</f>
        <v>15551.953246310133</v>
      </c>
      <c r="EQ26" s="22">
        <f>EP26*($F$2+1)</f>
        <v>15629.713012541682</v>
      </c>
      <c r="ER26" s="22">
        <f>EQ26*($F$2+1)</f>
        <v>15707.86157760439</v>
      </c>
      <c r="ES26" s="22">
        <f>ER26*($F$2+1)</f>
        <v>15786.40088549241</v>
      </c>
      <c r="ET26" s="22">
        <f>ES26*($F$2+1)</f>
        <v>15865.332889919871</v>
      </c>
      <c r="EU26" s="22">
        <f>ET26*($F$2+1)</f>
        <v>15944.659554369469</v>
      </c>
      <c r="EV26" s="22">
        <f>EU26*($F$2+1)</f>
        <v>16024.382852141314</v>
      </c>
      <c r="EW26" s="22">
        <f>EV26*($F$2+1)</f>
        <v>16104.504766402019</v>
      </c>
      <c r="EX26" s="22">
        <f>EW26*($F$2+1)</f>
        <v>16185.027290234028</v>
      </c>
      <c r="EY26" s="22">
        <f>EX26*($F$2+1)</f>
        <v>16265.952426685197</v>
      </c>
      <c r="EZ26" s="22">
        <f>EY26*($F$2+1)</f>
        <v>16347.282188818621</v>
      </c>
      <c r="FA26" s="22">
        <f>EZ26*($F$2+1)</f>
        <v>16429.018599762712</v>
      </c>
      <c r="FB26" s="22">
        <f>FA26*($F$2+1)</f>
        <v>16511.163692761525</v>
      </c>
      <c r="FC26" s="22">
        <f>FB26*($F$2+1)</f>
        <v>16593.719511225332</v>
      </c>
      <c r="FD26" s="22">
        <f>FC26*($F$2+1)</f>
        <v>16676.688108781458</v>
      </c>
      <c r="FE26" s="22">
        <f>FD26*($F$2+1)</f>
        <v>16760.071549325363</v>
      </c>
      <c r="FF26" s="22">
        <f>FE26*($F$2+1)</f>
        <v>16843.871907071989</v>
      </c>
      <c r="FG26" s="22">
        <f>FF26*($F$2+1)</f>
        <v>16928.091266607345</v>
      </c>
      <c r="FH26" s="22">
        <f>FG26*($F$2+1)</f>
        <v>17012.731722940382</v>
      </c>
      <c r="FI26" s="22">
        <f>FH26*($F$2+1)</f>
        <v>17097.795381555083</v>
      </c>
      <c r="FJ26" s="22">
        <f>FI26*($F$2+1)</f>
        <v>17183.284358462857</v>
      </c>
      <c r="FK26" s="22">
        <f>FJ26*($F$2+1)</f>
        <v>17269.200780255171</v>
      </c>
      <c r="FL26" s="22">
        <f>FK26*($F$2+1)</f>
        <v>17355.546784156446</v>
      </c>
      <c r="FM26" s="22">
        <f>FL26*($F$2+1)</f>
        <v>17442.324518077225</v>
      </c>
      <c r="FN26" s="22">
        <f>FM26*($F$2+1)</f>
        <v>17529.536140667609</v>
      </c>
      <c r="FO26" s="22">
        <f>FN26*($F$2+1)</f>
        <v>17617.183821370945</v>
      </c>
      <c r="FP26" s="22">
        <f>FO26*($F$2+1)</f>
        <v>17705.269740477797</v>
      </c>
      <c r="FQ26" s="22">
        <f>FP26*($F$2+1)</f>
        <v>17793.796089180185</v>
      </c>
      <c r="FR26" s="22">
        <f>FQ26*($F$2+1)</f>
        <v>17882.765069626083</v>
      </c>
      <c r="FS26" s="22">
        <f>FR26*($F$2+1)</f>
        <v>17972.178894974211</v>
      </c>
      <c r="FT26" s="22">
        <f>FS26*($F$2+1)</f>
        <v>18062.039789449082</v>
      </c>
      <c r="FU26" s="22">
        <f>FT26*($F$2+1)</f>
        <v>18152.349988396327</v>
      </c>
      <c r="FV26" s="22">
        <f>FU26*($F$2+1)</f>
        <v>18243.111738338306</v>
      </c>
      <c r="FW26" s="22">
        <f>FV26*($F$2+1)</f>
        <v>18334.327297029995</v>
      </c>
      <c r="FX26" s="22">
        <f>FW26*($F$2+1)</f>
        <v>18425.998933515144</v>
      </c>
      <c r="FY26" s="22">
        <f>FX26*($F$2+1)</f>
        <v>18518.128928182719</v>
      </c>
      <c r="FZ26" s="22">
        <f>FY26*($F$2+1)</f>
        <v>18610.719572823629</v>
      </c>
      <c r="GA26" s="22">
        <f>FZ26*($F$2+1)</f>
        <v>18703.773170687746</v>
      </c>
      <c r="GB26" s="22">
        <f>GA26*($F$2+1)</f>
        <v>18797.292036541181</v>
      </c>
      <c r="GC26" s="22">
        <f>GB26*($F$2+1)</f>
        <v>18891.278496723884</v>
      </c>
      <c r="GD26" s="22">
        <f>GC26*($F$2+1)</f>
        <v>18985.734889207502</v>
      </c>
      <c r="GE26" s="22">
        <f>GD26*($F$2+1)</f>
        <v>19080.663563653539</v>
      </c>
      <c r="GF26" s="22">
        <f>GE26*($F$2+1)</f>
        <v>19176.066881471805</v>
      </c>
      <c r="GG26" s="22">
        <f>GF26*($F$2+1)</f>
        <v>19271.947215879161</v>
      </c>
      <c r="GH26" s="22">
        <f>GG26*($F$2+1)</f>
        <v>19368.306951958555</v>
      </c>
      <c r="GI26" s="22">
        <f>GH26*($F$2+1)</f>
        <v>19465.148486718346</v>
      </c>
      <c r="GJ26" s="22">
        <f>GI26*($F$2+1)</f>
        <v>19562.474229151936</v>
      </c>
      <c r="GK26" s="22">
        <f>GJ26*($F$2+1)</f>
        <v>19660.286600297695</v>
      </c>
      <c r="GL26" s="22">
        <f>GK26*($F$2+1)</f>
        <v>19758.58803329918</v>
      </c>
      <c r="GM26" s="22">
        <f>GL26*($F$2+1)</f>
        <v>19857.380973465675</v>
      </c>
      <c r="GN26" s="22">
        <f>GM26*($F$2+1)</f>
        <v>19956.667878333003</v>
      </c>
      <c r="GO26" s="22">
        <f>GN26*($F$2+1)</f>
        <v>20056.451217724665</v>
      </c>
      <c r="GP26" s="22">
        <f>GO26*($F$2+1)</f>
        <v>20156.733473813285</v>
      </c>
      <c r="GQ26" s="22">
        <f>GP26*($F$2+1)</f>
        <v>20257.51714118235</v>
      </c>
      <c r="GR26" s="22">
        <f>GQ26*($F$2+1)</f>
        <v>20358.804726888258</v>
      </c>
      <c r="GS26" s="22">
        <f>GR26*($F$2+1)</f>
        <v>20460.598750522699</v>
      </c>
      <c r="GT26" s="22">
        <f>GS26*($F$2+1)</f>
        <v>20562.90174427531</v>
      </c>
      <c r="GU26" s="22">
        <f>GT26*($F$2+1)</f>
        <v>20665.716252996684</v>
      </c>
      <c r="GV26" s="22">
        <f>GU26*($F$2+1)</f>
        <v>20769.044834261666</v>
      </c>
      <c r="GW26" s="22">
        <f>GV26*($F$2+1)</f>
        <v>20872.890058432971</v>
      </c>
      <c r="GX26" s="22">
        <f>GW26*($F$2+1)</f>
        <v>20977.254508725135</v>
      </c>
      <c r="GY26" s="22">
        <f>GX26*($F$2+1)</f>
        <v>21082.140781268758</v>
      </c>
      <c r="GZ26" s="22">
        <f>GY26*($F$2+1)</f>
        <v>21187.5514851751</v>
      </c>
      <c r="HA26" s="22">
        <f>GZ26*($F$2+1)</f>
        <v>21293.489242600972</v>
      </c>
      <c r="HB26" s="22">
        <f>HA26*($F$2+1)</f>
        <v>21399.956688813974</v>
      </c>
      <c r="HC26" s="22">
        <f>HB26*($F$2+1)</f>
        <v>21506.956472258044</v>
      </c>
      <c r="HD26" s="22">
        <f>HC26*($F$2+1)</f>
        <v>21614.49125461933</v>
      </c>
      <c r="HE26" s="22">
        <f>HD26*($F$2+1)</f>
        <v>21722.563710892424</v>
      </c>
      <c r="HF26" s="22">
        <f>HE26*($F$2+1)</f>
        <v>21831.176529446882</v>
      </c>
      <c r="HG26" s="22">
        <f>HF26*($F$2+1)</f>
        <v>21940.332412094114</v>
      </c>
      <c r="HH26" s="22">
        <f>HG26*($F$2+1)</f>
        <v>22050.034074154584</v>
      </c>
      <c r="HI26" s="22">
        <f>HH26*($F$2+1)</f>
        <v>22160.284244525355</v>
      </c>
      <c r="HJ26" s="22">
        <f>HI26*($F$2+1)</f>
        <v>22271.085665747982</v>
      </c>
      <c r="HK26" s="22">
        <f>HJ26*($F$2+1)</f>
        <v>22382.441094076719</v>
      </c>
      <c r="HL26" s="22">
        <f>HK26*($F$2+1)</f>
        <v>22494.3532995471</v>
      </c>
      <c r="HM26" s="22">
        <f>HL26*($F$2+1)</f>
        <v>22606.825066044832</v>
      </c>
      <c r="HN26" s="22">
        <f>HM26*($F$2+1)</f>
        <v>22719.859191375053</v>
      </c>
      <c r="HO26" s="22">
        <f>HN26*($F$2+1)</f>
        <v>22833.458487331925</v>
      </c>
      <c r="HP26" s="22">
        <f>HO26*($F$2+1)</f>
        <v>22947.625779768583</v>
      </c>
      <c r="HQ26" s="22">
        <f>HP26*($F$2+1)</f>
        <v>23062.363908667423</v>
      </c>
      <c r="HR26" s="22">
        <f>HQ26*($F$2+1)</f>
        <v>23177.675728210757</v>
      </c>
      <c r="HS26" s="22">
        <f>HR26*($F$2+1)</f>
        <v>23293.564106851809</v>
      </c>
      <c r="HT26" s="22">
        <f>HS26*($F$2+1)</f>
        <v>23410.031927386066</v>
      </c>
      <c r="HU26" s="22">
        <f>HT26*($F$2+1)</f>
        <v>23527.082087022995</v>
      </c>
      <c r="HV26" s="22">
        <f>HU26*($F$2+1)</f>
        <v>23644.717497458107</v>
      </c>
      <c r="HW26" s="22">
        <f>HV26*($F$2+1)</f>
        <v>23762.941084945396</v>
      </c>
      <c r="HX26" s="22">
        <f>HW26*($F$2+1)</f>
        <v>23881.75579037012</v>
      </c>
      <c r="HY26" s="22">
        <f>HX26*($F$2+1)</f>
        <v>24001.164569321969</v>
      </c>
      <c r="HZ26" s="22">
        <f>HY26*($F$2+1)</f>
        <v>24121.170392168577</v>
      </c>
      <c r="IA26" s="22">
        <f>HZ26*($F$2+1)</f>
        <v>24241.776244129418</v>
      </c>
      <c r="IB26" s="22">
        <f>IA26*($F$2+1)</f>
        <v>24362.985125350064</v>
      </c>
      <c r="IC26" s="22">
        <f>IB26*($F$2+1)</f>
        <v>24484.80005097681</v>
      </c>
      <c r="ID26" s="22">
        <f>IC26*($F$2+1)</f>
        <v>24607.224051231693</v>
      </c>
      <c r="IE26" s="22">
        <f>ID26*($F$2+1)</f>
        <v>24730.260171487847</v>
      </c>
      <c r="IF26" s="22">
        <f>IE26*($F$2+1)</f>
        <v>24853.911472345284</v>
      </c>
      <c r="IG26" s="22">
        <f>IF26*($F$2+1)</f>
        <v>24978.181029707008</v>
      </c>
      <c r="IH26" s="22">
        <f>IG26*($F$2+1)</f>
        <v>25103.071934855539</v>
      </c>
      <c r="II26" s="22">
        <f>IH26*($F$2+1)</f>
        <v>25228.587294529814</v>
      </c>
      <c r="IJ26" s="22">
        <f>II26*($F$2+1)</f>
        <v>25354.730231002461</v>
      </c>
    </row>
    <row r="27" spans="1:244" x14ac:dyDescent="0.15">
      <c r="A27" s="1" t="s">
        <v>16</v>
      </c>
      <c r="B27" s="23">
        <f>IFERROR(B26/B28,0)</f>
        <v>0</v>
      </c>
      <c r="C27" s="23">
        <f>IFERROR(C26/C28,0)</f>
        <v>0</v>
      </c>
      <c r="D27" s="23">
        <f>IFERROR(D26/D28,0)</f>
        <v>0</v>
      </c>
      <c r="E27" s="23">
        <f>IFERROR(E26/E28,0)</f>
        <v>0</v>
      </c>
      <c r="F27" s="18">
        <f>IFERROR(F26/F28,0)</f>
        <v>0</v>
      </c>
      <c r="G27" s="18">
        <f t="shared" ref="G27:T27" si="46">IFERROR(G26/G28,0)</f>
        <v>0</v>
      </c>
      <c r="H27" s="18">
        <f t="shared" si="46"/>
        <v>0</v>
      </c>
      <c r="I27" s="18">
        <f t="shared" si="46"/>
        <v>0</v>
      </c>
      <c r="J27" s="18">
        <f t="shared" si="46"/>
        <v>0</v>
      </c>
      <c r="K27" s="18">
        <f t="shared" si="46"/>
        <v>0</v>
      </c>
      <c r="L27" s="18">
        <f t="shared" si="46"/>
        <v>0</v>
      </c>
      <c r="M27" s="18">
        <f t="shared" si="46"/>
        <v>0</v>
      </c>
      <c r="N27" s="18">
        <f t="shared" si="46"/>
        <v>0</v>
      </c>
      <c r="O27" s="18">
        <f t="shared" si="46"/>
        <v>0</v>
      </c>
      <c r="P27" s="18">
        <f t="shared" si="46"/>
        <v>0</v>
      </c>
      <c r="Q27" s="18">
        <f t="shared" si="46"/>
        <v>0</v>
      </c>
      <c r="R27" s="18">
        <f t="shared" si="46"/>
        <v>0</v>
      </c>
      <c r="S27" s="18">
        <f t="shared" si="46"/>
        <v>0</v>
      </c>
      <c r="T27" s="18">
        <f t="shared" si="46"/>
        <v>0</v>
      </c>
      <c r="U27" s="18"/>
    </row>
    <row r="28" spans="1:244" x14ac:dyDescent="0.15">
      <c r="A28" s="1" t="s">
        <v>17</v>
      </c>
      <c r="B28" s="5"/>
      <c r="C28" s="5"/>
      <c r="D28" s="5"/>
      <c r="E28" s="5"/>
      <c r="F28" s="5">
        <f>E28</f>
        <v>0</v>
      </c>
      <c r="G28" s="5">
        <f t="shared" ref="G28" si="47">F28</f>
        <v>0</v>
      </c>
      <c r="H28" s="5">
        <f t="shared" ref="H28" si="48">G28</f>
        <v>0</v>
      </c>
      <c r="I28" s="5">
        <f t="shared" ref="I28" si="49">H28</f>
        <v>0</v>
      </c>
      <c r="J28" s="5">
        <f t="shared" ref="J28" si="50">I28</f>
        <v>0</v>
      </c>
      <c r="K28" s="5">
        <f t="shared" ref="K28" si="51">J28</f>
        <v>0</v>
      </c>
      <c r="L28" s="5">
        <f t="shared" ref="L28" si="52">K28</f>
        <v>0</v>
      </c>
      <c r="M28" s="5">
        <f t="shared" ref="M28" si="53">L28</f>
        <v>0</v>
      </c>
      <c r="N28" s="5">
        <f t="shared" ref="N28" si="54">M28</f>
        <v>0</v>
      </c>
      <c r="O28" s="5">
        <f t="shared" ref="O28" si="55">N28</f>
        <v>0</v>
      </c>
      <c r="P28" s="5">
        <f t="shared" ref="P28:T28" si="56">O28</f>
        <v>0</v>
      </c>
      <c r="Q28" s="5">
        <f t="shared" si="56"/>
        <v>0</v>
      </c>
      <c r="R28" s="5">
        <f t="shared" si="56"/>
        <v>0</v>
      </c>
      <c r="S28" s="5">
        <f t="shared" si="56"/>
        <v>0</v>
      </c>
      <c r="T28" s="5">
        <f t="shared" si="56"/>
        <v>0</v>
      </c>
      <c r="U28" s="5"/>
    </row>
    <row r="29" spans="1:244" x14ac:dyDescent="0.1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44" x14ac:dyDescent="0.15">
      <c r="A30" s="1" t="s">
        <v>19</v>
      </c>
      <c r="B30" s="21">
        <f t="shared" ref="B30" si="57">IFERROR(B17/B15,0)</f>
        <v>0</v>
      </c>
      <c r="C30" s="21">
        <f t="shared" ref="C30:P30" si="58">IFERROR(C17/C15,0)</f>
        <v>0.5533615529709851</v>
      </c>
      <c r="D30" s="21">
        <f t="shared" si="58"/>
        <v>0.55441539169101972</v>
      </c>
      <c r="E30" s="21">
        <f t="shared" si="58"/>
        <v>0.57972478829869134</v>
      </c>
      <c r="F30" s="21">
        <f t="shared" si="58"/>
        <v>0.57972478829869134</v>
      </c>
      <c r="G30" s="21">
        <f t="shared" si="58"/>
        <v>0.57972478829869134</v>
      </c>
      <c r="H30" s="21">
        <f t="shared" si="58"/>
        <v>0.57972478829869134</v>
      </c>
      <c r="I30" s="21">
        <f t="shared" si="58"/>
        <v>0.57972478829869134</v>
      </c>
      <c r="J30" s="21">
        <f t="shared" si="58"/>
        <v>0.57972478829869134</v>
      </c>
      <c r="K30" s="21">
        <f t="shared" si="58"/>
        <v>0.57972478829869134</v>
      </c>
      <c r="L30" s="21">
        <f t="shared" si="58"/>
        <v>0.57972478829869134</v>
      </c>
      <c r="M30" s="21">
        <f t="shared" si="58"/>
        <v>0.57972478829869134</v>
      </c>
      <c r="N30" s="21">
        <f t="shared" si="58"/>
        <v>0.57972478829869134</v>
      </c>
      <c r="O30" s="21">
        <f t="shared" si="58"/>
        <v>0.57972478829869134</v>
      </c>
      <c r="P30" s="21">
        <f t="shared" si="58"/>
        <v>0.57972478829869134</v>
      </c>
      <c r="Q30" s="21">
        <f t="shared" ref="Q30:S30" si="59">IFERROR(Q17/Q15,0)</f>
        <v>0.57972478829869134</v>
      </c>
      <c r="R30" s="21">
        <f t="shared" si="59"/>
        <v>0.57972478829869134</v>
      </c>
      <c r="S30" s="21">
        <f t="shared" si="59"/>
        <v>0.57972478829869134</v>
      </c>
      <c r="T30" s="21">
        <f t="shared" ref="T30" si="60">IFERROR(T17/T15,0)</f>
        <v>0.57972478829869134</v>
      </c>
      <c r="U30" s="21"/>
    </row>
    <row r="31" spans="1:244" x14ac:dyDescent="0.15">
      <c r="A31" s="1" t="s">
        <v>20</v>
      </c>
      <c r="B31" s="20">
        <f t="shared" ref="B31" si="61">IFERROR(B22/B15,0)</f>
        <v>8.3850657699936243E-2</v>
      </c>
      <c r="C31" s="20">
        <f t="shared" ref="C31:P31" si="62">IFERROR(C22/C15,0)</f>
        <v>3.039768836732272E-2</v>
      </c>
      <c r="D31" s="20">
        <f t="shared" si="62"/>
        <v>6.7464376031717357E-2</v>
      </c>
      <c r="E31" s="20">
        <f t="shared" si="62"/>
        <v>0.10941108545034646</v>
      </c>
      <c r="F31" s="20">
        <f t="shared" si="62"/>
        <v>0.11211639684500974</v>
      </c>
      <c r="G31" s="20">
        <f t="shared" si="62"/>
        <v>0.10965649149880251</v>
      </c>
      <c r="H31" s="20">
        <f t="shared" si="62"/>
        <v>9.8922033253236549E-2</v>
      </c>
      <c r="I31" s="20">
        <f t="shared" si="62"/>
        <v>7.6632725955400965E-2</v>
      </c>
      <c r="J31" s="20">
        <f t="shared" si="62"/>
        <v>3.881804531426869E-2</v>
      </c>
      <c r="K31" s="20">
        <f t="shared" si="62"/>
        <v>5.9240095102988222E-2</v>
      </c>
      <c r="L31" s="20">
        <f t="shared" si="62"/>
        <v>7.8093886763504219E-2</v>
      </c>
      <c r="M31" s="20">
        <f t="shared" si="62"/>
        <v>9.5506765685738529E-2</v>
      </c>
      <c r="N31" s="20">
        <f t="shared" si="62"/>
        <v>0.11159539613362379</v>
      </c>
      <c r="O31" s="20">
        <f t="shared" si="62"/>
        <v>0.12646667297839942</v>
      </c>
      <c r="P31" s="20">
        <f t="shared" si="62"/>
        <v>0.14603388901984632</v>
      </c>
      <c r="Q31" s="20">
        <f t="shared" ref="Q31:S31" si="63">IFERROR(Q22/Q15,0)</f>
        <v>0.16329616380873796</v>
      </c>
      <c r="R31" s="20">
        <f t="shared" si="63"/>
        <v>0.17855129317586066</v>
      </c>
      <c r="S31" s="20">
        <f t="shared" si="63"/>
        <v>0.19205721508143947</v>
      </c>
      <c r="T31" s="20">
        <f t="shared" ref="T31" si="64">IFERROR(T22/T15,0)</f>
        <v>0.20403741065876901</v>
      </c>
      <c r="U31" s="20"/>
    </row>
    <row r="32" spans="1:244" x14ac:dyDescent="0.15">
      <c r="A32" s="1" t="s">
        <v>21</v>
      </c>
      <c r="B32" s="20">
        <f t="shared" ref="B32" si="65">IFERROR(B25/B24,0)</f>
        <v>0.19031244052736251</v>
      </c>
      <c r="C32" s="20">
        <f t="shared" ref="C32:P32" si="66">IFERROR(C25/C24,0)</f>
        <v>0.88908646365858768</v>
      </c>
      <c r="D32" s="20">
        <f t="shared" si="66"/>
        <v>-0.45981709497777601</v>
      </c>
      <c r="E32" s="20">
        <f t="shared" si="66"/>
        <v>0.5948869223205504</v>
      </c>
      <c r="F32" s="20">
        <f t="shared" si="66"/>
        <v>0</v>
      </c>
      <c r="G32" s="20">
        <f t="shared" si="66"/>
        <v>0</v>
      </c>
      <c r="H32" s="20">
        <f t="shared" si="66"/>
        <v>0</v>
      </c>
      <c r="I32" s="20">
        <f t="shared" si="66"/>
        <v>0.15</v>
      </c>
      <c r="J32" s="20">
        <f t="shared" si="66"/>
        <v>0.15</v>
      </c>
      <c r="K32" s="20">
        <f t="shared" si="66"/>
        <v>0.15</v>
      </c>
      <c r="L32" s="20">
        <f t="shared" si="66"/>
        <v>0.15</v>
      </c>
      <c r="M32" s="20">
        <f t="shared" si="66"/>
        <v>0.15</v>
      </c>
      <c r="N32" s="20">
        <f t="shared" si="66"/>
        <v>0.15</v>
      </c>
      <c r="O32" s="20">
        <f t="shared" si="66"/>
        <v>0.15</v>
      </c>
      <c r="P32" s="20">
        <f t="shared" si="66"/>
        <v>0.15</v>
      </c>
      <c r="Q32" s="20">
        <f t="shared" ref="Q32:S32" si="67">IFERROR(Q25/Q24,0)</f>
        <v>0.15</v>
      </c>
      <c r="R32" s="20">
        <f t="shared" si="67"/>
        <v>0.15</v>
      </c>
      <c r="S32" s="20">
        <f t="shared" si="67"/>
        <v>0.15</v>
      </c>
      <c r="T32" s="20">
        <f t="shared" ref="T32" si="68">IFERROR(T25/T24,0)</f>
        <v>0.15</v>
      </c>
      <c r="U32" s="20"/>
    </row>
    <row r="33" spans="1:21" s="83" customFormat="1" x14ac:dyDescent="0.15">
      <c r="B33" s="84"/>
      <c r="C33" s="84"/>
      <c r="D33" s="84"/>
      <c r="E33" s="84"/>
      <c r="F33" s="84">
        <v>0.32</v>
      </c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</row>
    <row r="34" spans="1:21" x14ac:dyDescent="0.15">
      <c r="A34" s="15" t="s">
        <v>18</v>
      </c>
      <c r="B34" s="19"/>
      <c r="C34" s="19">
        <f>C15/B15-1</f>
        <v>0.22545185182180671</v>
      </c>
      <c r="D34" s="19">
        <f>D15/C15-1</f>
        <v>0.27022461380732166</v>
      </c>
      <c r="E34" s="19">
        <f t="shared" ref="E34:T34" si="69">E15/D15-1</f>
        <v>0.35395182735290165</v>
      </c>
      <c r="F34" s="19">
        <f>F15/E15-1</f>
        <v>0.30487153579676662</v>
      </c>
      <c r="G34" s="19">
        <f>G15/F15-1</f>
        <v>0.29341368782597632</v>
      </c>
      <c r="H34" s="19">
        <f t="shared" si="69"/>
        <v>0.27418558105340285</v>
      </c>
      <c r="I34" s="19">
        <f t="shared" si="69"/>
        <v>0.24868099489292583</v>
      </c>
      <c r="J34" s="19">
        <f t="shared" si="69"/>
        <v>0.2184910952092578</v>
      </c>
      <c r="K34" s="19">
        <f t="shared" si="69"/>
        <v>0.14999999999999991</v>
      </c>
      <c r="L34" s="19">
        <f t="shared" si="69"/>
        <v>0.14999999999999991</v>
      </c>
      <c r="M34" s="19">
        <f t="shared" si="69"/>
        <v>0.14999999999999991</v>
      </c>
      <c r="N34" s="19">
        <f t="shared" si="69"/>
        <v>0.14999999999999991</v>
      </c>
      <c r="O34" s="19">
        <f t="shared" si="69"/>
        <v>0.14999999999999991</v>
      </c>
      <c r="P34" s="19">
        <f t="shared" si="69"/>
        <v>0.10000000000000009</v>
      </c>
      <c r="Q34" s="19">
        <f t="shared" si="69"/>
        <v>0.10000000000000009</v>
      </c>
      <c r="R34" s="19">
        <f t="shared" si="69"/>
        <v>0.10000000000000009</v>
      </c>
      <c r="S34" s="19">
        <f t="shared" si="69"/>
        <v>0.10000000000000009</v>
      </c>
      <c r="T34" s="19">
        <f t="shared" si="69"/>
        <v>0.10000000000000009</v>
      </c>
      <c r="U34" s="19"/>
    </row>
    <row r="35" spans="1:21" x14ac:dyDescent="0.15">
      <c r="A35" s="1" t="s">
        <v>34</v>
      </c>
      <c r="B35" s="20"/>
      <c r="C35" s="20"/>
      <c r="D35" s="20">
        <f>IFERROR(D18/C18-1,0)</f>
        <v>0.29574861367837335</v>
      </c>
      <c r="E35" s="20">
        <f t="shared" ref="E35:S35" si="70">IFERROR(E18/D18-1,0)</f>
        <v>0.31241084165477884</v>
      </c>
      <c r="F35" s="20">
        <f t="shared" si="70"/>
        <v>0.30000000000000004</v>
      </c>
      <c r="G35" s="20">
        <f t="shared" si="70"/>
        <v>0.30000000000000004</v>
      </c>
      <c r="H35" s="20">
        <f t="shared" si="70"/>
        <v>0.30000000000000004</v>
      </c>
      <c r="I35" s="20">
        <f t="shared" si="70"/>
        <v>0.30000000000000004</v>
      </c>
      <c r="J35" s="20">
        <f t="shared" si="70"/>
        <v>0.30000000000000004</v>
      </c>
      <c r="K35" s="20">
        <f t="shared" si="70"/>
        <v>0.14999999999999991</v>
      </c>
      <c r="L35" s="20">
        <f t="shared" si="70"/>
        <v>0.14999999999999991</v>
      </c>
      <c r="M35" s="20">
        <f t="shared" si="70"/>
        <v>0.14999999999999991</v>
      </c>
      <c r="N35" s="20">
        <f t="shared" si="70"/>
        <v>0.14999999999999991</v>
      </c>
      <c r="O35" s="20">
        <f t="shared" si="70"/>
        <v>0.14999999999999991</v>
      </c>
      <c r="P35" s="20">
        <f t="shared" si="70"/>
        <v>0.10000000000000009</v>
      </c>
      <c r="Q35" s="20">
        <f t="shared" si="70"/>
        <v>0.10000000000000009</v>
      </c>
      <c r="R35" s="20">
        <f t="shared" si="70"/>
        <v>0.10000000000000009</v>
      </c>
      <c r="S35" s="20">
        <f t="shared" si="70"/>
        <v>0.10000000000000009</v>
      </c>
      <c r="T35" s="20">
        <f t="shared" ref="T35" si="71">IFERROR(T18/S18-1,0)</f>
        <v>0.10000000000000009</v>
      </c>
      <c r="U35" s="20"/>
    </row>
    <row r="36" spans="1:21" x14ac:dyDescent="0.15">
      <c r="A36" s="1" t="s">
        <v>35</v>
      </c>
      <c r="B36" s="20"/>
      <c r="C36" s="20"/>
      <c r="D36" s="20">
        <f t="shared" ref="C36:T37" si="72">D19/C19-1</f>
        <v>-0.18716577540106949</v>
      </c>
      <c r="E36" s="20">
        <f t="shared" ref="E36:T36" si="73">E19/D19-1</f>
        <v>0.53289473684210531</v>
      </c>
      <c r="F36" s="20">
        <f t="shared" si="73"/>
        <v>0.44999999999999996</v>
      </c>
      <c r="G36" s="20">
        <f t="shared" si="73"/>
        <v>0.44999999999999996</v>
      </c>
      <c r="H36" s="20">
        <f t="shared" si="73"/>
        <v>0.44999999999999996</v>
      </c>
      <c r="I36" s="20">
        <f t="shared" si="73"/>
        <v>0.44999999999999996</v>
      </c>
      <c r="J36" s="20">
        <f t="shared" si="73"/>
        <v>0.44999999999999996</v>
      </c>
      <c r="K36" s="20">
        <f t="shared" si="73"/>
        <v>0.10000000000000009</v>
      </c>
      <c r="L36" s="20">
        <f t="shared" si="73"/>
        <v>0.10000000000000009</v>
      </c>
      <c r="M36" s="20">
        <f t="shared" si="73"/>
        <v>0.10000000000000009</v>
      </c>
      <c r="N36" s="20">
        <f t="shared" si="73"/>
        <v>0.10000000000000009</v>
      </c>
      <c r="O36" s="20">
        <f t="shared" si="73"/>
        <v>0.10000000000000009</v>
      </c>
      <c r="P36" s="20">
        <f t="shared" si="73"/>
        <v>5.0000000000000044E-2</v>
      </c>
      <c r="Q36" s="20">
        <f t="shared" si="73"/>
        <v>5.0000000000000044E-2</v>
      </c>
      <c r="R36" s="20">
        <f t="shared" si="73"/>
        <v>5.0000000000000044E-2</v>
      </c>
      <c r="S36" s="20">
        <f t="shared" si="73"/>
        <v>5.0000000000000044E-2</v>
      </c>
      <c r="T36" s="20">
        <f t="shared" si="73"/>
        <v>5.0000000000000044E-2</v>
      </c>
      <c r="U36" s="20"/>
    </row>
    <row r="37" spans="1:21" x14ac:dyDescent="0.15">
      <c r="A37" s="1" t="s">
        <v>36</v>
      </c>
      <c r="B37" s="20"/>
      <c r="C37" s="20"/>
      <c r="D37" s="20">
        <f t="shared" si="72"/>
        <v>0.19776119402985071</v>
      </c>
      <c r="E37" s="20">
        <f>E20/D20-1</f>
        <v>0.24922118380062308</v>
      </c>
      <c r="F37" s="20">
        <f t="shared" si="72"/>
        <v>0.25</v>
      </c>
      <c r="G37" s="20">
        <f t="shared" si="72"/>
        <v>0.25</v>
      </c>
      <c r="H37" s="20">
        <f t="shared" si="72"/>
        <v>0.25</v>
      </c>
      <c r="I37" s="20">
        <f t="shared" si="72"/>
        <v>0.25</v>
      </c>
      <c r="J37" s="20">
        <f t="shared" si="72"/>
        <v>0.25</v>
      </c>
      <c r="K37" s="20">
        <f t="shared" si="72"/>
        <v>5.0000000000000044E-2</v>
      </c>
      <c r="L37" s="20">
        <f t="shared" si="72"/>
        <v>5.0000000000000044E-2</v>
      </c>
      <c r="M37" s="20">
        <f t="shared" si="72"/>
        <v>5.0000000000000044E-2</v>
      </c>
      <c r="N37" s="20">
        <f t="shared" si="72"/>
        <v>5.0000000000000044E-2</v>
      </c>
      <c r="O37" s="20">
        <f t="shared" si="72"/>
        <v>5.0000000000000044E-2</v>
      </c>
      <c r="P37" s="20">
        <f t="shared" si="72"/>
        <v>-5.0000000000000155E-2</v>
      </c>
      <c r="Q37" s="20">
        <f t="shared" si="72"/>
        <v>-5.0000000000000044E-2</v>
      </c>
      <c r="R37" s="20">
        <f t="shared" si="72"/>
        <v>-5.0000000000000044E-2</v>
      </c>
      <c r="S37" s="20">
        <f t="shared" si="72"/>
        <v>-5.0000000000000044E-2</v>
      </c>
      <c r="T37" s="20">
        <f t="shared" si="72"/>
        <v>-5.0000000000000044E-2</v>
      </c>
      <c r="U37" s="20"/>
    </row>
    <row r="38" spans="1:21" s="62" customFormat="1" x14ac:dyDescent="0.15">
      <c r="A38" s="62" t="s">
        <v>57</v>
      </c>
      <c r="B38" s="20"/>
      <c r="C38" s="20">
        <f>C21/B21-1</f>
        <v>-0.3004775458272988</v>
      </c>
      <c r="D38" s="20">
        <f>D21/C21-1</f>
        <v>0.182753164556962</v>
      </c>
      <c r="E38" s="20">
        <f t="shared" ref="E38:T38" si="74">E21/D21-1</f>
        <v>0.30769230769230771</v>
      </c>
      <c r="F38" s="20">
        <f t="shared" si="74"/>
        <v>0.29736572890025581</v>
      </c>
      <c r="G38" s="20">
        <f t="shared" si="74"/>
        <v>0.30021783271236235</v>
      </c>
      <c r="H38" s="20">
        <f t="shared" si="74"/>
        <v>0.30328282502844695</v>
      </c>
      <c r="I38" s="20">
        <f t="shared" si="74"/>
        <v>0.30656800598025691</v>
      </c>
      <c r="J38" s="20">
        <f t="shared" si="74"/>
        <v>0.31007841108696388</v>
      </c>
      <c r="K38" s="20">
        <f t="shared" si="74"/>
        <v>0.10658150399928767</v>
      </c>
      <c r="L38" s="20">
        <f t="shared" si="74"/>
        <v>0.10834294323533333</v>
      </c>
      <c r="M38" s="20">
        <f t="shared" si="74"/>
        <v>0.11008058774033724</v>
      </c>
      <c r="N38" s="20">
        <f t="shared" si="74"/>
        <v>0.11179009423228936</v>
      </c>
      <c r="O38" s="20">
        <f t="shared" si="74"/>
        <v>0.11346743302659013</v>
      </c>
      <c r="P38" s="20">
        <f t="shared" si="74"/>
        <v>5.2512846614159781E-2</v>
      </c>
      <c r="Q38" s="20">
        <f t="shared" si="74"/>
        <v>5.621650742647466E-2</v>
      </c>
      <c r="R38" s="20">
        <f t="shared" si="74"/>
        <v>5.9703436995023784E-2</v>
      </c>
      <c r="S38" s="20">
        <f t="shared" si="74"/>
        <v>6.2967358819186359E-2</v>
      </c>
      <c r="T38" s="20">
        <f t="shared" si="74"/>
        <v>6.600640330658436E-2</v>
      </c>
      <c r="U38" s="20"/>
    </row>
    <row r="39" spans="1:21" x14ac:dyDescent="0.1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15">
      <c r="A40" s="15" t="s">
        <v>22</v>
      </c>
      <c r="B40" s="3"/>
      <c r="C40" s="22">
        <f>C41-C42</f>
        <v>1569</v>
      </c>
      <c r="D40" s="22">
        <f>D41-D42</f>
        <v>1656</v>
      </c>
      <c r="E40" s="22">
        <f>E41-E42</f>
        <v>2992</v>
      </c>
      <c r="F40" s="17">
        <f>E40+F26</f>
        <v>3659.969426963049</v>
      </c>
      <c r="G40" s="17">
        <f t="shared" ref="G40:T40" si="75">F40+G26</f>
        <v>4502.4740474234995</v>
      </c>
      <c r="H40" s="17">
        <f t="shared" si="75"/>
        <v>5476.8040529046621</v>
      </c>
      <c r="I40" s="17">
        <f t="shared" si="75"/>
        <v>6296.9889336114493</v>
      </c>
      <c r="J40" s="17">
        <f t="shared" si="75"/>
        <v>6852.807392896585</v>
      </c>
      <c r="K40" s="17">
        <f t="shared" si="75"/>
        <v>7756.9009347336605</v>
      </c>
      <c r="L40" s="17">
        <f t="shared" si="75"/>
        <v>9082.7633164969684</v>
      </c>
      <c r="M40" s="17">
        <f t="shared" si="75"/>
        <v>10916.428471322537</v>
      </c>
      <c r="N40" s="17">
        <f t="shared" si="75"/>
        <v>13358.466785561846</v>
      </c>
      <c r="O40" s="17">
        <f t="shared" si="75"/>
        <v>16526.290424600844</v>
      </c>
      <c r="P40" s="17">
        <f t="shared" si="75"/>
        <v>20542.536184651432</v>
      </c>
      <c r="Q40" s="17">
        <f t="shared" si="75"/>
        <v>25486.281638378772</v>
      </c>
      <c r="R40" s="17">
        <f t="shared" si="75"/>
        <v>31445.665357216083</v>
      </c>
      <c r="S40" s="17">
        <f t="shared" si="75"/>
        <v>38518.775610058692</v>
      </c>
      <c r="T40" s="17">
        <f t="shared" si="75"/>
        <v>46814.630764108355</v>
      </c>
      <c r="U40" s="17"/>
    </row>
    <row r="41" spans="1:21" x14ac:dyDescent="0.15">
      <c r="A41" s="1" t="s">
        <v>23</v>
      </c>
      <c r="B41" s="3"/>
      <c r="C41" s="16">
        <f>'Reports B KRW'!I32</f>
        <v>2223</v>
      </c>
      <c r="D41" s="16">
        <f>'Reports B KRW'!M32</f>
        <v>2177</v>
      </c>
      <c r="E41" s="16">
        <f>'Reports B KRW'!Q32</f>
        <v>3581</v>
      </c>
    </row>
    <row r="42" spans="1:21" x14ac:dyDescent="0.15">
      <c r="A42" s="1" t="s">
        <v>24</v>
      </c>
      <c r="B42" s="3"/>
      <c r="C42" s="16">
        <f>'Reports B KRW'!I33</f>
        <v>654</v>
      </c>
      <c r="D42" s="16">
        <f>'Reports B KRW'!M33</f>
        <v>521</v>
      </c>
      <c r="E42" s="16">
        <f>'Reports B KRW'!Q33</f>
        <v>589</v>
      </c>
    </row>
    <row r="43" spans="1:21" x14ac:dyDescent="0.15">
      <c r="B43" s="3"/>
    </row>
    <row r="44" spans="1:21" x14ac:dyDescent="0.15">
      <c r="A44" s="1" t="s">
        <v>43</v>
      </c>
      <c r="B44" s="3"/>
      <c r="C44" s="16">
        <f>'Reports B KRW'!I35</f>
        <v>3865</v>
      </c>
      <c r="D44" s="16">
        <f>'Reports B KRW'!M35</f>
        <v>3548</v>
      </c>
      <c r="E44" s="16">
        <f>'Reports B KRW'!Q35</f>
        <v>3351</v>
      </c>
    </row>
    <row r="45" spans="1:21" x14ac:dyDescent="0.15">
      <c r="A45" s="1" t="s">
        <v>44</v>
      </c>
      <c r="B45" s="3"/>
      <c r="C45" s="16">
        <f>'Reports B KRW'!I36</f>
        <v>7960</v>
      </c>
      <c r="D45" s="16">
        <f>'Reports B KRW'!M36</f>
        <v>8737</v>
      </c>
      <c r="E45" s="16">
        <f>'Reports B KRW'!Q36</f>
        <v>11912</v>
      </c>
    </row>
    <row r="46" spans="1:21" x14ac:dyDescent="0.15">
      <c r="A46" s="1" t="s">
        <v>45</v>
      </c>
      <c r="B46" s="3"/>
      <c r="C46" s="16">
        <f>'Reports B KRW'!I37</f>
        <v>2332</v>
      </c>
      <c r="D46" s="16">
        <f>'Reports B KRW'!M37</f>
        <v>2998</v>
      </c>
      <c r="E46" s="16">
        <f>'Reports B KRW'!Q37</f>
        <v>4498</v>
      </c>
    </row>
    <row r="47" spans="1:21" x14ac:dyDescent="0.15">
      <c r="B47" s="3"/>
    </row>
    <row r="48" spans="1:21" x14ac:dyDescent="0.15">
      <c r="A48" s="1" t="s">
        <v>46</v>
      </c>
      <c r="B48" s="3"/>
      <c r="C48" s="24">
        <f>C45-C44-C41</f>
        <v>1872</v>
      </c>
      <c r="D48" s="24">
        <f>D45-D44-D41</f>
        <v>3012</v>
      </c>
      <c r="E48" s="24">
        <f>E45-E44-E41</f>
        <v>4980</v>
      </c>
    </row>
    <row r="49" spans="1:20" x14ac:dyDescent="0.15">
      <c r="A49" s="1" t="s">
        <v>47</v>
      </c>
      <c r="B49" s="3"/>
      <c r="C49" s="24">
        <f>C45-C46</f>
        <v>5628</v>
      </c>
      <c r="D49" s="24">
        <f>D45-D46</f>
        <v>5739</v>
      </c>
      <c r="E49" s="24">
        <f>E45-E46</f>
        <v>7414</v>
      </c>
    </row>
    <row r="50" spans="1:20" x14ac:dyDescent="0.15">
      <c r="B50" s="3"/>
    </row>
    <row r="51" spans="1:20" x14ac:dyDescent="0.15">
      <c r="A51" s="1" t="s">
        <v>48</v>
      </c>
      <c r="B51" s="3"/>
      <c r="C51" s="14">
        <f>C26/C49</f>
        <v>2.5712508884151489E-3</v>
      </c>
      <c r="D51" s="14">
        <f>D26/D49</f>
        <v>-5.9744903293256622E-2</v>
      </c>
      <c r="E51" s="14">
        <f>E26/E49</f>
        <v>2.2228216886970621E-2</v>
      </c>
    </row>
    <row r="52" spans="1:20" x14ac:dyDescent="0.15">
      <c r="A52" s="1" t="s">
        <v>49</v>
      </c>
      <c r="B52" s="3"/>
      <c r="C52" s="14">
        <f>C26/C45</f>
        <v>1.8179648241206606E-3</v>
      </c>
      <c r="D52" s="14">
        <f>D26/D45</f>
        <v>-3.9244134142154032E-2</v>
      </c>
      <c r="E52" s="14">
        <f>E26/E45</f>
        <v>1.3834788448623252E-2</v>
      </c>
    </row>
    <row r="53" spans="1:20" x14ac:dyDescent="0.15">
      <c r="A53" s="1" t="s">
        <v>50</v>
      </c>
      <c r="B53" s="3"/>
      <c r="C53" s="14">
        <f>C26/(C49-C44)</f>
        <v>8.208167895632704E-3</v>
      </c>
      <c r="D53" s="14">
        <f>D26/(D49-D44)</f>
        <v>-0.15649292560474656</v>
      </c>
      <c r="E53" s="14">
        <f>E26/(E49-E44)</f>
        <v>4.0561161703175037E-2</v>
      </c>
    </row>
    <row r="54" spans="1:20" x14ac:dyDescent="0.15">
      <c r="A54" s="1" t="s">
        <v>51</v>
      </c>
      <c r="B54" s="3"/>
      <c r="C54" s="14">
        <f>C26/C48</f>
        <v>7.7302350427352878E-3</v>
      </c>
      <c r="D54" s="14">
        <f>D26/D48</f>
        <v>-0.1138366533864541</v>
      </c>
      <c r="E54" s="14">
        <f>E26/E48</f>
        <v>3.3092369477911686E-2</v>
      </c>
    </row>
    <row r="56" spans="1:20" x14ac:dyDescent="0.15">
      <c r="A56" s="70" t="s">
        <v>87</v>
      </c>
      <c r="C56" s="14"/>
      <c r="D56" s="14">
        <f>D12/C12-1</f>
        <v>0.38050542905663831</v>
      </c>
      <c r="E56" s="14">
        <f>E12/D12-1</f>
        <v>0.49562999205453084</v>
      </c>
      <c r="F56" s="14">
        <f t="shared" ref="F56:J56" si="76">F12/E12-1</f>
        <v>0.44999999999999996</v>
      </c>
      <c r="G56" s="14">
        <f t="shared" si="76"/>
        <v>0.39999999999999991</v>
      </c>
      <c r="H56" s="14">
        <f t="shared" si="76"/>
        <v>0.35000000000000009</v>
      </c>
      <c r="I56" s="14">
        <f t="shared" si="76"/>
        <v>0.30000000000000004</v>
      </c>
      <c r="J56" s="14">
        <f t="shared" si="76"/>
        <v>0.25</v>
      </c>
    </row>
    <row r="57" spans="1:20" x14ac:dyDescent="0.15">
      <c r="A57" s="62" t="s">
        <v>88</v>
      </c>
      <c r="C57" s="14"/>
      <c r="D57" s="14">
        <f>D13/C13-1</f>
        <v>0.18702918969454396</v>
      </c>
      <c r="E57" s="14">
        <f>E13/D13-1</f>
        <v>0.22964954162549289</v>
      </c>
      <c r="F57" s="14">
        <f t="shared" ref="F57:J57" si="77">F13/E13-1</f>
        <v>0.14999999999999991</v>
      </c>
      <c r="G57" s="14">
        <f t="shared" si="77"/>
        <v>0.14999999999999991</v>
      </c>
      <c r="H57" s="14">
        <f t="shared" si="77"/>
        <v>0.14999999999999991</v>
      </c>
      <c r="I57" s="14">
        <f t="shared" si="77"/>
        <v>0.14999999999999991</v>
      </c>
      <c r="J57" s="14">
        <f t="shared" si="77"/>
        <v>0.14999999999999991</v>
      </c>
    </row>
    <row r="60" spans="1:20" s="94" customFormat="1" x14ac:dyDescent="0.15">
      <c r="A60" s="94" t="s">
        <v>102</v>
      </c>
      <c r="B60" s="94">
        <v>1065.6400000000001</v>
      </c>
      <c r="C60" s="94">
        <v>1110.4000000000001</v>
      </c>
      <c r="D60" s="94">
        <v>1153.75</v>
      </c>
      <c r="E60" s="94">
        <v>1084.6500000000001</v>
      </c>
    </row>
    <row r="61" spans="1:20" s="76" customFormat="1" x14ac:dyDescent="0.15">
      <c r="A61" s="76" t="s">
        <v>107</v>
      </c>
      <c r="B61" s="96">
        <f>B15/B60*1000</f>
        <v>1850.8389324725044</v>
      </c>
      <c r="C61" s="96">
        <f>C15/C60*1000</f>
        <v>2176.6867795389053</v>
      </c>
      <c r="D61" s="96">
        <f>D15/D60*1000</f>
        <v>2660.9958829902498</v>
      </c>
      <c r="E61" s="96">
        <f>E15/E60*1000</f>
        <v>3832.3883280320842</v>
      </c>
      <c r="F61" s="76">
        <f>F15/$C$9*1000</f>
        <v>4896.1392993509835</v>
      </c>
      <c r="G61" s="76">
        <f t="shared" ref="G61:T61" si="78">G15/$C$9*1000</f>
        <v>6332.7335872832482</v>
      </c>
      <c r="H61" s="76">
        <f t="shared" si="78"/>
        <v>8069.0778255689038</v>
      </c>
      <c r="I61" s="76">
        <f t="shared" si="78"/>
        <v>10075.704127099825</v>
      </c>
      <c r="J61" s="76">
        <f t="shared" si="78"/>
        <v>12277.155756834305</v>
      </c>
      <c r="K61" s="76">
        <f t="shared" si="78"/>
        <v>14118.72912035945</v>
      </c>
      <c r="L61" s="76">
        <f t="shared" si="78"/>
        <v>16236.538488413365</v>
      </c>
      <c r="M61" s="76">
        <f t="shared" si="78"/>
        <v>18672.01926167537</v>
      </c>
      <c r="N61" s="76">
        <f t="shared" si="78"/>
        <v>21472.82215092667</v>
      </c>
      <c r="O61" s="76">
        <f t="shared" si="78"/>
        <v>24693.745473565668</v>
      </c>
      <c r="P61" s="76">
        <f t="shared" si="78"/>
        <v>27163.120020922241</v>
      </c>
      <c r="Q61" s="76">
        <f t="shared" si="78"/>
        <v>29879.432023014466</v>
      </c>
      <c r="R61" s="76">
        <f t="shared" si="78"/>
        <v>32867.375225315911</v>
      </c>
      <c r="S61" s="76">
        <f t="shared" si="78"/>
        <v>36154.112747847503</v>
      </c>
      <c r="T61" s="76">
        <f t="shared" si="78"/>
        <v>39769.524022632264</v>
      </c>
    </row>
    <row r="62" spans="1:20" s="76" customFormat="1" x14ac:dyDescent="0.15">
      <c r="A62" s="76" t="s">
        <v>108</v>
      </c>
      <c r="B62" s="96">
        <f>B26/B60*1000</f>
        <v>115.78112683457815</v>
      </c>
      <c r="C62" s="96">
        <f>C26/C60*1000</f>
        <v>13.032240634006175</v>
      </c>
      <c r="D62" s="96">
        <f>D26/D60*1000</f>
        <v>-297.18396533044398</v>
      </c>
      <c r="E62" s="96">
        <f>E26/E60*1000</f>
        <v>151.93841331305043</v>
      </c>
      <c r="F62" s="76">
        <f>F26/$C$9*1000</f>
        <v>602.95300448900014</v>
      </c>
      <c r="G62" s="76">
        <f t="shared" ref="G62:T62" si="79">G26/$C$9*1000</f>
        <v>760.49991466240374</v>
      </c>
      <c r="H62" s="76">
        <f t="shared" si="79"/>
        <v>879.4941511614262</v>
      </c>
      <c r="I62" s="76">
        <f t="shared" si="79"/>
        <v>740.35265402343964</v>
      </c>
      <c r="J62" s="76">
        <f t="shared" si="79"/>
        <v>501.71818716331575</v>
      </c>
      <c r="K62" s="76">
        <f t="shared" si="79"/>
        <v>816.09411357074214</v>
      </c>
      <c r="L62" s="76">
        <f t="shared" si="79"/>
        <v>1196.8103244751519</v>
      </c>
      <c r="M62" s="76">
        <f t="shared" si="79"/>
        <v>1655.186404796375</v>
      </c>
      <c r="N62" s="76">
        <f t="shared" si="79"/>
        <v>2204.3439103827377</v>
      </c>
      <c r="O62" s="76">
        <f t="shared" si="79"/>
        <v>2859.4853353303292</v>
      </c>
      <c r="P62" s="76">
        <f t="shared" si="79"/>
        <v>3625.3267740091787</v>
      </c>
      <c r="Q62" s="76">
        <f t="shared" si="79"/>
        <v>4462.548815005317</v>
      </c>
      <c r="R62" s="76">
        <f t="shared" si="79"/>
        <v>5379.3305099494601</v>
      </c>
      <c r="S62" s="76">
        <f t="shared" si="79"/>
        <v>6384.653108186827</v>
      </c>
      <c r="T62" s="76">
        <f t="shared" si="79"/>
        <v>7488.3828331509949</v>
      </c>
    </row>
    <row r="63" spans="1:20" s="15" customFormat="1" x14ac:dyDescent="0.15"/>
    <row r="64" spans="1:20" s="95" customFormat="1" x14ac:dyDescent="0.15">
      <c r="A64" s="95" t="s">
        <v>105</v>
      </c>
      <c r="C64" s="95">
        <f>C61/B61-1</f>
        <v>0.17605413488417732</v>
      </c>
      <c r="D64" s="95">
        <f>D61/C61-1</f>
        <v>0.22249829787358633</v>
      </c>
      <c r="E64" s="95">
        <f>E61/D61-1</f>
        <v>0.44020828913327814</v>
      </c>
    </row>
    <row r="66" spans="1:5" s="76" customFormat="1" x14ac:dyDescent="0.15">
      <c r="A66" s="76" t="s">
        <v>109</v>
      </c>
      <c r="C66" s="96">
        <f>C40/C60*1000</f>
        <v>1413.0043227665706</v>
      </c>
      <c r="D66" s="96">
        <f>D40/D60*1000</f>
        <v>1435.3196099674972</v>
      </c>
      <c r="E66" s="96">
        <f>E40/E60*1000</f>
        <v>2758.4935232563498</v>
      </c>
    </row>
  </sheetData>
  <hyperlinks>
    <hyperlink ref="A1" r:id="rId1" xr:uid="{00000000-0004-0000-0000-000005000000}"/>
    <hyperlink ref="A4" r:id="rId2" xr:uid="{08CD30D0-DCCD-6249-96E4-0E31A3ED03B9}"/>
    <hyperlink ref="A7" r:id="rId3" xr:uid="{6121C241-870F-104A-9675-F14770086400}"/>
    <hyperlink ref="D3" r:id="rId4" xr:uid="{389E8205-1B44-984C-B3B4-8E9CE6954719}"/>
    <hyperlink ref="I9" r:id="rId5" xr:uid="{99107AA9-C3F4-304B-BED2-D3683D9D68B2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zoomScale="130" zoomScaleNormal="13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O31" sqref="O31"/>
    </sheetView>
  </sheetViews>
  <sheetFormatPr baseColWidth="10" defaultRowHeight="13" x14ac:dyDescent="0.15"/>
  <cols>
    <col min="1" max="1" width="24.5" style="31" customWidth="1"/>
    <col min="2" max="2" width="10.83203125" style="26"/>
    <col min="3" max="5" width="10.83203125" style="25"/>
    <col min="6" max="6" width="10.83203125" style="26"/>
    <col min="7" max="8" width="10.83203125" style="25"/>
    <col min="9" max="9" width="10.83203125" style="33"/>
    <col min="10" max="10" width="10.83203125" style="30"/>
    <col min="11" max="13" width="10.83203125" style="31"/>
    <col min="14" max="14" width="10.83203125" style="30"/>
    <col min="15" max="16384" width="10.83203125" style="31"/>
  </cols>
  <sheetData>
    <row r="1" spans="1:17" x14ac:dyDescent="0.15">
      <c r="A1" s="80" t="s">
        <v>63</v>
      </c>
      <c r="B1" s="27" t="s">
        <v>0</v>
      </c>
      <c r="C1" s="28" t="s">
        <v>1</v>
      </c>
      <c r="D1" s="28" t="s">
        <v>2</v>
      </c>
      <c r="E1" s="28" t="s">
        <v>3</v>
      </c>
      <c r="F1" s="27" t="s">
        <v>30</v>
      </c>
      <c r="G1" s="28" t="s">
        <v>31</v>
      </c>
      <c r="H1" s="28" t="s">
        <v>32</v>
      </c>
      <c r="I1" s="29" t="s">
        <v>33</v>
      </c>
      <c r="J1" s="27" t="s">
        <v>53</v>
      </c>
      <c r="K1" s="28" t="s">
        <v>54</v>
      </c>
      <c r="L1" s="28" t="s">
        <v>55</v>
      </c>
      <c r="M1" s="29" t="s">
        <v>56</v>
      </c>
      <c r="N1" s="63" t="s">
        <v>58</v>
      </c>
      <c r="O1" s="69" t="s">
        <v>59</v>
      </c>
      <c r="P1" s="69" t="s">
        <v>60</v>
      </c>
      <c r="Q1" s="69" t="s">
        <v>61</v>
      </c>
    </row>
    <row r="2" spans="1:17" x14ac:dyDescent="0.15">
      <c r="A2" s="32"/>
      <c r="B2" s="89">
        <v>42825</v>
      </c>
      <c r="C2" s="90">
        <v>42916</v>
      </c>
      <c r="D2" s="90">
        <v>43008</v>
      </c>
      <c r="E2" s="90">
        <v>43100</v>
      </c>
      <c r="F2" s="89">
        <v>43190</v>
      </c>
      <c r="G2" s="90">
        <v>43281</v>
      </c>
      <c r="H2" s="90">
        <v>43373</v>
      </c>
      <c r="I2" s="91">
        <v>43465</v>
      </c>
      <c r="J2" s="89">
        <v>43555</v>
      </c>
      <c r="K2" s="90">
        <v>43646</v>
      </c>
      <c r="L2" s="90">
        <v>43738</v>
      </c>
      <c r="M2" s="91">
        <v>43830</v>
      </c>
      <c r="N2" s="64">
        <v>43921</v>
      </c>
      <c r="O2" s="74">
        <v>44012</v>
      </c>
      <c r="P2" s="74">
        <v>44104</v>
      </c>
      <c r="Q2" s="74">
        <v>44196</v>
      </c>
    </row>
    <row r="3" spans="1:17" s="70" customFormat="1" x14ac:dyDescent="0.15">
      <c r="A3" s="70" t="s">
        <v>77</v>
      </c>
      <c r="B3" s="71"/>
      <c r="C3" s="72"/>
      <c r="D3" s="72"/>
      <c r="E3" s="72"/>
      <c r="F3" s="71">
        <v>232.28100000000001</v>
      </c>
      <c r="G3" s="72">
        <v>251.05699999999999</v>
      </c>
      <c r="H3" s="72">
        <v>253.01</v>
      </c>
      <c r="I3" s="69">
        <v>302.96699999999998</v>
      </c>
      <c r="J3" s="71">
        <v>313.11399999999998</v>
      </c>
      <c r="K3" s="72">
        <v>326.83600000000001</v>
      </c>
      <c r="L3" s="72">
        <v>350.73</v>
      </c>
      <c r="M3" s="72">
        <v>444.1</v>
      </c>
      <c r="N3" s="73">
        <v>441.8</v>
      </c>
      <c r="O3" s="70">
        <v>492.7</v>
      </c>
      <c r="P3" s="70">
        <v>554.4</v>
      </c>
      <c r="Q3" s="70">
        <v>657</v>
      </c>
    </row>
    <row r="4" spans="1:17" s="70" customFormat="1" x14ac:dyDescent="0.15">
      <c r="A4" s="70" t="s">
        <v>80</v>
      </c>
      <c r="B4" s="71"/>
      <c r="C4" s="72"/>
      <c r="D4" s="72"/>
      <c r="E4" s="72"/>
      <c r="F4" s="71">
        <v>323.14100000000002</v>
      </c>
      <c r="G4" s="72">
        <v>337.87599999999998</v>
      </c>
      <c r="H4" s="72">
        <v>346.28300000000002</v>
      </c>
      <c r="I4" s="69">
        <v>370.37799999999999</v>
      </c>
      <c r="J4" s="71">
        <v>393.19900000000001</v>
      </c>
      <c r="K4" s="72">
        <v>406.2</v>
      </c>
      <c r="L4" s="72">
        <v>432.44499999999999</v>
      </c>
      <c r="M4" s="72">
        <v>403.5</v>
      </c>
      <c r="N4" s="73">
        <v>426.6</v>
      </c>
      <c r="O4" s="70">
        <v>460.2</v>
      </c>
      <c r="P4" s="70">
        <v>546</v>
      </c>
      <c r="Q4" s="70">
        <v>578.1</v>
      </c>
    </row>
    <row r="5" spans="1:17" s="70" customFormat="1" x14ac:dyDescent="0.15">
      <c r="B5" s="71"/>
      <c r="C5" s="72"/>
      <c r="D5" s="72"/>
      <c r="E5" s="72"/>
      <c r="F5" s="71"/>
      <c r="G5" s="72"/>
      <c r="H5" s="72"/>
      <c r="I5" s="69"/>
      <c r="J5" s="71"/>
      <c r="K5" s="72"/>
      <c r="L5" s="72"/>
      <c r="M5" s="72"/>
      <c r="N5" s="73"/>
    </row>
    <row r="6" spans="1:17" s="76" customFormat="1" x14ac:dyDescent="0.15">
      <c r="A6" s="76" t="s">
        <v>4</v>
      </c>
      <c r="B6" s="92">
        <v>443.78699999999998</v>
      </c>
      <c r="C6" s="93">
        <v>468.44299999999998</v>
      </c>
      <c r="D6" s="93">
        <v>515.41300000000001</v>
      </c>
      <c r="E6" s="93">
        <v>544.68499999999995</v>
      </c>
      <c r="F6" s="77">
        <f>SUM(F3:F4)</f>
        <v>555.42200000000003</v>
      </c>
      <c r="G6" s="78">
        <f>SUM(G3:G4)</f>
        <v>588.93299999999999</v>
      </c>
      <c r="H6" s="78">
        <f>SUM(H3:H4)</f>
        <v>599.29300000000001</v>
      </c>
      <c r="I6" s="78">
        <f>SUM(I3:I4)</f>
        <v>673.34500000000003</v>
      </c>
      <c r="J6" s="77">
        <f>SUM(J3:J4)</f>
        <v>706.31299999999999</v>
      </c>
      <c r="K6" s="78">
        <f>SUM(K3:K4)</f>
        <v>733.03600000000006</v>
      </c>
      <c r="L6" s="78">
        <f>SUM(L3:L4)</f>
        <v>783.17499999999995</v>
      </c>
      <c r="M6" s="78">
        <f>SUM(M3:M4)</f>
        <v>847.6</v>
      </c>
      <c r="N6" s="77">
        <f>SUM(N3:N4)</f>
        <v>868.40000000000009</v>
      </c>
      <c r="O6" s="78">
        <f>SUM(O3:O4)</f>
        <v>952.9</v>
      </c>
      <c r="P6" s="78">
        <f>SUM(P3:P4)</f>
        <v>1100.4000000000001</v>
      </c>
      <c r="Q6" s="78">
        <f>SUM(Q3:Q4)</f>
        <v>1235.0999999999999</v>
      </c>
    </row>
    <row r="7" spans="1:17" s="34" customFormat="1" x14ac:dyDescent="0.15">
      <c r="A7" s="34" t="s">
        <v>5</v>
      </c>
      <c r="B7" s="27"/>
      <c r="C7" s="35"/>
      <c r="D7" s="35"/>
      <c r="E7" s="35"/>
      <c r="F7" s="27">
        <v>250.72</v>
      </c>
      <c r="G7" s="35">
        <v>260.80200000000002</v>
      </c>
      <c r="H7" s="35">
        <v>261</v>
      </c>
      <c r="I7" s="36">
        <v>307</v>
      </c>
      <c r="J7" s="27">
        <v>331</v>
      </c>
      <c r="K7" s="35">
        <v>342</v>
      </c>
      <c r="L7" s="35">
        <v>355</v>
      </c>
      <c r="M7" s="35">
        <v>340</v>
      </c>
      <c r="N7" s="65">
        <v>382</v>
      </c>
      <c r="O7" s="34">
        <v>409</v>
      </c>
      <c r="P7" s="34">
        <v>464</v>
      </c>
      <c r="Q7" s="70">
        <v>492</v>
      </c>
    </row>
    <row r="8" spans="1:17" s="34" customFormat="1" x14ac:dyDescent="0.15">
      <c r="A8" s="34" t="s">
        <v>6</v>
      </c>
      <c r="B8" s="27"/>
      <c r="C8" s="35"/>
      <c r="D8" s="35"/>
      <c r="E8" s="35"/>
      <c r="F8" s="41">
        <f t="shared" ref="F8" si="0">F6-F7</f>
        <v>304.702</v>
      </c>
      <c r="G8" s="40">
        <f t="shared" ref="E8:G8" si="1">G6-G7</f>
        <v>328.13099999999997</v>
      </c>
      <c r="H8" s="40">
        <f t="shared" ref="H8:Q8" si="2">H6-H7</f>
        <v>338.29300000000001</v>
      </c>
      <c r="I8" s="40">
        <f t="shared" si="2"/>
        <v>366.34500000000003</v>
      </c>
      <c r="J8" s="41">
        <f t="shared" si="2"/>
        <v>375.31299999999999</v>
      </c>
      <c r="K8" s="40">
        <f t="shared" si="2"/>
        <v>391.03600000000006</v>
      </c>
      <c r="L8" s="40">
        <f t="shared" si="2"/>
        <v>428.17499999999995</v>
      </c>
      <c r="M8" s="40">
        <f t="shared" si="2"/>
        <v>507.6</v>
      </c>
      <c r="N8" s="41">
        <f t="shared" si="2"/>
        <v>486.40000000000009</v>
      </c>
      <c r="O8" s="40">
        <f t="shared" si="2"/>
        <v>543.9</v>
      </c>
      <c r="P8" s="40">
        <f t="shared" si="2"/>
        <v>636.40000000000009</v>
      </c>
      <c r="Q8" s="40">
        <f t="shared" si="2"/>
        <v>743.09999999999991</v>
      </c>
    </row>
    <row r="9" spans="1:17" s="34" customFormat="1" x14ac:dyDescent="0.15">
      <c r="A9" s="34" t="s">
        <v>7</v>
      </c>
      <c r="B9" s="27"/>
      <c r="C9" s="35"/>
      <c r="D9" s="35"/>
      <c r="E9" s="35"/>
      <c r="F9" s="27">
        <v>127</v>
      </c>
      <c r="G9" s="35">
        <v>126</v>
      </c>
      <c r="H9" s="35">
        <v>130</v>
      </c>
      <c r="I9" s="36">
        <v>158</v>
      </c>
      <c r="J9" s="27">
        <v>160</v>
      </c>
      <c r="K9" s="35">
        <v>159</v>
      </c>
      <c r="L9" s="35">
        <v>177</v>
      </c>
      <c r="M9" s="35">
        <v>205</v>
      </c>
      <c r="N9" s="65">
        <v>199</v>
      </c>
      <c r="O9" s="34">
        <v>217</v>
      </c>
      <c r="P9" s="34">
        <v>239</v>
      </c>
      <c r="Q9" s="70">
        <v>265</v>
      </c>
    </row>
    <row r="10" spans="1:17" s="34" customFormat="1" x14ac:dyDescent="0.15">
      <c r="A10" s="34" t="s">
        <v>8</v>
      </c>
      <c r="B10" s="27"/>
      <c r="C10" s="35"/>
      <c r="D10" s="35"/>
      <c r="E10" s="35"/>
      <c r="F10" s="27">
        <v>48</v>
      </c>
      <c r="G10" s="35">
        <v>46</v>
      </c>
      <c r="H10" s="35">
        <v>37</v>
      </c>
      <c r="I10" s="36">
        <v>56</v>
      </c>
      <c r="J10" s="27">
        <v>33</v>
      </c>
      <c r="K10" s="35">
        <v>40</v>
      </c>
      <c r="L10" s="35">
        <v>37</v>
      </c>
      <c r="M10" s="35">
        <v>42</v>
      </c>
      <c r="N10" s="65">
        <v>30</v>
      </c>
      <c r="O10" s="34">
        <v>39</v>
      </c>
      <c r="P10" s="34">
        <v>76</v>
      </c>
      <c r="Q10" s="70">
        <v>88</v>
      </c>
    </row>
    <row r="11" spans="1:17" s="34" customFormat="1" x14ac:dyDescent="0.15">
      <c r="A11" s="34" t="s">
        <v>9</v>
      </c>
      <c r="B11" s="27"/>
      <c r="C11" s="35"/>
      <c r="D11" s="35"/>
      <c r="E11" s="35"/>
      <c r="F11" s="27">
        <f>68+31+19</f>
        <v>118</v>
      </c>
      <c r="G11" s="35">
        <f>74+34+21</f>
        <v>129</v>
      </c>
      <c r="H11" s="35">
        <f>85+35+21</f>
        <v>141</v>
      </c>
      <c r="I11" s="36">
        <f>88+38+22</f>
        <v>148</v>
      </c>
      <c r="J11" s="27">
        <f>90+50+15</f>
        <v>155</v>
      </c>
      <c r="K11" s="35">
        <f>84+53+14</f>
        <v>151</v>
      </c>
      <c r="L11" s="35">
        <f>79+61+15</f>
        <v>155</v>
      </c>
      <c r="M11" s="35">
        <f>107+56+18</f>
        <v>181</v>
      </c>
      <c r="N11" s="65">
        <f>92+59+19</f>
        <v>170</v>
      </c>
      <c r="O11" s="34">
        <f>107+62+22</f>
        <v>191</v>
      </c>
      <c r="P11" s="34">
        <f>114+67+20</f>
        <v>201</v>
      </c>
      <c r="Q11" s="70">
        <f>145+78+17</f>
        <v>240</v>
      </c>
    </row>
    <row r="12" spans="1:17" s="34" customFormat="1" x14ac:dyDescent="0.15">
      <c r="A12" s="34" t="s">
        <v>10</v>
      </c>
      <c r="B12" s="27">
        <v>405.45299999999997</v>
      </c>
      <c r="C12" s="35">
        <v>423.80399999999997</v>
      </c>
      <c r="D12" s="35">
        <v>468.04700000000003</v>
      </c>
      <c r="E12" s="35">
        <v>509.64299999999997</v>
      </c>
      <c r="F12" s="41">
        <f t="shared" ref="F12" si="3">SUM(F9:F11)</f>
        <v>293</v>
      </c>
      <c r="G12" s="40">
        <f t="shared" ref="E12:G12" si="4">SUM(G9:G11)</f>
        <v>301</v>
      </c>
      <c r="H12" s="40">
        <f t="shared" ref="H12:L12" si="5">SUM(H9:H11)</f>
        <v>308</v>
      </c>
      <c r="I12" s="40">
        <f t="shared" si="5"/>
        <v>362</v>
      </c>
      <c r="J12" s="41">
        <f t="shared" si="5"/>
        <v>348</v>
      </c>
      <c r="K12" s="40">
        <f t="shared" si="5"/>
        <v>350</v>
      </c>
      <c r="L12" s="40">
        <f t="shared" si="5"/>
        <v>369</v>
      </c>
      <c r="M12" s="40">
        <f t="shared" ref="M12:N12" si="6">SUM(M9:M11)</f>
        <v>428</v>
      </c>
      <c r="N12" s="41">
        <f t="shared" si="6"/>
        <v>399</v>
      </c>
      <c r="O12" s="40">
        <f t="shared" ref="O12:P12" si="7">SUM(O9:O11)</f>
        <v>447</v>
      </c>
      <c r="P12" s="40">
        <f t="shared" si="7"/>
        <v>516</v>
      </c>
      <c r="Q12" s="40">
        <f t="shared" ref="Q12" si="8">SUM(Q9:Q11)</f>
        <v>593</v>
      </c>
    </row>
    <row r="13" spans="1:17" s="34" customFormat="1" x14ac:dyDescent="0.15">
      <c r="A13" s="34" t="s">
        <v>11</v>
      </c>
      <c r="B13" s="41">
        <f>B6-B12</f>
        <v>38.334000000000003</v>
      </c>
      <c r="C13" s="40">
        <f>C6-C12</f>
        <v>44.63900000000001</v>
      </c>
      <c r="D13" s="40">
        <f>D6-D12</f>
        <v>47.365999999999985</v>
      </c>
      <c r="E13" s="40">
        <f>E6-E12</f>
        <v>35.041999999999973</v>
      </c>
      <c r="F13" s="41">
        <f t="shared" ref="B13:H13" si="9">F8-F12</f>
        <v>11.701999999999998</v>
      </c>
      <c r="G13" s="40">
        <f>G8-G12</f>
        <v>27.130999999999972</v>
      </c>
      <c r="H13" s="40">
        <f t="shared" si="9"/>
        <v>30.293000000000006</v>
      </c>
      <c r="I13" s="40">
        <f>I8-I12</f>
        <v>4.3450000000000273</v>
      </c>
      <c r="J13" s="41">
        <f t="shared" ref="J13" si="10">J8-J12</f>
        <v>27.312999999999988</v>
      </c>
      <c r="K13" s="40">
        <f t="shared" ref="K13:L13" si="11">K8-K12</f>
        <v>41.036000000000058</v>
      </c>
      <c r="L13" s="40">
        <f t="shared" si="11"/>
        <v>59.174999999999955</v>
      </c>
      <c r="M13" s="40">
        <f t="shared" ref="M13:N13" si="12">M8-M12</f>
        <v>79.600000000000023</v>
      </c>
      <c r="N13" s="41">
        <f t="shared" si="12"/>
        <v>87.400000000000091</v>
      </c>
      <c r="O13" s="40">
        <f t="shared" ref="O13:P13" si="13">O8-O12</f>
        <v>96.899999999999977</v>
      </c>
      <c r="P13" s="40">
        <f t="shared" si="13"/>
        <v>120.40000000000009</v>
      </c>
      <c r="Q13" s="40">
        <f t="shared" ref="Q13" si="14">Q8-Q12</f>
        <v>150.09999999999991</v>
      </c>
    </row>
    <row r="14" spans="1:17" s="34" customFormat="1" x14ac:dyDescent="0.15">
      <c r="A14" s="34" t="s">
        <v>12</v>
      </c>
      <c r="B14" s="27">
        <f>2-15+5-10-2</f>
        <v>-20</v>
      </c>
      <c r="C14" s="35">
        <f>4-10+5-4-4</f>
        <v>-9</v>
      </c>
      <c r="D14" s="35">
        <f>16-6+11-3-3</f>
        <v>15</v>
      </c>
      <c r="E14" s="35">
        <f>14-60+58-29+18</f>
        <v>1</v>
      </c>
      <c r="F14" s="27">
        <f>13-14+15-9+22</f>
        <v>27</v>
      </c>
      <c r="G14" s="35">
        <f>13-13+35-7+2</f>
        <v>30</v>
      </c>
      <c r="H14" s="35">
        <f>27-25+18-7+3</f>
        <v>16</v>
      </c>
      <c r="I14" s="36">
        <f>22-34+44-28-20</f>
        <v>-16</v>
      </c>
      <c r="J14" s="27">
        <f>9-16+23-6+3</f>
        <v>13</v>
      </c>
      <c r="K14" s="35">
        <f>13-11+13-14+11</f>
        <v>12</v>
      </c>
      <c r="L14" s="35">
        <f>30-12+30-9-9</f>
        <v>30</v>
      </c>
      <c r="M14" s="35">
        <f>21-482+4-15-25</f>
        <v>-497</v>
      </c>
      <c r="N14" s="65">
        <f>22-10+37-16+5</f>
        <v>38</v>
      </c>
      <c r="O14" s="34">
        <f>101-15+21-2+1</f>
        <v>106</v>
      </c>
      <c r="P14" s="34">
        <f>48-18+37-12+4</f>
        <v>59</v>
      </c>
      <c r="Q14" s="70">
        <f>180-493+99-35-2</f>
        <v>-251</v>
      </c>
    </row>
    <row r="15" spans="1:17" s="34" customFormat="1" x14ac:dyDescent="0.15">
      <c r="A15" s="34" t="s">
        <v>13</v>
      </c>
      <c r="B15" s="41">
        <f>B13+B14</f>
        <v>18.334000000000003</v>
      </c>
      <c r="C15" s="40">
        <f t="shared" ref="C15" si="15">C13+C14</f>
        <v>35.63900000000001</v>
      </c>
      <c r="D15" s="40">
        <f t="shared" ref="D15:E15" si="16">D13+D14</f>
        <v>62.365999999999985</v>
      </c>
      <c r="E15" s="40">
        <f t="shared" si="16"/>
        <v>36.041999999999973</v>
      </c>
      <c r="F15" s="41">
        <f t="shared" ref="F15" si="17">F13+F14</f>
        <v>38.701999999999998</v>
      </c>
      <c r="G15" s="40">
        <f t="shared" ref="G15:H15" si="18">G13+G14</f>
        <v>57.130999999999972</v>
      </c>
      <c r="H15" s="40">
        <f t="shared" si="18"/>
        <v>46.293000000000006</v>
      </c>
      <c r="I15" s="40">
        <f>I13+I14</f>
        <v>-11.654999999999973</v>
      </c>
      <c r="J15" s="41">
        <f t="shared" ref="J15" si="19">J13+J14</f>
        <v>40.312999999999988</v>
      </c>
      <c r="K15" s="40">
        <f t="shared" ref="K15:Q15" si="20">K13+K14</f>
        <v>53.036000000000058</v>
      </c>
      <c r="L15" s="40">
        <f t="shared" si="20"/>
        <v>89.174999999999955</v>
      </c>
      <c r="M15" s="40">
        <f t="shared" si="20"/>
        <v>-417.4</v>
      </c>
      <c r="N15" s="41">
        <f t="shared" si="20"/>
        <v>125.40000000000009</v>
      </c>
      <c r="O15" s="40">
        <f t="shared" si="20"/>
        <v>202.89999999999998</v>
      </c>
      <c r="P15" s="40">
        <f t="shared" si="20"/>
        <v>179.40000000000009</v>
      </c>
      <c r="Q15" s="40">
        <f t="shared" si="20"/>
        <v>-100.90000000000009</v>
      </c>
    </row>
    <row r="16" spans="1:17" s="34" customFormat="1" x14ac:dyDescent="0.15">
      <c r="A16" s="34" t="s">
        <v>14</v>
      </c>
      <c r="B16" s="27">
        <v>-36</v>
      </c>
      <c r="C16" s="35">
        <v>24</v>
      </c>
      <c r="D16" s="35">
        <v>23</v>
      </c>
      <c r="E16" s="35">
        <v>18</v>
      </c>
      <c r="F16" s="27">
        <v>23</v>
      </c>
      <c r="G16" s="35">
        <v>35</v>
      </c>
      <c r="H16" s="35">
        <v>41</v>
      </c>
      <c r="I16" s="36">
        <v>17</v>
      </c>
      <c r="J16" s="27">
        <v>23</v>
      </c>
      <c r="K16" s="35">
        <v>23</v>
      </c>
      <c r="L16" s="35">
        <v>37</v>
      </c>
      <c r="M16" s="35">
        <v>25</v>
      </c>
      <c r="N16" s="65">
        <v>47</v>
      </c>
      <c r="O16" s="34">
        <v>59</v>
      </c>
      <c r="P16" s="34">
        <v>36</v>
      </c>
      <c r="Q16" s="70">
        <v>100</v>
      </c>
    </row>
    <row r="17" spans="1:17" s="37" customFormat="1" x14ac:dyDescent="0.15">
      <c r="A17" s="37" t="s">
        <v>15</v>
      </c>
      <c r="B17" s="39">
        <f t="shared" ref="B17:F17" si="21">B15-B16</f>
        <v>54.334000000000003</v>
      </c>
      <c r="C17" s="38">
        <f t="shared" si="21"/>
        <v>11.63900000000001</v>
      </c>
      <c r="D17" s="38">
        <f t="shared" si="21"/>
        <v>39.365999999999985</v>
      </c>
      <c r="E17" s="38">
        <f t="shared" si="21"/>
        <v>18.041999999999973</v>
      </c>
      <c r="F17" s="39">
        <f t="shared" si="21"/>
        <v>15.701999999999998</v>
      </c>
      <c r="G17" s="38">
        <f t="shared" ref="G17:H17" si="22">G15-G16</f>
        <v>22.130999999999972</v>
      </c>
      <c r="H17" s="38">
        <f t="shared" si="22"/>
        <v>5.2930000000000064</v>
      </c>
      <c r="I17" s="38">
        <f t="shared" ref="I17:J17" si="23">I15-I16</f>
        <v>-28.654999999999973</v>
      </c>
      <c r="J17" s="39">
        <f t="shared" si="23"/>
        <v>17.312999999999988</v>
      </c>
      <c r="K17" s="38">
        <f t="shared" ref="K17:L17" si="24">K15-K16</f>
        <v>30.036000000000058</v>
      </c>
      <c r="L17" s="38">
        <f t="shared" si="24"/>
        <v>52.174999999999955</v>
      </c>
      <c r="M17" s="38">
        <f t="shared" ref="M17:N17" si="25">M15-M16</f>
        <v>-442.4</v>
      </c>
      <c r="N17" s="39">
        <f t="shared" si="25"/>
        <v>78.400000000000091</v>
      </c>
      <c r="O17" s="38">
        <f t="shared" ref="O17:P17" si="26">O15-O16</f>
        <v>143.89999999999998</v>
      </c>
      <c r="P17" s="38">
        <f t="shared" si="26"/>
        <v>143.40000000000009</v>
      </c>
      <c r="Q17" s="38">
        <f t="shared" ref="Q17" si="27">Q15-Q16</f>
        <v>-200.90000000000009</v>
      </c>
    </row>
    <row r="18" spans="1:17" x14ac:dyDescent="0.15">
      <c r="A18" s="31" t="s">
        <v>16</v>
      </c>
      <c r="B18" s="43">
        <f t="shared" ref="B18:C18" si="28">IFERROR(B17/B19,0)</f>
        <v>0</v>
      </c>
      <c r="C18" s="42">
        <f t="shared" si="28"/>
        <v>0</v>
      </c>
      <c r="D18" s="42">
        <f t="shared" ref="D18:E18" si="29">IFERROR(D17/D19,0)</f>
        <v>0</v>
      </c>
      <c r="E18" s="42">
        <f t="shared" si="29"/>
        <v>0</v>
      </c>
      <c r="F18" s="43">
        <f t="shared" ref="F18" si="30">IFERROR(F17/F19,0)</f>
        <v>0</v>
      </c>
      <c r="G18" s="42">
        <f t="shared" ref="G18:H18" si="31">IFERROR(G17/G19,0)</f>
        <v>0</v>
      </c>
      <c r="H18" s="42">
        <f t="shared" si="31"/>
        <v>0</v>
      </c>
      <c r="I18" s="42">
        <f t="shared" ref="I18:J18" si="32">IFERROR(I17/I19,0)</f>
        <v>0</v>
      </c>
      <c r="J18" s="43">
        <f t="shared" si="32"/>
        <v>0</v>
      </c>
      <c r="K18" s="42">
        <f t="shared" ref="K18:L18" si="33">IFERROR(K17/K19,0)</f>
        <v>0</v>
      </c>
      <c r="L18" s="42">
        <f t="shared" si="33"/>
        <v>0</v>
      </c>
      <c r="M18" s="42">
        <f t="shared" ref="M18:N18" si="34">IFERROR(M17/M19,0)</f>
        <v>0</v>
      </c>
      <c r="N18" s="43">
        <f t="shared" si="34"/>
        <v>0</v>
      </c>
      <c r="O18" s="42">
        <f t="shared" ref="O18:P18" si="35">IFERROR(O17/O19,0)</f>
        <v>0</v>
      </c>
      <c r="P18" s="42">
        <f t="shared" si="35"/>
        <v>0</v>
      </c>
      <c r="Q18" s="42">
        <f t="shared" ref="Q18" si="36">IFERROR(Q17/Q19,0)</f>
        <v>0</v>
      </c>
    </row>
    <row r="19" spans="1:17" x14ac:dyDescent="0.15">
      <c r="A19" s="31" t="s">
        <v>17</v>
      </c>
      <c r="B19" s="27"/>
      <c r="C19" s="35"/>
      <c r="D19" s="35"/>
      <c r="E19" s="35"/>
      <c r="F19" s="27"/>
      <c r="G19" s="35"/>
      <c r="H19" s="35"/>
      <c r="I19" s="36"/>
      <c r="J19" s="27"/>
      <c r="K19" s="35"/>
      <c r="L19" s="35"/>
      <c r="M19" s="35"/>
      <c r="N19" s="63"/>
      <c r="O19" s="69"/>
      <c r="P19" s="35"/>
      <c r="Q19" s="70"/>
    </row>
    <row r="20" spans="1:17" x14ac:dyDescent="0.15">
      <c r="B20" s="27"/>
      <c r="C20" s="35"/>
      <c r="D20" s="35"/>
      <c r="E20" s="35"/>
      <c r="F20" s="27"/>
      <c r="G20" s="35"/>
      <c r="H20" s="35"/>
      <c r="I20" s="36"/>
      <c r="J20" s="27"/>
      <c r="K20" s="35"/>
      <c r="L20" s="35"/>
      <c r="M20" s="35"/>
      <c r="Q20" s="70"/>
    </row>
    <row r="21" spans="1:17" x14ac:dyDescent="0.15">
      <c r="A21" s="31" t="s">
        <v>19</v>
      </c>
      <c r="B21" s="45">
        <f t="shared" ref="B21:J21" si="37">IFERROR(B8/B6,0)</f>
        <v>0</v>
      </c>
      <c r="C21" s="44">
        <f t="shared" si="37"/>
        <v>0</v>
      </c>
      <c r="D21" s="44">
        <f t="shared" si="37"/>
        <v>0</v>
      </c>
      <c r="E21" s="44">
        <f t="shared" ref="E21" si="38">IFERROR(E8/E6,0)</f>
        <v>0</v>
      </c>
      <c r="F21" s="45">
        <f t="shared" si="37"/>
        <v>0.54859548235395783</v>
      </c>
      <c r="G21" s="44">
        <f t="shared" si="37"/>
        <v>0.5571618503293243</v>
      </c>
      <c r="H21" s="44">
        <f t="shared" si="37"/>
        <v>0.56448682030325736</v>
      </c>
      <c r="I21" s="46">
        <f t="shared" si="37"/>
        <v>0.54406730576450413</v>
      </c>
      <c r="J21" s="45">
        <f t="shared" si="37"/>
        <v>0.53136923715123463</v>
      </c>
      <c r="K21" s="44">
        <f t="shared" ref="K21:L21" si="39">IFERROR(K8/K6,0)</f>
        <v>0.53344719768196924</v>
      </c>
      <c r="L21" s="44">
        <f t="shared" si="39"/>
        <v>0.54671688958406484</v>
      </c>
      <c r="M21" s="44">
        <f t="shared" ref="M21:N21" si="40">IFERROR(M8/M6,0)</f>
        <v>0.59886739027843328</v>
      </c>
      <c r="N21" s="45">
        <f t="shared" si="40"/>
        <v>0.56011054813450023</v>
      </c>
      <c r="O21" s="44">
        <f t="shared" ref="O21:P21" si="41">IFERROR(O8/O6,0)</f>
        <v>0.57078392276209466</v>
      </c>
      <c r="P21" s="44">
        <f t="shared" si="41"/>
        <v>0.57833515085423481</v>
      </c>
      <c r="Q21" s="44">
        <f t="shared" ref="Q21" si="42">IFERROR(Q8/Q6,0)</f>
        <v>0.6016516881224192</v>
      </c>
    </row>
    <row r="22" spans="1:17" x14ac:dyDescent="0.15">
      <c r="A22" s="31" t="s">
        <v>20</v>
      </c>
      <c r="B22" s="48">
        <f t="shared" ref="B22:J22" si="43">IFERROR(B13/B6,0)</f>
        <v>8.6379276544828951E-2</v>
      </c>
      <c r="C22" s="47">
        <f t="shared" si="43"/>
        <v>9.5292276755122848E-2</v>
      </c>
      <c r="D22" s="47">
        <f t="shared" si="43"/>
        <v>9.1899117794855739E-2</v>
      </c>
      <c r="E22" s="47">
        <f t="shared" ref="E22" si="44">IFERROR(E13/E6,0)</f>
        <v>6.4334431827570024E-2</v>
      </c>
      <c r="F22" s="48">
        <f t="shared" si="43"/>
        <v>2.1068664907043649E-2</v>
      </c>
      <c r="G22" s="47">
        <f t="shared" si="43"/>
        <v>4.6068058675604817E-2</v>
      </c>
      <c r="H22" s="47">
        <f t="shared" si="43"/>
        <v>5.0547895603652984E-2</v>
      </c>
      <c r="I22" s="49">
        <f t="shared" si="43"/>
        <v>6.4528584900757071E-3</v>
      </c>
      <c r="J22" s="48">
        <f t="shared" si="43"/>
        <v>3.8669824851022126E-2</v>
      </c>
      <c r="K22" s="47">
        <f t="shared" ref="K22:L22" si="45">IFERROR(K13/K6,0)</f>
        <v>5.5980879520241916E-2</v>
      </c>
      <c r="L22" s="47">
        <f t="shared" si="45"/>
        <v>7.5557825517923782E-2</v>
      </c>
      <c r="M22" s="47">
        <f t="shared" ref="M22:N22" si="46">IFERROR(M13/M6,0)</f>
        <v>9.3912222746578594E-2</v>
      </c>
      <c r="N22" s="48">
        <f t="shared" si="46"/>
        <v>0.10064486411791811</v>
      </c>
      <c r="O22" s="47">
        <f t="shared" ref="O22:P22" si="47">IFERROR(O13/O6,0)</f>
        <v>0.10168957917934723</v>
      </c>
      <c r="P22" s="47">
        <f t="shared" si="47"/>
        <v>0.10941475826972018</v>
      </c>
      <c r="Q22" s="47">
        <f t="shared" ref="Q22" si="48">IFERROR(Q13/Q6,0)</f>
        <v>0.12152862116427814</v>
      </c>
    </row>
    <row r="23" spans="1:17" x14ac:dyDescent="0.15">
      <c r="A23" s="31" t="s">
        <v>21</v>
      </c>
      <c r="B23" s="48">
        <f t="shared" ref="B23:J23" si="49">IFERROR(B16/B15,0)</f>
        <v>-1.963564961274135</v>
      </c>
      <c r="C23" s="47">
        <f t="shared" si="49"/>
        <v>0.67341956845029305</v>
      </c>
      <c r="D23" s="47">
        <f t="shared" si="49"/>
        <v>0.36879068723342856</v>
      </c>
      <c r="E23" s="47">
        <f t="shared" ref="E23" si="50">IFERROR(E16/E15,0)</f>
        <v>0.49941734642916635</v>
      </c>
      <c r="F23" s="48">
        <f t="shared" si="49"/>
        <v>0.5942845330990647</v>
      </c>
      <c r="G23" s="47">
        <f t="shared" si="49"/>
        <v>0.61262712012742671</v>
      </c>
      <c r="H23" s="47">
        <f t="shared" si="49"/>
        <v>0.88566305920981558</v>
      </c>
      <c r="I23" s="49">
        <f t="shared" si="49"/>
        <v>-1.458601458601462</v>
      </c>
      <c r="J23" s="48">
        <f t="shared" si="49"/>
        <v>0.57053555924887767</v>
      </c>
      <c r="K23" s="47">
        <f t="shared" ref="K23:L23" si="51">IFERROR(K16/K15,0)</f>
        <v>0.43366769741307742</v>
      </c>
      <c r="L23" s="47">
        <f t="shared" si="51"/>
        <v>0.41491449397252617</v>
      </c>
      <c r="M23" s="47">
        <f t="shared" ref="M23:N23" si="52">IFERROR(M16/M15,0)</f>
        <v>-5.9894585529468136E-2</v>
      </c>
      <c r="N23" s="48">
        <f t="shared" si="52"/>
        <v>0.37480063795853241</v>
      </c>
      <c r="O23" s="47">
        <f t="shared" ref="O23:P23" si="53">IFERROR(O16/O15,0)</f>
        <v>0.29078363725973388</v>
      </c>
      <c r="P23" s="47">
        <f t="shared" si="53"/>
        <v>0.20066889632107013</v>
      </c>
      <c r="Q23" s="47">
        <f t="shared" ref="Q23" si="54">IFERROR(Q16/Q15,0)</f>
        <v>-0.99108027750247685</v>
      </c>
    </row>
    <row r="24" spans="1:17" x14ac:dyDescent="0.15">
      <c r="B24" s="27"/>
      <c r="C24" s="35"/>
      <c r="D24" s="35"/>
      <c r="E24" s="35"/>
      <c r="F24" s="27"/>
      <c r="G24" s="35"/>
      <c r="H24" s="35"/>
      <c r="I24" s="36"/>
      <c r="J24" s="27"/>
      <c r="K24" s="35"/>
      <c r="L24" s="35"/>
      <c r="M24" s="35"/>
      <c r="N24" s="27"/>
      <c r="O24" s="35"/>
      <c r="P24" s="35"/>
      <c r="Q24" s="35"/>
    </row>
    <row r="25" spans="1:17" s="50" customFormat="1" x14ac:dyDescent="0.15">
      <c r="A25" s="50" t="s">
        <v>18</v>
      </c>
      <c r="B25" s="52"/>
      <c r="C25" s="51"/>
      <c r="D25" s="51"/>
      <c r="E25" s="51"/>
      <c r="F25" s="52">
        <f t="shared" ref="F25:I25" si="55">IFERROR((F6/B6)-1,0)</f>
        <v>0.2515508566046325</v>
      </c>
      <c r="G25" s="51">
        <f t="shared" si="55"/>
        <v>0.25721379121899579</v>
      </c>
      <c r="H25" s="51">
        <f t="shared" si="55"/>
        <v>0.16274327578078163</v>
      </c>
      <c r="I25" s="53">
        <f t="shared" si="55"/>
        <v>0.23620991949475401</v>
      </c>
      <c r="J25" s="52">
        <f t="shared" ref="J25:Q25" si="56">IFERROR((J6/F6)-1,0)</f>
        <v>0.27166910925386456</v>
      </c>
      <c r="K25" s="51">
        <f t="shared" si="56"/>
        <v>0.24468487926470428</v>
      </c>
      <c r="L25" s="51">
        <f t="shared" si="56"/>
        <v>0.30683154984289818</v>
      </c>
      <c r="M25" s="51">
        <f t="shared" si="56"/>
        <v>0.25879007046907598</v>
      </c>
      <c r="N25" s="52">
        <f>IFERROR((N6/J6)-1,0)</f>
        <v>0.22948324609627768</v>
      </c>
      <c r="O25" s="51">
        <f t="shared" si="56"/>
        <v>0.29993615593231415</v>
      </c>
      <c r="P25" s="51">
        <f t="shared" si="56"/>
        <v>0.40504995690618339</v>
      </c>
      <c r="Q25" s="51">
        <f t="shared" si="56"/>
        <v>0.45717319490325603</v>
      </c>
    </row>
    <row r="26" spans="1:17" x14ac:dyDescent="0.15">
      <c r="A26" s="31" t="s">
        <v>34</v>
      </c>
      <c r="B26" s="55"/>
      <c r="C26" s="54"/>
      <c r="D26" s="54"/>
      <c r="E26" s="54"/>
      <c r="F26" s="55"/>
      <c r="G26" s="54"/>
      <c r="H26" s="54"/>
      <c r="I26" s="54"/>
      <c r="J26" s="55">
        <f t="shared" ref="J26:Q28" si="57">J9/F9-1</f>
        <v>0.25984251968503935</v>
      </c>
      <c r="K26" s="54">
        <f t="shared" si="57"/>
        <v>0.26190476190476186</v>
      </c>
      <c r="L26" s="54">
        <f t="shared" si="57"/>
        <v>0.36153846153846159</v>
      </c>
      <c r="M26" s="54">
        <f t="shared" si="57"/>
        <v>0.29746835443037978</v>
      </c>
      <c r="N26" s="55">
        <f t="shared" si="57"/>
        <v>0.24374999999999991</v>
      </c>
      <c r="O26" s="54">
        <f t="shared" si="57"/>
        <v>0.3647798742138364</v>
      </c>
      <c r="P26" s="54">
        <f t="shared" si="57"/>
        <v>0.35028248587570632</v>
      </c>
      <c r="Q26" s="54">
        <f t="shared" si="57"/>
        <v>0.29268292682926833</v>
      </c>
    </row>
    <row r="27" spans="1:17" x14ac:dyDescent="0.15">
      <c r="A27" s="31" t="s">
        <v>35</v>
      </c>
      <c r="B27" s="55"/>
      <c r="C27" s="54"/>
      <c r="D27" s="54"/>
      <c r="E27" s="54"/>
      <c r="F27" s="55"/>
      <c r="G27" s="54"/>
      <c r="H27" s="54"/>
      <c r="I27" s="54"/>
      <c r="J27" s="55">
        <f t="shared" si="57"/>
        <v>-0.3125</v>
      </c>
      <c r="K27" s="54">
        <f t="shared" si="57"/>
        <v>-0.13043478260869568</v>
      </c>
      <c r="L27" s="54">
        <f t="shared" si="57"/>
        <v>0</v>
      </c>
      <c r="M27" s="54">
        <f t="shared" si="57"/>
        <v>-0.25</v>
      </c>
      <c r="N27" s="55">
        <f t="shared" si="57"/>
        <v>-9.0909090909090939E-2</v>
      </c>
      <c r="O27" s="54">
        <f t="shared" si="57"/>
        <v>-2.5000000000000022E-2</v>
      </c>
      <c r="P27" s="54">
        <f t="shared" si="57"/>
        <v>1.0540540540540539</v>
      </c>
      <c r="Q27" s="54">
        <f t="shared" si="57"/>
        <v>1.0952380952380953</v>
      </c>
    </row>
    <row r="28" spans="1:17" x14ac:dyDescent="0.15">
      <c r="A28" s="31" t="s">
        <v>36</v>
      </c>
      <c r="B28" s="55"/>
      <c r="C28" s="54"/>
      <c r="D28" s="54"/>
      <c r="E28" s="54"/>
      <c r="F28" s="55"/>
      <c r="G28" s="54"/>
      <c r="H28" s="54"/>
      <c r="I28" s="54"/>
      <c r="J28" s="55">
        <f t="shared" si="57"/>
        <v>0.31355932203389836</v>
      </c>
      <c r="K28" s="54">
        <f t="shared" si="57"/>
        <v>0.17054263565891481</v>
      </c>
      <c r="L28" s="54">
        <f t="shared" si="57"/>
        <v>9.9290780141843893E-2</v>
      </c>
      <c r="M28" s="54">
        <f t="shared" si="57"/>
        <v>0.22297297297297303</v>
      </c>
      <c r="N28" s="55">
        <f t="shared" si="57"/>
        <v>9.6774193548387011E-2</v>
      </c>
      <c r="O28" s="54">
        <f t="shared" si="57"/>
        <v>0.26490066225165565</v>
      </c>
      <c r="P28" s="54">
        <f t="shared" si="57"/>
        <v>0.29677419354838719</v>
      </c>
      <c r="Q28" s="54">
        <f t="shared" si="57"/>
        <v>0.32596685082872923</v>
      </c>
    </row>
    <row r="29" spans="1:17" x14ac:dyDescent="0.15">
      <c r="A29" s="62" t="s">
        <v>57</v>
      </c>
      <c r="B29" s="55"/>
      <c r="C29" s="54"/>
      <c r="D29" s="54"/>
      <c r="E29" s="54"/>
      <c r="F29" s="55">
        <f t="shared" ref="F29:Q29" si="58">F12/B12-1</f>
        <v>-0.27735150559990918</v>
      </c>
      <c r="G29" s="54">
        <f t="shared" si="58"/>
        <v>-0.28976602391671613</v>
      </c>
      <c r="H29" s="54">
        <f t="shared" si="58"/>
        <v>-0.34194642845697121</v>
      </c>
      <c r="I29" s="54">
        <f t="shared" si="58"/>
        <v>-0.28969886763871966</v>
      </c>
      <c r="J29" s="55">
        <f t="shared" si="58"/>
        <v>0.18771331058020468</v>
      </c>
      <c r="K29" s="54">
        <f t="shared" si="58"/>
        <v>0.16279069767441867</v>
      </c>
      <c r="L29" s="54">
        <f t="shared" si="58"/>
        <v>0.19805194805194803</v>
      </c>
      <c r="M29" s="54">
        <f t="shared" si="58"/>
        <v>0.18232044198895037</v>
      </c>
      <c r="N29" s="55">
        <f t="shared" si="58"/>
        <v>0.14655172413793105</v>
      </c>
      <c r="O29" s="54">
        <f t="shared" si="58"/>
        <v>0.27714285714285714</v>
      </c>
      <c r="P29" s="54">
        <f t="shared" si="58"/>
        <v>0.39837398373983746</v>
      </c>
      <c r="Q29" s="54">
        <f t="shared" si="58"/>
        <v>0.38551401869158886</v>
      </c>
    </row>
    <row r="30" spans="1:17" x14ac:dyDescent="0.15">
      <c r="C30" s="56"/>
      <c r="D30" s="56"/>
      <c r="G30" s="56"/>
      <c r="H30" s="56"/>
      <c r="I30" s="57"/>
      <c r="J30" s="26"/>
      <c r="K30" s="56"/>
      <c r="L30" s="56"/>
      <c r="M30" s="56"/>
      <c r="N30" s="26"/>
      <c r="P30" s="56"/>
      <c r="Q30" s="70"/>
    </row>
    <row r="31" spans="1:17" s="50" customFormat="1" x14ac:dyDescent="0.15">
      <c r="A31" s="50" t="s">
        <v>22</v>
      </c>
      <c r="B31" s="27"/>
      <c r="C31" s="35"/>
      <c r="D31" s="35"/>
      <c r="E31" s="25"/>
      <c r="F31" s="26"/>
      <c r="G31" s="56"/>
      <c r="H31" s="56"/>
      <c r="I31" s="38">
        <f t="shared" ref="I31:N31" si="59">I32-I33</f>
        <v>1569</v>
      </c>
      <c r="J31" s="26"/>
      <c r="K31" s="56"/>
      <c r="L31" s="56"/>
      <c r="M31" s="38">
        <f t="shared" si="59"/>
        <v>1656</v>
      </c>
      <c r="N31" s="26"/>
      <c r="O31" s="31"/>
      <c r="P31" s="56"/>
      <c r="Q31" s="38">
        <f t="shared" ref="Q31" si="60">Q32-Q33</f>
        <v>2992</v>
      </c>
    </row>
    <row r="32" spans="1:17" x14ac:dyDescent="0.15">
      <c r="A32" s="31" t="s">
        <v>23</v>
      </c>
      <c r="B32" s="27"/>
      <c r="C32" s="35"/>
      <c r="D32" s="35"/>
      <c r="G32" s="56"/>
      <c r="H32" s="56"/>
      <c r="I32" s="35">
        <f>1247+924+1+51</f>
        <v>2223</v>
      </c>
      <c r="J32" s="27"/>
      <c r="K32" s="35"/>
      <c r="L32" s="35"/>
      <c r="M32" s="35">
        <f>1918+208+1+50</f>
        <v>2177</v>
      </c>
      <c r="N32" s="27"/>
      <c r="O32" s="35"/>
      <c r="P32" s="35"/>
      <c r="Q32" s="35">
        <f>2877+694+0+10</f>
        <v>3581</v>
      </c>
    </row>
    <row r="33" spans="1:17" x14ac:dyDescent="0.15">
      <c r="A33" s="31" t="s">
        <v>24</v>
      </c>
      <c r="B33" s="27"/>
      <c r="C33" s="35"/>
      <c r="D33" s="35"/>
      <c r="G33" s="56"/>
      <c r="H33" s="56"/>
      <c r="I33" s="35">
        <f>609+45</f>
        <v>654</v>
      </c>
      <c r="J33" s="27"/>
      <c r="K33" s="35"/>
      <c r="L33" s="35"/>
      <c r="M33" s="35">
        <f>449+72</f>
        <v>521</v>
      </c>
      <c r="N33" s="27"/>
      <c r="O33" s="35"/>
      <c r="P33" s="35"/>
      <c r="Q33" s="35">
        <f>177+412</f>
        <v>589</v>
      </c>
    </row>
    <row r="34" spans="1:17" x14ac:dyDescent="0.15">
      <c r="B34" s="27"/>
      <c r="C34" s="35"/>
      <c r="D34" s="35"/>
      <c r="G34" s="56"/>
      <c r="H34" s="56"/>
      <c r="I34" s="35"/>
      <c r="J34" s="27"/>
      <c r="K34" s="35"/>
      <c r="L34" s="35"/>
      <c r="M34" s="35"/>
      <c r="N34" s="27"/>
      <c r="P34" s="35"/>
      <c r="Q34" s="35"/>
    </row>
    <row r="35" spans="1:17" x14ac:dyDescent="0.15">
      <c r="A35" s="31" t="s">
        <v>43</v>
      </c>
      <c r="B35" s="27"/>
      <c r="C35" s="35"/>
      <c r="D35" s="35"/>
      <c r="G35" s="56"/>
      <c r="H35" s="56"/>
      <c r="I35" s="35">
        <v>3865</v>
      </c>
      <c r="J35" s="27"/>
      <c r="K35" s="35"/>
      <c r="L35" s="35"/>
      <c r="M35" s="35">
        <v>3548</v>
      </c>
      <c r="N35" s="27"/>
      <c r="P35" s="35"/>
      <c r="Q35" s="35">
        <v>3351</v>
      </c>
    </row>
    <row r="36" spans="1:17" x14ac:dyDescent="0.15">
      <c r="A36" s="31" t="s">
        <v>44</v>
      </c>
      <c r="B36" s="27"/>
      <c r="C36" s="35"/>
      <c r="D36" s="35"/>
      <c r="G36" s="56"/>
      <c r="H36" s="56"/>
      <c r="I36" s="35">
        <v>7960</v>
      </c>
      <c r="J36" s="27"/>
      <c r="K36" s="35"/>
      <c r="L36" s="35"/>
      <c r="M36" s="35">
        <v>8737</v>
      </c>
      <c r="N36" s="27"/>
      <c r="O36" s="69"/>
      <c r="P36" s="35"/>
      <c r="Q36" s="35">
        <v>11912</v>
      </c>
    </row>
    <row r="37" spans="1:17" x14ac:dyDescent="0.15">
      <c r="A37" s="31" t="s">
        <v>45</v>
      </c>
      <c r="B37" s="27"/>
      <c r="C37" s="35"/>
      <c r="D37" s="35"/>
      <c r="G37" s="56"/>
      <c r="H37" s="56"/>
      <c r="I37" s="35">
        <v>2332</v>
      </c>
      <c r="J37" s="27"/>
      <c r="K37" s="35"/>
      <c r="L37" s="35"/>
      <c r="M37" s="35">
        <v>2998</v>
      </c>
      <c r="N37" s="27"/>
      <c r="O37" s="69"/>
      <c r="P37" s="35"/>
      <c r="Q37" s="35">
        <v>4498</v>
      </c>
    </row>
    <row r="38" spans="1:17" x14ac:dyDescent="0.15">
      <c r="B38" s="27"/>
      <c r="C38" s="35"/>
      <c r="D38" s="35"/>
      <c r="G38" s="56"/>
      <c r="H38" s="56"/>
      <c r="I38" s="35"/>
      <c r="J38" s="27"/>
      <c r="K38" s="35"/>
      <c r="L38" s="35"/>
      <c r="M38" s="35"/>
      <c r="N38" s="27"/>
      <c r="P38" s="35"/>
      <c r="Q38" s="35"/>
    </row>
    <row r="39" spans="1:17" x14ac:dyDescent="0.15">
      <c r="A39" s="31" t="s">
        <v>46</v>
      </c>
      <c r="B39" s="27"/>
      <c r="C39" s="35"/>
      <c r="D39" s="35"/>
      <c r="G39" s="56"/>
      <c r="H39" s="56"/>
      <c r="I39" s="40">
        <f t="shared" ref="I39:N39" si="61">I36-I35-I32</f>
        <v>1872</v>
      </c>
      <c r="J39" s="26"/>
      <c r="K39" s="56"/>
      <c r="L39" s="56"/>
      <c r="M39" s="40">
        <f t="shared" si="61"/>
        <v>3012</v>
      </c>
      <c r="N39" s="26"/>
      <c r="P39" s="56"/>
      <c r="Q39" s="40">
        <f t="shared" ref="Q39" si="62">Q36-Q35-Q32</f>
        <v>4980</v>
      </c>
    </row>
    <row r="40" spans="1:17" x14ac:dyDescent="0.15">
      <c r="A40" s="31" t="s">
        <v>47</v>
      </c>
      <c r="B40" s="27"/>
      <c r="C40" s="35"/>
      <c r="D40" s="35"/>
      <c r="G40" s="56"/>
      <c r="H40" s="56"/>
      <c r="I40" s="40">
        <f t="shared" ref="I40:N40" si="63">I36-I37</f>
        <v>5628</v>
      </c>
      <c r="J40" s="26"/>
      <c r="K40" s="56"/>
      <c r="L40" s="56"/>
      <c r="M40" s="40">
        <f t="shared" si="63"/>
        <v>5739</v>
      </c>
      <c r="N40" s="26"/>
      <c r="P40" s="56"/>
      <c r="Q40" s="40">
        <f t="shared" ref="Q40" si="64">Q36-Q37</f>
        <v>7414</v>
      </c>
    </row>
    <row r="41" spans="1:17" x14ac:dyDescent="0.15">
      <c r="B41" s="27"/>
      <c r="C41" s="35"/>
      <c r="D41" s="35"/>
      <c r="G41" s="56"/>
      <c r="H41" s="56"/>
      <c r="I41" s="35"/>
      <c r="J41" s="26"/>
      <c r="K41" s="56"/>
      <c r="L41" s="56"/>
      <c r="M41" s="35"/>
      <c r="N41" s="26"/>
      <c r="P41" s="56"/>
      <c r="Q41" s="35"/>
    </row>
    <row r="42" spans="1:17" s="37" customFormat="1" x14ac:dyDescent="0.15">
      <c r="A42" s="37" t="s">
        <v>52</v>
      </c>
      <c r="B42" s="59"/>
      <c r="C42" s="58"/>
      <c r="D42" s="58"/>
      <c r="E42" s="25"/>
      <c r="F42" s="26"/>
      <c r="G42" s="56"/>
      <c r="H42" s="56"/>
      <c r="I42" s="38">
        <f t="shared" ref="I42:Q42" si="65">SUM(F17:I17)</f>
        <v>14.471000000000004</v>
      </c>
      <c r="J42" s="26"/>
      <c r="K42" s="56"/>
      <c r="L42" s="56"/>
      <c r="M42" s="38">
        <f t="shared" si="65"/>
        <v>-342.87599999999998</v>
      </c>
      <c r="N42" s="26"/>
      <c r="O42" s="31"/>
      <c r="P42" s="56"/>
      <c r="Q42" s="38">
        <f t="shared" si="65"/>
        <v>164.80000000000007</v>
      </c>
    </row>
    <row r="43" spans="1:17" s="61" customFormat="1" x14ac:dyDescent="0.15">
      <c r="A43" s="60" t="s">
        <v>48</v>
      </c>
      <c r="B43" s="45"/>
      <c r="C43" s="44"/>
      <c r="D43" s="44"/>
      <c r="E43" s="25"/>
      <c r="F43" s="26"/>
      <c r="G43" s="56"/>
      <c r="H43" s="56"/>
      <c r="I43" s="44">
        <f t="shared" ref="I43:N43" si="66">I42/I40</f>
        <v>2.5712508884150683E-3</v>
      </c>
      <c r="J43" s="26"/>
      <c r="K43" s="56"/>
      <c r="L43" s="56"/>
      <c r="M43" s="44">
        <f t="shared" si="66"/>
        <v>-5.9744903293256664E-2</v>
      </c>
      <c r="N43" s="26"/>
      <c r="O43" s="31"/>
      <c r="P43" s="56"/>
      <c r="Q43" s="44">
        <f t="shared" ref="Q43" si="67">Q42/Q40</f>
        <v>2.2228216886970607E-2</v>
      </c>
    </row>
    <row r="44" spans="1:17" s="61" customFormat="1" x14ac:dyDescent="0.15">
      <c r="A44" s="60" t="s">
        <v>49</v>
      </c>
      <c r="B44" s="45"/>
      <c r="C44" s="44"/>
      <c r="D44" s="44"/>
      <c r="E44" s="25"/>
      <c r="F44" s="26"/>
      <c r="G44" s="56"/>
      <c r="H44" s="56"/>
      <c r="I44" s="44">
        <f t="shared" ref="I44:N44" si="68">I42/I36</f>
        <v>1.8179648241206034E-3</v>
      </c>
      <c r="J44" s="26"/>
      <c r="K44" s="56"/>
      <c r="L44" s="56"/>
      <c r="M44" s="44">
        <f t="shared" si="68"/>
        <v>-3.9244134142154052E-2</v>
      </c>
      <c r="N44" s="26"/>
      <c r="O44" s="31"/>
      <c r="P44" s="56"/>
      <c r="Q44" s="44">
        <f t="shared" ref="Q44" si="69">Q42/Q36</f>
        <v>1.3834788448623243E-2</v>
      </c>
    </row>
    <row r="45" spans="1:17" s="61" customFormat="1" x14ac:dyDescent="0.15">
      <c r="A45" s="60" t="s">
        <v>50</v>
      </c>
      <c r="B45" s="45"/>
      <c r="C45" s="44"/>
      <c r="D45" s="44"/>
      <c r="E45" s="25"/>
      <c r="F45" s="26"/>
      <c r="G45" s="56"/>
      <c r="H45" s="56"/>
      <c r="I45" s="44">
        <f t="shared" ref="I45:N45" si="70">I42/(I40-I35)</f>
        <v>8.2081678956324473E-3</v>
      </c>
      <c r="J45" s="26"/>
      <c r="K45" s="56"/>
      <c r="L45" s="56"/>
      <c r="M45" s="44">
        <f t="shared" si="70"/>
        <v>-0.15649292560474667</v>
      </c>
      <c r="N45" s="26"/>
      <c r="O45" s="31"/>
      <c r="P45" s="56"/>
      <c r="Q45" s="44">
        <f t="shared" ref="Q45" si="71">Q42/(Q40-Q35)</f>
        <v>4.056116170317501E-2</v>
      </c>
    </row>
    <row r="46" spans="1:17" s="61" customFormat="1" x14ac:dyDescent="0.15">
      <c r="A46" s="60" t="s">
        <v>51</v>
      </c>
      <c r="B46" s="45"/>
      <c r="C46" s="44"/>
      <c r="D46" s="44"/>
      <c r="E46" s="25"/>
      <c r="F46" s="26"/>
      <c r="G46" s="56"/>
      <c r="H46" s="56"/>
      <c r="I46" s="44">
        <f t="shared" ref="I46:N46" si="72">I42/I39</f>
        <v>7.7302350427350449E-3</v>
      </c>
      <c r="J46" s="26"/>
      <c r="K46" s="56"/>
      <c r="L46" s="56"/>
      <c r="M46" s="44">
        <f t="shared" si="72"/>
        <v>-0.11383665338645417</v>
      </c>
      <c r="N46" s="26"/>
      <c r="O46" s="31"/>
      <c r="P46" s="56"/>
      <c r="Q46" s="44">
        <f t="shared" ref="Q46" si="73">Q42/Q39</f>
        <v>3.3092369477911658E-2</v>
      </c>
    </row>
    <row r="47" spans="1:17" x14ac:dyDescent="0.15">
      <c r="B47" s="27"/>
      <c r="C47" s="35"/>
      <c r="D47" s="35"/>
      <c r="F47" s="27"/>
      <c r="G47" s="35"/>
      <c r="H47" s="35"/>
      <c r="I47" s="35"/>
      <c r="J47" s="27"/>
      <c r="K47" s="35"/>
      <c r="L47" s="35"/>
      <c r="M47" s="35"/>
      <c r="N47" s="27"/>
      <c r="O47" s="35"/>
      <c r="P47" s="35"/>
    </row>
    <row r="48" spans="1:17" x14ac:dyDescent="0.15">
      <c r="A48" s="70" t="s">
        <v>87</v>
      </c>
      <c r="B48" s="27"/>
      <c r="C48" s="35"/>
      <c r="D48" s="35"/>
      <c r="F48" s="45"/>
      <c r="G48" s="44"/>
      <c r="H48" s="44"/>
      <c r="I48" s="44"/>
      <c r="J48" s="45">
        <f>J3/F3-1</f>
        <v>0.34799660755722583</v>
      </c>
      <c r="K48" s="44">
        <f>K3/G3-1</f>
        <v>0.3018398212358151</v>
      </c>
      <c r="L48" s="44">
        <f>L3/H3-1</f>
        <v>0.38622979328880302</v>
      </c>
      <c r="M48" s="44">
        <f>M3/I3-1</f>
        <v>0.46583621318493451</v>
      </c>
      <c r="N48" s="45">
        <f>N3/J3-1</f>
        <v>0.41098769138396896</v>
      </c>
      <c r="O48" s="44">
        <f>O3/K3-1</f>
        <v>0.50748387570524667</v>
      </c>
      <c r="P48" s="44">
        <f>P3/L3-1</f>
        <v>0.58070310495252753</v>
      </c>
      <c r="Q48" s="44">
        <f>Q3/M3-1</f>
        <v>0.4793965323125422</v>
      </c>
    </row>
    <row r="49" spans="1:17" x14ac:dyDescent="0.15">
      <c r="A49" s="70" t="s">
        <v>88</v>
      </c>
      <c r="J49" s="45">
        <f>J4/F4-1</f>
        <v>0.21680319117660707</v>
      </c>
      <c r="K49" s="44">
        <f>K4/G4-1</f>
        <v>0.20221619765831256</v>
      </c>
      <c r="L49" s="44">
        <f>L4/H4-1</f>
        <v>0.24881960708437889</v>
      </c>
      <c r="M49" s="44">
        <f>M4/I4-1</f>
        <v>8.9427557792309598E-2</v>
      </c>
      <c r="N49" s="45">
        <f>N4/J4-1</f>
        <v>8.494680810480193E-2</v>
      </c>
      <c r="O49" s="44">
        <f>O4/K4-1</f>
        <v>0.13293943870014768</v>
      </c>
      <c r="P49" s="44">
        <f>P4/L4-1</f>
        <v>0.26258830602735617</v>
      </c>
      <c r="Q49" s="44">
        <f>Q4/M4-1</f>
        <v>0.43271375464684025</v>
      </c>
    </row>
    <row r="51" spans="1:17" s="34" customFormat="1" x14ac:dyDescent="0.15">
      <c r="A51" s="70" t="s">
        <v>75</v>
      </c>
      <c r="B51" s="27"/>
      <c r="C51" s="28"/>
      <c r="D51" s="28"/>
      <c r="E51" s="28"/>
      <c r="F51" s="27"/>
      <c r="G51" s="28"/>
      <c r="H51" s="28"/>
      <c r="I51" s="29">
        <v>50.22</v>
      </c>
      <c r="J51" s="65">
        <v>50.548000000000002</v>
      </c>
      <c r="K51" s="34">
        <v>50.881999999999998</v>
      </c>
      <c r="L51" s="34">
        <v>51.374000000000002</v>
      </c>
      <c r="M51" s="34">
        <v>51.494999999999997</v>
      </c>
      <c r="N51" s="65">
        <v>51.768000000000001</v>
      </c>
      <c r="O51" s="34">
        <v>52.133000000000003</v>
      </c>
      <c r="P51" s="34">
        <v>52.298999999999999</v>
      </c>
      <c r="Q51" s="34">
        <v>52.222999999999999</v>
      </c>
    </row>
    <row r="52" spans="1:17" s="61" customFormat="1" x14ac:dyDescent="0.15">
      <c r="A52" s="79" t="s">
        <v>94</v>
      </c>
      <c r="B52" s="45"/>
      <c r="C52" s="86"/>
      <c r="D52" s="86"/>
      <c r="E52" s="86"/>
      <c r="F52" s="45"/>
      <c r="G52" s="86"/>
      <c r="H52" s="86"/>
      <c r="I52" s="87"/>
      <c r="J52" s="88"/>
      <c r="M52" s="61">
        <f>M51/I51-1</f>
        <v>2.5388291517323802E-2</v>
      </c>
      <c r="N52" s="61">
        <f>N51/J51-1</f>
        <v>2.4135475191896738E-2</v>
      </c>
      <c r="O52" s="61">
        <f>O51/K51-1</f>
        <v>2.4586297708423466E-2</v>
      </c>
      <c r="P52" s="61">
        <f>P51/L51-1</f>
        <v>1.8005216646552746E-2</v>
      </c>
      <c r="Q52" s="61">
        <f>Q51/M51-1</f>
        <v>1.4137294882998308E-2</v>
      </c>
    </row>
    <row r="54" spans="1:17" s="34" customFormat="1" x14ac:dyDescent="0.15">
      <c r="A54" s="70" t="s">
        <v>89</v>
      </c>
      <c r="B54" s="27"/>
      <c r="C54" s="28"/>
      <c r="D54" s="28"/>
      <c r="E54" s="28"/>
      <c r="F54" s="27"/>
      <c r="G54" s="28"/>
      <c r="H54" s="28"/>
      <c r="I54" s="29"/>
      <c r="J54" s="65"/>
      <c r="M54" s="34">
        <v>221.6</v>
      </c>
      <c r="N54" s="65">
        <v>224.7</v>
      </c>
      <c r="O54" s="34">
        <v>248.4</v>
      </c>
      <c r="P54" s="85">
        <v>284.39999999999998</v>
      </c>
      <c r="Q54" s="85">
        <v>360.3</v>
      </c>
    </row>
    <row r="55" spans="1:17" s="34" customFormat="1" x14ac:dyDescent="0.15">
      <c r="A55" s="70" t="s">
        <v>90</v>
      </c>
      <c r="B55" s="27"/>
      <c r="C55" s="28"/>
      <c r="D55" s="28"/>
      <c r="E55" s="28"/>
      <c r="F55" s="27"/>
      <c r="G55" s="28"/>
      <c r="H55" s="28"/>
      <c r="I55" s="29"/>
      <c r="J55" s="65"/>
      <c r="M55" s="34">
        <v>134.19999999999999</v>
      </c>
      <c r="N55" s="65">
        <v>116.6</v>
      </c>
      <c r="O55" s="34">
        <v>117.5</v>
      </c>
      <c r="P55" s="85">
        <v>121.2</v>
      </c>
      <c r="Q55" s="85">
        <v>122.7</v>
      </c>
    </row>
    <row r="56" spans="1:17" s="34" customFormat="1" x14ac:dyDescent="0.15">
      <c r="A56" s="70" t="s">
        <v>91</v>
      </c>
      <c r="B56" s="27"/>
      <c r="C56" s="28"/>
      <c r="D56" s="28"/>
      <c r="E56" s="28"/>
      <c r="F56" s="27"/>
      <c r="G56" s="28"/>
      <c r="H56" s="28"/>
      <c r="I56" s="29"/>
      <c r="J56" s="65"/>
      <c r="M56" s="70">
        <v>88.3</v>
      </c>
      <c r="N56" s="65">
        <v>100.5</v>
      </c>
      <c r="O56" s="70">
        <v>126.8</v>
      </c>
      <c r="P56" s="85">
        <v>148.80000000000001</v>
      </c>
      <c r="Q56" s="85">
        <v>174</v>
      </c>
    </row>
    <row r="57" spans="1:17" x14ac:dyDescent="0.15">
      <c r="M57" s="34"/>
    </row>
    <row r="58" spans="1:17" s="34" customFormat="1" x14ac:dyDescent="0.15">
      <c r="A58" s="70" t="s">
        <v>81</v>
      </c>
      <c r="B58" s="27"/>
      <c r="C58" s="28"/>
      <c r="D58" s="28"/>
      <c r="E58" s="28"/>
      <c r="F58" s="27"/>
      <c r="G58" s="28"/>
      <c r="H58" s="28"/>
      <c r="I58" s="29"/>
      <c r="J58" s="65"/>
      <c r="M58" s="70">
        <v>105.9</v>
      </c>
      <c r="N58" s="65">
        <v>96.8</v>
      </c>
      <c r="O58" s="70">
        <v>107.5</v>
      </c>
      <c r="P58" s="85">
        <v>150.4</v>
      </c>
      <c r="Q58" s="85">
        <v>140.80000000000001</v>
      </c>
    </row>
    <row r="59" spans="1:17" s="34" customFormat="1" x14ac:dyDescent="0.15">
      <c r="A59" s="70" t="s">
        <v>82</v>
      </c>
      <c r="B59" s="27"/>
      <c r="C59" s="28"/>
      <c r="D59" s="28"/>
      <c r="E59" s="28"/>
      <c r="F59" s="27"/>
      <c r="G59" s="28"/>
      <c r="H59" s="28"/>
      <c r="I59" s="29"/>
      <c r="J59" s="65"/>
      <c r="M59" s="34">
        <v>153.30000000000001</v>
      </c>
      <c r="N59" s="65">
        <v>150.69999999999999</v>
      </c>
      <c r="O59" s="34">
        <v>151</v>
      </c>
      <c r="P59" s="34">
        <v>155.69999999999999</v>
      </c>
      <c r="Q59" s="34">
        <v>155.1</v>
      </c>
    </row>
    <row r="60" spans="1:17" s="34" customFormat="1" x14ac:dyDescent="0.15">
      <c r="A60" s="70" t="s">
        <v>92</v>
      </c>
      <c r="B60" s="27"/>
      <c r="C60" s="28"/>
      <c r="D60" s="28"/>
      <c r="E60" s="28"/>
      <c r="F60" s="27"/>
      <c r="G60" s="28"/>
      <c r="H60" s="28"/>
      <c r="I60" s="29"/>
      <c r="J60" s="65"/>
      <c r="M60" s="34">
        <v>103.6</v>
      </c>
      <c r="N60" s="65">
        <v>97</v>
      </c>
      <c r="O60" s="34">
        <v>119</v>
      </c>
      <c r="P60" s="34">
        <v>148.4</v>
      </c>
      <c r="Q60" s="34">
        <v>163.6</v>
      </c>
    </row>
    <row r="61" spans="1:17" s="34" customFormat="1" x14ac:dyDescent="0.15">
      <c r="A61" s="70" t="s">
        <v>93</v>
      </c>
      <c r="B61" s="27"/>
      <c r="C61" s="28"/>
      <c r="D61" s="28"/>
      <c r="E61" s="28"/>
      <c r="F61" s="27"/>
      <c r="G61" s="28"/>
      <c r="H61" s="28"/>
      <c r="I61" s="29"/>
      <c r="J61" s="65"/>
      <c r="M61" s="34">
        <v>95.1</v>
      </c>
      <c r="N61" s="65">
        <v>81.900000000000006</v>
      </c>
      <c r="O61" s="34">
        <v>82.7</v>
      </c>
      <c r="P61" s="34">
        <v>91.5</v>
      </c>
      <c r="Q61" s="34">
        <v>118.6</v>
      </c>
    </row>
    <row r="62" spans="1:17" x14ac:dyDescent="0.15">
      <c r="Q62" s="34"/>
    </row>
    <row r="63" spans="1:17" s="61" customFormat="1" x14ac:dyDescent="0.15">
      <c r="A63" s="79" t="s">
        <v>95</v>
      </c>
      <c r="B63" s="45"/>
      <c r="C63" s="86"/>
      <c r="D63" s="86"/>
      <c r="E63" s="86"/>
      <c r="F63" s="45"/>
      <c r="G63" s="86"/>
      <c r="H63" s="86"/>
      <c r="I63" s="87"/>
      <c r="J63" s="88"/>
      <c r="N63" s="88"/>
      <c r="Q63" s="61">
        <f>Q54/M54-1</f>
        <v>0.62590252707581229</v>
      </c>
    </row>
    <row r="64" spans="1:17" s="61" customFormat="1" x14ac:dyDescent="0.15">
      <c r="A64" s="79" t="s">
        <v>96</v>
      </c>
      <c r="B64" s="45"/>
      <c r="C64" s="86"/>
      <c r="D64" s="86"/>
      <c r="E64" s="86"/>
      <c r="F64" s="45"/>
      <c r="G64" s="86"/>
      <c r="H64" s="86"/>
      <c r="I64" s="87"/>
      <c r="J64" s="88"/>
      <c r="N64" s="88"/>
      <c r="Q64" s="61">
        <f>Q55/M55-1</f>
        <v>-8.5692995529060956E-2</v>
      </c>
    </row>
    <row r="65" spans="1:17" s="61" customFormat="1" x14ac:dyDescent="0.15">
      <c r="A65" s="79" t="s">
        <v>97</v>
      </c>
      <c r="B65" s="45"/>
      <c r="C65" s="86"/>
      <c r="D65" s="86"/>
      <c r="E65" s="86"/>
      <c r="F65" s="45"/>
      <c r="G65" s="86"/>
      <c r="H65" s="86"/>
      <c r="I65" s="87"/>
      <c r="J65" s="88"/>
      <c r="N65" s="88"/>
      <c r="Q65" s="61">
        <f>Q56/M56-1</f>
        <v>0.97055492638731611</v>
      </c>
    </row>
    <row r="66" spans="1:17" s="61" customFormat="1" x14ac:dyDescent="0.15">
      <c r="B66" s="45"/>
      <c r="C66" s="86"/>
      <c r="D66" s="86"/>
      <c r="E66" s="86"/>
      <c r="F66" s="45"/>
      <c r="G66" s="86"/>
      <c r="H66" s="86"/>
      <c r="I66" s="87"/>
      <c r="J66" s="88"/>
      <c r="N66" s="88"/>
    </row>
    <row r="67" spans="1:17" s="61" customFormat="1" x14ac:dyDescent="0.15">
      <c r="A67" s="79" t="s">
        <v>98</v>
      </c>
      <c r="B67" s="45"/>
      <c r="C67" s="86"/>
      <c r="D67" s="86"/>
      <c r="E67" s="86"/>
      <c r="F67" s="45"/>
      <c r="G67" s="86"/>
      <c r="H67" s="86"/>
      <c r="I67" s="87"/>
      <c r="J67" s="88"/>
      <c r="N67" s="88"/>
      <c r="Q67" s="61">
        <f>Q58/M58-1</f>
        <v>0.32955618508026441</v>
      </c>
    </row>
    <row r="68" spans="1:17" s="61" customFormat="1" x14ac:dyDescent="0.15">
      <c r="A68" s="79" t="s">
        <v>99</v>
      </c>
      <c r="B68" s="45"/>
      <c r="C68" s="86"/>
      <c r="D68" s="86"/>
      <c r="E68" s="86"/>
      <c r="F68" s="45"/>
      <c r="G68" s="86"/>
      <c r="H68" s="86"/>
      <c r="I68" s="87"/>
      <c r="J68" s="88"/>
      <c r="N68" s="88"/>
      <c r="Q68" s="61">
        <f>Q59/M59-1</f>
        <v>1.1741682974559575E-2</v>
      </c>
    </row>
    <row r="69" spans="1:17" s="61" customFormat="1" x14ac:dyDescent="0.15">
      <c r="A69" s="79" t="s">
        <v>100</v>
      </c>
      <c r="B69" s="45"/>
      <c r="C69" s="86"/>
      <c r="D69" s="86"/>
      <c r="E69" s="86"/>
      <c r="F69" s="45"/>
      <c r="G69" s="86"/>
      <c r="H69" s="86"/>
      <c r="I69" s="87"/>
      <c r="J69" s="88"/>
      <c r="N69" s="88"/>
      <c r="Q69" s="61">
        <f>Q60/M60-1</f>
        <v>0.5791505791505791</v>
      </c>
    </row>
    <row r="70" spans="1:17" s="61" customFormat="1" x14ac:dyDescent="0.15">
      <c r="A70" s="79" t="s">
        <v>101</v>
      </c>
      <c r="B70" s="45"/>
      <c r="C70" s="86"/>
      <c r="D70" s="86"/>
      <c r="E70" s="86"/>
      <c r="F70" s="45"/>
      <c r="G70" s="86"/>
      <c r="H70" s="86"/>
      <c r="I70" s="87"/>
      <c r="J70" s="88"/>
      <c r="N70" s="88"/>
      <c r="Q70" s="61">
        <f>Q61/M61-1</f>
        <v>0.24710830704521558</v>
      </c>
    </row>
  </sheetData>
  <hyperlinks>
    <hyperlink ref="A1" r:id="rId1" xr:uid="{EDCBF689-DFA5-934C-B6FC-5D6E9835B68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7EBE-1DCF-814D-89D9-C0446CB926E5}">
  <dimension ref="B4:D29"/>
  <sheetViews>
    <sheetView zoomScale="130" zoomScaleNormal="130" workbookViewId="0">
      <selection activeCell="B29" sqref="B29"/>
    </sheetView>
  </sheetViews>
  <sheetFormatPr baseColWidth="10" defaultRowHeight="13" x14ac:dyDescent="0.15"/>
  <cols>
    <col min="1" max="1" width="10.83203125" style="1"/>
    <col min="2" max="2" width="13" style="1" bestFit="1" customWidth="1"/>
    <col min="3" max="3" width="15" style="1" bestFit="1" customWidth="1"/>
    <col min="4" max="16384" width="10.83203125" style="1"/>
  </cols>
  <sheetData>
    <row r="4" spans="2:4" x14ac:dyDescent="0.15">
      <c r="B4" s="75" t="s">
        <v>62</v>
      </c>
    </row>
    <row r="6" spans="2:4" x14ac:dyDescent="0.15">
      <c r="B6" s="1" t="s">
        <v>69</v>
      </c>
      <c r="C6" s="1" t="s">
        <v>71</v>
      </c>
      <c r="D6" s="80" t="s">
        <v>74</v>
      </c>
    </row>
    <row r="7" spans="2:4" x14ac:dyDescent="0.15">
      <c r="B7" s="1" t="s">
        <v>70</v>
      </c>
      <c r="C7" s="1" t="s">
        <v>72</v>
      </c>
      <c r="D7" s="80" t="s">
        <v>73</v>
      </c>
    </row>
    <row r="8" spans="2:4" x14ac:dyDescent="0.15">
      <c r="B8" s="62"/>
    </row>
    <row r="16" spans="2:4" x14ac:dyDescent="0.15">
      <c r="B16" s="75" t="s">
        <v>76</v>
      </c>
    </row>
    <row r="18" spans="2:2" x14ac:dyDescent="0.15">
      <c r="B18" s="15" t="s">
        <v>77</v>
      </c>
    </row>
    <row r="20" spans="2:2" x14ac:dyDescent="0.15">
      <c r="B20" s="1" t="s">
        <v>78</v>
      </c>
    </row>
    <row r="21" spans="2:2" x14ac:dyDescent="0.15">
      <c r="B21" s="62" t="s">
        <v>70</v>
      </c>
    </row>
    <row r="22" spans="2:2" x14ac:dyDescent="0.15">
      <c r="B22" s="62" t="s">
        <v>79</v>
      </c>
    </row>
    <row r="24" spans="2:2" x14ac:dyDescent="0.15">
      <c r="B24" s="15" t="s">
        <v>80</v>
      </c>
    </row>
    <row r="26" spans="2:2" x14ac:dyDescent="0.15">
      <c r="B26" s="62" t="s">
        <v>83</v>
      </c>
    </row>
    <row r="27" spans="2:2" x14ac:dyDescent="0.15">
      <c r="B27" s="62" t="s">
        <v>84</v>
      </c>
    </row>
    <row r="28" spans="2:2" x14ac:dyDescent="0.15">
      <c r="B28" s="62" t="s">
        <v>85</v>
      </c>
    </row>
    <row r="29" spans="2:2" x14ac:dyDescent="0.15">
      <c r="B29" s="62" t="s">
        <v>86</v>
      </c>
    </row>
  </sheetData>
  <hyperlinks>
    <hyperlink ref="D7" r:id="rId1" xr:uid="{6F90EB03-828D-5C45-9A09-759EDED4EAA2}"/>
    <hyperlink ref="D6" r:id="rId2" xr:uid="{0198838C-9C43-8B48-9D8B-56F71378F8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 B KRW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2021-02-17T23:20:19Z</dcterms:modified>
</cp:coreProperties>
</file>